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comments1.xml" ContentType="application/vnd.openxmlformats-officedocument.spreadsheetml.comments+xml"/>
  <Override PartName="/xl/tables/table1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C:\Users\259378F\OneDrive - Curtin\Enrolment Planners Working Folder\"/>
    </mc:Choice>
  </mc:AlternateContent>
  <workbookProtection workbookAlgorithmName="SHA-512" workbookHashValue="r2tDHPK8MLrB7qgy3fWUZbH6UKOacoyCVlou4fswyqyF4+MLrjqSNdiMZi7/sEcrbeyLDZJ0VBxUwrrzuKrnNQ==" workbookSaltValue="nLw7hnW/Q1JnEFlCpgDGgw==" workbookSpinCount="100000" lockStructure="1"/>
  <bookViews>
    <workbookView xWindow="0" yWindow="0" windowWidth="28800" windowHeight="13800" tabRatio="707" firstSheet="1" activeTab="1"/>
  </bookViews>
  <sheets>
    <sheet name="B-EDUC Planner" sheetId="13" state="hidden" r:id="rId1"/>
    <sheet name="B-EDEC Planner" sheetId="14" r:id="rId2"/>
    <sheet name="B-EDPR Planner" sheetId="5" state="hidden" r:id="rId3"/>
    <sheet name="Unitsets" sheetId="2" state="hidden" r:id="rId4"/>
    <sheet name="BEd (Secondary)" sheetId="11" state="hidden" r:id="rId5"/>
    <sheet name="BEd (Sec) Maths no Methods" sheetId="12" state="hidden" r:id="rId6"/>
    <sheet name="UnitsetsSecondary" sheetId="10" state="hidden" r:id="rId7"/>
    <sheet name="Handbook" sheetId="3" state="hidden" r:id="rId8"/>
    <sheet name="Structures" sheetId="8" state="hidden" r:id="rId9"/>
    <sheet name="Availabilities" sheetId="9" state="hidden" r:id="rId10"/>
  </sheets>
  <definedNames>
    <definedName name="_xlnm._FilterDatabase" localSheetId="7" hidden="1">Handbook!$A$2:$J$2</definedName>
    <definedName name="_xlnm.Print_Area" localSheetId="5">'BEd (Sec) Maths no Methods'!$A$3:$L$58</definedName>
    <definedName name="_xlnm.Print_Area" localSheetId="4">'BEd (Secondary)'!$A$3:$L$86</definedName>
    <definedName name="_xlnm.Print_Area" localSheetId="1">'B-EDEC Planner'!$A$3:$N$81</definedName>
    <definedName name="_xlnm.Print_Area" localSheetId="2">'B-EDPR Planner'!$A$3:$N$56</definedName>
    <definedName name="_xlnm.Print_Area" localSheetId="0">'B-EDUC Planner'!$A$3:$N$69</definedName>
    <definedName name="RangeMajorsAltCore">UnitsetsSecondary!$O$50:$BV$53</definedName>
    <definedName name="RangeMajorsSec">UnitsetsSecondary!$O$38:$BV$48</definedName>
    <definedName name="RangeMathNoMethods">UnitsetsSecondary!$O$96:$R$103</definedName>
    <definedName name="RangeOptions">Unitsets!$J$43:$L$78</definedName>
    <definedName name="RangeStreamsAltCore">UnitsetsSecondary!$O$63:$DV$66</definedName>
    <definedName name="RangeStreamsOptions">UnitsetsSecondary!$O$68:$DV$90</definedName>
    <definedName name="RangeStreamsSec">UnitsetsSecondary!$O$55:$DV$61</definedName>
    <definedName name="RangeTeachingAreaStreams">Unitsets!$J$37:$O$41</definedName>
    <definedName name="RangeUnitsets">Unitsets!$J$3:$U$35</definedName>
    <definedName name="RangeUnitSetsSec">UnitsetsSecondary!$O$3:$R$35</definedName>
    <definedName name="Streams">UnitsetsSecondary!$J$3</definedName>
    <definedName name="StreamsARTDR">UnitsetsSecondary!$J$4:$J$12</definedName>
    <definedName name="StreamsARTME">UnitsetsSecondary!$J$13:$J$21</definedName>
    <definedName name="StreamsARTVA">UnitsetsSecondary!$J$22:$J$30</definedName>
    <definedName name="StreamsENGLT">UnitsetsSecondary!$J$31:$J$40</definedName>
    <definedName name="StreamsHLTPE">UnitsetsSecondary!$J$41</definedName>
    <definedName name="StreamsHUSEC">UnitsetsSecondary!$J$42:$J$50</definedName>
    <definedName name="StreamsHUSGE">UnitsetsSecondary!$J$51:$J$59</definedName>
    <definedName name="StreamsHUSHI">UnitsetsSecondary!$J$60:$J$68</definedName>
    <definedName name="StreamsHUSPL">UnitsetsSecondary!$J$69:$J$77</definedName>
    <definedName name="StreamsMathsNoMethods">UnitsetsSecondary!$J$120:$J$132</definedName>
    <definedName name="StreamsMATHT">UnitsetsSecondary!$J$78:$J$87</definedName>
    <definedName name="StreamsSCIBI">UnitsetsSecondary!$J$88:$J$95</definedName>
    <definedName name="StreamsSCICH">UnitsetsSecondary!$J$96:$J$103</definedName>
    <definedName name="StreamsSCIHB">UnitsetsSecondary!$J$104:$J$111</definedName>
    <definedName name="StreamsSCIPH">UnitsetsSecondary!$J$112</definedName>
    <definedName name="StreamsSCIPS">UnitsetsSecondary!$J$113:$J$119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5" l="1"/>
  <c r="A53" i="5" s="1"/>
  <c r="G6" i="5"/>
  <c r="V4" i="3"/>
  <c r="V5" i="3"/>
  <c r="V6" i="3"/>
  <c r="V7" i="3"/>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U4" i="3"/>
  <c r="U5" i="3"/>
  <c r="U6" i="3"/>
  <c r="U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16" i="3"/>
  <c r="U117" i="3"/>
  <c r="U118" i="3"/>
  <c r="U119" i="3"/>
  <c r="U120" i="3"/>
  <c r="U121" i="3"/>
  <c r="U122" i="3"/>
  <c r="U123" i="3"/>
  <c r="U124" i="3"/>
  <c r="U125" i="3"/>
  <c r="U126" i="3"/>
  <c r="U127" i="3"/>
  <c r="U128" i="3"/>
  <c r="U129" i="3"/>
  <c r="U130" i="3"/>
  <c r="U131" i="3"/>
  <c r="U132" i="3"/>
  <c r="U133" i="3"/>
  <c r="U134" i="3"/>
  <c r="U135" i="3"/>
  <c r="U136" i="3"/>
  <c r="U137" i="3"/>
  <c r="U138" i="3"/>
  <c r="U139" i="3"/>
  <c r="U140" i="3"/>
  <c r="U141" i="3"/>
  <c r="U142" i="3"/>
  <c r="U143" i="3"/>
  <c r="U144" i="3"/>
  <c r="U145" i="3"/>
  <c r="U146" i="3"/>
  <c r="U147" i="3"/>
  <c r="U148" i="3"/>
  <c r="U149" i="3"/>
  <c r="U150" i="3"/>
  <c r="U151" i="3"/>
  <c r="U152" i="3"/>
  <c r="U153" i="3"/>
  <c r="U154" i="3"/>
  <c r="U155" i="3"/>
  <c r="U156" i="3"/>
  <c r="U157" i="3"/>
  <c r="U158" i="3"/>
  <c r="U159" i="3"/>
  <c r="U160" i="3"/>
  <c r="U161" i="3"/>
  <c r="U162" i="3"/>
  <c r="U163" i="3"/>
  <c r="U164" i="3"/>
  <c r="U165" i="3"/>
  <c r="U166" i="3"/>
  <c r="U167" i="3"/>
  <c r="U168" i="3"/>
  <c r="U169" i="3"/>
  <c r="U170" i="3"/>
  <c r="U171" i="3"/>
  <c r="U172" i="3"/>
  <c r="U173" i="3"/>
  <c r="U174" i="3"/>
  <c r="U175" i="3"/>
  <c r="U176" i="3"/>
  <c r="U177" i="3"/>
  <c r="U178" i="3"/>
  <c r="U179" i="3"/>
  <c r="U180" i="3"/>
  <c r="U181" i="3"/>
  <c r="U182" i="3"/>
  <c r="U183" i="3"/>
  <c r="U184" i="3"/>
  <c r="U185" i="3"/>
  <c r="U186" i="3"/>
  <c r="U187" i="3"/>
  <c r="U188" i="3"/>
  <c r="U189" i="3"/>
  <c r="U190" i="3"/>
  <c r="U191" i="3"/>
  <c r="U192" i="3"/>
  <c r="U193" i="3"/>
  <c r="U194" i="3"/>
  <c r="U195" i="3"/>
  <c r="U196" i="3"/>
  <c r="U197" i="3"/>
  <c r="U198" i="3"/>
  <c r="U199" i="3"/>
  <c r="U200" i="3"/>
  <c r="U201" i="3"/>
  <c r="U202" i="3"/>
  <c r="U203" i="3"/>
  <c r="U204" i="3"/>
  <c r="U205" i="3"/>
  <c r="U206" i="3"/>
  <c r="U207" i="3"/>
  <c r="U208" i="3"/>
  <c r="U209" i="3"/>
  <c r="U210" i="3"/>
  <c r="U211" i="3"/>
  <c r="U212" i="3"/>
  <c r="U213" i="3"/>
  <c r="U214" i="3"/>
  <c r="U215" i="3"/>
  <c r="U216" i="3"/>
  <c r="U217" i="3"/>
  <c r="U218" i="3"/>
  <c r="U219" i="3"/>
  <c r="U220" i="3"/>
  <c r="U221" i="3"/>
  <c r="U222" i="3"/>
  <c r="U223" i="3"/>
  <c r="U224" i="3"/>
  <c r="U225" i="3"/>
  <c r="U226" i="3"/>
  <c r="U227" i="3"/>
  <c r="U228" i="3"/>
  <c r="U229" i="3"/>
  <c r="U230" i="3"/>
  <c r="U231" i="3"/>
  <c r="U232" i="3"/>
  <c r="U233" i="3"/>
  <c r="U234" i="3"/>
  <c r="U235" i="3"/>
  <c r="U236" i="3"/>
  <c r="U237" i="3"/>
  <c r="U238" i="3"/>
  <c r="U239" i="3"/>
  <c r="U240" i="3"/>
  <c r="U241" i="3"/>
  <c r="U242" i="3"/>
  <c r="U243" i="3"/>
  <c r="U244" i="3"/>
  <c r="U245" i="3"/>
  <c r="U246" i="3"/>
  <c r="U247" i="3"/>
  <c r="U248" i="3"/>
  <c r="U249" i="3"/>
  <c r="U250" i="3"/>
  <c r="U251" i="3"/>
  <c r="U252" i="3"/>
  <c r="U253" i="3"/>
  <c r="U254" i="3"/>
  <c r="U255" i="3"/>
  <c r="U256" i="3"/>
  <c r="U257" i="3"/>
  <c r="U258" i="3"/>
  <c r="U259" i="3"/>
  <c r="U260" i="3"/>
  <c r="U261" i="3"/>
  <c r="U262" i="3"/>
  <c r="U263" i="3"/>
  <c r="U264" i="3"/>
  <c r="U265" i="3"/>
  <c r="U266" i="3"/>
  <c r="U267" i="3"/>
  <c r="U268" i="3"/>
  <c r="U269" i="3"/>
  <c r="U270" i="3"/>
  <c r="U271" i="3"/>
  <c r="U272" i="3"/>
  <c r="U273" i="3"/>
  <c r="U274" i="3"/>
  <c r="U275" i="3"/>
  <c r="U276" i="3"/>
  <c r="U277" i="3"/>
  <c r="U278" i="3"/>
  <c r="U279" i="3"/>
  <c r="U280" i="3"/>
  <c r="U281" i="3"/>
  <c r="U282" i="3"/>
  <c r="U283" i="3"/>
  <c r="U284" i="3"/>
  <c r="U285" i="3"/>
  <c r="U286" i="3"/>
  <c r="U287" i="3"/>
  <c r="U288" i="3"/>
  <c r="U289" i="3"/>
  <c r="U290" i="3"/>
  <c r="U291" i="3"/>
  <c r="U292" i="3"/>
  <c r="U293" i="3"/>
  <c r="U294" i="3"/>
  <c r="U295" i="3"/>
  <c r="U296"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T92" i="3"/>
  <c r="T93" i="3"/>
  <c r="T94" i="3"/>
  <c r="T95" i="3"/>
  <c r="T96" i="3"/>
  <c r="T97" i="3"/>
  <c r="T98" i="3"/>
  <c r="T99" i="3"/>
  <c r="T100" i="3"/>
  <c r="T101" i="3"/>
  <c r="T102" i="3"/>
  <c r="T103" i="3"/>
  <c r="T104" i="3"/>
  <c r="T105" i="3"/>
  <c r="T106" i="3"/>
  <c r="T107" i="3"/>
  <c r="T108" i="3"/>
  <c r="T109" i="3"/>
  <c r="T110" i="3"/>
  <c r="T111" i="3"/>
  <c r="T112" i="3"/>
  <c r="T113" i="3"/>
  <c r="T114" i="3"/>
  <c r="T115" i="3"/>
  <c r="T116" i="3"/>
  <c r="T117" i="3"/>
  <c r="T118" i="3"/>
  <c r="T119" i="3"/>
  <c r="T120" i="3"/>
  <c r="T121" i="3"/>
  <c r="T122" i="3"/>
  <c r="T123" i="3"/>
  <c r="T124" i="3"/>
  <c r="T125" i="3"/>
  <c r="T126" i="3"/>
  <c r="T127" i="3"/>
  <c r="T128" i="3"/>
  <c r="T129" i="3"/>
  <c r="T130" i="3"/>
  <c r="T131" i="3"/>
  <c r="T132" i="3"/>
  <c r="T133" i="3"/>
  <c r="T134" i="3"/>
  <c r="T135" i="3"/>
  <c r="T136" i="3"/>
  <c r="T137" i="3"/>
  <c r="T138" i="3"/>
  <c r="T139" i="3"/>
  <c r="T140" i="3"/>
  <c r="T141" i="3"/>
  <c r="T142" i="3"/>
  <c r="T143" i="3"/>
  <c r="T144" i="3"/>
  <c r="T145" i="3"/>
  <c r="T146" i="3"/>
  <c r="T147" i="3"/>
  <c r="T148" i="3"/>
  <c r="T149" i="3"/>
  <c r="T150" i="3"/>
  <c r="T151" i="3"/>
  <c r="T152" i="3"/>
  <c r="T153" i="3"/>
  <c r="T154" i="3"/>
  <c r="T155" i="3"/>
  <c r="T156" i="3"/>
  <c r="T157" i="3"/>
  <c r="T158" i="3"/>
  <c r="T159" i="3"/>
  <c r="T160" i="3"/>
  <c r="T161" i="3"/>
  <c r="T162" i="3"/>
  <c r="T163" i="3"/>
  <c r="T164" i="3"/>
  <c r="T165" i="3"/>
  <c r="T166" i="3"/>
  <c r="T167" i="3"/>
  <c r="T168" i="3"/>
  <c r="T169" i="3"/>
  <c r="T170" i="3"/>
  <c r="T171" i="3"/>
  <c r="T172" i="3"/>
  <c r="T173" i="3"/>
  <c r="T174" i="3"/>
  <c r="T175" i="3"/>
  <c r="T176" i="3"/>
  <c r="T177" i="3"/>
  <c r="T178" i="3"/>
  <c r="T179" i="3"/>
  <c r="T180" i="3"/>
  <c r="T181" i="3"/>
  <c r="T182" i="3"/>
  <c r="T183" i="3"/>
  <c r="T184" i="3"/>
  <c r="T185" i="3"/>
  <c r="T186" i="3"/>
  <c r="T187" i="3"/>
  <c r="T188" i="3"/>
  <c r="T189" i="3"/>
  <c r="T190" i="3"/>
  <c r="T191" i="3"/>
  <c r="T192" i="3"/>
  <c r="T193" i="3"/>
  <c r="T194" i="3"/>
  <c r="T195" i="3"/>
  <c r="T196" i="3"/>
  <c r="T197" i="3"/>
  <c r="T198" i="3"/>
  <c r="T199" i="3"/>
  <c r="T200" i="3"/>
  <c r="T201" i="3"/>
  <c r="T202" i="3"/>
  <c r="T203" i="3"/>
  <c r="T204" i="3"/>
  <c r="T205" i="3"/>
  <c r="T206" i="3"/>
  <c r="T207" i="3"/>
  <c r="T208" i="3"/>
  <c r="T209" i="3"/>
  <c r="T210" i="3"/>
  <c r="T211" i="3"/>
  <c r="T212" i="3"/>
  <c r="T213" i="3"/>
  <c r="T214" i="3"/>
  <c r="T215" i="3"/>
  <c r="T216" i="3"/>
  <c r="T217" i="3"/>
  <c r="T218" i="3"/>
  <c r="T219" i="3"/>
  <c r="T220" i="3"/>
  <c r="T221" i="3"/>
  <c r="T222" i="3"/>
  <c r="T223" i="3"/>
  <c r="T224" i="3"/>
  <c r="T225" i="3"/>
  <c r="T226" i="3"/>
  <c r="T227" i="3"/>
  <c r="T228" i="3"/>
  <c r="T229" i="3"/>
  <c r="T230" i="3"/>
  <c r="T231" i="3"/>
  <c r="T232" i="3"/>
  <c r="T233" i="3"/>
  <c r="T234" i="3"/>
  <c r="T235" i="3"/>
  <c r="T236" i="3"/>
  <c r="T237" i="3"/>
  <c r="T238" i="3"/>
  <c r="T239" i="3"/>
  <c r="T240" i="3"/>
  <c r="T241" i="3"/>
  <c r="T242" i="3"/>
  <c r="T243" i="3"/>
  <c r="T244" i="3"/>
  <c r="T245" i="3"/>
  <c r="T246" i="3"/>
  <c r="T247" i="3"/>
  <c r="T248" i="3"/>
  <c r="T249" i="3"/>
  <c r="T250" i="3"/>
  <c r="T251" i="3"/>
  <c r="T252" i="3"/>
  <c r="T253" i="3"/>
  <c r="T254" i="3"/>
  <c r="T255" i="3"/>
  <c r="T256" i="3"/>
  <c r="T257" i="3"/>
  <c r="T258" i="3"/>
  <c r="T259" i="3"/>
  <c r="T260" i="3"/>
  <c r="T261" i="3"/>
  <c r="T262" i="3"/>
  <c r="T263" i="3"/>
  <c r="T264" i="3"/>
  <c r="T265" i="3"/>
  <c r="T266" i="3"/>
  <c r="T267" i="3"/>
  <c r="T268" i="3"/>
  <c r="T269" i="3"/>
  <c r="T270" i="3"/>
  <c r="T271" i="3"/>
  <c r="T272" i="3"/>
  <c r="T273" i="3"/>
  <c r="T274" i="3"/>
  <c r="T275" i="3"/>
  <c r="T276" i="3"/>
  <c r="T277" i="3"/>
  <c r="T278" i="3"/>
  <c r="T279" i="3"/>
  <c r="T280" i="3"/>
  <c r="T281" i="3"/>
  <c r="T282" i="3"/>
  <c r="T283" i="3"/>
  <c r="T284" i="3"/>
  <c r="T285" i="3"/>
  <c r="T286" i="3"/>
  <c r="T287" i="3"/>
  <c r="T288" i="3"/>
  <c r="T289" i="3"/>
  <c r="T290" i="3"/>
  <c r="T291" i="3"/>
  <c r="T292" i="3"/>
  <c r="T293" i="3"/>
  <c r="T294" i="3"/>
  <c r="T295" i="3"/>
  <c r="T296" i="3"/>
  <c r="S4" i="3"/>
  <c r="S5" i="3"/>
  <c r="S6" i="3"/>
  <c r="S7" i="3"/>
  <c r="S8" i="3"/>
  <c r="S9" i="3"/>
  <c r="S10" i="3"/>
  <c r="S11"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S92" i="3"/>
  <c r="S93" i="3"/>
  <c r="S94" i="3"/>
  <c r="S95" i="3"/>
  <c r="S96" i="3"/>
  <c r="S97" i="3"/>
  <c r="S98" i="3"/>
  <c r="S99" i="3"/>
  <c r="S100" i="3"/>
  <c r="S101" i="3"/>
  <c r="S102" i="3"/>
  <c r="S103" i="3"/>
  <c r="S104" i="3"/>
  <c r="S105" i="3"/>
  <c r="S106" i="3"/>
  <c r="S107" i="3"/>
  <c r="S108" i="3"/>
  <c r="S109" i="3"/>
  <c r="S110" i="3"/>
  <c r="S111" i="3"/>
  <c r="S112" i="3"/>
  <c r="S113" i="3"/>
  <c r="S114" i="3"/>
  <c r="S115" i="3"/>
  <c r="S116" i="3"/>
  <c r="S117" i="3"/>
  <c r="S118" i="3"/>
  <c r="S119" i="3"/>
  <c r="S120" i="3"/>
  <c r="S121" i="3"/>
  <c r="S122" i="3"/>
  <c r="S123" i="3"/>
  <c r="S124" i="3"/>
  <c r="S125" i="3"/>
  <c r="S126" i="3"/>
  <c r="S127" i="3"/>
  <c r="S128" i="3"/>
  <c r="S129" i="3"/>
  <c r="S130" i="3"/>
  <c r="S131" i="3"/>
  <c r="S132" i="3"/>
  <c r="S133" i="3"/>
  <c r="S134" i="3"/>
  <c r="S135" i="3"/>
  <c r="S136" i="3"/>
  <c r="S137" i="3"/>
  <c r="S138" i="3"/>
  <c r="S139" i="3"/>
  <c r="S140" i="3"/>
  <c r="S141" i="3"/>
  <c r="S142" i="3"/>
  <c r="S143" i="3"/>
  <c r="S144" i="3"/>
  <c r="S145" i="3"/>
  <c r="S146" i="3"/>
  <c r="S147" i="3"/>
  <c r="S148" i="3"/>
  <c r="S149" i="3"/>
  <c r="S150" i="3"/>
  <c r="S151" i="3"/>
  <c r="S152" i="3"/>
  <c r="S153" i="3"/>
  <c r="S154" i="3"/>
  <c r="S155" i="3"/>
  <c r="S156" i="3"/>
  <c r="S157" i="3"/>
  <c r="S158" i="3"/>
  <c r="S159" i="3"/>
  <c r="S160" i="3"/>
  <c r="S161" i="3"/>
  <c r="S162" i="3"/>
  <c r="S163" i="3"/>
  <c r="S164" i="3"/>
  <c r="S165" i="3"/>
  <c r="S166" i="3"/>
  <c r="S167" i="3"/>
  <c r="S168" i="3"/>
  <c r="S169" i="3"/>
  <c r="S170" i="3"/>
  <c r="S171" i="3"/>
  <c r="S172" i="3"/>
  <c r="S173" i="3"/>
  <c r="S174" i="3"/>
  <c r="S175" i="3"/>
  <c r="S176" i="3"/>
  <c r="S177" i="3"/>
  <c r="S178" i="3"/>
  <c r="S179" i="3"/>
  <c r="S180" i="3"/>
  <c r="S181" i="3"/>
  <c r="S182" i="3"/>
  <c r="S183" i="3"/>
  <c r="S184" i="3"/>
  <c r="S185" i="3"/>
  <c r="S186" i="3"/>
  <c r="S187" i="3"/>
  <c r="S188" i="3"/>
  <c r="S189" i="3"/>
  <c r="S190" i="3"/>
  <c r="S191" i="3"/>
  <c r="S192" i="3"/>
  <c r="S193" i="3"/>
  <c r="S194" i="3"/>
  <c r="S195" i="3"/>
  <c r="S196" i="3"/>
  <c r="S197" i="3"/>
  <c r="S198" i="3"/>
  <c r="S199" i="3"/>
  <c r="S200" i="3"/>
  <c r="S201" i="3"/>
  <c r="S202" i="3"/>
  <c r="S203" i="3"/>
  <c r="S204" i="3"/>
  <c r="S205" i="3"/>
  <c r="S206" i="3"/>
  <c r="S207" i="3"/>
  <c r="S208" i="3"/>
  <c r="S209" i="3"/>
  <c r="S210" i="3"/>
  <c r="S211" i="3"/>
  <c r="S212" i="3"/>
  <c r="S213" i="3"/>
  <c r="S214" i="3"/>
  <c r="S215" i="3"/>
  <c r="S216" i="3"/>
  <c r="S217" i="3"/>
  <c r="S218" i="3"/>
  <c r="S219" i="3"/>
  <c r="S220" i="3"/>
  <c r="S221" i="3"/>
  <c r="S222" i="3"/>
  <c r="S223" i="3"/>
  <c r="S224" i="3"/>
  <c r="S225" i="3"/>
  <c r="S226" i="3"/>
  <c r="S227" i="3"/>
  <c r="S228" i="3"/>
  <c r="S229" i="3"/>
  <c r="S230" i="3"/>
  <c r="S231" i="3"/>
  <c r="S232" i="3"/>
  <c r="S233" i="3"/>
  <c r="S234" i="3"/>
  <c r="S235" i="3"/>
  <c r="S236" i="3"/>
  <c r="S237" i="3"/>
  <c r="S238" i="3"/>
  <c r="S239" i="3"/>
  <c r="S240" i="3"/>
  <c r="S241" i="3"/>
  <c r="S242" i="3"/>
  <c r="S243" i="3"/>
  <c r="S244" i="3"/>
  <c r="S245" i="3"/>
  <c r="S246" i="3"/>
  <c r="S247" i="3"/>
  <c r="S248" i="3"/>
  <c r="S249" i="3"/>
  <c r="S250" i="3"/>
  <c r="S251" i="3"/>
  <c r="S252" i="3"/>
  <c r="S253" i="3"/>
  <c r="S254" i="3"/>
  <c r="S255" i="3"/>
  <c r="S256" i="3"/>
  <c r="S257" i="3"/>
  <c r="S258" i="3"/>
  <c r="S259" i="3"/>
  <c r="S260" i="3"/>
  <c r="S261" i="3"/>
  <c r="S262" i="3"/>
  <c r="S263" i="3"/>
  <c r="S264" i="3"/>
  <c r="S265" i="3"/>
  <c r="S266" i="3"/>
  <c r="S267" i="3"/>
  <c r="S268" i="3"/>
  <c r="S269" i="3"/>
  <c r="S270" i="3"/>
  <c r="S271" i="3"/>
  <c r="S272" i="3"/>
  <c r="S273" i="3"/>
  <c r="S274" i="3"/>
  <c r="S275" i="3"/>
  <c r="S276" i="3"/>
  <c r="S277" i="3"/>
  <c r="S278" i="3"/>
  <c r="S279" i="3"/>
  <c r="S280" i="3"/>
  <c r="S281" i="3"/>
  <c r="S282" i="3"/>
  <c r="S283" i="3"/>
  <c r="S284" i="3"/>
  <c r="S285" i="3"/>
  <c r="S286" i="3"/>
  <c r="S287" i="3"/>
  <c r="S288" i="3"/>
  <c r="S289" i="3"/>
  <c r="S290" i="3"/>
  <c r="S291" i="3"/>
  <c r="S292" i="3"/>
  <c r="S293" i="3"/>
  <c r="S294" i="3"/>
  <c r="S295" i="3"/>
  <c r="S296" i="3"/>
  <c r="R4" i="3"/>
  <c r="R5" i="3"/>
  <c r="R6" i="3"/>
  <c r="R7" i="3"/>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122" i="3"/>
  <c r="R123" i="3"/>
  <c r="R124" i="3"/>
  <c r="R125" i="3"/>
  <c r="R126" i="3"/>
  <c r="R127" i="3"/>
  <c r="R128" i="3"/>
  <c r="R129" i="3"/>
  <c r="R130" i="3"/>
  <c r="R131" i="3"/>
  <c r="R132" i="3"/>
  <c r="R133" i="3"/>
  <c r="R134" i="3"/>
  <c r="R135" i="3"/>
  <c r="R136" i="3"/>
  <c r="R137" i="3"/>
  <c r="R138" i="3"/>
  <c r="R139" i="3"/>
  <c r="R140" i="3"/>
  <c r="R141" i="3"/>
  <c r="R142" i="3"/>
  <c r="R143" i="3"/>
  <c r="R144" i="3"/>
  <c r="R145" i="3"/>
  <c r="R146" i="3"/>
  <c r="R147" i="3"/>
  <c r="R148" i="3"/>
  <c r="R149" i="3"/>
  <c r="R150" i="3"/>
  <c r="R151" i="3"/>
  <c r="R152" i="3"/>
  <c r="R153" i="3"/>
  <c r="R154" i="3"/>
  <c r="R155" i="3"/>
  <c r="R156" i="3"/>
  <c r="R157" i="3"/>
  <c r="R158" i="3"/>
  <c r="R159" i="3"/>
  <c r="R160" i="3"/>
  <c r="R161" i="3"/>
  <c r="R162" i="3"/>
  <c r="R163" i="3"/>
  <c r="R164" i="3"/>
  <c r="R165" i="3"/>
  <c r="R166" i="3"/>
  <c r="R167" i="3"/>
  <c r="R168" i="3"/>
  <c r="R169" i="3"/>
  <c r="R170" i="3"/>
  <c r="R171" i="3"/>
  <c r="R172" i="3"/>
  <c r="R173" i="3"/>
  <c r="R174" i="3"/>
  <c r="R175" i="3"/>
  <c r="R176" i="3"/>
  <c r="R177" i="3"/>
  <c r="R178" i="3"/>
  <c r="R179" i="3"/>
  <c r="R180" i="3"/>
  <c r="R181" i="3"/>
  <c r="R182" i="3"/>
  <c r="R183" i="3"/>
  <c r="R184" i="3"/>
  <c r="R185" i="3"/>
  <c r="R186" i="3"/>
  <c r="R187" i="3"/>
  <c r="R188" i="3"/>
  <c r="R189" i="3"/>
  <c r="R190" i="3"/>
  <c r="R191" i="3"/>
  <c r="R192" i="3"/>
  <c r="R193" i="3"/>
  <c r="R194" i="3"/>
  <c r="R195" i="3"/>
  <c r="R196" i="3"/>
  <c r="R197" i="3"/>
  <c r="R198" i="3"/>
  <c r="R199" i="3"/>
  <c r="R200" i="3"/>
  <c r="R201" i="3"/>
  <c r="R202" i="3"/>
  <c r="R203" i="3"/>
  <c r="R204" i="3"/>
  <c r="R205" i="3"/>
  <c r="R206" i="3"/>
  <c r="R207" i="3"/>
  <c r="R208" i="3"/>
  <c r="R209" i="3"/>
  <c r="R210" i="3"/>
  <c r="R211" i="3"/>
  <c r="R212" i="3"/>
  <c r="R213" i="3"/>
  <c r="R214" i="3"/>
  <c r="R215" i="3"/>
  <c r="R216" i="3"/>
  <c r="R217" i="3"/>
  <c r="R218" i="3"/>
  <c r="R219" i="3"/>
  <c r="R220" i="3"/>
  <c r="R221" i="3"/>
  <c r="R222" i="3"/>
  <c r="R223" i="3"/>
  <c r="R224" i="3"/>
  <c r="R225" i="3"/>
  <c r="R226" i="3"/>
  <c r="R227" i="3"/>
  <c r="R228" i="3"/>
  <c r="R229" i="3"/>
  <c r="R230" i="3"/>
  <c r="R231" i="3"/>
  <c r="R232" i="3"/>
  <c r="R233" i="3"/>
  <c r="R234" i="3"/>
  <c r="R235" i="3"/>
  <c r="R236" i="3"/>
  <c r="R237" i="3"/>
  <c r="R238" i="3"/>
  <c r="R239" i="3"/>
  <c r="R240" i="3"/>
  <c r="R241" i="3"/>
  <c r="R242" i="3"/>
  <c r="R243" i="3"/>
  <c r="R244" i="3"/>
  <c r="R245" i="3"/>
  <c r="R246" i="3"/>
  <c r="R247" i="3"/>
  <c r="R248" i="3"/>
  <c r="R249" i="3"/>
  <c r="R250" i="3"/>
  <c r="R251" i="3"/>
  <c r="R252" i="3"/>
  <c r="R253" i="3"/>
  <c r="R254" i="3"/>
  <c r="R255" i="3"/>
  <c r="R256" i="3"/>
  <c r="R257" i="3"/>
  <c r="R258" i="3"/>
  <c r="R259" i="3"/>
  <c r="R260" i="3"/>
  <c r="R261" i="3"/>
  <c r="R262" i="3"/>
  <c r="R263" i="3"/>
  <c r="R264" i="3"/>
  <c r="R265" i="3"/>
  <c r="R266" i="3"/>
  <c r="R267" i="3"/>
  <c r="R268" i="3"/>
  <c r="R269" i="3"/>
  <c r="R270" i="3"/>
  <c r="R271" i="3"/>
  <c r="R272" i="3"/>
  <c r="R273" i="3"/>
  <c r="R274" i="3"/>
  <c r="R275" i="3"/>
  <c r="R276" i="3"/>
  <c r="R277" i="3"/>
  <c r="R278" i="3"/>
  <c r="R279" i="3"/>
  <c r="R280" i="3"/>
  <c r="R281" i="3"/>
  <c r="R282" i="3"/>
  <c r="R283" i="3"/>
  <c r="R284" i="3"/>
  <c r="R285" i="3"/>
  <c r="R286" i="3"/>
  <c r="R287" i="3"/>
  <c r="R288" i="3"/>
  <c r="R289" i="3"/>
  <c r="R290" i="3"/>
  <c r="R291" i="3"/>
  <c r="R292" i="3"/>
  <c r="R293" i="3"/>
  <c r="R294" i="3"/>
  <c r="R295" i="3"/>
  <c r="R296" i="3"/>
  <c r="Q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122" i="3"/>
  <c r="Q123" i="3"/>
  <c r="Q124" i="3"/>
  <c r="Q125" i="3"/>
  <c r="Q126" i="3"/>
  <c r="Q127" i="3"/>
  <c r="Q128" i="3"/>
  <c r="Q129" i="3"/>
  <c r="Q130" i="3"/>
  <c r="Q131" i="3"/>
  <c r="Q132" i="3"/>
  <c r="Q133" i="3"/>
  <c r="Q134" i="3"/>
  <c r="Q135" i="3"/>
  <c r="Q136" i="3"/>
  <c r="Q137" i="3"/>
  <c r="Q138" i="3"/>
  <c r="Q139" i="3"/>
  <c r="Q140" i="3"/>
  <c r="Q141" i="3"/>
  <c r="Q142" i="3"/>
  <c r="Q143" i="3"/>
  <c r="Q144" i="3"/>
  <c r="Q145" i="3"/>
  <c r="Q146" i="3"/>
  <c r="Q147" i="3"/>
  <c r="Q148" i="3"/>
  <c r="Q149" i="3"/>
  <c r="Q150" i="3"/>
  <c r="Q151" i="3"/>
  <c r="Q152" i="3"/>
  <c r="Q153" i="3"/>
  <c r="Q154" i="3"/>
  <c r="Q155" i="3"/>
  <c r="Q156" i="3"/>
  <c r="Q157" i="3"/>
  <c r="Q158" i="3"/>
  <c r="Q159" i="3"/>
  <c r="Q160" i="3"/>
  <c r="Q161" i="3"/>
  <c r="Q162" i="3"/>
  <c r="Q163" i="3"/>
  <c r="Q164" i="3"/>
  <c r="Q165" i="3"/>
  <c r="Q166" i="3"/>
  <c r="Q167" i="3"/>
  <c r="Q168" i="3"/>
  <c r="Q169" i="3"/>
  <c r="Q170" i="3"/>
  <c r="Q171" i="3"/>
  <c r="Q172" i="3"/>
  <c r="Q173" i="3"/>
  <c r="Q174" i="3"/>
  <c r="Q175" i="3"/>
  <c r="Q176" i="3"/>
  <c r="Q177" i="3"/>
  <c r="Q178" i="3"/>
  <c r="Q179" i="3"/>
  <c r="Q180" i="3"/>
  <c r="Q181" i="3"/>
  <c r="Q182" i="3"/>
  <c r="Q183" i="3"/>
  <c r="Q184" i="3"/>
  <c r="Q185" i="3"/>
  <c r="Q186" i="3"/>
  <c r="Q187" i="3"/>
  <c r="Q188" i="3"/>
  <c r="Q189" i="3"/>
  <c r="Q190" i="3"/>
  <c r="Q191" i="3"/>
  <c r="Q192" i="3"/>
  <c r="Q193" i="3"/>
  <c r="Q194" i="3"/>
  <c r="Q195" i="3"/>
  <c r="Q196" i="3"/>
  <c r="Q197" i="3"/>
  <c r="Q198" i="3"/>
  <c r="Q199" i="3"/>
  <c r="Q200" i="3"/>
  <c r="Q201" i="3"/>
  <c r="Q202" i="3"/>
  <c r="Q203" i="3"/>
  <c r="Q204" i="3"/>
  <c r="Q205" i="3"/>
  <c r="Q206" i="3"/>
  <c r="Q207" i="3"/>
  <c r="Q208" i="3"/>
  <c r="Q209" i="3"/>
  <c r="Q210" i="3"/>
  <c r="Q211" i="3"/>
  <c r="Q212" i="3"/>
  <c r="Q213" i="3"/>
  <c r="Q214" i="3"/>
  <c r="Q215" i="3"/>
  <c r="Q216" i="3"/>
  <c r="Q217" i="3"/>
  <c r="Q218" i="3"/>
  <c r="Q219" i="3"/>
  <c r="Q220" i="3"/>
  <c r="Q221" i="3"/>
  <c r="Q222" i="3"/>
  <c r="Q223" i="3"/>
  <c r="Q224" i="3"/>
  <c r="Q225" i="3"/>
  <c r="Q226" i="3"/>
  <c r="Q227" i="3"/>
  <c r="Q228" i="3"/>
  <c r="Q229" i="3"/>
  <c r="Q230" i="3"/>
  <c r="Q231" i="3"/>
  <c r="Q232" i="3"/>
  <c r="Q233" i="3"/>
  <c r="Q234" i="3"/>
  <c r="Q235" i="3"/>
  <c r="Q236" i="3"/>
  <c r="Q237" i="3"/>
  <c r="Q238" i="3"/>
  <c r="Q239" i="3"/>
  <c r="Q240" i="3"/>
  <c r="Q241" i="3"/>
  <c r="Q242" i="3"/>
  <c r="Q243" i="3"/>
  <c r="Q244" i="3"/>
  <c r="Q245" i="3"/>
  <c r="Q246" i="3"/>
  <c r="Q247" i="3"/>
  <c r="Q248" i="3"/>
  <c r="Q249" i="3"/>
  <c r="Q250" i="3"/>
  <c r="Q251" i="3"/>
  <c r="Q252" i="3"/>
  <c r="Q253" i="3"/>
  <c r="Q254" i="3"/>
  <c r="Q255" i="3"/>
  <c r="Q256" i="3"/>
  <c r="Q257" i="3"/>
  <c r="Q258" i="3"/>
  <c r="Q259" i="3"/>
  <c r="Q260" i="3"/>
  <c r="Q261" i="3"/>
  <c r="Q262" i="3"/>
  <c r="Q263" i="3"/>
  <c r="Q264" i="3"/>
  <c r="Q265" i="3"/>
  <c r="Q266" i="3"/>
  <c r="Q267" i="3"/>
  <c r="Q268" i="3"/>
  <c r="Q269" i="3"/>
  <c r="Q270" i="3"/>
  <c r="Q271" i="3"/>
  <c r="Q272" i="3"/>
  <c r="Q273" i="3"/>
  <c r="Q274" i="3"/>
  <c r="Q275" i="3"/>
  <c r="Q276" i="3"/>
  <c r="Q277" i="3"/>
  <c r="Q278" i="3"/>
  <c r="Q279" i="3"/>
  <c r="Q280" i="3"/>
  <c r="Q281" i="3"/>
  <c r="Q282" i="3"/>
  <c r="Q283" i="3"/>
  <c r="Q284" i="3"/>
  <c r="Q285" i="3"/>
  <c r="Q286" i="3"/>
  <c r="Q287" i="3"/>
  <c r="Q288" i="3"/>
  <c r="Q289" i="3"/>
  <c r="Q290" i="3"/>
  <c r="Q291" i="3"/>
  <c r="Q292" i="3"/>
  <c r="Q293" i="3"/>
  <c r="Q294" i="3"/>
  <c r="Q295" i="3"/>
  <c r="Q296" i="3"/>
  <c r="A51" i="5" l="1"/>
  <c r="A52" i="5"/>
  <c r="A50" i="5"/>
  <c r="E178" i="8"/>
  <c r="D178" i="8"/>
  <c r="B178" i="8"/>
  <c r="A178" i="8"/>
  <c r="E177" i="8"/>
  <c r="D177" i="8"/>
  <c r="B177" i="8"/>
  <c r="A177" i="8"/>
  <c r="E176" i="8"/>
  <c r="D176" i="8"/>
  <c r="B176" i="8"/>
  <c r="A176" i="8"/>
  <c r="M52" i="5" l="1"/>
  <c r="D52" i="5"/>
  <c r="L52" i="5"/>
  <c r="C52" i="5"/>
  <c r="F52" i="5"/>
  <c r="K52" i="5"/>
  <c r="B52" i="5"/>
  <c r="J52" i="5"/>
  <c r="I52" i="5"/>
  <c r="H52" i="5"/>
  <c r="G52" i="5"/>
  <c r="E173" i="8"/>
  <c r="D173" i="8"/>
  <c r="B173" i="8"/>
  <c r="A173" i="8"/>
  <c r="E172" i="8"/>
  <c r="D172" i="8"/>
  <c r="B172" i="8"/>
  <c r="A172" i="8"/>
  <c r="E171" i="8"/>
  <c r="D171" i="8"/>
  <c r="B171" i="8"/>
  <c r="A171" i="8"/>
  <c r="E168" i="8" l="1"/>
  <c r="D168" i="8"/>
  <c r="B168" i="8"/>
  <c r="A168" i="8"/>
  <c r="E167" i="8"/>
  <c r="D167" i="8"/>
  <c r="B167" i="8"/>
  <c r="A167" i="8"/>
  <c r="E166" i="8"/>
  <c r="D166" i="8"/>
  <c r="B166" i="8"/>
  <c r="A166" i="8"/>
  <c r="E163" i="8" l="1"/>
  <c r="D163" i="8"/>
  <c r="B163" i="8"/>
  <c r="A163" i="8"/>
  <c r="E162" i="8"/>
  <c r="D162" i="8"/>
  <c r="B162" i="8"/>
  <c r="A162" i="8"/>
  <c r="E161" i="8"/>
  <c r="D161" i="8"/>
  <c r="B161" i="8"/>
  <c r="A161" i="8"/>
  <c r="E158" i="8" l="1"/>
  <c r="D158" i="8"/>
  <c r="B158" i="8"/>
  <c r="A158" i="8"/>
  <c r="E157" i="8"/>
  <c r="D157" i="8"/>
  <c r="B157" i="8"/>
  <c r="A157" i="8"/>
  <c r="E156" i="8"/>
  <c r="D156" i="8"/>
  <c r="B156" i="8"/>
  <c r="A156" i="8"/>
  <c r="E153" i="8" l="1"/>
  <c r="D153" i="8"/>
  <c r="B153" i="8"/>
  <c r="A153" i="8"/>
  <c r="E152" i="8"/>
  <c r="D152" i="8"/>
  <c r="B152" i="8"/>
  <c r="A152" i="8"/>
  <c r="E151" i="8"/>
  <c r="D151" i="8"/>
  <c r="B151" i="8"/>
  <c r="A151" i="8"/>
  <c r="G290" i="3"/>
  <c r="G291" i="3"/>
  <c r="G292" i="3"/>
  <c r="G293" i="3"/>
  <c r="G294" i="3"/>
  <c r="G295" i="3"/>
  <c r="G296" i="3"/>
  <c r="H290" i="3"/>
  <c r="H291" i="3"/>
  <c r="H292" i="3"/>
  <c r="H293" i="3"/>
  <c r="H294" i="3"/>
  <c r="H295" i="3"/>
  <c r="H296" i="3"/>
  <c r="I290" i="3"/>
  <c r="I291" i="3"/>
  <c r="I292" i="3"/>
  <c r="I293" i="3"/>
  <c r="I294" i="3"/>
  <c r="I295" i="3"/>
  <c r="I296" i="3"/>
  <c r="J290" i="3"/>
  <c r="J291" i="3"/>
  <c r="J292" i="3"/>
  <c r="J293" i="3"/>
  <c r="J294" i="3"/>
  <c r="J295" i="3"/>
  <c r="J296" i="3"/>
  <c r="K290" i="3"/>
  <c r="K291" i="3"/>
  <c r="K292" i="3"/>
  <c r="K293" i="3"/>
  <c r="K294" i="3"/>
  <c r="K295" i="3"/>
  <c r="K296" i="3"/>
  <c r="L290" i="3"/>
  <c r="L291" i="3"/>
  <c r="L292" i="3"/>
  <c r="L293" i="3"/>
  <c r="L294" i="3"/>
  <c r="L295" i="3"/>
  <c r="L296" i="3"/>
  <c r="N47" i="14" l="1"/>
  <c r="A78" i="14" s="1"/>
  <c r="G6" i="14"/>
  <c r="G5" i="14"/>
  <c r="N4" i="14"/>
  <c r="A24" i="14" s="1"/>
  <c r="H24" i="14" l="1"/>
  <c r="G24" i="14"/>
  <c r="F24" i="14"/>
  <c r="M24" i="14"/>
  <c r="E24" i="14"/>
  <c r="L24" i="14"/>
  <c r="D24" i="14"/>
  <c r="J24" i="14"/>
  <c r="B24" i="14"/>
  <c r="I24" i="14"/>
  <c r="K24" i="14"/>
  <c r="C24" i="14"/>
  <c r="A36" i="14"/>
  <c r="D78" i="14"/>
  <c r="C78" i="14"/>
  <c r="B78" i="14"/>
  <c r="F78" i="14"/>
  <c r="A37" i="14"/>
  <c r="A27" i="14"/>
  <c r="A17" i="14"/>
  <c r="A41" i="14"/>
  <c r="A31" i="14"/>
  <c r="A21" i="14"/>
  <c r="A35" i="14"/>
  <c r="A25" i="14"/>
  <c r="A45" i="14"/>
  <c r="A39" i="14"/>
  <c r="A29" i="14"/>
  <c r="A19" i="14"/>
  <c r="A42" i="14"/>
  <c r="A32" i="14"/>
  <c r="A22" i="14"/>
  <c r="A40" i="14"/>
  <c r="A30" i="14"/>
  <c r="A20" i="14"/>
  <c r="A10" i="14"/>
  <c r="A44" i="14"/>
  <c r="A12" i="14"/>
  <c r="A9" i="14"/>
  <c r="A16" i="14"/>
  <c r="A14" i="14"/>
  <c r="A34" i="14"/>
  <c r="A15" i="14"/>
  <c r="A11" i="14"/>
  <c r="A26" i="14"/>
  <c r="G78" i="14"/>
  <c r="A49" i="14"/>
  <c r="A51" i="14"/>
  <c r="A53" i="14"/>
  <c r="A55" i="14"/>
  <c r="A57" i="14"/>
  <c r="A59" i="14"/>
  <c r="A61" i="14"/>
  <c r="A63" i="14"/>
  <c r="A65" i="14"/>
  <c r="A67" i="14"/>
  <c r="A69" i="14"/>
  <c r="A71" i="14"/>
  <c r="A73" i="14"/>
  <c r="A75" i="14"/>
  <c r="A77" i="14"/>
  <c r="A50" i="14"/>
  <c r="A52" i="14"/>
  <c r="A54" i="14"/>
  <c r="A56" i="14"/>
  <c r="A58" i="14"/>
  <c r="A60" i="14"/>
  <c r="A62" i="14"/>
  <c r="A64" i="14"/>
  <c r="A66" i="14"/>
  <c r="A68" i="14"/>
  <c r="A70" i="14"/>
  <c r="A72" i="14"/>
  <c r="A74" i="14"/>
  <c r="A76" i="14"/>
  <c r="G208" i="3"/>
  <c r="H208" i="3"/>
  <c r="I208" i="3"/>
  <c r="J208" i="3"/>
  <c r="K208" i="3"/>
  <c r="L208" i="3"/>
  <c r="N39" i="13"/>
  <c r="G6" i="13"/>
  <c r="G5" i="13"/>
  <c r="N4" i="13"/>
  <c r="A34" i="13" s="1"/>
  <c r="D58" i="14" l="1"/>
  <c r="C58" i="14"/>
  <c r="B58" i="14"/>
  <c r="F58" i="14"/>
  <c r="G58" i="14"/>
  <c r="G30" i="14"/>
  <c r="F30" i="14"/>
  <c r="M30" i="14"/>
  <c r="L30" i="14"/>
  <c r="D30" i="14"/>
  <c r="K30" i="14"/>
  <c r="C30" i="14"/>
  <c r="I30" i="14"/>
  <c r="B30" i="14"/>
  <c r="J30" i="14"/>
  <c r="H30" i="14"/>
  <c r="D72" i="14"/>
  <c r="C72" i="14"/>
  <c r="B72" i="14"/>
  <c r="F72" i="14"/>
  <c r="G72" i="14"/>
  <c r="D56" i="14"/>
  <c r="C56" i="14"/>
  <c r="B56" i="14"/>
  <c r="F56" i="14"/>
  <c r="G56" i="14"/>
  <c r="G69" i="14"/>
  <c r="F69" i="14"/>
  <c r="D69" i="14"/>
  <c r="C69" i="14"/>
  <c r="B69" i="14"/>
  <c r="G53" i="14"/>
  <c r="F53" i="14"/>
  <c r="D53" i="14"/>
  <c r="C53" i="14"/>
  <c r="B53" i="14"/>
  <c r="G14" i="14"/>
  <c r="F14" i="14"/>
  <c r="B14" i="14"/>
  <c r="M14" i="14"/>
  <c r="E14" i="14"/>
  <c r="E15" i="14" s="1"/>
  <c r="E16" i="14" s="1"/>
  <c r="E17" i="14" s="1"/>
  <c r="L14" i="14"/>
  <c r="D14" i="14"/>
  <c r="J14" i="14"/>
  <c r="K14" i="14"/>
  <c r="C14" i="14"/>
  <c r="H14" i="14"/>
  <c r="I14" i="14"/>
  <c r="G40" i="14"/>
  <c r="F40" i="14"/>
  <c r="M40" i="14"/>
  <c r="L40" i="14"/>
  <c r="D40" i="14"/>
  <c r="K40" i="14"/>
  <c r="C40" i="14"/>
  <c r="I40" i="14"/>
  <c r="J40" i="14"/>
  <c r="H40" i="14"/>
  <c r="B40" i="14"/>
  <c r="K25" i="14"/>
  <c r="C25" i="14"/>
  <c r="J25" i="14"/>
  <c r="B25" i="14"/>
  <c r="I25" i="14"/>
  <c r="H25" i="14"/>
  <c r="G25" i="14"/>
  <c r="M25" i="14"/>
  <c r="E25" i="14"/>
  <c r="L25" i="14"/>
  <c r="F25" i="14"/>
  <c r="D25" i="14"/>
  <c r="G55" i="14"/>
  <c r="F55" i="14"/>
  <c r="D55" i="14"/>
  <c r="C55" i="14"/>
  <c r="B55" i="14"/>
  <c r="D70" i="14"/>
  <c r="C70" i="14"/>
  <c r="B70" i="14"/>
  <c r="F70" i="14"/>
  <c r="G70" i="14"/>
  <c r="D54" i="14"/>
  <c r="C54" i="14"/>
  <c r="B54" i="14"/>
  <c r="F54" i="14"/>
  <c r="G54" i="14"/>
  <c r="G67" i="14"/>
  <c r="F67" i="14"/>
  <c r="D67" i="14"/>
  <c r="C67" i="14"/>
  <c r="B67" i="14"/>
  <c r="G51" i="14"/>
  <c r="F51" i="14"/>
  <c r="D51" i="14"/>
  <c r="C51" i="14"/>
  <c r="B51" i="14"/>
  <c r="F16" i="14"/>
  <c r="M16" i="14"/>
  <c r="L16" i="14"/>
  <c r="D16" i="14"/>
  <c r="K16" i="14"/>
  <c r="C16" i="14"/>
  <c r="J16" i="14"/>
  <c r="B16" i="14"/>
  <c r="H16" i="14"/>
  <c r="I16" i="14"/>
  <c r="G16" i="14"/>
  <c r="M22" i="14"/>
  <c r="L22" i="14"/>
  <c r="D22" i="14"/>
  <c r="K22" i="14"/>
  <c r="C22" i="14"/>
  <c r="J22" i="14"/>
  <c r="B22" i="14"/>
  <c r="I22" i="14"/>
  <c r="G22" i="14"/>
  <c r="H22" i="14"/>
  <c r="F22" i="14"/>
  <c r="K35" i="14"/>
  <c r="C35" i="14"/>
  <c r="J35" i="14"/>
  <c r="B35" i="14"/>
  <c r="I35" i="14"/>
  <c r="H35" i="14"/>
  <c r="G35" i="14"/>
  <c r="M35" i="14"/>
  <c r="F35" i="14"/>
  <c r="D35" i="14"/>
  <c r="L35" i="14"/>
  <c r="D68" i="14"/>
  <c r="C68" i="14"/>
  <c r="B68" i="14"/>
  <c r="F68" i="14"/>
  <c r="G68" i="14"/>
  <c r="D52" i="14"/>
  <c r="C52" i="14"/>
  <c r="B52" i="14"/>
  <c r="F52" i="14"/>
  <c r="G52" i="14"/>
  <c r="G65" i="14"/>
  <c r="F65" i="14"/>
  <c r="D65" i="14"/>
  <c r="C65" i="14"/>
  <c r="B65" i="14"/>
  <c r="G49" i="14"/>
  <c r="F49" i="14"/>
  <c r="D49" i="14"/>
  <c r="C49" i="14"/>
  <c r="B49" i="14"/>
  <c r="K9" i="14"/>
  <c r="C9" i="14"/>
  <c r="B9" i="14"/>
  <c r="G9" i="14"/>
  <c r="J9" i="14"/>
  <c r="F9" i="14"/>
  <c r="E9" i="14"/>
  <c r="E10" i="14" s="1"/>
  <c r="E11" i="14" s="1"/>
  <c r="E12" i="14" s="1"/>
  <c r="I9" i="14"/>
  <c r="H9" i="14"/>
  <c r="L9" i="14"/>
  <c r="D9" i="14"/>
  <c r="M9" i="14"/>
  <c r="M32" i="14"/>
  <c r="L32" i="14"/>
  <c r="D32" i="14"/>
  <c r="K32" i="14"/>
  <c r="C32" i="14"/>
  <c r="J32" i="14"/>
  <c r="B32" i="14"/>
  <c r="I32" i="14"/>
  <c r="G32" i="14"/>
  <c r="F32" i="14"/>
  <c r="H32" i="14"/>
  <c r="J21" i="14"/>
  <c r="B21" i="14"/>
  <c r="I21" i="14"/>
  <c r="H21" i="14"/>
  <c r="G21" i="14"/>
  <c r="F21" i="14"/>
  <c r="L21" i="14"/>
  <c r="D21" i="14"/>
  <c r="M21" i="14"/>
  <c r="K21" i="14"/>
  <c r="C21" i="14"/>
  <c r="F36" i="14"/>
  <c r="M36" i="14"/>
  <c r="L36" i="14"/>
  <c r="D36" i="14"/>
  <c r="K36" i="14"/>
  <c r="C36" i="14"/>
  <c r="J36" i="14"/>
  <c r="B36" i="14"/>
  <c r="H36" i="14"/>
  <c r="G36" i="14"/>
  <c r="I36" i="14"/>
  <c r="G71" i="14"/>
  <c r="F71" i="14"/>
  <c r="D71" i="14"/>
  <c r="C71" i="14"/>
  <c r="B71" i="14"/>
  <c r="D66" i="14"/>
  <c r="C66" i="14"/>
  <c r="B66" i="14"/>
  <c r="F66" i="14"/>
  <c r="G66" i="14"/>
  <c r="L12" i="14"/>
  <c r="D12" i="14"/>
  <c r="K12" i="14"/>
  <c r="C12" i="14"/>
  <c r="G12" i="14"/>
  <c r="F12" i="14"/>
  <c r="J12" i="14"/>
  <c r="B12" i="14"/>
  <c r="I12" i="14"/>
  <c r="H12" i="14"/>
  <c r="M12" i="14"/>
  <c r="M42" i="14"/>
  <c r="L42" i="14"/>
  <c r="D42" i="14"/>
  <c r="K42" i="14"/>
  <c r="C42" i="14"/>
  <c r="J42" i="14"/>
  <c r="B42" i="14"/>
  <c r="I42" i="14"/>
  <c r="G42" i="14"/>
  <c r="H42" i="14"/>
  <c r="F42" i="14"/>
  <c r="J31" i="14"/>
  <c r="B31" i="14"/>
  <c r="I31" i="14"/>
  <c r="H31" i="14"/>
  <c r="G31" i="14"/>
  <c r="F31" i="14"/>
  <c r="L31" i="14"/>
  <c r="D31" i="14"/>
  <c r="M31" i="14"/>
  <c r="K31" i="14"/>
  <c r="C31" i="14"/>
  <c r="I37" i="14"/>
  <c r="H37" i="14"/>
  <c r="G37" i="14"/>
  <c r="F37" i="14"/>
  <c r="M37" i="14"/>
  <c r="K37" i="14"/>
  <c r="C37" i="14"/>
  <c r="L37" i="14"/>
  <c r="J37" i="14"/>
  <c r="D37" i="14"/>
  <c r="B37" i="14"/>
  <c r="D64" i="14"/>
  <c r="C64" i="14"/>
  <c r="B64" i="14"/>
  <c r="F64" i="14"/>
  <c r="G64" i="14"/>
  <c r="G77" i="14"/>
  <c r="F77" i="14"/>
  <c r="D77" i="14"/>
  <c r="C77" i="14"/>
  <c r="B77" i="14"/>
  <c r="G61" i="14"/>
  <c r="F61" i="14"/>
  <c r="D61" i="14"/>
  <c r="C61" i="14"/>
  <c r="B61" i="14"/>
  <c r="F26" i="14"/>
  <c r="M26" i="14"/>
  <c r="E26" i="14"/>
  <c r="E27" i="14" s="1"/>
  <c r="L26" i="14"/>
  <c r="D26" i="14"/>
  <c r="K26" i="14"/>
  <c r="C26" i="14"/>
  <c r="J26" i="14"/>
  <c r="B26" i="14"/>
  <c r="H26" i="14"/>
  <c r="G26" i="14"/>
  <c r="I26" i="14"/>
  <c r="I44" i="14"/>
  <c r="H44" i="14"/>
  <c r="G44" i="14"/>
  <c r="F44" i="14"/>
  <c r="M44" i="14"/>
  <c r="D44" i="14"/>
  <c r="K44" i="14"/>
  <c r="B44" i="14"/>
  <c r="L44" i="14"/>
  <c r="J44" i="14"/>
  <c r="C44" i="14"/>
  <c r="L19" i="14"/>
  <c r="D19" i="14"/>
  <c r="K19" i="14"/>
  <c r="C19" i="14"/>
  <c r="J19" i="14"/>
  <c r="B19" i="14"/>
  <c r="I19" i="14"/>
  <c r="H19" i="14"/>
  <c r="F19" i="14"/>
  <c r="M19" i="14"/>
  <c r="G19" i="14"/>
  <c r="E19" i="14"/>
  <c r="E20" i="14" s="1"/>
  <c r="E21" i="14" s="1"/>
  <c r="E22" i="14" s="1"/>
  <c r="J41" i="14"/>
  <c r="B41" i="14"/>
  <c r="I41" i="14"/>
  <c r="H41" i="14"/>
  <c r="G41" i="14"/>
  <c r="F41" i="14"/>
  <c r="L41" i="14"/>
  <c r="D41" i="14"/>
  <c r="C41" i="14"/>
  <c r="K41" i="14"/>
  <c r="M41" i="14"/>
  <c r="D74" i="14"/>
  <c r="C74" i="14"/>
  <c r="B74" i="14"/>
  <c r="F74" i="14"/>
  <c r="G74" i="14"/>
  <c r="M45" i="14"/>
  <c r="D45" i="14"/>
  <c r="L45" i="14"/>
  <c r="C45" i="14"/>
  <c r="K45" i="14"/>
  <c r="B45" i="14"/>
  <c r="J45" i="14"/>
  <c r="I45" i="14"/>
  <c r="G45" i="14"/>
  <c r="H45" i="14"/>
  <c r="F45" i="14"/>
  <c r="G63" i="14"/>
  <c r="F63" i="14"/>
  <c r="D63" i="14"/>
  <c r="C63" i="14"/>
  <c r="B63" i="14"/>
  <c r="D62" i="14"/>
  <c r="C62" i="14"/>
  <c r="B62" i="14"/>
  <c r="F62" i="14"/>
  <c r="G62" i="14"/>
  <c r="G75" i="14"/>
  <c r="F75" i="14"/>
  <c r="D75" i="14"/>
  <c r="C75" i="14"/>
  <c r="B75" i="14"/>
  <c r="G59" i="14"/>
  <c r="F59" i="14"/>
  <c r="D59" i="14"/>
  <c r="C59" i="14"/>
  <c r="B59" i="14"/>
  <c r="I11" i="14"/>
  <c r="H11" i="14"/>
  <c r="G11" i="14"/>
  <c r="F11" i="14"/>
  <c r="L11" i="14"/>
  <c r="M11" i="14"/>
  <c r="J11" i="14"/>
  <c r="B11" i="14"/>
  <c r="D11" i="14"/>
  <c r="K11" i="14"/>
  <c r="C11" i="14"/>
  <c r="F10" i="14"/>
  <c r="M10" i="14"/>
  <c r="I10" i="14"/>
  <c r="H10" i="14"/>
  <c r="L10" i="14"/>
  <c r="D10" i="14"/>
  <c r="K10" i="14"/>
  <c r="C10" i="14"/>
  <c r="J10" i="14"/>
  <c r="B10" i="14"/>
  <c r="G10" i="14"/>
  <c r="L29" i="14"/>
  <c r="D29" i="14"/>
  <c r="K29" i="14"/>
  <c r="C29" i="14"/>
  <c r="J29" i="14"/>
  <c r="B29" i="14"/>
  <c r="I29" i="14"/>
  <c r="H29" i="14"/>
  <c r="F29" i="14"/>
  <c r="G29" i="14"/>
  <c r="E29" i="14"/>
  <c r="E30" i="14" s="1"/>
  <c r="E31" i="14" s="1"/>
  <c r="E32" i="14" s="1"/>
  <c r="M29" i="14"/>
  <c r="I17" i="14"/>
  <c r="H17" i="14"/>
  <c r="G17" i="14"/>
  <c r="F17" i="14"/>
  <c r="M17" i="14"/>
  <c r="K17" i="14"/>
  <c r="C17" i="14"/>
  <c r="J17" i="14"/>
  <c r="L17" i="14"/>
  <c r="B17" i="14"/>
  <c r="D17" i="14"/>
  <c r="H34" i="14"/>
  <c r="G34" i="14"/>
  <c r="F34" i="14"/>
  <c r="M34" i="14"/>
  <c r="E34" i="14"/>
  <c r="E35" i="14" s="1"/>
  <c r="E36" i="14" s="1"/>
  <c r="E37" i="14" s="1"/>
  <c r="L34" i="14"/>
  <c r="D34" i="14"/>
  <c r="J34" i="14"/>
  <c r="B34" i="14"/>
  <c r="K34" i="14"/>
  <c r="I34" i="14"/>
  <c r="C34" i="14"/>
  <c r="D50" i="14"/>
  <c r="C50" i="14"/>
  <c r="B50" i="14"/>
  <c r="F50" i="14"/>
  <c r="G50" i="14"/>
  <c r="D76" i="14"/>
  <c r="C76" i="14"/>
  <c r="B76" i="14"/>
  <c r="F76" i="14"/>
  <c r="G76" i="14"/>
  <c r="D60" i="14"/>
  <c r="C60" i="14"/>
  <c r="B60" i="14"/>
  <c r="F60" i="14"/>
  <c r="G60" i="14"/>
  <c r="G73" i="14"/>
  <c r="F73" i="14"/>
  <c r="D73" i="14"/>
  <c r="C73" i="14"/>
  <c r="B73" i="14"/>
  <c r="G57" i="14"/>
  <c r="F57" i="14"/>
  <c r="D57" i="14"/>
  <c r="C57" i="14"/>
  <c r="B57" i="14"/>
  <c r="K15" i="14"/>
  <c r="J15" i="14"/>
  <c r="H15" i="14"/>
  <c r="G15" i="14"/>
  <c r="M15" i="14"/>
  <c r="B15" i="14"/>
  <c r="F15" i="14"/>
  <c r="D15" i="14"/>
  <c r="L15" i="14"/>
  <c r="I15" i="14"/>
  <c r="C15" i="14"/>
  <c r="G20" i="14"/>
  <c r="F20" i="14"/>
  <c r="M20" i="14"/>
  <c r="L20" i="14"/>
  <c r="D20" i="14"/>
  <c r="K20" i="14"/>
  <c r="C20" i="14"/>
  <c r="I20" i="14"/>
  <c r="B20" i="14"/>
  <c r="J20" i="14"/>
  <c r="H20" i="14"/>
  <c r="L39" i="14"/>
  <c r="D39" i="14"/>
  <c r="K39" i="14"/>
  <c r="C39" i="14"/>
  <c r="J39" i="14"/>
  <c r="B39" i="14"/>
  <c r="I39" i="14"/>
  <c r="H39" i="14"/>
  <c r="F39" i="14"/>
  <c r="M39" i="14"/>
  <c r="G39" i="14"/>
  <c r="E39" i="14"/>
  <c r="E40" i="14" s="1"/>
  <c r="E41" i="14" s="1"/>
  <c r="E42" i="14" s="1"/>
  <c r="I27" i="14"/>
  <c r="H27" i="14"/>
  <c r="G27" i="14"/>
  <c r="F27" i="14"/>
  <c r="M27" i="14"/>
  <c r="K27" i="14"/>
  <c r="C27" i="14"/>
  <c r="L27" i="14"/>
  <c r="J27" i="14"/>
  <c r="B27" i="14"/>
  <c r="D27" i="14"/>
  <c r="A45" i="13"/>
  <c r="D45" i="13" s="1"/>
  <c r="A61" i="13"/>
  <c r="G61" i="13" s="1"/>
  <c r="A47" i="13"/>
  <c r="G47" i="13" s="1"/>
  <c r="A63" i="13"/>
  <c r="D63" i="13" s="1"/>
  <c r="A49" i="13"/>
  <c r="D49" i="13" s="1"/>
  <c r="A65" i="13"/>
  <c r="G65" i="13" s="1"/>
  <c r="A55" i="13"/>
  <c r="G55" i="13" s="1"/>
  <c r="A41" i="13"/>
  <c r="G41" i="13" s="1"/>
  <c r="A57" i="13"/>
  <c r="B57" i="13" s="1"/>
  <c r="A51" i="13"/>
  <c r="C51" i="13" s="1"/>
  <c r="A53" i="13"/>
  <c r="G53" i="13" s="1"/>
  <c r="A43" i="13"/>
  <c r="G43" i="13" s="1"/>
  <c r="A59" i="13"/>
  <c r="G59" i="13" s="1"/>
  <c r="G34" i="13"/>
  <c r="F34" i="13"/>
  <c r="E34" i="13"/>
  <c r="D34" i="13"/>
  <c r="C34" i="13"/>
  <c r="B34" i="13"/>
  <c r="A12" i="13"/>
  <c r="A20" i="13"/>
  <c r="A36" i="13"/>
  <c r="A9" i="13"/>
  <c r="A26" i="13"/>
  <c r="A15" i="13"/>
  <c r="A16" i="13"/>
  <c r="A11" i="13"/>
  <c r="A14" i="13"/>
  <c r="A37" i="13"/>
  <c r="A27" i="13"/>
  <c r="A17" i="13"/>
  <c r="A31" i="13"/>
  <c r="A21" i="13"/>
  <c r="A35" i="13"/>
  <c r="A25" i="13"/>
  <c r="A29" i="13"/>
  <c r="A19" i="13"/>
  <c r="A32" i="13"/>
  <c r="A22" i="13"/>
  <c r="A10" i="13"/>
  <c r="A24" i="13"/>
  <c r="A30" i="13"/>
  <c r="A42" i="13"/>
  <c r="A44" i="13"/>
  <c r="A46" i="13"/>
  <c r="A48" i="13"/>
  <c r="A50" i="13"/>
  <c r="A52" i="13"/>
  <c r="A54" i="13"/>
  <c r="A56" i="13"/>
  <c r="A58" i="13"/>
  <c r="A60" i="13"/>
  <c r="A62" i="13"/>
  <c r="A64" i="13"/>
  <c r="A66" i="13"/>
  <c r="G199" i="3"/>
  <c r="H199" i="3"/>
  <c r="I199" i="3"/>
  <c r="J199" i="3"/>
  <c r="K199" i="3"/>
  <c r="L199" i="3"/>
  <c r="C49" i="13" l="1"/>
  <c r="C63" i="13"/>
  <c r="C57" i="13"/>
  <c r="C45" i="13"/>
  <c r="G57" i="13"/>
  <c r="B53" i="13"/>
  <c r="C41" i="13"/>
  <c r="C53" i="13"/>
  <c r="B47" i="13"/>
  <c r="B51" i="13"/>
  <c r="B63" i="13"/>
  <c r="D41" i="13"/>
  <c r="F41" i="13"/>
  <c r="D51" i="13"/>
  <c r="C61" i="13"/>
  <c r="D57" i="13"/>
  <c r="F51" i="13"/>
  <c r="D61" i="13"/>
  <c r="F57" i="13"/>
  <c r="G51" i="13"/>
  <c r="F61" i="13"/>
  <c r="B61" i="13"/>
  <c r="G45" i="13"/>
  <c r="F63" i="13"/>
  <c r="G49" i="13"/>
  <c r="B41" i="13"/>
  <c r="G63" i="13"/>
  <c r="F49" i="13"/>
  <c r="F65" i="13"/>
  <c r="F47" i="13"/>
  <c r="D53" i="13"/>
  <c r="F53" i="13"/>
  <c r="B65" i="13"/>
  <c r="B49" i="13"/>
  <c r="D65" i="13"/>
  <c r="D47" i="13"/>
  <c r="B43" i="13"/>
  <c r="D43" i="13"/>
  <c r="F43" i="13"/>
  <c r="F45" i="13"/>
  <c r="B45" i="13"/>
  <c r="C65" i="13"/>
  <c r="C43" i="13"/>
  <c r="B55" i="13"/>
  <c r="C59" i="13"/>
  <c r="C55" i="13"/>
  <c r="C47" i="13"/>
  <c r="D59" i="13"/>
  <c r="D55" i="13"/>
  <c r="B59" i="13"/>
  <c r="F59" i="13"/>
  <c r="F55" i="13"/>
  <c r="D52" i="13"/>
  <c r="C52" i="13"/>
  <c r="B52" i="13"/>
  <c r="G52" i="13"/>
  <c r="F52" i="13"/>
  <c r="D66" i="13"/>
  <c r="C66" i="13"/>
  <c r="B66" i="13"/>
  <c r="G66" i="13"/>
  <c r="F66" i="13"/>
  <c r="D50" i="13"/>
  <c r="C50" i="13"/>
  <c r="B50" i="13"/>
  <c r="G50" i="13"/>
  <c r="F50" i="13"/>
  <c r="D32" i="13"/>
  <c r="C32" i="13"/>
  <c r="B32" i="13"/>
  <c r="G32" i="13"/>
  <c r="F32" i="13"/>
  <c r="B21" i="13"/>
  <c r="G21" i="13"/>
  <c r="F21" i="13"/>
  <c r="D21" i="13"/>
  <c r="C21" i="13"/>
  <c r="F36" i="13"/>
  <c r="D36" i="13"/>
  <c r="C36" i="13"/>
  <c r="B36" i="13"/>
  <c r="G36" i="13"/>
  <c r="D48" i="13"/>
  <c r="C48" i="13"/>
  <c r="B48" i="13"/>
  <c r="G48" i="13"/>
  <c r="F48" i="13"/>
  <c r="G24" i="13"/>
  <c r="F24" i="13"/>
  <c r="E24" i="13"/>
  <c r="D24" i="13"/>
  <c r="B24" i="13"/>
  <c r="C24" i="13"/>
  <c r="B31" i="13"/>
  <c r="G31" i="13"/>
  <c r="F31" i="13"/>
  <c r="C31" i="13"/>
  <c r="D31" i="13"/>
  <c r="D11" i="13"/>
  <c r="C11" i="13"/>
  <c r="B11" i="13"/>
  <c r="G11" i="13"/>
  <c r="F11" i="13"/>
  <c r="G20" i="13"/>
  <c r="F20" i="13"/>
  <c r="D20" i="13"/>
  <c r="C20" i="13"/>
  <c r="B20" i="13"/>
  <c r="C35" i="13"/>
  <c r="B35" i="13"/>
  <c r="G35" i="13"/>
  <c r="E35" i="13"/>
  <c r="E36" i="13" s="1"/>
  <c r="E37" i="13" s="1"/>
  <c r="F35" i="13"/>
  <c r="D35" i="13"/>
  <c r="C14" i="13"/>
  <c r="B14" i="13"/>
  <c r="G14" i="13"/>
  <c r="F14" i="13"/>
  <c r="E14" i="13"/>
  <c r="E15" i="13" s="1"/>
  <c r="E16" i="13" s="1"/>
  <c r="E17" i="13" s="1"/>
  <c r="D14" i="13"/>
  <c r="D64" i="13"/>
  <c r="C64" i="13"/>
  <c r="B64" i="13"/>
  <c r="G64" i="13"/>
  <c r="F64" i="13"/>
  <c r="D62" i="13"/>
  <c r="C62" i="13"/>
  <c r="B62" i="13"/>
  <c r="G62" i="13"/>
  <c r="F62" i="13"/>
  <c r="D46" i="13"/>
  <c r="C46" i="13"/>
  <c r="B46" i="13"/>
  <c r="G46" i="13"/>
  <c r="F46" i="13"/>
  <c r="D19" i="13"/>
  <c r="C19" i="13"/>
  <c r="B19" i="13"/>
  <c r="G19" i="13"/>
  <c r="E19" i="13"/>
  <c r="E20" i="13" s="1"/>
  <c r="E21" i="13" s="1"/>
  <c r="E22" i="13" s="1"/>
  <c r="F19" i="13"/>
  <c r="F26" i="13"/>
  <c r="D26" i="13"/>
  <c r="C26" i="13"/>
  <c r="B26" i="13"/>
  <c r="G26" i="13"/>
  <c r="G12" i="13"/>
  <c r="F12" i="13"/>
  <c r="D12" i="13"/>
  <c r="C12" i="13"/>
  <c r="B12" i="13"/>
  <c r="D22" i="13"/>
  <c r="C22" i="13"/>
  <c r="B22" i="13"/>
  <c r="F22" i="13"/>
  <c r="G22" i="13"/>
  <c r="G17" i="13"/>
  <c r="F17" i="13"/>
  <c r="C17" i="13"/>
  <c r="B17" i="13"/>
  <c r="D17" i="13"/>
  <c r="G9" i="13"/>
  <c r="F9" i="13"/>
  <c r="E9" i="13"/>
  <c r="E10" i="13" s="1"/>
  <c r="E11" i="13" s="1"/>
  <c r="E12" i="13" s="1"/>
  <c r="C9" i="13"/>
  <c r="B9" i="13"/>
  <c r="D9" i="13"/>
  <c r="D60" i="13"/>
  <c r="C60" i="13"/>
  <c r="B60" i="13"/>
  <c r="G60" i="13"/>
  <c r="F60" i="13"/>
  <c r="D44" i="13"/>
  <c r="C44" i="13"/>
  <c r="B44" i="13"/>
  <c r="G44" i="13"/>
  <c r="F44" i="13"/>
  <c r="D29" i="13"/>
  <c r="C29" i="13"/>
  <c r="B29" i="13"/>
  <c r="F29" i="13"/>
  <c r="G29" i="13"/>
  <c r="E29" i="13"/>
  <c r="E30" i="13" s="1"/>
  <c r="E31" i="13" s="1"/>
  <c r="E32" i="13" s="1"/>
  <c r="G27" i="13"/>
  <c r="F27" i="13"/>
  <c r="D27" i="13"/>
  <c r="C27" i="13"/>
  <c r="B27" i="13"/>
  <c r="D58" i="13"/>
  <c r="C58" i="13"/>
  <c r="B58" i="13"/>
  <c r="G58" i="13"/>
  <c r="F58" i="13"/>
  <c r="D42" i="13"/>
  <c r="C42" i="13"/>
  <c r="B42" i="13"/>
  <c r="G42" i="13"/>
  <c r="F42" i="13"/>
  <c r="D56" i="13"/>
  <c r="C56" i="13"/>
  <c r="B56" i="13"/>
  <c r="G56" i="13"/>
  <c r="F56" i="13"/>
  <c r="G37" i="13"/>
  <c r="F37" i="13"/>
  <c r="D37" i="13"/>
  <c r="B37" i="13"/>
  <c r="C37" i="13"/>
  <c r="F16" i="13"/>
  <c r="D16" i="13"/>
  <c r="C16" i="13"/>
  <c r="B16" i="13"/>
  <c r="G16" i="13"/>
  <c r="D54" i="13"/>
  <c r="C54" i="13"/>
  <c r="B54" i="13"/>
  <c r="G54" i="13"/>
  <c r="F54" i="13"/>
  <c r="G30" i="13"/>
  <c r="F30" i="13"/>
  <c r="D30" i="13"/>
  <c r="C30" i="13"/>
  <c r="B30" i="13"/>
  <c r="B10" i="13"/>
  <c r="G10" i="13"/>
  <c r="F10" i="13"/>
  <c r="D10" i="13"/>
  <c r="C10" i="13"/>
  <c r="C25" i="13"/>
  <c r="B25" i="13"/>
  <c r="G25" i="13"/>
  <c r="D25" i="13"/>
  <c r="F25" i="13"/>
  <c r="E25" i="13"/>
  <c r="E26" i="13" s="1"/>
  <c r="E27" i="13" s="1"/>
  <c r="G15" i="13"/>
  <c r="F15" i="13"/>
  <c r="D15" i="13"/>
  <c r="B15" i="13"/>
  <c r="C15" i="13"/>
  <c r="A113" i="8"/>
  <c r="B113" i="8"/>
  <c r="D113" i="8"/>
  <c r="E113" i="8"/>
  <c r="A52" i="8" l="1"/>
  <c r="A53" i="8"/>
  <c r="A54" i="8"/>
  <c r="B52" i="8"/>
  <c r="B53" i="8"/>
  <c r="B54" i="8"/>
  <c r="D52" i="8"/>
  <c r="D53" i="8"/>
  <c r="D54" i="8"/>
  <c r="E52" i="8"/>
  <c r="E53" i="8"/>
  <c r="E54" i="8"/>
  <c r="G28" i="3" l="1"/>
  <c r="H28" i="3"/>
  <c r="I28" i="3"/>
  <c r="J28" i="3"/>
  <c r="K28" i="3"/>
  <c r="L28" i="3"/>
  <c r="G243" i="3" l="1"/>
  <c r="H243" i="3"/>
  <c r="I243" i="3"/>
  <c r="J243" i="3"/>
  <c r="K243" i="3"/>
  <c r="L243" i="3"/>
  <c r="G126" i="3"/>
  <c r="H126" i="3"/>
  <c r="I126" i="3"/>
  <c r="J126" i="3"/>
  <c r="K126" i="3"/>
  <c r="L126" i="3"/>
  <c r="G45" i="3"/>
  <c r="G46" i="3"/>
  <c r="H45" i="3"/>
  <c r="H46" i="3"/>
  <c r="I45" i="3"/>
  <c r="I46" i="3"/>
  <c r="J45" i="3"/>
  <c r="J46" i="3"/>
  <c r="K45" i="3"/>
  <c r="K46" i="3"/>
  <c r="L45" i="3"/>
  <c r="L46" i="3"/>
  <c r="G44" i="3"/>
  <c r="H44" i="3"/>
  <c r="I44" i="3"/>
  <c r="J44" i="3"/>
  <c r="K44" i="3"/>
  <c r="L44" i="3"/>
  <c r="G41" i="3"/>
  <c r="H41" i="3"/>
  <c r="I41" i="3"/>
  <c r="J41" i="3"/>
  <c r="K41" i="3"/>
  <c r="L41" i="3"/>
  <c r="G133" i="3"/>
  <c r="H133" i="3"/>
  <c r="I133" i="3"/>
  <c r="J133" i="3"/>
  <c r="K133" i="3"/>
  <c r="L133" i="3"/>
  <c r="G42" i="3"/>
  <c r="H42" i="3"/>
  <c r="I42" i="3"/>
  <c r="J42" i="3"/>
  <c r="K42" i="3"/>
  <c r="L42" i="3"/>
  <c r="G261" i="3"/>
  <c r="H261" i="3"/>
  <c r="I261" i="3"/>
  <c r="J261" i="3"/>
  <c r="K261" i="3"/>
  <c r="L261" i="3"/>
  <c r="G165" i="3"/>
  <c r="H165" i="3"/>
  <c r="I165" i="3"/>
  <c r="J165" i="3"/>
  <c r="K165" i="3"/>
  <c r="L165" i="3"/>
  <c r="G250" i="3"/>
  <c r="H250" i="3"/>
  <c r="I250" i="3"/>
  <c r="J250" i="3"/>
  <c r="K250" i="3"/>
  <c r="L250" i="3"/>
  <c r="G168" i="3"/>
  <c r="H168" i="3"/>
  <c r="I168" i="3"/>
  <c r="J168" i="3"/>
  <c r="K168" i="3"/>
  <c r="L168" i="3"/>
  <c r="G191" i="3"/>
  <c r="H191" i="3"/>
  <c r="I191" i="3"/>
  <c r="J191" i="3"/>
  <c r="K191" i="3"/>
  <c r="L191" i="3"/>
  <c r="H67" i="14" l="1"/>
  <c r="M67" i="14"/>
  <c r="K61" i="14"/>
  <c r="M69" i="14"/>
  <c r="I69" i="14"/>
  <c r="J61" i="14"/>
  <c r="M68" i="14"/>
  <c r="I68" i="14"/>
  <c r="K67" i="14"/>
  <c r="I61" i="14"/>
  <c r="L69" i="14"/>
  <c r="H69" i="14"/>
  <c r="L67" i="14"/>
  <c r="J67" i="14"/>
  <c r="H61" i="14"/>
  <c r="L68" i="14"/>
  <c r="H68" i="14"/>
  <c r="I67" i="14"/>
  <c r="K69" i="14"/>
  <c r="K68" i="14"/>
  <c r="M61" i="14"/>
  <c r="J69" i="14"/>
  <c r="L61" i="14"/>
  <c r="J68" i="14"/>
  <c r="A1155" i="8"/>
  <c r="A1156" i="8"/>
  <c r="B1155" i="8"/>
  <c r="B1156" i="8"/>
  <c r="D1155" i="8"/>
  <c r="D1156" i="8"/>
  <c r="E1155" i="8"/>
  <c r="E1156" i="8"/>
  <c r="A1103" i="8" l="1"/>
  <c r="A1104" i="8"/>
  <c r="B1103" i="8"/>
  <c r="B1104" i="8"/>
  <c r="D1103" i="8"/>
  <c r="D1104" i="8"/>
  <c r="E1103" i="8"/>
  <c r="E1104" i="8"/>
  <c r="A1063" i="8" l="1"/>
  <c r="A1064" i="8"/>
  <c r="B1063" i="8"/>
  <c r="B1064" i="8"/>
  <c r="D1063" i="8"/>
  <c r="D1064" i="8"/>
  <c r="E1063" i="8"/>
  <c r="E1064" i="8"/>
  <c r="A1023" i="8" l="1"/>
  <c r="A1024" i="8"/>
  <c r="B1023" i="8"/>
  <c r="B1024" i="8"/>
  <c r="D1023" i="8"/>
  <c r="D1024" i="8"/>
  <c r="E1023" i="8"/>
  <c r="E1024" i="8"/>
  <c r="A952" i="8" l="1"/>
  <c r="A953" i="8"/>
  <c r="B952" i="8"/>
  <c r="B953" i="8"/>
  <c r="D952" i="8"/>
  <c r="D953" i="8"/>
  <c r="E952" i="8"/>
  <c r="E953" i="8"/>
  <c r="A910" i="8" l="1"/>
  <c r="A911" i="8"/>
  <c r="B910" i="8"/>
  <c r="B911" i="8"/>
  <c r="D910" i="8"/>
  <c r="D911" i="8"/>
  <c r="E910" i="8"/>
  <c r="E911" i="8"/>
  <c r="A874" i="8" l="1"/>
  <c r="A875" i="8"/>
  <c r="A876" i="8"/>
  <c r="A877" i="8"/>
  <c r="B874" i="8"/>
  <c r="B875" i="8"/>
  <c r="B876" i="8"/>
  <c r="B877" i="8"/>
  <c r="D874" i="8"/>
  <c r="D875" i="8"/>
  <c r="D876" i="8"/>
  <c r="D877" i="8"/>
  <c r="E874" i="8"/>
  <c r="E875" i="8"/>
  <c r="E876" i="8"/>
  <c r="E877" i="8"/>
  <c r="A832" i="8" l="1"/>
  <c r="A833" i="8"/>
  <c r="B832" i="8"/>
  <c r="B833" i="8"/>
  <c r="D832" i="8"/>
  <c r="D833" i="8"/>
  <c r="E832" i="8"/>
  <c r="E833" i="8"/>
  <c r="A800" i="8" l="1"/>
  <c r="A801" i="8"/>
  <c r="B800" i="8"/>
  <c r="B801" i="8"/>
  <c r="D800" i="8"/>
  <c r="D801" i="8"/>
  <c r="E800" i="8"/>
  <c r="E801" i="8"/>
  <c r="A768" i="8" l="1"/>
  <c r="A769" i="8"/>
  <c r="B768" i="8"/>
  <c r="B769" i="8"/>
  <c r="D768" i="8"/>
  <c r="D769" i="8"/>
  <c r="E768" i="8"/>
  <c r="E769" i="8"/>
  <c r="A736" i="8" l="1"/>
  <c r="A737" i="8"/>
  <c r="B736" i="8"/>
  <c r="B737" i="8"/>
  <c r="D736" i="8"/>
  <c r="D737" i="8"/>
  <c r="E736" i="8"/>
  <c r="E737" i="8"/>
  <c r="A674" i="8" l="1"/>
  <c r="A675" i="8"/>
  <c r="B674" i="8"/>
  <c r="B675" i="8"/>
  <c r="D674" i="8"/>
  <c r="D675" i="8"/>
  <c r="E674" i="8"/>
  <c r="E675" i="8"/>
  <c r="A642" i="8" l="1"/>
  <c r="A643" i="8"/>
  <c r="B642" i="8"/>
  <c r="B643" i="8"/>
  <c r="D642" i="8"/>
  <c r="D643" i="8"/>
  <c r="E642" i="8"/>
  <c r="E643" i="8"/>
  <c r="A608" i="8" l="1"/>
  <c r="A609" i="8"/>
  <c r="B608" i="8"/>
  <c r="B609" i="8"/>
  <c r="D608" i="8"/>
  <c r="D609" i="8"/>
  <c r="E608" i="8"/>
  <c r="E609" i="8"/>
  <c r="A566" i="8" l="1"/>
  <c r="A567" i="8"/>
  <c r="B566" i="8"/>
  <c r="B567" i="8"/>
  <c r="D566" i="8"/>
  <c r="D567" i="8"/>
  <c r="E566" i="8"/>
  <c r="E567" i="8"/>
  <c r="A300" i="8" l="1"/>
  <c r="B300" i="8"/>
  <c r="D300" i="8"/>
  <c r="E300" i="8"/>
  <c r="L6" i="11" l="1"/>
  <c r="J124" i="10"/>
  <c r="J123" i="10"/>
  <c r="J122" i="10"/>
  <c r="J121" i="10"/>
  <c r="A992" i="8"/>
  <c r="B992" i="8"/>
  <c r="D992" i="8"/>
  <c r="E992" i="8"/>
  <c r="L173" i="3"/>
  <c r="K173" i="3"/>
  <c r="J173" i="3"/>
  <c r="I173" i="3"/>
  <c r="H173" i="3"/>
  <c r="G173" i="3"/>
  <c r="G174" i="3"/>
  <c r="H174" i="3"/>
  <c r="I174" i="3"/>
  <c r="J174" i="3"/>
  <c r="K174" i="3"/>
  <c r="L174" i="3"/>
  <c r="G8" i="12"/>
  <c r="G7" i="12"/>
  <c r="L6" i="12"/>
  <c r="A18" i="12" s="1"/>
  <c r="G6" i="12"/>
  <c r="L5" i="12"/>
  <c r="A11" i="12" s="1"/>
  <c r="G5" i="12"/>
  <c r="DP86" i="10"/>
  <c r="DP85" i="10"/>
  <c r="DP84" i="10"/>
  <c r="DP83" i="10"/>
  <c r="DP82" i="10"/>
  <c r="DP81" i="10"/>
  <c r="DP80" i="10"/>
  <c r="DP79" i="10"/>
  <c r="DP78" i="10"/>
  <c r="DP77" i="10"/>
  <c r="DP76" i="10"/>
  <c r="DP75" i="10"/>
  <c r="DP74" i="10"/>
  <c r="DP73" i="10"/>
  <c r="DP72" i="10"/>
  <c r="DP71" i="10"/>
  <c r="DP70" i="10"/>
  <c r="DP69" i="10"/>
  <c r="DD86" i="10"/>
  <c r="DD85" i="10"/>
  <c r="DD84" i="10"/>
  <c r="DD83" i="10"/>
  <c r="DD82" i="10"/>
  <c r="DD81" i="10"/>
  <c r="DD80" i="10"/>
  <c r="DD79" i="10"/>
  <c r="DD78" i="10"/>
  <c r="DD77" i="10"/>
  <c r="DD76" i="10"/>
  <c r="DD75" i="10"/>
  <c r="DD74" i="10"/>
  <c r="DD73" i="10"/>
  <c r="DD72" i="10"/>
  <c r="DD71" i="10"/>
  <c r="DD70" i="10"/>
  <c r="DD69" i="10"/>
  <c r="CV86" i="10"/>
  <c r="CV85" i="10"/>
  <c r="CV84" i="10"/>
  <c r="CV83" i="10"/>
  <c r="CV82" i="10"/>
  <c r="CV81" i="10"/>
  <c r="CV80" i="10"/>
  <c r="CV79" i="10"/>
  <c r="CV78" i="10"/>
  <c r="CV77" i="10"/>
  <c r="CV76" i="10"/>
  <c r="CV75" i="10"/>
  <c r="CV74" i="10"/>
  <c r="CV73" i="10"/>
  <c r="CV72" i="10"/>
  <c r="CV71" i="10"/>
  <c r="CV70" i="10"/>
  <c r="CV69" i="10"/>
  <c r="CN86" i="10"/>
  <c r="CN85" i="10"/>
  <c r="CN84" i="10"/>
  <c r="CN83" i="10"/>
  <c r="CN82" i="10"/>
  <c r="CN81" i="10"/>
  <c r="CN80" i="10"/>
  <c r="CN79" i="10"/>
  <c r="CN78" i="10"/>
  <c r="CN77" i="10"/>
  <c r="CN76" i="10"/>
  <c r="CN75" i="10"/>
  <c r="CN74" i="10"/>
  <c r="CN73" i="10"/>
  <c r="CN72" i="10"/>
  <c r="CN71" i="10"/>
  <c r="CN70" i="10"/>
  <c r="CN69" i="10"/>
  <c r="CF86" i="10"/>
  <c r="CF85" i="10"/>
  <c r="CF84" i="10"/>
  <c r="CF83" i="10"/>
  <c r="CF82" i="10"/>
  <c r="CF81" i="10"/>
  <c r="CF80" i="10"/>
  <c r="CF79" i="10"/>
  <c r="CF78" i="10"/>
  <c r="CF77" i="10"/>
  <c r="CF76" i="10"/>
  <c r="CF75" i="10"/>
  <c r="CF74" i="10"/>
  <c r="CF73" i="10"/>
  <c r="CF72" i="10"/>
  <c r="CF71" i="10"/>
  <c r="CF70" i="10"/>
  <c r="CF69" i="10"/>
  <c r="CB86" i="10"/>
  <c r="CB85" i="10"/>
  <c r="CB84" i="10"/>
  <c r="CB83" i="10"/>
  <c r="CB82" i="10"/>
  <c r="CB81" i="10"/>
  <c r="CB80" i="10"/>
  <c r="CB79" i="10"/>
  <c r="CB78" i="10"/>
  <c r="CB77" i="10"/>
  <c r="CB76" i="10"/>
  <c r="CB75" i="10"/>
  <c r="CB74" i="10"/>
  <c r="CB73" i="10"/>
  <c r="CB72" i="10"/>
  <c r="CB71" i="10"/>
  <c r="CB70" i="10"/>
  <c r="CB69" i="10"/>
  <c r="BT86" i="10"/>
  <c r="BT85" i="10"/>
  <c r="BT84" i="10"/>
  <c r="BT83" i="10"/>
  <c r="BT82" i="10"/>
  <c r="BT81" i="10"/>
  <c r="BT80" i="10"/>
  <c r="BT79" i="10"/>
  <c r="BT78" i="10"/>
  <c r="BT77" i="10"/>
  <c r="BT76" i="10"/>
  <c r="BT75" i="10"/>
  <c r="BT74" i="10"/>
  <c r="BT73" i="10"/>
  <c r="BT72" i="10"/>
  <c r="BT71" i="10"/>
  <c r="BT70" i="10"/>
  <c r="BT69" i="10"/>
  <c r="BP86" i="10"/>
  <c r="BP85" i="10"/>
  <c r="BP84" i="10"/>
  <c r="BP83" i="10"/>
  <c r="BP82" i="10"/>
  <c r="BP81" i="10"/>
  <c r="BP80" i="10"/>
  <c r="BP79" i="10"/>
  <c r="BP78" i="10"/>
  <c r="BP77" i="10"/>
  <c r="BP76" i="10"/>
  <c r="BP75" i="10"/>
  <c r="BP74" i="10"/>
  <c r="BP73" i="10"/>
  <c r="BP72" i="10"/>
  <c r="BP71" i="10"/>
  <c r="BP70" i="10"/>
  <c r="BP69" i="10"/>
  <c r="BH86" i="10"/>
  <c r="BH85" i="10"/>
  <c r="BH84" i="10"/>
  <c r="BH83" i="10"/>
  <c r="BH82" i="10"/>
  <c r="BH81" i="10"/>
  <c r="BH80" i="10"/>
  <c r="BH79" i="10"/>
  <c r="BH78" i="10"/>
  <c r="BH77" i="10"/>
  <c r="BH76" i="10"/>
  <c r="BH75" i="10"/>
  <c r="BH74" i="10"/>
  <c r="BH73" i="10"/>
  <c r="BH72" i="10"/>
  <c r="BH71" i="10"/>
  <c r="BH70" i="10"/>
  <c r="BH69" i="10"/>
  <c r="BD86" i="10"/>
  <c r="BD85" i="10"/>
  <c r="BD84" i="10"/>
  <c r="BD83" i="10"/>
  <c r="BD82" i="10"/>
  <c r="BD81" i="10"/>
  <c r="BD80" i="10"/>
  <c r="BD79" i="10"/>
  <c r="BD78" i="10"/>
  <c r="BD77" i="10"/>
  <c r="BD76" i="10"/>
  <c r="BD75" i="10"/>
  <c r="BD74" i="10"/>
  <c r="BD73" i="10"/>
  <c r="BD72" i="10"/>
  <c r="BD71" i="10"/>
  <c r="BD70" i="10"/>
  <c r="BD69" i="10"/>
  <c r="AZ86" i="10"/>
  <c r="AZ85" i="10"/>
  <c r="AZ84" i="10"/>
  <c r="AZ83" i="10"/>
  <c r="AZ82" i="10"/>
  <c r="AZ81" i="10"/>
  <c r="AZ80" i="10"/>
  <c r="AZ79" i="10"/>
  <c r="AZ78" i="10"/>
  <c r="AZ77" i="10"/>
  <c r="AZ76" i="10"/>
  <c r="AZ75" i="10"/>
  <c r="AZ74" i="10"/>
  <c r="AZ73" i="10"/>
  <c r="AZ72" i="10"/>
  <c r="AZ71" i="10"/>
  <c r="AZ70" i="10"/>
  <c r="AZ69" i="10"/>
  <c r="AV86" i="10"/>
  <c r="AV85" i="10"/>
  <c r="AV84" i="10"/>
  <c r="AV83" i="10"/>
  <c r="AV82" i="10"/>
  <c r="AV81" i="10"/>
  <c r="AV80" i="10"/>
  <c r="AV79" i="10"/>
  <c r="AV78" i="10"/>
  <c r="AV77" i="10"/>
  <c r="AV76" i="10"/>
  <c r="AV75" i="10"/>
  <c r="AV74" i="10"/>
  <c r="AV73" i="10"/>
  <c r="AV72" i="10"/>
  <c r="AV71" i="10"/>
  <c r="AV70" i="10"/>
  <c r="AV69" i="10"/>
  <c r="AR86" i="10"/>
  <c r="AR85" i="10"/>
  <c r="AR84" i="10"/>
  <c r="AR83" i="10"/>
  <c r="AR82" i="10"/>
  <c r="AR81" i="10"/>
  <c r="AR80" i="10"/>
  <c r="AR79" i="10"/>
  <c r="AR78" i="10"/>
  <c r="AR77" i="10"/>
  <c r="AR76" i="10"/>
  <c r="AR75" i="10"/>
  <c r="AR74" i="10"/>
  <c r="AR73" i="10"/>
  <c r="AR72" i="10"/>
  <c r="AR71" i="10"/>
  <c r="AR70" i="10"/>
  <c r="AR69" i="10"/>
  <c r="AN86" i="10"/>
  <c r="AN85" i="10"/>
  <c r="AN84" i="10"/>
  <c r="AN83" i="10"/>
  <c r="AN82" i="10"/>
  <c r="AN81" i="10"/>
  <c r="AN80" i="10"/>
  <c r="AN79" i="10"/>
  <c r="AN78" i="10"/>
  <c r="AN77" i="10"/>
  <c r="AN76" i="10"/>
  <c r="AN75" i="10"/>
  <c r="AN74" i="10"/>
  <c r="AN73" i="10"/>
  <c r="AN72" i="10"/>
  <c r="AN71" i="10"/>
  <c r="AN70" i="10"/>
  <c r="AN69" i="10"/>
  <c r="AJ86" i="10"/>
  <c r="AJ85" i="10"/>
  <c r="AJ84" i="10"/>
  <c r="AJ83" i="10"/>
  <c r="AJ82" i="10"/>
  <c r="AJ81" i="10"/>
  <c r="AJ80" i="10"/>
  <c r="AJ79" i="10"/>
  <c r="AJ78" i="10"/>
  <c r="AJ77" i="10"/>
  <c r="AJ76" i="10"/>
  <c r="AJ75" i="10"/>
  <c r="AJ74" i="10"/>
  <c r="AJ73" i="10"/>
  <c r="AJ72" i="10"/>
  <c r="AJ71" i="10"/>
  <c r="AJ70" i="10"/>
  <c r="AJ69" i="10"/>
  <c r="AF86" i="10"/>
  <c r="AF85" i="10"/>
  <c r="AF84" i="10"/>
  <c r="AF83" i="10"/>
  <c r="AF82" i="10"/>
  <c r="AF81" i="10"/>
  <c r="AF80" i="10"/>
  <c r="AF79" i="10"/>
  <c r="AF78" i="10"/>
  <c r="AF77" i="10"/>
  <c r="AF76" i="10"/>
  <c r="AF75" i="10"/>
  <c r="AF74" i="10"/>
  <c r="AF73" i="10"/>
  <c r="AF72" i="10"/>
  <c r="AF71" i="10"/>
  <c r="AF70" i="10"/>
  <c r="AF69" i="10"/>
  <c r="J119" i="10"/>
  <c r="J118" i="10"/>
  <c r="J117" i="10"/>
  <c r="J116" i="10"/>
  <c r="J115" i="10"/>
  <c r="J114" i="10"/>
  <c r="J113" i="10"/>
  <c r="J111" i="10"/>
  <c r="J110" i="10"/>
  <c r="J109" i="10"/>
  <c r="J108" i="10"/>
  <c r="J107" i="10"/>
  <c r="J106" i="10"/>
  <c r="J105" i="10"/>
  <c r="J104" i="10"/>
  <c r="J103" i="10"/>
  <c r="J102" i="10"/>
  <c r="J101" i="10"/>
  <c r="J100" i="10"/>
  <c r="J99" i="10"/>
  <c r="J98" i="10"/>
  <c r="J97" i="10"/>
  <c r="J96" i="10"/>
  <c r="J95" i="10"/>
  <c r="J94" i="10"/>
  <c r="J93" i="10"/>
  <c r="J92" i="10"/>
  <c r="J91" i="10"/>
  <c r="J90" i="10"/>
  <c r="J89" i="10"/>
  <c r="J88" i="10"/>
  <c r="J87" i="10"/>
  <c r="J86" i="10"/>
  <c r="J85" i="10"/>
  <c r="J84" i="10"/>
  <c r="J83" i="10"/>
  <c r="J82" i="10"/>
  <c r="J81" i="10"/>
  <c r="J80" i="10"/>
  <c r="J79" i="10"/>
  <c r="J78" i="10"/>
  <c r="J77" i="10"/>
  <c r="J76" i="10"/>
  <c r="J75" i="10"/>
  <c r="J74" i="10"/>
  <c r="J73" i="10"/>
  <c r="J72" i="10"/>
  <c r="J71" i="10"/>
  <c r="J70" i="10"/>
  <c r="J69" i="10"/>
  <c r="J68" i="10"/>
  <c r="J67" i="10"/>
  <c r="J66" i="10"/>
  <c r="J65" i="10"/>
  <c r="J64" i="10"/>
  <c r="J63" i="10"/>
  <c r="J62" i="10"/>
  <c r="J61" i="10"/>
  <c r="J60" i="10"/>
  <c r="J59" i="10"/>
  <c r="J58" i="10"/>
  <c r="J57" i="10"/>
  <c r="J56" i="10"/>
  <c r="J55" i="10"/>
  <c r="J54" i="10"/>
  <c r="J53" i="10"/>
  <c r="J52" i="10"/>
  <c r="J51" i="10"/>
  <c r="J50" i="10"/>
  <c r="J49" i="10"/>
  <c r="J48" i="10"/>
  <c r="J47" i="10"/>
  <c r="J46" i="10"/>
  <c r="J45" i="10"/>
  <c r="J44" i="10"/>
  <c r="J43" i="10"/>
  <c r="J42" i="10"/>
  <c r="J40" i="10"/>
  <c r="J39" i="10"/>
  <c r="J38" i="10"/>
  <c r="J37" i="10"/>
  <c r="J36" i="10"/>
  <c r="J35" i="10"/>
  <c r="J34" i="10"/>
  <c r="J33" i="10"/>
  <c r="J32" i="10"/>
  <c r="J31" i="10"/>
  <c r="J30" i="10"/>
  <c r="J29" i="10"/>
  <c r="J28" i="10"/>
  <c r="J27" i="10"/>
  <c r="J26" i="10"/>
  <c r="J25" i="10"/>
  <c r="J24" i="10"/>
  <c r="J23" i="10"/>
  <c r="J22" i="10"/>
  <c r="J21" i="10"/>
  <c r="J20" i="10"/>
  <c r="J19" i="10"/>
  <c r="J18" i="10"/>
  <c r="J17" i="10"/>
  <c r="J16" i="10"/>
  <c r="J15" i="10"/>
  <c r="J14" i="10"/>
  <c r="J13" i="10"/>
  <c r="J5" i="10"/>
  <c r="J6" i="10"/>
  <c r="J7" i="10"/>
  <c r="J8" i="10"/>
  <c r="J9" i="10"/>
  <c r="J10" i="10"/>
  <c r="J11" i="10"/>
  <c r="J12" i="10"/>
  <c r="J4" i="10"/>
  <c r="A55" i="10"/>
  <c r="A13" i="12" l="1"/>
  <c r="B13" i="12" s="1"/>
  <c r="A16" i="12"/>
  <c r="A12" i="12"/>
  <c r="B12" i="12" s="1"/>
  <c r="A23" i="12"/>
  <c r="A31" i="12"/>
  <c r="A52" i="12"/>
  <c r="L7" i="12"/>
  <c r="D11" i="12"/>
  <c r="C11" i="12"/>
  <c r="F11" i="12"/>
  <c r="E11" i="12"/>
  <c r="B11" i="12"/>
  <c r="G11" i="12"/>
  <c r="D18" i="12"/>
  <c r="B18" i="12"/>
  <c r="G18" i="12"/>
  <c r="F18" i="12"/>
  <c r="C18" i="12"/>
  <c r="A14" i="12"/>
  <c r="A38" i="12"/>
  <c r="A54" i="12"/>
  <c r="A28" i="12"/>
  <c r="A47" i="12"/>
  <c r="A37" i="12"/>
  <c r="A17" i="12"/>
  <c r="A42" i="12"/>
  <c r="A46" i="12"/>
  <c r="A36" i="12"/>
  <c r="A26" i="12"/>
  <c r="A41" i="12"/>
  <c r="A27" i="12"/>
  <c r="A32" i="12"/>
  <c r="A22" i="12"/>
  <c r="A21" i="12"/>
  <c r="A43" i="12"/>
  <c r="A53" i="12"/>
  <c r="C12" i="12" l="1"/>
  <c r="E12" i="12"/>
  <c r="E13" i="12" s="1"/>
  <c r="G13" i="12"/>
  <c r="K53" i="12"/>
  <c r="K54" i="12"/>
  <c r="G23" i="12"/>
  <c r="F12" i="12"/>
  <c r="E16" i="12"/>
  <c r="E17" i="12" s="1"/>
  <c r="E18" i="12" s="1"/>
  <c r="F13" i="12"/>
  <c r="D12" i="12"/>
  <c r="C16" i="12"/>
  <c r="F16" i="12"/>
  <c r="G16" i="12"/>
  <c r="D16" i="12"/>
  <c r="D52" i="12"/>
  <c r="B52" i="12"/>
  <c r="A44" i="12"/>
  <c r="A33" i="12"/>
  <c r="A29" i="12"/>
  <c r="A24" i="12"/>
  <c r="A39" i="12"/>
  <c r="C39" i="12" s="1"/>
  <c r="A34" i="12"/>
  <c r="A19" i="12"/>
  <c r="C19" i="12" s="1"/>
  <c r="G31" i="12"/>
  <c r="E31" i="12"/>
  <c r="E32" i="12" s="1"/>
  <c r="F31" i="12"/>
  <c r="B31" i="12"/>
  <c r="B23" i="12"/>
  <c r="G12" i="12"/>
  <c r="B16" i="12"/>
  <c r="D13" i="12"/>
  <c r="C13" i="12"/>
  <c r="C31" i="12"/>
  <c r="C23" i="12"/>
  <c r="D23" i="12"/>
  <c r="C52" i="12"/>
  <c r="G52" i="12"/>
  <c r="D31" i="12"/>
  <c r="F52" i="12"/>
  <c r="F23" i="12"/>
  <c r="D28" i="12"/>
  <c r="B28" i="12"/>
  <c r="G28" i="12"/>
  <c r="F28" i="12"/>
  <c r="C28" i="12"/>
  <c r="C42" i="12"/>
  <c r="G42" i="12"/>
  <c r="F42" i="12"/>
  <c r="B42" i="12"/>
  <c r="D42" i="12"/>
  <c r="F14" i="12"/>
  <c r="E14" i="12"/>
  <c r="D14" i="12"/>
  <c r="C14" i="12"/>
  <c r="B14" i="12"/>
  <c r="G14" i="12"/>
  <c r="F46" i="12"/>
  <c r="D46" i="12"/>
  <c r="B46" i="12"/>
  <c r="G46" i="12"/>
  <c r="C46" i="12"/>
  <c r="G53" i="12"/>
  <c r="D53" i="12"/>
  <c r="C53" i="12"/>
  <c r="B53" i="12"/>
  <c r="F53" i="12"/>
  <c r="G27" i="12"/>
  <c r="D27" i="12"/>
  <c r="C27" i="12"/>
  <c r="B27" i="12"/>
  <c r="F27" i="12"/>
  <c r="G17" i="12"/>
  <c r="D17" i="12"/>
  <c r="C17" i="12"/>
  <c r="B17" i="12"/>
  <c r="F17" i="12"/>
  <c r="G37" i="12"/>
  <c r="D37" i="12"/>
  <c r="C37" i="12"/>
  <c r="F37" i="12"/>
  <c r="B37" i="12"/>
  <c r="G47" i="12"/>
  <c r="D47" i="12"/>
  <c r="C47" i="12"/>
  <c r="F47" i="12"/>
  <c r="B47" i="12"/>
  <c r="F43" i="12"/>
  <c r="D43" i="12"/>
  <c r="C43" i="12"/>
  <c r="B43" i="12"/>
  <c r="G43" i="12"/>
  <c r="B21" i="12"/>
  <c r="F21" i="12"/>
  <c r="E21" i="12"/>
  <c r="E22" i="12" s="1"/>
  <c r="E23" i="12" s="1"/>
  <c r="D21" i="12"/>
  <c r="C21" i="12"/>
  <c r="G21" i="12"/>
  <c r="D54" i="12"/>
  <c r="B54" i="12"/>
  <c r="G54" i="12"/>
  <c r="F54" i="12"/>
  <c r="C54" i="12"/>
  <c r="C32" i="12"/>
  <c r="G32" i="12"/>
  <c r="F32" i="12"/>
  <c r="D32" i="12"/>
  <c r="B32" i="12"/>
  <c r="B41" i="12"/>
  <c r="F41" i="12"/>
  <c r="E41" i="12"/>
  <c r="E42" i="12" s="1"/>
  <c r="E43" i="12" s="1"/>
  <c r="D41" i="12"/>
  <c r="G41" i="12"/>
  <c r="C41" i="12"/>
  <c r="F26" i="12"/>
  <c r="D26" i="12"/>
  <c r="B26" i="12"/>
  <c r="G26" i="12"/>
  <c r="E26" i="12"/>
  <c r="E27" i="12" s="1"/>
  <c r="E28" i="12" s="1"/>
  <c r="C26" i="12"/>
  <c r="C22" i="12"/>
  <c r="G22" i="12"/>
  <c r="F22" i="12"/>
  <c r="D22" i="12"/>
  <c r="B22" i="12"/>
  <c r="F36" i="12"/>
  <c r="D36" i="12"/>
  <c r="B36" i="12"/>
  <c r="G36" i="12"/>
  <c r="C36" i="12"/>
  <c r="E36" i="12"/>
  <c r="E37" i="12" s="1"/>
  <c r="E38" i="12" s="1"/>
  <c r="D38" i="12"/>
  <c r="B38" i="12"/>
  <c r="G38" i="12"/>
  <c r="F38" i="12"/>
  <c r="C38" i="12"/>
  <c r="E39" i="12" l="1"/>
  <c r="E19" i="12"/>
  <c r="D39" i="12"/>
  <c r="G44" i="12"/>
  <c r="B19" i="12"/>
  <c r="K19" i="12"/>
  <c r="B33" i="12"/>
  <c r="G29" i="12"/>
  <c r="G33" i="12"/>
  <c r="D29" i="12"/>
  <c r="B29" i="12"/>
  <c r="C29" i="12"/>
  <c r="E29" i="12"/>
  <c r="F29" i="12"/>
  <c r="E24" i="12"/>
  <c r="B24" i="12"/>
  <c r="C24" i="12"/>
  <c r="F24" i="12"/>
  <c r="G24" i="12"/>
  <c r="D24" i="12"/>
  <c r="D44" i="12"/>
  <c r="E33" i="12"/>
  <c r="E34" i="12" s="1"/>
  <c r="C44" i="12"/>
  <c r="B44" i="12"/>
  <c r="F33" i="12"/>
  <c r="E44" i="12"/>
  <c r="F44" i="12"/>
  <c r="G39" i="12"/>
  <c r="F34" i="12"/>
  <c r="F39" i="12"/>
  <c r="G34" i="12"/>
  <c r="B39" i="12"/>
  <c r="B34" i="12"/>
  <c r="C34" i="12"/>
  <c r="D34" i="12"/>
  <c r="D19" i="12"/>
  <c r="J19" i="12"/>
  <c r="F19" i="12"/>
  <c r="H19" i="12"/>
  <c r="G19" i="12"/>
  <c r="I19" i="12"/>
  <c r="C33" i="12"/>
  <c r="D33" i="12"/>
  <c r="G7" i="11" l="1"/>
  <c r="G6" i="11"/>
  <c r="L8" i="11" s="1"/>
  <c r="L7" i="11"/>
  <c r="L5" i="11"/>
  <c r="G8" i="11"/>
  <c r="G5" i="11"/>
  <c r="A53" i="11" l="1"/>
  <c r="A54" i="11"/>
  <c r="A52" i="11"/>
  <c r="A38" i="11"/>
  <c r="A31" i="11"/>
  <c r="A43" i="11"/>
  <c r="A28" i="11"/>
  <c r="A18" i="11"/>
  <c r="A27" i="11"/>
  <c r="A22" i="11"/>
  <c r="A44" i="11"/>
  <c r="A23" i="11"/>
  <c r="A32" i="11"/>
  <c r="A21" i="11"/>
  <c r="A12" i="11"/>
  <c r="A14" i="11"/>
  <c r="A11" i="11"/>
  <c r="A41" i="11"/>
  <c r="A13" i="11"/>
  <c r="A26" i="11"/>
  <c r="A46" i="11"/>
  <c r="A17" i="11"/>
  <c r="A37" i="11"/>
  <c r="A47" i="11"/>
  <c r="A42" i="11"/>
  <c r="A16" i="11"/>
  <c r="A36" i="11"/>
  <c r="D17" i="11" l="1"/>
  <c r="D41" i="11"/>
  <c r="A56" i="11"/>
  <c r="A57" i="11"/>
  <c r="A58" i="11"/>
  <c r="A29" i="11"/>
  <c r="A80" i="11"/>
  <c r="A72" i="11"/>
  <c r="A79" i="11"/>
  <c r="A70" i="11"/>
  <c r="A77" i="11"/>
  <c r="A69" i="11"/>
  <c r="A74" i="11"/>
  <c r="A76" i="11"/>
  <c r="A68" i="11"/>
  <c r="A82" i="11"/>
  <c r="A78" i="11"/>
  <c r="A83" i="11"/>
  <c r="A75" i="11"/>
  <c r="A67" i="11"/>
  <c r="A66" i="11"/>
  <c r="A81" i="11"/>
  <c r="A73" i="11"/>
  <c r="A65" i="11"/>
  <c r="A71" i="11"/>
  <c r="A24" i="11"/>
  <c r="A34" i="11"/>
  <c r="A33" i="11"/>
  <c r="A19" i="11"/>
  <c r="A39" i="11"/>
  <c r="G52" i="11"/>
  <c r="C52" i="11"/>
  <c r="B52" i="11"/>
  <c r="D52" i="11"/>
  <c r="F52" i="11"/>
  <c r="D21" i="11"/>
  <c r="F11" i="11"/>
  <c r="G21" i="11"/>
  <c r="C21" i="11"/>
  <c r="F21" i="11"/>
  <c r="C17" i="11"/>
  <c r="G16" i="11"/>
  <c r="B16" i="11"/>
  <c r="B41" i="11"/>
  <c r="C11" i="11"/>
  <c r="D11" i="11"/>
  <c r="C16" i="11"/>
  <c r="G17" i="11"/>
  <c r="E41" i="11"/>
  <c r="E42" i="11" s="1"/>
  <c r="E43" i="11" s="1"/>
  <c r="E44" i="11" s="1"/>
  <c r="B11" i="11"/>
  <c r="F41" i="11"/>
  <c r="F17" i="11"/>
  <c r="C41" i="11"/>
  <c r="B17" i="11"/>
  <c r="F16" i="11"/>
  <c r="D16" i="11"/>
  <c r="E11" i="11"/>
  <c r="E12" i="11" s="1"/>
  <c r="E13" i="11" s="1"/>
  <c r="E14" i="11" s="1"/>
  <c r="E16" i="11"/>
  <c r="E17" i="11" s="1"/>
  <c r="E18" i="11" s="1"/>
  <c r="G41" i="11"/>
  <c r="G11" i="11"/>
  <c r="B21" i="11"/>
  <c r="E21" i="11"/>
  <c r="E22" i="11" s="1"/>
  <c r="E23" i="11" s="1"/>
  <c r="D47" i="11"/>
  <c r="C47" i="11"/>
  <c r="B47" i="11"/>
  <c r="G47" i="11"/>
  <c r="F47" i="11"/>
  <c r="G46" i="11"/>
  <c r="F46" i="11"/>
  <c r="B46" i="11"/>
  <c r="C46" i="11"/>
  <c r="D46" i="11"/>
  <c r="F44" i="11"/>
  <c r="D44" i="11"/>
  <c r="C44" i="11"/>
  <c r="G44" i="11"/>
  <c r="B44" i="11"/>
  <c r="D22" i="11"/>
  <c r="C22" i="11"/>
  <c r="B22" i="11"/>
  <c r="G22" i="11"/>
  <c r="F22" i="11"/>
  <c r="G28" i="11"/>
  <c r="F28" i="11"/>
  <c r="D28" i="11"/>
  <c r="B28" i="11"/>
  <c r="C28" i="11"/>
  <c r="C43" i="11"/>
  <c r="B43" i="11"/>
  <c r="D43" i="11"/>
  <c r="F43" i="11"/>
  <c r="G43" i="11"/>
  <c r="C12" i="11"/>
  <c r="B12" i="11"/>
  <c r="G12" i="11"/>
  <c r="F12" i="11"/>
  <c r="D12" i="11"/>
  <c r="E31" i="11"/>
  <c r="E32" i="11" s="1"/>
  <c r="D31" i="11"/>
  <c r="C31" i="11"/>
  <c r="B31" i="11"/>
  <c r="F31" i="11"/>
  <c r="G31" i="11"/>
  <c r="G42" i="11"/>
  <c r="F42" i="11"/>
  <c r="D42" i="11"/>
  <c r="C42" i="11"/>
  <c r="B42" i="11"/>
  <c r="G14" i="11"/>
  <c r="D14" i="11"/>
  <c r="B14" i="11"/>
  <c r="C14" i="11"/>
  <c r="F14" i="11"/>
  <c r="G32" i="11"/>
  <c r="F32" i="11"/>
  <c r="D32" i="11"/>
  <c r="C32" i="11"/>
  <c r="B32" i="11"/>
  <c r="D23" i="11"/>
  <c r="G23" i="11"/>
  <c r="F23" i="11"/>
  <c r="B23" i="11"/>
  <c r="C23" i="11"/>
  <c r="D54" i="11"/>
  <c r="C54" i="11"/>
  <c r="B54" i="11"/>
  <c r="F54" i="11"/>
  <c r="G54" i="11"/>
  <c r="G38" i="11"/>
  <c r="F38" i="11"/>
  <c r="D38" i="11"/>
  <c r="C38" i="11"/>
  <c r="B38" i="11"/>
  <c r="G53" i="11"/>
  <c r="F53" i="11"/>
  <c r="D53" i="11"/>
  <c r="C53" i="11"/>
  <c r="B53" i="11"/>
  <c r="D27" i="11"/>
  <c r="C27" i="11"/>
  <c r="B27" i="11"/>
  <c r="G27" i="11"/>
  <c r="F27" i="11"/>
  <c r="G26" i="11"/>
  <c r="F26" i="11"/>
  <c r="B26" i="11"/>
  <c r="E26" i="11"/>
  <c r="E27" i="11" s="1"/>
  <c r="E28" i="11" s="1"/>
  <c r="D26" i="11"/>
  <c r="C26" i="11"/>
  <c r="B18" i="11"/>
  <c r="F18" i="11"/>
  <c r="D18" i="11"/>
  <c r="C18" i="11"/>
  <c r="G18" i="11"/>
  <c r="D37" i="11"/>
  <c r="C37" i="11"/>
  <c r="B37" i="11"/>
  <c r="F37" i="11"/>
  <c r="G37" i="11"/>
  <c r="G36" i="11"/>
  <c r="F36" i="11"/>
  <c r="B36" i="11"/>
  <c r="E36" i="11"/>
  <c r="E37" i="11" s="1"/>
  <c r="E38" i="11" s="1"/>
  <c r="D36" i="11"/>
  <c r="C36" i="11"/>
  <c r="F13" i="11"/>
  <c r="D13" i="11"/>
  <c r="B13" i="11"/>
  <c r="G13" i="11"/>
  <c r="C13" i="11"/>
  <c r="B39" i="11" l="1"/>
  <c r="D76" i="11"/>
  <c r="D29" i="11"/>
  <c r="D58" i="11"/>
  <c r="B33" i="11"/>
  <c r="G67" i="11"/>
  <c r="D57" i="11"/>
  <c r="D19" i="11"/>
  <c r="G34" i="11"/>
  <c r="D75" i="11"/>
  <c r="B77" i="11"/>
  <c r="D56" i="11"/>
  <c r="G24" i="11"/>
  <c r="B83" i="11"/>
  <c r="K83" i="11"/>
  <c r="B70" i="11"/>
  <c r="G66" i="11"/>
  <c r="C78" i="11"/>
  <c r="C79" i="11"/>
  <c r="D65" i="11"/>
  <c r="B72" i="11"/>
  <c r="B68" i="11"/>
  <c r="D80" i="11"/>
  <c r="B29" i="11"/>
  <c r="F29" i="11"/>
  <c r="C29" i="11"/>
  <c r="E29" i="11"/>
  <c r="B75" i="11"/>
  <c r="D77" i="11"/>
  <c r="F57" i="11"/>
  <c r="G57" i="11"/>
  <c r="G56" i="11"/>
  <c r="F58" i="11"/>
  <c r="F56" i="11"/>
  <c r="C58" i="11"/>
  <c r="B57" i="11"/>
  <c r="C56" i="11"/>
  <c r="B56" i="11"/>
  <c r="C57" i="11"/>
  <c r="G29" i="11"/>
  <c r="C76" i="11"/>
  <c r="G68" i="11"/>
  <c r="B76" i="11"/>
  <c r="F83" i="11"/>
  <c r="C68" i="11"/>
  <c r="F79" i="11"/>
  <c r="B66" i="11"/>
  <c r="G79" i="11"/>
  <c r="F68" i="11"/>
  <c r="D82" i="11"/>
  <c r="F76" i="11"/>
  <c r="D68" i="11"/>
  <c r="G76" i="11"/>
  <c r="F65" i="11"/>
  <c r="B74" i="11"/>
  <c r="G82" i="11"/>
  <c r="G77" i="11"/>
  <c r="C69" i="11"/>
  <c r="C82" i="11"/>
  <c r="F82" i="11"/>
  <c r="B69" i="11"/>
  <c r="C77" i="11"/>
  <c r="F77" i="11"/>
  <c r="D83" i="11"/>
  <c r="G69" i="11"/>
  <c r="B82" i="11"/>
  <c r="F73" i="11"/>
  <c r="G74" i="11"/>
  <c r="B73" i="11"/>
  <c r="C66" i="11"/>
  <c r="C73" i="11"/>
  <c r="D66" i="11"/>
  <c r="C72" i="11"/>
  <c r="F72" i="11"/>
  <c r="F66" i="11"/>
  <c r="D74" i="11"/>
  <c r="G72" i="11"/>
  <c r="D72" i="11"/>
  <c r="D73" i="11"/>
  <c r="F74" i="11"/>
  <c r="C74" i="11"/>
  <c r="G73" i="11"/>
  <c r="B58" i="11"/>
  <c r="G58" i="11"/>
  <c r="B81" i="11"/>
  <c r="G65" i="11"/>
  <c r="C80" i="11"/>
  <c r="F69" i="11"/>
  <c r="G78" i="11"/>
  <c r="F78" i="11"/>
  <c r="B80" i="11"/>
  <c r="D81" i="11"/>
  <c r="F81" i="11"/>
  <c r="D69" i="11"/>
  <c r="B78" i="11"/>
  <c r="C81" i="11"/>
  <c r="G80" i="11"/>
  <c r="D78" i="11"/>
  <c r="G81" i="11"/>
  <c r="F80" i="11"/>
  <c r="C65" i="11"/>
  <c r="C75" i="11"/>
  <c r="B65" i="11"/>
  <c r="D79" i="11"/>
  <c r="B79" i="11"/>
  <c r="G75" i="11"/>
  <c r="C83" i="11"/>
  <c r="F75" i="11"/>
  <c r="G83" i="11"/>
  <c r="F70" i="11"/>
  <c r="D71" i="11"/>
  <c r="D67" i="11"/>
  <c r="G71" i="11"/>
  <c r="F67" i="11"/>
  <c r="G70" i="11"/>
  <c r="C67" i="11"/>
  <c r="D70" i="11"/>
  <c r="C71" i="11"/>
  <c r="B67" i="11"/>
  <c r="B71" i="11"/>
  <c r="F71" i="11"/>
  <c r="C70" i="11"/>
  <c r="B24" i="11"/>
  <c r="E33" i="11"/>
  <c r="E34" i="11" s="1"/>
  <c r="D33" i="11"/>
  <c r="C33" i="11"/>
  <c r="D39" i="11"/>
  <c r="C39" i="11"/>
  <c r="F19" i="11"/>
  <c r="E39" i="11"/>
  <c r="E19" i="11"/>
  <c r="B34" i="11"/>
  <c r="D34" i="11"/>
  <c r="D24" i="11"/>
  <c r="C24" i="11"/>
  <c r="F24" i="11"/>
  <c r="C34" i="11"/>
  <c r="F33" i="11"/>
  <c r="B19" i="11"/>
  <c r="F34" i="11"/>
  <c r="G33" i="11"/>
  <c r="C19" i="11"/>
  <c r="E24" i="11"/>
  <c r="F39" i="11"/>
  <c r="G39" i="11"/>
  <c r="G19" i="11"/>
  <c r="L4" i="3"/>
  <c r="L5" i="3"/>
  <c r="L6" i="3"/>
  <c r="L9" i="3"/>
  <c r="L10" i="3"/>
  <c r="L7" i="3"/>
  <c r="L8" i="3"/>
  <c r="L11" i="3"/>
  <c r="L12" i="3"/>
  <c r="L13" i="3"/>
  <c r="L14" i="3"/>
  <c r="L15" i="3"/>
  <c r="L16" i="3"/>
  <c r="L17" i="3"/>
  <c r="L18" i="3"/>
  <c r="L19" i="3"/>
  <c r="L20" i="3"/>
  <c r="L21" i="3"/>
  <c r="L22" i="3"/>
  <c r="L23" i="3"/>
  <c r="L24" i="3"/>
  <c r="L25" i="3"/>
  <c r="L26" i="3"/>
  <c r="L27" i="3"/>
  <c r="L29" i="3"/>
  <c r="L30" i="3"/>
  <c r="L31" i="3"/>
  <c r="L32" i="3"/>
  <c r="L33" i="3"/>
  <c r="L34" i="3"/>
  <c r="L35" i="3"/>
  <c r="L36" i="3"/>
  <c r="L37" i="3"/>
  <c r="L38" i="3"/>
  <c r="L39" i="3"/>
  <c r="L40" i="3"/>
  <c r="L43"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M65" i="13" s="1"/>
  <c r="L75" i="3"/>
  <c r="L76" i="3"/>
  <c r="L77" i="3"/>
  <c r="M22" i="13" s="1"/>
  <c r="L78" i="3"/>
  <c r="M26" i="13" s="1"/>
  <c r="L79" i="3"/>
  <c r="L80" i="3"/>
  <c r="L81" i="3"/>
  <c r="L82" i="3"/>
  <c r="M34" i="13" s="1"/>
  <c r="L83" i="3"/>
  <c r="M29" i="13" s="1"/>
  <c r="L84" i="3"/>
  <c r="M37" i="13" s="1"/>
  <c r="L85" i="3"/>
  <c r="M30" i="13" s="1"/>
  <c r="L86" i="3"/>
  <c r="L87" i="3"/>
  <c r="L88" i="3"/>
  <c r="L89" i="3"/>
  <c r="L90" i="3"/>
  <c r="L91" i="3"/>
  <c r="L92" i="3"/>
  <c r="L93" i="3"/>
  <c r="L94" i="3"/>
  <c r="L95" i="3"/>
  <c r="L96" i="3"/>
  <c r="L97" i="3"/>
  <c r="L98" i="3"/>
  <c r="L99" i="3"/>
  <c r="L100" i="3"/>
  <c r="L101" i="3"/>
  <c r="L102" i="3"/>
  <c r="L103" i="3"/>
  <c r="L104" i="3"/>
  <c r="L105" i="3"/>
  <c r="L106" i="3"/>
  <c r="L107" i="3"/>
  <c r="L108" i="3"/>
  <c r="M9" i="13" s="1"/>
  <c r="L109" i="3"/>
  <c r="M10" i="13" s="1"/>
  <c r="L110" i="3"/>
  <c r="M11" i="13" s="1"/>
  <c r="L111" i="3"/>
  <c r="M12" i="13" s="1"/>
  <c r="L112" i="3"/>
  <c r="M16" i="13" s="1"/>
  <c r="L113" i="3"/>
  <c r="M17" i="13" s="1"/>
  <c r="L114" i="3"/>
  <c r="M14" i="13" s="1"/>
  <c r="L115" i="3"/>
  <c r="M15" i="13" s="1"/>
  <c r="L116" i="3"/>
  <c r="M19" i="13" s="1"/>
  <c r="L117" i="3"/>
  <c r="M20" i="13" s="1"/>
  <c r="L118" i="3"/>
  <c r="L119" i="3"/>
  <c r="L120" i="3"/>
  <c r="M77" i="14" s="1"/>
  <c r="L121" i="3"/>
  <c r="L122" i="3"/>
  <c r="L123" i="3"/>
  <c r="L124" i="3"/>
  <c r="L125" i="3"/>
  <c r="L127" i="3"/>
  <c r="L128" i="3"/>
  <c r="L129" i="3"/>
  <c r="L130" i="3"/>
  <c r="L131" i="3"/>
  <c r="L132" i="3"/>
  <c r="L134" i="3"/>
  <c r="L135" i="3"/>
  <c r="M78" i="14" s="1"/>
  <c r="L136" i="3"/>
  <c r="L137" i="3"/>
  <c r="L138" i="3"/>
  <c r="L139" i="3"/>
  <c r="L140" i="3"/>
  <c r="L141" i="3"/>
  <c r="L142" i="3"/>
  <c r="L143" i="3"/>
  <c r="L144" i="3"/>
  <c r="L145" i="3"/>
  <c r="L146" i="3"/>
  <c r="L147" i="3"/>
  <c r="L148" i="3"/>
  <c r="L149" i="3"/>
  <c r="L150" i="3"/>
  <c r="L151" i="3"/>
  <c r="L152" i="3"/>
  <c r="L153" i="3"/>
  <c r="L154" i="3"/>
  <c r="L155" i="3"/>
  <c r="L156" i="3"/>
  <c r="L157" i="3"/>
  <c r="L158" i="3"/>
  <c r="L159" i="3"/>
  <c r="L160" i="3"/>
  <c r="L161" i="3"/>
  <c r="L162" i="3"/>
  <c r="L163" i="3"/>
  <c r="L164" i="3"/>
  <c r="M36" i="13" s="1"/>
  <c r="L166" i="3"/>
  <c r="L167" i="3"/>
  <c r="L169" i="3"/>
  <c r="L170" i="3"/>
  <c r="L171" i="3"/>
  <c r="L172" i="3"/>
  <c r="L175" i="3"/>
  <c r="L176" i="3"/>
  <c r="L177" i="3"/>
  <c r="L178" i="3"/>
  <c r="L179" i="3"/>
  <c r="L180" i="3"/>
  <c r="L181" i="3"/>
  <c r="L182" i="3"/>
  <c r="L183" i="3"/>
  <c r="L184" i="3"/>
  <c r="L185" i="3"/>
  <c r="L186" i="3"/>
  <c r="L187" i="3"/>
  <c r="L188" i="3"/>
  <c r="L189" i="3"/>
  <c r="L190" i="3"/>
  <c r="L192" i="3"/>
  <c r="L193" i="3"/>
  <c r="L194" i="3"/>
  <c r="L195" i="3"/>
  <c r="L196" i="3"/>
  <c r="L197" i="3"/>
  <c r="L198" i="3"/>
  <c r="L200" i="3"/>
  <c r="L201" i="3"/>
  <c r="L202" i="3"/>
  <c r="L203" i="3"/>
  <c r="L204" i="3"/>
  <c r="L205" i="3"/>
  <c r="M70" i="14" s="1"/>
  <c r="L206" i="3"/>
  <c r="M49" i="14" s="1"/>
  <c r="L209" i="3"/>
  <c r="L210" i="3"/>
  <c r="L207" i="3"/>
  <c r="L211" i="3"/>
  <c r="L212" i="3"/>
  <c r="L213" i="3"/>
  <c r="L214" i="3"/>
  <c r="L215" i="3"/>
  <c r="L216" i="3"/>
  <c r="L217" i="3"/>
  <c r="L218" i="3"/>
  <c r="L219" i="3"/>
  <c r="L220" i="3"/>
  <c r="L221" i="3"/>
  <c r="L222" i="3"/>
  <c r="L223" i="3"/>
  <c r="L224" i="3"/>
  <c r="L225" i="3"/>
  <c r="L226" i="3"/>
  <c r="L227" i="3"/>
  <c r="L228" i="3"/>
  <c r="L229" i="3"/>
  <c r="L230" i="3"/>
  <c r="L231" i="3"/>
  <c r="L232" i="3"/>
  <c r="L233" i="3"/>
  <c r="L234" i="3"/>
  <c r="L235" i="3"/>
  <c r="L236" i="3"/>
  <c r="L237" i="3"/>
  <c r="L238" i="3"/>
  <c r="L239" i="3"/>
  <c r="L240" i="3"/>
  <c r="L241" i="3"/>
  <c r="L242" i="3"/>
  <c r="L244" i="3"/>
  <c r="L245" i="3"/>
  <c r="L246" i="3"/>
  <c r="L247" i="3"/>
  <c r="L248" i="3"/>
  <c r="L249" i="3"/>
  <c r="L251" i="3"/>
  <c r="L252" i="3"/>
  <c r="L253" i="3"/>
  <c r="L254" i="3"/>
  <c r="L255" i="3"/>
  <c r="L256" i="3"/>
  <c r="L257" i="3"/>
  <c r="L258" i="3"/>
  <c r="L259" i="3"/>
  <c r="L260" i="3"/>
  <c r="L262" i="3"/>
  <c r="L263" i="3"/>
  <c r="L264" i="3"/>
  <c r="L265" i="3"/>
  <c r="L266" i="3"/>
  <c r="L267" i="3"/>
  <c r="L268" i="3"/>
  <c r="L269" i="3"/>
  <c r="L270" i="3"/>
  <c r="L271" i="3"/>
  <c r="L272" i="3"/>
  <c r="L273" i="3"/>
  <c r="L274" i="3"/>
  <c r="L275" i="3"/>
  <c r="L276" i="3"/>
  <c r="L277" i="3"/>
  <c r="L278" i="3"/>
  <c r="L279" i="3"/>
  <c r="L280" i="3"/>
  <c r="L281" i="3"/>
  <c r="L282" i="3"/>
  <c r="L283" i="3"/>
  <c r="L284" i="3"/>
  <c r="L285" i="3"/>
  <c r="L286" i="3"/>
  <c r="L287" i="3"/>
  <c r="L288" i="3"/>
  <c r="L289" i="3"/>
  <c r="K4" i="3"/>
  <c r="K5" i="3"/>
  <c r="K6" i="3"/>
  <c r="K9" i="3"/>
  <c r="K10" i="3"/>
  <c r="K7" i="3"/>
  <c r="K8" i="3"/>
  <c r="K11" i="3"/>
  <c r="K12" i="3"/>
  <c r="K13" i="3"/>
  <c r="K14" i="3"/>
  <c r="K15" i="3"/>
  <c r="K16" i="3"/>
  <c r="K17" i="3"/>
  <c r="K18" i="3"/>
  <c r="K19" i="3"/>
  <c r="K20" i="3"/>
  <c r="K21" i="3"/>
  <c r="K22" i="3"/>
  <c r="K23" i="3"/>
  <c r="K24" i="3"/>
  <c r="K25" i="3"/>
  <c r="K26" i="3"/>
  <c r="K27" i="3"/>
  <c r="K29" i="3"/>
  <c r="K30" i="3"/>
  <c r="K31" i="3"/>
  <c r="K32" i="3"/>
  <c r="K33" i="3"/>
  <c r="K34" i="3"/>
  <c r="K35" i="3"/>
  <c r="K36" i="3"/>
  <c r="K37" i="3"/>
  <c r="K38" i="3"/>
  <c r="K39" i="3"/>
  <c r="K40" i="3"/>
  <c r="K43" i="3"/>
  <c r="K66" i="11" s="1"/>
  <c r="K67" i="11"/>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L65" i="13" s="1"/>
  <c r="K75" i="3"/>
  <c r="K76" i="3"/>
  <c r="K77" i="3"/>
  <c r="L22" i="13" s="1"/>
  <c r="K78" i="3"/>
  <c r="L26" i="13" s="1"/>
  <c r="K79" i="3"/>
  <c r="K80" i="3"/>
  <c r="K81" i="3"/>
  <c r="K82" i="3"/>
  <c r="L34" i="13" s="1"/>
  <c r="K83" i="3"/>
  <c r="L29" i="13" s="1"/>
  <c r="K84" i="3"/>
  <c r="L37" i="13" s="1"/>
  <c r="K85" i="3"/>
  <c r="L30" i="13" s="1"/>
  <c r="K86" i="3"/>
  <c r="K87" i="3"/>
  <c r="K88" i="3"/>
  <c r="K89" i="3"/>
  <c r="K90" i="3"/>
  <c r="K91" i="3"/>
  <c r="K92" i="3"/>
  <c r="K93" i="3"/>
  <c r="K94" i="3"/>
  <c r="K95" i="3"/>
  <c r="K96" i="3"/>
  <c r="K97" i="3"/>
  <c r="K34" i="12" s="1"/>
  <c r="K98" i="3"/>
  <c r="K39" i="12" s="1"/>
  <c r="K99" i="3"/>
  <c r="K100" i="3"/>
  <c r="K101" i="3"/>
  <c r="K102" i="3"/>
  <c r="K103" i="3"/>
  <c r="K27" i="12" s="1"/>
  <c r="K104" i="3"/>
  <c r="K105" i="3"/>
  <c r="K23" i="12" s="1"/>
  <c r="K106" i="3"/>
  <c r="K107" i="3"/>
  <c r="K108" i="3"/>
  <c r="L9" i="13" s="1"/>
  <c r="K109" i="3"/>
  <c r="L10" i="13" s="1"/>
  <c r="K110" i="3"/>
  <c r="L11" i="13" s="1"/>
  <c r="K111" i="3"/>
  <c r="L12" i="13" s="1"/>
  <c r="K112" i="3"/>
  <c r="L16" i="13" s="1"/>
  <c r="K113" i="3"/>
  <c r="L17" i="13" s="1"/>
  <c r="K114" i="3"/>
  <c r="L14" i="13" s="1"/>
  <c r="K115" i="3"/>
  <c r="L15" i="13" s="1"/>
  <c r="K116" i="3"/>
  <c r="L19" i="13" s="1"/>
  <c r="K117" i="3"/>
  <c r="L20" i="13" s="1"/>
  <c r="K118" i="3"/>
  <c r="K119" i="3"/>
  <c r="K120" i="3"/>
  <c r="K121" i="3"/>
  <c r="L59" i="14" s="1"/>
  <c r="K122" i="3"/>
  <c r="L51" i="14" s="1"/>
  <c r="K123" i="3"/>
  <c r="L55" i="14" s="1"/>
  <c r="K124" i="3"/>
  <c r="L56" i="14" s="1"/>
  <c r="K125" i="3"/>
  <c r="K127" i="3"/>
  <c r="K128" i="3"/>
  <c r="K129" i="3"/>
  <c r="L57" i="14" s="1"/>
  <c r="K130" i="3"/>
  <c r="L64" i="14" s="1"/>
  <c r="K131" i="3"/>
  <c r="K132" i="3"/>
  <c r="L60" i="14" s="1"/>
  <c r="K80" i="11"/>
  <c r="K134" i="3"/>
  <c r="K135" i="3"/>
  <c r="K136" i="3"/>
  <c r="K137" i="3"/>
  <c r="K44" i="11" s="1"/>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L36" i="13" s="1"/>
  <c r="K166" i="3"/>
  <c r="K167" i="3"/>
  <c r="K169" i="3"/>
  <c r="K170" i="3"/>
  <c r="K171" i="3"/>
  <c r="K172" i="3"/>
  <c r="K175" i="3"/>
  <c r="K24" i="12" s="1"/>
  <c r="K176" i="3"/>
  <c r="K29" i="12" s="1"/>
  <c r="K177" i="3"/>
  <c r="K33" i="12" s="1"/>
  <c r="K178" i="3"/>
  <c r="K179" i="3"/>
  <c r="K180" i="3"/>
  <c r="K181" i="3"/>
  <c r="K182" i="3"/>
  <c r="K183" i="3"/>
  <c r="K184" i="3"/>
  <c r="K185" i="3"/>
  <c r="K186" i="3"/>
  <c r="K187" i="3"/>
  <c r="K188" i="3"/>
  <c r="K189" i="3"/>
  <c r="K190" i="3"/>
  <c r="K192" i="3"/>
  <c r="K193" i="3"/>
  <c r="K194" i="3"/>
  <c r="K195" i="3"/>
  <c r="K196" i="3"/>
  <c r="K197" i="3"/>
  <c r="K198" i="3"/>
  <c r="K200" i="3"/>
  <c r="K201" i="3"/>
  <c r="K202" i="3"/>
  <c r="K203" i="3"/>
  <c r="K204" i="3"/>
  <c r="K205" i="3"/>
  <c r="L70" i="14" s="1"/>
  <c r="K206" i="3"/>
  <c r="L49" i="14" s="1"/>
  <c r="K209" i="3"/>
  <c r="K210" i="3"/>
  <c r="K207" i="3"/>
  <c r="L41" i="13" s="1"/>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44" i="12" s="1"/>
  <c r="K242" i="3"/>
  <c r="K244" i="3"/>
  <c r="K245" i="3"/>
  <c r="K246" i="3"/>
  <c r="K247" i="3"/>
  <c r="K248" i="3"/>
  <c r="K249" i="3"/>
  <c r="K251" i="3"/>
  <c r="K252" i="3"/>
  <c r="K253" i="3"/>
  <c r="K254" i="3"/>
  <c r="K255" i="3"/>
  <c r="K256" i="3"/>
  <c r="K257" i="3"/>
  <c r="K258" i="3"/>
  <c r="K259" i="3"/>
  <c r="K260" i="3"/>
  <c r="K262" i="3"/>
  <c r="K263" i="3"/>
  <c r="K264" i="3"/>
  <c r="K265" i="3"/>
  <c r="K266" i="3"/>
  <c r="K267" i="3"/>
  <c r="K268" i="3"/>
  <c r="K269" i="3"/>
  <c r="K270" i="3"/>
  <c r="K271" i="3"/>
  <c r="K272" i="3"/>
  <c r="K273" i="3"/>
  <c r="K22" i="12" s="1"/>
  <c r="K274" i="3"/>
  <c r="K18" i="12" s="1"/>
  <c r="K275" i="3"/>
  <c r="K28" i="12" s="1"/>
  <c r="K276" i="3"/>
  <c r="K32" i="12" s="1"/>
  <c r="K277" i="3"/>
  <c r="K278" i="3"/>
  <c r="K43" i="12" s="1"/>
  <c r="K279" i="3"/>
  <c r="K38" i="12" s="1"/>
  <c r="K280" i="3"/>
  <c r="K281" i="3"/>
  <c r="K282" i="3"/>
  <c r="K283" i="3"/>
  <c r="K284" i="3"/>
  <c r="K285" i="3"/>
  <c r="K286" i="3"/>
  <c r="K287" i="3"/>
  <c r="K288" i="3"/>
  <c r="K289" i="3"/>
  <c r="J4" i="3"/>
  <c r="J5" i="3"/>
  <c r="J6" i="3"/>
  <c r="J9" i="3"/>
  <c r="J10" i="3"/>
  <c r="J7" i="3"/>
  <c r="J8" i="3"/>
  <c r="J11" i="3"/>
  <c r="J12" i="3"/>
  <c r="J13" i="3"/>
  <c r="J14" i="3"/>
  <c r="J15" i="3"/>
  <c r="J16" i="3"/>
  <c r="J17" i="3"/>
  <c r="J18" i="3"/>
  <c r="J19" i="3"/>
  <c r="J20" i="3"/>
  <c r="J21" i="3"/>
  <c r="J22" i="3"/>
  <c r="J23" i="3"/>
  <c r="J24" i="3"/>
  <c r="J25" i="3"/>
  <c r="J26" i="3"/>
  <c r="J27" i="3"/>
  <c r="J29" i="3"/>
  <c r="J30" i="3"/>
  <c r="J31" i="3"/>
  <c r="J32" i="3"/>
  <c r="J33" i="3"/>
  <c r="J34" i="3"/>
  <c r="J35" i="3"/>
  <c r="J36" i="3"/>
  <c r="J37" i="3"/>
  <c r="J38" i="3"/>
  <c r="J39" i="3"/>
  <c r="J40" i="3"/>
  <c r="J43"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K65" i="13" s="1"/>
  <c r="J75" i="3"/>
  <c r="J76" i="3"/>
  <c r="J77" i="3"/>
  <c r="K22" i="13" s="1"/>
  <c r="J78" i="3"/>
  <c r="K26" i="13" s="1"/>
  <c r="J79" i="3"/>
  <c r="J80" i="3"/>
  <c r="J81" i="3"/>
  <c r="J82" i="3"/>
  <c r="K34" i="13" s="1"/>
  <c r="J83" i="3"/>
  <c r="K29" i="13" s="1"/>
  <c r="J84" i="3"/>
  <c r="K37" i="13" s="1"/>
  <c r="J85" i="3"/>
  <c r="J86" i="3"/>
  <c r="J87" i="3"/>
  <c r="J88" i="3"/>
  <c r="J89" i="3"/>
  <c r="J90" i="3"/>
  <c r="J91" i="3"/>
  <c r="J92" i="3"/>
  <c r="J93" i="3"/>
  <c r="J94" i="3"/>
  <c r="J95" i="3"/>
  <c r="J96" i="3"/>
  <c r="J97" i="3"/>
  <c r="J34" i="12" s="1"/>
  <c r="J98" i="3"/>
  <c r="J39" i="12" s="1"/>
  <c r="J99" i="3"/>
  <c r="J100" i="3"/>
  <c r="J101" i="3"/>
  <c r="J102" i="3"/>
  <c r="J103" i="3"/>
  <c r="J104" i="3"/>
  <c r="J105" i="3"/>
  <c r="J106" i="3"/>
  <c r="J107" i="3"/>
  <c r="J108" i="3"/>
  <c r="K9" i="13" s="1"/>
  <c r="J109" i="3"/>
  <c r="K10" i="13" s="1"/>
  <c r="J110" i="3"/>
  <c r="K11" i="13" s="1"/>
  <c r="J111" i="3"/>
  <c r="K12" i="13" s="1"/>
  <c r="J112" i="3"/>
  <c r="K16" i="13" s="1"/>
  <c r="J113" i="3"/>
  <c r="K17" i="13" s="1"/>
  <c r="J114" i="3"/>
  <c r="K14" i="13" s="1"/>
  <c r="J115" i="3"/>
  <c r="K15" i="13" s="1"/>
  <c r="J116" i="3"/>
  <c r="K19" i="13" s="1"/>
  <c r="J117" i="3"/>
  <c r="K20" i="13" s="1"/>
  <c r="J118" i="3"/>
  <c r="J119" i="3"/>
  <c r="J120" i="3"/>
  <c r="K77" i="14" s="1"/>
  <c r="J121" i="3"/>
  <c r="J122" i="3"/>
  <c r="J123" i="3"/>
  <c r="J124" i="3"/>
  <c r="J125" i="3"/>
  <c r="J127" i="3"/>
  <c r="J128" i="3"/>
  <c r="J129" i="3"/>
  <c r="J130" i="3"/>
  <c r="J131" i="3"/>
  <c r="J132" i="3"/>
  <c r="K60" i="14" s="1"/>
  <c r="J134" i="3"/>
  <c r="J135" i="3"/>
  <c r="K78" i="14" s="1"/>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K36" i="13" s="1"/>
  <c r="J166" i="3"/>
  <c r="J167" i="3"/>
  <c r="J169" i="3"/>
  <c r="J170" i="3"/>
  <c r="J171" i="3"/>
  <c r="J172" i="3"/>
  <c r="J175" i="3"/>
  <c r="J24" i="12" s="1"/>
  <c r="J176" i="3"/>
  <c r="J29" i="12" s="1"/>
  <c r="J177" i="3"/>
  <c r="J33" i="12" s="1"/>
  <c r="J178" i="3"/>
  <c r="J179" i="3"/>
  <c r="J180" i="3"/>
  <c r="J181" i="3"/>
  <c r="J182" i="3"/>
  <c r="J183" i="3"/>
  <c r="J184" i="3"/>
  <c r="J185" i="3"/>
  <c r="J186" i="3"/>
  <c r="J187" i="3"/>
  <c r="J188" i="3"/>
  <c r="J189" i="3"/>
  <c r="J190" i="3"/>
  <c r="J192" i="3"/>
  <c r="J193" i="3"/>
  <c r="J194" i="3"/>
  <c r="J195" i="3"/>
  <c r="J196" i="3"/>
  <c r="J197" i="3"/>
  <c r="J198" i="3"/>
  <c r="J200" i="3"/>
  <c r="J201" i="3"/>
  <c r="J202" i="3"/>
  <c r="J203" i="3"/>
  <c r="J204" i="3"/>
  <c r="J205" i="3"/>
  <c r="K70" i="14" s="1"/>
  <c r="J206" i="3"/>
  <c r="K49" i="14" s="1"/>
  <c r="J209" i="3"/>
  <c r="J210" i="3"/>
  <c r="J207" i="3"/>
  <c r="K41" i="13" s="1"/>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J44" i="12" s="1"/>
  <c r="J242" i="3"/>
  <c r="J244" i="3"/>
  <c r="J245" i="3"/>
  <c r="J246" i="3"/>
  <c r="J247" i="3"/>
  <c r="J248" i="3"/>
  <c r="J249" i="3"/>
  <c r="J251" i="3"/>
  <c r="J252" i="3"/>
  <c r="J253" i="3"/>
  <c r="J254" i="3"/>
  <c r="J255" i="3"/>
  <c r="J256" i="3"/>
  <c r="J257" i="3"/>
  <c r="J258" i="3"/>
  <c r="J259" i="3"/>
  <c r="J260" i="3"/>
  <c r="J262" i="3"/>
  <c r="J263" i="3"/>
  <c r="J264" i="3"/>
  <c r="J265" i="3"/>
  <c r="J266" i="3"/>
  <c r="J267" i="3"/>
  <c r="J268" i="3"/>
  <c r="J269" i="3"/>
  <c r="J270" i="3"/>
  <c r="J271" i="3"/>
  <c r="J272" i="3"/>
  <c r="J273" i="3"/>
  <c r="J274" i="3"/>
  <c r="J275" i="3"/>
  <c r="J276" i="3"/>
  <c r="J277" i="3"/>
  <c r="J278" i="3"/>
  <c r="J279" i="3"/>
  <c r="J280" i="3"/>
  <c r="J281" i="3"/>
  <c r="J282" i="3"/>
  <c r="J283" i="3"/>
  <c r="J284" i="3"/>
  <c r="J285" i="3"/>
  <c r="J286" i="3"/>
  <c r="J287" i="3"/>
  <c r="J288" i="3"/>
  <c r="J289" i="3"/>
  <c r="I4" i="3"/>
  <c r="I5" i="3"/>
  <c r="I6" i="3"/>
  <c r="I9" i="3"/>
  <c r="I10" i="3"/>
  <c r="I7" i="3"/>
  <c r="I8" i="3"/>
  <c r="I11" i="3"/>
  <c r="I12" i="3"/>
  <c r="I13" i="3"/>
  <c r="I14" i="3"/>
  <c r="I15" i="3"/>
  <c r="I16" i="3"/>
  <c r="I17" i="3"/>
  <c r="I18" i="3"/>
  <c r="I19" i="3"/>
  <c r="I20" i="3"/>
  <c r="I21" i="3"/>
  <c r="I22" i="3"/>
  <c r="I23" i="3"/>
  <c r="I24" i="3"/>
  <c r="I25" i="3"/>
  <c r="I26" i="3"/>
  <c r="I27" i="3"/>
  <c r="I29" i="3"/>
  <c r="I30" i="3"/>
  <c r="I31" i="3"/>
  <c r="I32" i="3"/>
  <c r="I33" i="3"/>
  <c r="I34" i="3"/>
  <c r="I35" i="3"/>
  <c r="I36" i="3"/>
  <c r="I37" i="3"/>
  <c r="I38" i="3"/>
  <c r="I39" i="3"/>
  <c r="I40" i="3"/>
  <c r="I43"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J65" i="13" s="1"/>
  <c r="I75" i="3"/>
  <c r="I76" i="3"/>
  <c r="I77" i="3"/>
  <c r="J22" i="13" s="1"/>
  <c r="I78" i="3"/>
  <c r="J26" i="13" s="1"/>
  <c r="I79" i="3"/>
  <c r="I80" i="3"/>
  <c r="I81" i="3"/>
  <c r="I82" i="3"/>
  <c r="J34" i="13" s="1"/>
  <c r="I83" i="3"/>
  <c r="J29" i="13" s="1"/>
  <c r="I84" i="3"/>
  <c r="J37" i="13" s="1"/>
  <c r="I85" i="3"/>
  <c r="I86" i="3"/>
  <c r="I87" i="3"/>
  <c r="I88" i="3"/>
  <c r="I89" i="3"/>
  <c r="I90" i="3"/>
  <c r="I91" i="3"/>
  <c r="I92" i="3"/>
  <c r="I93" i="3"/>
  <c r="I94" i="3"/>
  <c r="I95" i="3"/>
  <c r="I96" i="3"/>
  <c r="I97" i="3"/>
  <c r="I98" i="3"/>
  <c r="I99" i="3"/>
  <c r="I100" i="3"/>
  <c r="I101" i="3"/>
  <c r="I102" i="3"/>
  <c r="I103" i="3"/>
  <c r="I104" i="3"/>
  <c r="I105" i="3"/>
  <c r="I106" i="3"/>
  <c r="I107" i="3"/>
  <c r="I108" i="3"/>
  <c r="J9" i="13" s="1"/>
  <c r="I109" i="3"/>
  <c r="J10" i="13" s="1"/>
  <c r="I110" i="3"/>
  <c r="J11" i="13" s="1"/>
  <c r="I111" i="3"/>
  <c r="J12" i="13" s="1"/>
  <c r="I112" i="3"/>
  <c r="J16" i="13" s="1"/>
  <c r="I113" i="3"/>
  <c r="J17" i="13" s="1"/>
  <c r="I114" i="3"/>
  <c r="J14" i="13" s="1"/>
  <c r="I115" i="3"/>
  <c r="J15" i="13" s="1"/>
  <c r="I116" i="3"/>
  <c r="J19" i="13" s="1"/>
  <c r="I117" i="3"/>
  <c r="J20" i="13" s="1"/>
  <c r="I118" i="3"/>
  <c r="I119" i="3"/>
  <c r="I120" i="3"/>
  <c r="J77" i="14" s="1"/>
  <c r="I121" i="3"/>
  <c r="I122" i="3"/>
  <c r="I123" i="3"/>
  <c r="I124" i="3"/>
  <c r="I125" i="3"/>
  <c r="I127" i="3"/>
  <c r="I128" i="3"/>
  <c r="I129" i="3"/>
  <c r="I130" i="3"/>
  <c r="I131" i="3"/>
  <c r="I132" i="3"/>
  <c r="I134" i="3"/>
  <c r="I135" i="3"/>
  <c r="J78" i="14" s="1"/>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J36" i="13" s="1"/>
  <c r="I166" i="3"/>
  <c r="I167" i="3"/>
  <c r="I169" i="3"/>
  <c r="I170" i="3"/>
  <c r="I171" i="3"/>
  <c r="I172" i="3"/>
  <c r="I175" i="3"/>
  <c r="I176" i="3"/>
  <c r="I177" i="3"/>
  <c r="I178" i="3"/>
  <c r="I179" i="3"/>
  <c r="I180" i="3"/>
  <c r="I181" i="3"/>
  <c r="I182" i="3"/>
  <c r="I183" i="3"/>
  <c r="I184" i="3"/>
  <c r="I185" i="3"/>
  <c r="I186" i="3"/>
  <c r="I187" i="3"/>
  <c r="I188" i="3"/>
  <c r="I189" i="3"/>
  <c r="I190" i="3"/>
  <c r="I192" i="3"/>
  <c r="I193" i="3"/>
  <c r="I194" i="3"/>
  <c r="I195" i="3"/>
  <c r="I196" i="3"/>
  <c r="I197" i="3"/>
  <c r="I198" i="3"/>
  <c r="I200" i="3"/>
  <c r="I201" i="3"/>
  <c r="I202" i="3"/>
  <c r="I203" i="3"/>
  <c r="I204" i="3"/>
  <c r="I205" i="3"/>
  <c r="J70" i="14" s="1"/>
  <c r="I206" i="3"/>
  <c r="J49" i="14" s="1"/>
  <c r="I209" i="3"/>
  <c r="I210" i="3"/>
  <c r="I207"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4" i="3"/>
  <c r="I245" i="3"/>
  <c r="I246" i="3"/>
  <c r="I247" i="3"/>
  <c r="I248" i="3"/>
  <c r="I249" i="3"/>
  <c r="I251" i="3"/>
  <c r="I252" i="3"/>
  <c r="I253" i="3"/>
  <c r="I254" i="3"/>
  <c r="I255" i="3"/>
  <c r="I256" i="3"/>
  <c r="I257" i="3"/>
  <c r="I258" i="3"/>
  <c r="I259" i="3"/>
  <c r="I260"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H4" i="3"/>
  <c r="H5" i="3"/>
  <c r="H6" i="3"/>
  <c r="H9" i="3"/>
  <c r="H10" i="3"/>
  <c r="H7" i="3"/>
  <c r="H8" i="3"/>
  <c r="H11" i="3"/>
  <c r="H12" i="3"/>
  <c r="H13" i="3"/>
  <c r="H14" i="3"/>
  <c r="H15" i="3"/>
  <c r="H16" i="3"/>
  <c r="H17" i="3"/>
  <c r="H18" i="3"/>
  <c r="H19" i="3"/>
  <c r="H20" i="3"/>
  <c r="H21" i="3"/>
  <c r="H22" i="3"/>
  <c r="H23" i="3"/>
  <c r="H24" i="3"/>
  <c r="H25" i="3"/>
  <c r="H26" i="3"/>
  <c r="H27" i="3"/>
  <c r="H29" i="3"/>
  <c r="H30" i="3"/>
  <c r="H31" i="3"/>
  <c r="H32" i="3"/>
  <c r="H33" i="3"/>
  <c r="H34" i="3"/>
  <c r="H35" i="3"/>
  <c r="H36" i="3"/>
  <c r="H37" i="3"/>
  <c r="H38" i="3"/>
  <c r="H39" i="3"/>
  <c r="H40" i="3"/>
  <c r="H43"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I65" i="13" s="1"/>
  <c r="H75" i="3"/>
  <c r="H76" i="3"/>
  <c r="H77" i="3"/>
  <c r="I22" i="13" s="1"/>
  <c r="H78" i="3"/>
  <c r="I26" i="13" s="1"/>
  <c r="H79" i="3"/>
  <c r="H80" i="3"/>
  <c r="H81" i="3"/>
  <c r="H82" i="3"/>
  <c r="I34" i="13" s="1"/>
  <c r="H83" i="3"/>
  <c r="I29" i="13" s="1"/>
  <c r="H84" i="3"/>
  <c r="I37" i="13" s="1"/>
  <c r="H85" i="3"/>
  <c r="H86" i="3"/>
  <c r="H87" i="3"/>
  <c r="H88" i="3"/>
  <c r="H89" i="3"/>
  <c r="H90" i="3"/>
  <c r="H91" i="3"/>
  <c r="H92" i="3"/>
  <c r="H93" i="3"/>
  <c r="H94" i="3"/>
  <c r="H95" i="3"/>
  <c r="H96" i="3"/>
  <c r="H97" i="3"/>
  <c r="I34" i="12" s="1"/>
  <c r="H98" i="3"/>
  <c r="I39" i="12" s="1"/>
  <c r="H99" i="3"/>
  <c r="H100" i="3"/>
  <c r="H101" i="3"/>
  <c r="H102" i="3"/>
  <c r="H103" i="3"/>
  <c r="H104" i="3"/>
  <c r="H105" i="3"/>
  <c r="H106" i="3"/>
  <c r="H107" i="3"/>
  <c r="H108" i="3"/>
  <c r="I9" i="13" s="1"/>
  <c r="H109" i="3"/>
  <c r="I10" i="13" s="1"/>
  <c r="H110" i="3"/>
  <c r="I11" i="13" s="1"/>
  <c r="H111" i="3"/>
  <c r="I12" i="13" s="1"/>
  <c r="H112" i="3"/>
  <c r="I16" i="13" s="1"/>
  <c r="H113" i="3"/>
  <c r="I17" i="13" s="1"/>
  <c r="H114" i="3"/>
  <c r="I14" i="13" s="1"/>
  <c r="H115" i="3"/>
  <c r="I15" i="13" s="1"/>
  <c r="H116" i="3"/>
  <c r="I19" i="13" s="1"/>
  <c r="H117" i="3"/>
  <c r="I20" i="13" s="1"/>
  <c r="H118" i="3"/>
  <c r="H119" i="3"/>
  <c r="H120" i="3"/>
  <c r="I77" i="14" s="1"/>
  <c r="H121" i="3"/>
  <c r="H122" i="3"/>
  <c r="H123" i="3"/>
  <c r="H124" i="3"/>
  <c r="H125" i="3"/>
  <c r="H127" i="3"/>
  <c r="H128" i="3"/>
  <c r="H129" i="3"/>
  <c r="H130" i="3"/>
  <c r="H131" i="3"/>
  <c r="H132" i="3"/>
  <c r="I60" i="14" s="1"/>
  <c r="H134" i="3"/>
  <c r="H135" i="3"/>
  <c r="I78" i="14" s="1"/>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I36" i="13" s="1"/>
  <c r="H166" i="3"/>
  <c r="H167" i="3"/>
  <c r="H169" i="3"/>
  <c r="H170" i="3"/>
  <c r="H171" i="3"/>
  <c r="H172" i="3"/>
  <c r="H175" i="3"/>
  <c r="I24" i="12" s="1"/>
  <c r="H176" i="3"/>
  <c r="I29" i="12" s="1"/>
  <c r="H177" i="3"/>
  <c r="I33" i="12" s="1"/>
  <c r="H178" i="3"/>
  <c r="H179" i="3"/>
  <c r="H180" i="3"/>
  <c r="H181" i="3"/>
  <c r="H182" i="3"/>
  <c r="H183" i="3"/>
  <c r="H184" i="3"/>
  <c r="H185" i="3"/>
  <c r="H186" i="3"/>
  <c r="H187" i="3"/>
  <c r="H188" i="3"/>
  <c r="H189" i="3"/>
  <c r="H190" i="3"/>
  <c r="H192" i="3"/>
  <c r="H193" i="3"/>
  <c r="H194" i="3"/>
  <c r="H195" i="3"/>
  <c r="H196" i="3"/>
  <c r="H197" i="3"/>
  <c r="H198" i="3"/>
  <c r="H200" i="3"/>
  <c r="H201" i="3"/>
  <c r="H202" i="3"/>
  <c r="H203" i="3"/>
  <c r="H204" i="3"/>
  <c r="H205" i="3"/>
  <c r="I70" i="14" s="1"/>
  <c r="H206" i="3"/>
  <c r="I49" i="14" s="1"/>
  <c r="H209" i="3"/>
  <c r="H210" i="3"/>
  <c r="H207" i="3"/>
  <c r="H211" i="3"/>
  <c r="H212" i="3"/>
  <c r="H213" i="3"/>
  <c r="H214" i="3"/>
  <c r="H215" i="3"/>
  <c r="H216" i="3"/>
  <c r="H217" i="3"/>
  <c r="H218" i="3"/>
  <c r="H219" i="3"/>
  <c r="H220" i="3"/>
  <c r="H221" i="3"/>
  <c r="H222" i="3"/>
  <c r="H223" i="3"/>
  <c r="H224" i="3"/>
  <c r="H225" i="3"/>
  <c r="H226" i="3"/>
  <c r="H227" i="3"/>
  <c r="H228" i="3"/>
  <c r="H229" i="3"/>
  <c r="H230" i="3"/>
  <c r="H231" i="3"/>
  <c r="H232" i="3"/>
  <c r="H233" i="3"/>
  <c r="H234" i="3"/>
  <c r="H235" i="3"/>
  <c r="H236" i="3"/>
  <c r="H237" i="3"/>
  <c r="H238" i="3"/>
  <c r="H239" i="3"/>
  <c r="H240" i="3"/>
  <c r="H241" i="3"/>
  <c r="I44" i="12" s="1"/>
  <c r="H242" i="3"/>
  <c r="H244" i="3"/>
  <c r="H245" i="3"/>
  <c r="H246" i="3"/>
  <c r="H247" i="3"/>
  <c r="H248" i="3"/>
  <c r="H249" i="3"/>
  <c r="H251" i="3"/>
  <c r="H252" i="3"/>
  <c r="H253" i="3"/>
  <c r="H254" i="3"/>
  <c r="H255" i="3"/>
  <c r="H256" i="3"/>
  <c r="H257" i="3"/>
  <c r="H258" i="3"/>
  <c r="H259" i="3"/>
  <c r="H260" i="3"/>
  <c r="H262" i="3"/>
  <c r="H263" i="3"/>
  <c r="H264" i="3"/>
  <c r="H265" i="3"/>
  <c r="H266" i="3"/>
  <c r="H267" i="3"/>
  <c r="H268" i="3"/>
  <c r="H269" i="3"/>
  <c r="H270" i="3"/>
  <c r="H271" i="3"/>
  <c r="H272" i="3"/>
  <c r="H273" i="3"/>
  <c r="H274" i="3"/>
  <c r="H275" i="3"/>
  <c r="H276" i="3"/>
  <c r="H277" i="3"/>
  <c r="H278" i="3"/>
  <c r="H279" i="3"/>
  <c r="H280" i="3"/>
  <c r="H281" i="3"/>
  <c r="H282" i="3"/>
  <c r="H283" i="3"/>
  <c r="H284" i="3"/>
  <c r="H285" i="3"/>
  <c r="H286" i="3"/>
  <c r="H287" i="3"/>
  <c r="H288" i="3"/>
  <c r="H289" i="3"/>
  <c r="G4" i="3"/>
  <c r="G5" i="3"/>
  <c r="G6" i="3"/>
  <c r="G9" i="3"/>
  <c r="G10" i="3"/>
  <c r="G7" i="3"/>
  <c r="G8" i="3"/>
  <c r="G11" i="3"/>
  <c r="G12" i="3"/>
  <c r="G13" i="3"/>
  <c r="G14" i="3"/>
  <c r="G15" i="3"/>
  <c r="G16" i="3"/>
  <c r="G17" i="3"/>
  <c r="G18" i="3"/>
  <c r="G19" i="3"/>
  <c r="G20" i="3"/>
  <c r="G21" i="3"/>
  <c r="G22" i="3"/>
  <c r="G23" i="3"/>
  <c r="G24" i="3"/>
  <c r="G25" i="3"/>
  <c r="G26" i="3"/>
  <c r="G27" i="3"/>
  <c r="G29" i="3"/>
  <c r="G30" i="3"/>
  <c r="G31" i="3"/>
  <c r="G32" i="3"/>
  <c r="G33" i="3"/>
  <c r="G34" i="3"/>
  <c r="G35" i="3"/>
  <c r="G36" i="3"/>
  <c r="G37" i="3"/>
  <c r="G38" i="3"/>
  <c r="G39" i="3"/>
  <c r="G40" i="3"/>
  <c r="G43"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H65" i="13" s="1"/>
  <c r="G75" i="3"/>
  <c r="G76" i="3"/>
  <c r="G77" i="3"/>
  <c r="H22" i="13" s="1"/>
  <c r="G78" i="3"/>
  <c r="H26" i="13" s="1"/>
  <c r="G79" i="3"/>
  <c r="G80" i="3"/>
  <c r="G81" i="3"/>
  <c r="G82" i="3"/>
  <c r="H34" i="13" s="1"/>
  <c r="G83" i="3"/>
  <c r="H29" i="13" s="1"/>
  <c r="G84" i="3"/>
  <c r="H37" i="13" s="1"/>
  <c r="G85" i="3"/>
  <c r="G86" i="3"/>
  <c r="G87" i="3"/>
  <c r="G88" i="3"/>
  <c r="G89" i="3"/>
  <c r="G90" i="3"/>
  <c r="G91" i="3"/>
  <c r="G92" i="3"/>
  <c r="G93" i="3"/>
  <c r="G94" i="3"/>
  <c r="G95" i="3"/>
  <c r="G96" i="3"/>
  <c r="G97" i="3"/>
  <c r="H34" i="12" s="1"/>
  <c r="G98" i="3"/>
  <c r="H39" i="12" s="1"/>
  <c r="G99" i="3"/>
  <c r="G100" i="3"/>
  <c r="G101" i="3"/>
  <c r="G102" i="3"/>
  <c r="G103" i="3"/>
  <c r="G104" i="3"/>
  <c r="G105" i="3"/>
  <c r="G106" i="3"/>
  <c r="G107" i="3"/>
  <c r="G108" i="3"/>
  <c r="H9" i="13" s="1"/>
  <c r="G109" i="3"/>
  <c r="H10" i="13" s="1"/>
  <c r="G110" i="3"/>
  <c r="H11" i="13" s="1"/>
  <c r="G111" i="3"/>
  <c r="H12" i="13" s="1"/>
  <c r="G112" i="3"/>
  <c r="H16" i="13" s="1"/>
  <c r="G113" i="3"/>
  <c r="H17" i="13" s="1"/>
  <c r="G114" i="3"/>
  <c r="H14" i="13" s="1"/>
  <c r="G115" i="3"/>
  <c r="H15" i="13" s="1"/>
  <c r="G116" i="3"/>
  <c r="H19" i="13" s="1"/>
  <c r="G117" i="3"/>
  <c r="H20" i="13" s="1"/>
  <c r="G118" i="3"/>
  <c r="G119" i="3"/>
  <c r="G120" i="3"/>
  <c r="H77" i="14" s="1"/>
  <c r="G121" i="3"/>
  <c r="G122" i="3"/>
  <c r="G123" i="3"/>
  <c r="G124" i="3"/>
  <c r="G125" i="3"/>
  <c r="G127" i="3"/>
  <c r="G128" i="3"/>
  <c r="G129" i="3"/>
  <c r="G130" i="3"/>
  <c r="G131" i="3"/>
  <c r="G132" i="3"/>
  <c r="H60" i="14" s="1"/>
  <c r="G134" i="3"/>
  <c r="G135" i="3"/>
  <c r="H78" i="14" s="1"/>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H36" i="13" s="1"/>
  <c r="G166" i="3"/>
  <c r="G167" i="3"/>
  <c r="G169" i="3"/>
  <c r="G170" i="3"/>
  <c r="G171" i="3"/>
  <c r="G172" i="3"/>
  <c r="G175" i="3"/>
  <c r="H24" i="12" s="1"/>
  <c r="G176" i="3"/>
  <c r="H29" i="12" s="1"/>
  <c r="G177" i="3"/>
  <c r="H33" i="12" s="1"/>
  <c r="G178" i="3"/>
  <c r="G179" i="3"/>
  <c r="G180" i="3"/>
  <c r="G181" i="3"/>
  <c r="G182" i="3"/>
  <c r="G183" i="3"/>
  <c r="G184" i="3"/>
  <c r="G185" i="3"/>
  <c r="G186" i="3"/>
  <c r="G187" i="3"/>
  <c r="G188" i="3"/>
  <c r="G189" i="3"/>
  <c r="G190" i="3"/>
  <c r="G192" i="3"/>
  <c r="G193" i="3"/>
  <c r="G194" i="3"/>
  <c r="G195" i="3"/>
  <c r="G196" i="3"/>
  <c r="G197" i="3"/>
  <c r="G198" i="3"/>
  <c r="G200" i="3"/>
  <c r="G201" i="3"/>
  <c r="G202" i="3"/>
  <c r="G203" i="3"/>
  <c r="G204" i="3"/>
  <c r="G205" i="3"/>
  <c r="H70" i="14" s="1"/>
  <c r="G206" i="3"/>
  <c r="H49" i="14" s="1"/>
  <c r="G209" i="3"/>
  <c r="G210" i="3"/>
  <c r="G207"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H44" i="12" s="1"/>
  <c r="G242" i="3"/>
  <c r="G244" i="3"/>
  <c r="G245" i="3"/>
  <c r="G246" i="3"/>
  <c r="G247" i="3"/>
  <c r="G248" i="3"/>
  <c r="G249" i="3"/>
  <c r="G251" i="3"/>
  <c r="G252" i="3"/>
  <c r="G253" i="3"/>
  <c r="G254" i="3"/>
  <c r="G255" i="3"/>
  <c r="G256" i="3"/>
  <c r="G257" i="3"/>
  <c r="G258" i="3"/>
  <c r="G259" i="3"/>
  <c r="G260" i="3"/>
  <c r="G262" i="3"/>
  <c r="G263" i="3"/>
  <c r="G264" i="3"/>
  <c r="G265" i="3"/>
  <c r="G266" i="3"/>
  <c r="G267" i="3"/>
  <c r="G268" i="3"/>
  <c r="G269" i="3"/>
  <c r="G270" i="3"/>
  <c r="G271" i="3"/>
  <c r="G272" i="3"/>
  <c r="G273" i="3"/>
  <c r="G274" i="3"/>
  <c r="G275" i="3"/>
  <c r="G276" i="3"/>
  <c r="G277" i="3"/>
  <c r="G278" i="3"/>
  <c r="G279" i="3"/>
  <c r="G280" i="3"/>
  <c r="G281" i="3"/>
  <c r="G282" i="3"/>
  <c r="G283" i="3"/>
  <c r="G284" i="3"/>
  <c r="G285" i="3"/>
  <c r="G286" i="3"/>
  <c r="G287" i="3"/>
  <c r="G288" i="3"/>
  <c r="G289" i="3"/>
  <c r="M62" i="13" l="1"/>
  <c r="I41" i="13"/>
  <c r="L62" i="13"/>
  <c r="H41" i="13"/>
  <c r="J41" i="13"/>
  <c r="I62" i="13"/>
  <c r="K62" i="13"/>
  <c r="M41" i="13"/>
  <c r="H62" i="13"/>
  <c r="J62" i="13"/>
  <c r="H46" i="13"/>
  <c r="H54" i="14"/>
  <c r="H56" i="13"/>
  <c r="H64" i="14"/>
  <c r="H51" i="13"/>
  <c r="H59" i="14"/>
  <c r="H35" i="13"/>
  <c r="H75" i="14"/>
  <c r="I55" i="13"/>
  <c r="I63" i="14"/>
  <c r="I59" i="13"/>
  <c r="J46" i="13"/>
  <c r="J54" i="14"/>
  <c r="J56" i="13"/>
  <c r="J64" i="14"/>
  <c r="J51" i="13"/>
  <c r="J59" i="14"/>
  <c r="J35" i="13"/>
  <c r="J75" i="14"/>
  <c r="K55" i="13"/>
  <c r="K63" i="14"/>
  <c r="K59" i="13"/>
  <c r="L46" i="13"/>
  <c r="L54" i="14"/>
  <c r="M45" i="13"/>
  <c r="M53" i="14"/>
  <c r="M61" i="13"/>
  <c r="M76" i="14"/>
  <c r="M53" i="13"/>
  <c r="M21" i="13"/>
  <c r="M73" i="14"/>
  <c r="M63" i="13"/>
  <c r="H58" i="13"/>
  <c r="H66" i="14"/>
  <c r="H49" i="13"/>
  <c r="H57" i="14"/>
  <c r="H31" i="13"/>
  <c r="H74" i="14"/>
  <c r="H64" i="13"/>
  <c r="I50" i="13"/>
  <c r="I58" i="14"/>
  <c r="I57" i="13"/>
  <c r="I65" i="14"/>
  <c r="I66" i="13"/>
  <c r="I48" i="13"/>
  <c r="I56" i="14"/>
  <c r="I24" i="13"/>
  <c r="I72" i="14"/>
  <c r="J58" i="13"/>
  <c r="J66" i="14"/>
  <c r="J49" i="13"/>
  <c r="J57" i="14"/>
  <c r="J31" i="13"/>
  <c r="J74" i="14"/>
  <c r="J64" i="13"/>
  <c r="K50" i="13"/>
  <c r="K58" i="14"/>
  <c r="K57" i="13"/>
  <c r="K65" i="14"/>
  <c r="K66" i="13"/>
  <c r="K48" i="13"/>
  <c r="K56" i="14"/>
  <c r="K24" i="13"/>
  <c r="K72" i="14"/>
  <c r="L58" i="13"/>
  <c r="L66" i="14"/>
  <c r="L35" i="13"/>
  <c r="L75" i="14"/>
  <c r="M44" i="13"/>
  <c r="M52" i="14"/>
  <c r="M60" i="13"/>
  <c r="H45" i="13"/>
  <c r="H53" i="14"/>
  <c r="H61" i="13"/>
  <c r="H76" i="14"/>
  <c r="H53" i="13"/>
  <c r="H21" i="13"/>
  <c r="H73" i="14"/>
  <c r="H63" i="13"/>
  <c r="I42" i="13"/>
  <c r="I50" i="14"/>
  <c r="I47" i="13"/>
  <c r="I55" i="14"/>
  <c r="I25" i="13"/>
  <c r="I71" i="14"/>
  <c r="J45" i="13"/>
  <c r="J53" i="14"/>
  <c r="J61" i="13"/>
  <c r="J76" i="14"/>
  <c r="J53" i="13"/>
  <c r="J21" i="13"/>
  <c r="J73" i="14"/>
  <c r="J63" i="13"/>
  <c r="K42" i="13"/>
  <c r="K50" i="14"/>
  <c r="K47" i="13"/>
  <c r="K55" i="14"/>
  <c r="K25" i="13"/>
  <c r="K71" i="14"/>
  <c r="K69" i="11"/>
  <c r="L77" i="14"/>
  <c r="L31" i="13"/>
  <c r="L74" i="14"/>
  <c r="L64" i="13"/>
  <c r="M55" i="13"/>
  <c r="M63" i="14"/>
  <c r="M59" i="13"/>
  <c r="H44" i="13"/>
  <c r="H52" i="14"/>
  <c r="H60" i="13"/>
  <c r="I54" i="13"/>
  <c r="I62" i="14"/>
  <c r="I43" i="13"/>
  <c r="I51" i="14"/>
  <c r="J44" i="13"/>
  <c r="J52" i="14"/>
  <c r="J60" i="13"/>
  <c r="K54" i="13"/>
  <c r="K62" i="14"/>
  <c r="K43" i="13"/>
  <c r="K51" i="14"/>
  <c r="L53" i="14"/>
  <c r="L61" i="13"/>
  <c r="K68" i="11"/>
  <c r="L76" i="14"/>
  <c r="L53" i="13"/>
  <c r="L21" i="13"/>
  <c r="L73" i="14"/>
  <c r="L63" i="13"/>
  <c r="M50" i="13"/>
  <c r="M58" i="14"/>
  <c r="M57" i="13"/>
  <c r="M65" i="14"/>
  <c r="M66" i="13"/>
  <c r="M48" i="13"/>
  <c r="M56" i="14"/>
  <c r="M24" i="13"/>
  <c r="M72" i="14"/>
  <c r="H55" i="13"/>
  <c r="H63" i="14"/>
  <c r="H59" i="13"/>
  <c r="I46" i="13"/>
  <c r="I54" i="14"/>
  <c r="I56" i="13"/>
  <c r="I64" i="14"/>
  <c r="I51" i="13"/>
  <c r="I59" i="14"/>
  <c r="I35" i="13"/>
  <c r="I75" i="14"/>
  <c r="J55" i="13"/>
  <c r="J63" i="14"/>
  <c r="J59" i="13"/>
  <c r="K46" i="13"/>
  <c r="K54" i="14"/>
  <c r="K56" i="13"/>
  <c r="K64" i="14"/>
  <c r="K51" i="13"/>
  <c r="K59" i="14"/>
  <c r="K35" i="13"/>
  <c r="K75" i="14"/>
  <c r="K82" i="11"/>
  <c r="L78" i="14"/>
  <c r="L52" i="14"/>
  <c r="L60" i="13"/>
  <c r="M42" i="13"/>
  <c r="M50" i="14"/>
  <c r="M52" i="13"/>
  <c r="M60" i="14"/>
  <c r="M47" i="13"/>
  <c r="M55" i="14"/>
  <c r="M25" i="13"/>
  <c r="M71" i="14"/>
  <c r="H50" i="13"/>
  <c r="H58" i="14"/>
  <c r="H57" i="13"/>
  <c r="H65" i="14"/>
  <c r="H66" i="13"/>
  <c r="H48" i="13"/>
  <c r="H56" i="14"/>
  <c r="H24" i="13"/>
  <c r="H72" i="14"/>
  <c r="I58" i="13"/>
  <c r="I66" i="14"/>
  <c r="I49" i="13"/>
  <c r="I57" i="14"/>
  <c r="I31" i="13"/>
  <c r="I74" i="14"/>
  <c r="I64" i="13"/>
  <c r="J50" i="13"/>
  <c r="J58" i="14"/>
  <c r="J57" i="13"/>
  <c r="J65" i="14"/>
  <c r="J66" i="13"/>
  <c r="J48" i="13"/>
  <c r="J56" i="14"/>
  <c r="J24" i="13"/>
  <c r="J72" i="14"/>
  <c r="K58" i="13"/>
  <c r="K66" i="14"/>
  <c r="K49" i="13"/>
  <c r="K57" i="14"/>
  <c r="K31" i="13"/>
  <c r="K74" i="14"/>
  <c r="K64" i="13"/>
  <c r="L50" i="13"/>
  <c r="L58" i="14"/>
  <c r="L65" i="14"/>
  <c r="L66" i="13"/>
  <c r="L63" i="14"/>
  <c r="L59" i="13"/>
  <c r="M54" i="13"/>
  <c r="M62" i="14"/>
  <c r="M43" i="13"/>
  <c r="M51" i="14"/>
  <c r="H42" i="13"/>
  <c r="H50" i="14"/>
  <c r="H47" i="13"/>
  <c r="H55" i="14"/>
  <c r="H25" i="13"/>
  <c r="H71" i="14"/>
  <c r="I45" i="13"/>
  <c r="I53" i="14"/>
  <c r="I61" i="13"/>
  <c r="I76" i="14"/>
  <c r="I53" i="13"/>
  <c r="I21" i="13"/>
  <c r="I73" i="14"/>
  <c r="I63" i="13"/>
  <c r="J42" i="13"/>
  <c r="J50" i="14"/>
  <c r="J52" i="13"/>
  <c r="J60" i="14"/>
  <c r="J47" i="13"/>
  <c r="J55" i="14"/>
  <c r="J25" i="13"/>
  <c r="J71" i="14"/>
  <c r="K45" i="13"/>
  <c r="K53" i="14"/>
  <c r="K61" i="13"/>
  <c r="K76" i="14"/>
  <c r="K53" i="13"/>
  <c r="K21" i="13"/>
  <c r="K73" i="14"/>
  <c r="K63" i="13"/>
  <c r="L42" i="13"/>
  <c r="L50" i="14"/>
  <c r="L24" i="13"/>
  <c r="L72" i="14"/>
  <c r="M46" i="13"/>
  <c r="M54" i="14"/>
  <c r="M56" i="13"/>
  <c r="M64" i="14"/>
  <c r="M51" i="13"/>
  <c r="M59" i="14"/>
  <c r="M35" i="13"/>
  <c r="M75" i="14"/>
  <c r="H54" i="13"/>
  <c r="H62" i="14"/>
  <c r="H43" i="13"/>
  <c r="H51" i="14"/>
  <c r="I44" i="13"/>
  <c r="I52" i="14"/>
  <c r="I60" i="13"/>
  <c r="J54" i="13"/>
  <c r="J62" i="14"/>
  <c r="J43" i="13"/>
  <c r="J51" i="14"/>
  <c r="K44" i="13"/>
  <c r="K52" i="14"/>
  <c r="K60" i="13"/>
  <c r="L54" i="13"/>
  <c r="L62" i="14"/>
  <c r="L25" i="13"/>
  <c r="L71" i="14"/>
  <c r="M58" i="13"/>
  <c r="M66" i="14"/>
  <c r="M49" i="13"/>
  <c r="M57" i="14"/>
  <c r="M31" i="13"/>
  <c r="M74" i="14"/>
  <c r="M64" i="13"/>
  <c r="I30" i="13"/>
  <c r="K30" i="13"/>
  <c r="H30" i="13"/>
  <c r="J30" i="13"/>
  <c r="K78" i="11"/>
  <c r="L56" i="13"/>
  <c r="K70" i="11"/>
  <c r="L51" i="13"/>
  <c r="K71" i="11"/>
  <c r="L43" i="13"/>
  <c r="M27" i="13"/>
  <c r="M32" i="13"/>
  <c r="H32" i="13"/>
  <c r="H27" i="13"/>
  <c r="I83" i="11"/>
  <c r="I52" i="13"/>
  <c r="J32" i="13"/>
  <c r="J27" i="13"/>
  <c r="J83" i="11"/>
  <c r="K52" i="13"/>
  <c r="L27" i="13"/>
  <c r="L32" i="13"/>
  <c r="K77" i="11"/>
  <c r="L49" i="13"/>
  <c r="K75" i="11"/>
  <c r="L44" i="13"/>
  <c r="K81" i="11"/>
  <c r="L57" i="13"/>
  <c r="K74" i="11"/>
  <c r="L55" i="13"/>
  <c r="K76" i="11"/>
  <c r="L45" i="13"/>
  <c r="H83" i="11"/>
  <c r="H52" i="13"/>
  <c r="I27" i="13"/>
  <c r="I32" i="13"/>
  <c r="K27" i="13"/>
  <c r="K32" i="13"/>
  <c r="K73" i="11"/>
  <c r="L48" i="13"/>
  <c r="K79" i="11"/>
  <c r="L52" i="13"/>
  <c r="K72" i="11"/>
  <c r="L47" i="13"/>
  <c r="K57" i="11"/>
  <c r="K58" i="11"/>
  <c r="K19" i="11"/>
  <c r="K54" i="11"/>
  <c r="K53" i="11"/>
  <c r="K27" i="11"/>
  <c r="K65" i="11"/>
  <c r="K38" i="11"/>
  <c r="K22" i="11"/>
  <c r="K29" i="11"/>
  <c r="K33" i="11"/>
  <c r="K23" i="11"/>
  <c r="K39" i="11"/>
  <c r="K28" i="11"/>
  <c r="K43" i="11"/>
  <c r="K18" i="11"/>
  <c r="K24" i="11"/>
  <c r="K34" i="11"/>
  <c r="H38" i="12"/>
  <c r="H27" i="12"/>
  <c r="H23" i="12"/>
  <c r="I27" i="12"/>
  <c r="I23" i="12"/>
  <c r="I32" i="12"/>
  <c r="J72" i="11"/>
  <c r="I38" i="12"/>
  <c r="K42" i="11"/>
  <c r="K42" i="12"/>
  <c r="K12" i="11"/>
  <c r="K12" i="12"/>
  <c r="K56" i="11"/>
  <c r="K52" i="12"/>
  <c r="J27" i="12"/>
  <c r="J32" i="12"/>
  <c r="J38" i="12"/>
  <c r="J23" i="12"/>
  <c r="K11" i="11"/>
  <c r="K11" i="12"/>
  <c r="K31" i="11"/>
  <c r="K31" i="12"/>
  <c r="K13" i="11"/>
  <c r="K13" i="12"/>
  <c r="K41" i="11"/>
  <c r="K41" i="12"/>
  <c r="K37" i="11"/>
  <c r="K37" i="12"/>
  <c r="K16" i="11"/>
  <c r="K16" i="12"/>
  <c r="K14" i="11"/>
  <c r="K14" i="12"/>
  <c r="K36" i="11"/>
  <c r="K36" i="12"/>
  <c r="K46" i="11"/>
  <c r="K46" i="12"/>
  <c r="K26" i="11"/>
  <c r="K26" i="12"/>
  <c r="K17" i="11"/>
  <c r="K17" i="12"/>
  <c r="H32" i="12"/>
  <c r="K21" i="11"/>
  <c r="K21" i="12"/>
  <c r="K47" i="11"/>
  <c r="K47" i="12"/>
  <c r="J79" i="11"/>
  <c r="H76" i="11"/>
  <c r="I72" i="11"/>
  <c r="J74" i="11"/>
  <c r="H78" i="11"/>
  <c r="I76" i="11"/>
  <c r="I69" i="11"/>
  <c r="I56" i="11"/>
  <c r="I71" i="11"/>
  <c r="J73" i="11"/>
  <c r="H74" i="11"/>
  <c r="H73" i="11"/>
  <c r="H69" i="11"/>
  <c r="I74" i="11"/>
  <c r="H80" i="11"/>
  <c r="H72" i="11"/>
  <c r="I81" i="11"/>
  <c r="J56" i="11"/>
  <c r="K52" i="11"/>
  <c r="K32" i="11"/>
  <c r="J81" i="11"/>
  <c r="H43" i="12"/>
  <c r="H22" i="12"/>
  <c r="H28" i="12"/>
  <c r="H18" i="12"/>
  <c r="I43" i="12"/>
  <c r="I22" i="12"/>
  <c r="I28" i="12"/>
  <c r="I18" i="12"/>
  <c r="J43" i="12"/>
  <c r="J22" i="12"/>
  <c r="J28" i="12"/>
  <c r="J18" i="12"/>
  <c r="I58" i="11"/>
  <c r="I54" i="12"/>
  <c r="I57" i="11"/>
  <c r="I53" i="12"/>
  <c r="J52" i="12"/>
  <c r="J31" i="12"/>
  <c r="H31" i="12"/>
  <c r="H52" i="12"/>
  <c r="J58" i="11"/>
  <c r="J54" i="12"/>
  <c r="I52" i="12"/>
  <c r="I31" i="12"/>
  <c r="J57" i="11"/>
  <c r="J53" i="12"/>
  <c r="H57" i="11"/>
  <c r="H53" i="12"/>
  <c r="H58" i="11"/>
  <c r="H54" i="12"/>
  <c r="H46" i="11"/>
  <c r="H46" i="12"/>
  <c r="H26" i="11"/>
  <c r="H26" i="12"/>
  <c r="I37" i="11"/>
  <c r="I37" i="12"/>
  <c r="I13" i="11"/>
  <c r="I13" i="12"/>
  <c r="I41" i="11"/>
  <c r="I41" i="12"/>
  <c r="J17" i="11"/>
  <c r="J17" i="12"/>
  <c r="I16" i="11"/>
  <c r="I16" i="12"/>
  <c r="H17" i="11"/>
  <c r="H17" i="12"/>
  <c r="I46" i="11"/>
  <c r="I46" i="12"/>
  <c r="I26" i="11"/>
  <c r="I26" i="12"/>
  <c r="H21" i="11"/>
  <c r="H21" i="12"/>
  <c r="H42" i="11"/>
  <c r="H42" i="12"/>
  <c r="H12" i="11"/>
  <c r="H12" i="12"/>
  <c r="I21" i="11"/>
  <c r="I21" i="12"/>
  <c r="I47" i="11"/>
  <c r="I47" i="12"/>
  <c r="J11" i="11"/>
  <c r="J11" i="12"/>
  <c r="H47" i="11"/>
  <c r="H47" i="12"/>
  <c r="I36" i="11"/>
  <c r="I36" i="12"/>
  <c r="J42" i="11"/>
  <c r="J42" i="12"/>
  <c r="J12" i="11"/>
  <c r="J12" i="12"/>
  <c r="I17" i="11"/>
  <c r="I17" i="12"/>
  <c r="J37" i="11"/>
  <c r="J37" i="12"/>
  <c r="J13" i="11"/>
  <c r="J13" i="12"/>
  <c r="J41" i="11"/>
  <c r="J41" i="12"/>
  <c r="H11" i="11"/>
  <c r="H11" i="12"/>
  <c r="I42" i="11"/>
  <c r="I42" i="12"/>
  <c r="I12" i="11"/>
  <c r="I12" i="12"/>
  <c r="J16" i="11"/>
  <c r="J16" i="12"/>
  <c r="J14" i="11"/>
  <c r="J14" i="12"/>
  <c r="J36" i="11"/>
  <c r="J36" i="12"/>
  <c r="H37" i="11"/>
  <c r="H37" i="12"/>
  <c r="H13" i="11"/>
  <c r="H13" i="12"/>
  <c r="H41" i="11"/>
  <c r="H41" i="12"/>
  <c r="J46" i="11"/>
  <c r="J46" i="12"/>
  <c r="J26" i="11"/>
  <c r="J26" i="12"/>
  <c r="I14" i="11"/>
  <c r="I14" i="12"/>
  <c r="H16" i="11"/>
  <c r="H16" i="12"/>
  <c r="H14" i="11"/>
  <c r="H14" i="12"/>
  <c r="H36" i="11"/>
  <c r="H36" i="12"/>
  <c r="I11" i="11"/>
  <c r="I11" i="12"/>
  <c r="J21" i="11"/>
  <c r="J21" i="12"/>
  <c r="J47" i="11"/>
  <c r="J47" i="12"/>
  <c r="H56" i="11"/>
  <c r="J76" i="11"/>
  <c r="H81" i="11"/>
  <c r="J82" i="11"/>
  <c r="J70" i="11"/>
  <c r="H71" i="11"/>
  <c r="H82" i="11"/>
  <c r="H70" i="11"/>
  <c r="I77" i="11"/>
  <c r="J75" i="11"/>
  <c r="I75" i="11"/>
  <c r="J69" i="11"/>
  <c r="H79" i="11"/>
  <c r="H68" i="11"/>
  <c r="I82" i="11"/>
  <c r="I70" i="11"/>
  <c r="J80" i="11"/>
  <c r="I73" i="11"/>
  <c r="J71" i="11"/>
  <c r="J68" i="11"/>
  <c r="H77" i="11"/>
  <c r="I80" i="11"/>
  <c r="J78" i="11"/>
  <c r="I79" i="11"/>
  <c r="I68" i="11"/>
  <c r="J77" i="11"/>
  <c r="H75" i="11"/>
  <c r="I78" i="11"/>
  <c r="J24" i="11"/>
  <c r="I66" i="11"/>
  <c r="I53" i="11"/>
  <c r="I54" i="11"/>
  <c r="I67" i="11"/>
  <c r="H54" i="11"/>
  <c r="H67" i="11"/>
  <c r="H66" i="11"/>
  <c r="H53" i="11"/>
  <c r="J67" i="11"/>
  <c r="J54" i="11"/>
  <c r="J66" i="11"/>
  <c r="J53" i="11"/>
  <c r="H65" i="11"/>
  <c r="H52" i="11"/>
  <c r="J44" i="11"/>
  <c r="J65" i="11"/>
  <c r="J52" i="11"/>
  <c r="I65" i="11"/>
  <c r="I52" i="11"/>
  <c r="I44" i="11"/>
  <c r="H44" i="11"/>
  <c r="H19" i="11"/>
  <c r="I23" i="11"/>
  <c r="I19" i="11"/>
  <c r="H29" i="11"/>
  <c r="H39" i="11"/>
  <c r="H32" i="11"/>
  <c r="J34" i="11"/>
  <c r="J18" i="11"/>
  <c r="J27" i="11"/>
  <c r="J32" i="11"/>
  <c r="I32" i="11"/>
  <c r="H23" i="11"/>
  <c r="I34" i="11"/>
  <c r="I28" i="11"/>
  <c r="J29" i="11"/>
  <c r="I29" i="11"/>
  <c r="J33" i="11"/>
  <c r="J38" i="11"/>
  <c r="J23" i="11"/>
  <c r="H18" i="11"/>
  <c r="I18" i="11"/>
  <c r="H43" i="11"/>
  <c r="H31" i="11"/>
  <c r="H34" i="11"/>
  <c r="H38" i="11"/>
  <c r="H27" i="11"/>
  <c r="I24" i="11"/>
  <c r="I33" i="11"/>
  <c r="J43" i="11"/>
  <c r="J39" i="11"/>
  <c r="H22" i="11"/>
  <c r="H28" i="11"/>
  <c r="I43" i="11"/>
  <c r="I39" i="11"/>
  <c r="J22" i="11"/>
  <c r="I38" i="11"/>
  <c r="I27" i="11"/>
  <c r="J28" i="11"/>
  <c r="I22" i="11"/>
  <c r="H24" i="11"/>
  <c r="H33" i="11"/>
  <c r="J19" i="11"/>
  <c r="J31" i="11"/>
  <c r="I31" i="11"/>
  <c r="E1164" i="8"/>
  <c r="D1164" i="8"/>
  <c r="B1164" i="8"/>
  <c r="A1164" i="8"/>
  <c r="E1163" i="8"/>
  <c r="D1163" i="8"/>
  <c r="B1163" i="8"/>
  <c r="A1163" i="8"/>
  <c r="E1162" i="8"/>
  <c r="D1162" i="8"/>
  <c r="B1162" i="8"/>
  <c r="A1162" i="8"/>
  <c r="E1161" i="8"/>
  <c r="D1161" i="8"/>
  <c r="B1161" i="8"/>
  <c r="A1161" i="8"/>
  <c r="E1160" i="8"/>
  <c r="D1160" i="8"/>
  <c r="B1160" i="8"/>
  <c r="A1160" i="8"/>
  <c r="E1159" i="8"/>
  <c r="D1159" i="8"/>
  <c r="B1159" i="8"/>
  <c r="A1159" i="8"/>
  <c r="BM292" i="3" l="1"/>
  <c r="BM293" i="3"/>
  <c r="BM294" i="3"/>
  <c r="BM295" i="3"/>
  <c r="BM296" i="3"/>
  <c r="BM291" i="3"/>
  <c r="BM290" i="3"/>
  <c r="BM208" i="3"/>
  <c r="BM199" i="3"/>
  <c r="BM28" i="3"/>
  <c r="BM243" i="3"/>
  <c r="BM44" i="3"/>
  <c r="BM261" i="3"/>
  <c r="BM191" i="3"/>
  <c r="BM45" i="3"/>
  <c r="BM126" i="3"/>
  <c r="BM41" i="3"/>
  <c r="BM165" i="3"/>
  <c r="BM133" i="3"/>
  <c r="BM250" i="3"/>
  <c r="BM46" i="3"/>
  <c r="BM42" i="3"/>
  <c r="BM168" i="3"/>
  <c r="BM173" i="3"/>
  <c r="BM174" i="3"/>
  <c r="BM37" i="3"/>
  <c r="BM180" i="3"/>
  <c r="BM23" i="3"/>
  <c r="BM284" i="3"/>
  <c r="BM8" i="3"/>
  <c r="BM27" i="3"/>
  <c r="BM54" i="3"/>
  <c r="BM62" i="3"/>
  <c r="BM70" i="3"/>
  <c r="BM78" i="3"/>
  <c r="BM86" i="3"/>
  <c r="BM94" i="3"/>
  <c r="BM102" i="3"/>
  <c r="BM110" i="3"/>
  <c r="BM118" i="3"/>
  <c r="BM134" i="3"/>
  <c r="BM144" i="3"/>
  <c r="BM152" i="3"/>
  <c r="BM161" i="3"/>
  <c r="BM171" i="3"/>
  <c r="BM182" i="3"/>
  <c r="BM190" i="3"/>
  <c r="BM200" i="3"/>
  <c r="BM207" i="3"/>
  <c r="BM218" i="3"/>
  <c r="BM228" i="3"/>
  <c r="BM236" i="3"/>
  <c r="BM247" i="3"/>
  <c r="BM256" i="3"/>
  <c r="BM265" i="3"/>
  <c r="BM273" i="3"/>
  <c r="BM283" i="3"/>
  <c r="BM15" i="3"/>
  <c r="BM160" i="3"/>
  <c r="BM141" i="3"/>
  <c r="BM288" i="3"/>
  <c r="BM11" i="3"/>
  <c r="BM29" i="3"/>
  <c r="BM43" i="3"/>
  <c r="BM55" i="3"/>
  <c r="BM63" i="3"/>
  <c r="BM71" i="3"/>
  <c r="BM79" i="3"/>
  <c r="BM87" i="3"/>
  <c r="BM95" i="3"/>
  <c r="BM103" i="3"/>
  <c r="BM111" i="3"/>
  <c r="BM119" i="3"/>
  <c r="BM127" i="3"/>
  <c r="BM135" i="3"/>
  <c r="BM145" i="3"/>
  <c r="BM153" i="3"/>
  <c r="BM162" i="3"/>
  <c r="BM172" i="3"/>
  <c r="BM183" i="3"/>
  <c r="BM192" i="3"/>
  <c r="BM201" i="3"/>
  <c r="BM211" i="3"/>
  <c r="BM219" i="3"/>
  <c r="BM229" i="3"/>
  <c r="BM237" i="3"/>
  <c r="BM248" i="3"/>
  <c r="BM257" i="3"/>
  <c r="BM266" i="3"/>
  <c r="BM274" i="3"/>
  <c r="BM285" i="3"/>
  <c r="BM140" i="3"/>
  <c r="BM40" i="3"/>
  <c r="BM181" i="3"/>
  <c r="BM24" i="3"/>
  <c r="BM4" i="3"/>
  <c r="BM12" i="3"/>
  <c r="BM30" i="3"/>
  <c r="BM56" i="3"/>
  <c r="BM64" i="3"/>
  <c r="BM72" i="3"/>
  <c r="BM80" i="3"/>
  <c r="BM88" i="3"/>
  <c r="BM96" i="3"/>
  <c r="BM104" i="3"/>
  <c r="BM112" i="3"/>
  <c r="BM120" i="3"/>
  <c r="BM128" i="3"/>
  <c r="BM136" i="3"/>
  <c r="BM146" i="3"/>
  <c r="BM154" i="3"/>
  <c r="BM163" i="3"/>
  <c r="BM184" i="3"/>
  <c r="BM193" i="3"/>
  <c r="BM202" i="3"/>
  <c r="BM212" i="3"/>
  <c r="BM220" i="3"/>
  <c r="BM230" i="3"/>
  <c r="BM238" i="3"/>
  <c r="BM249" i="3"/>
  <c r="BM258" i="3"/>
  <c r="BM267" i="3"/>
  <c r="BM275" i="3"/>
  <c r="BM286" i="3"/>
  <c r="BM138" i="3"/>
  <c r="BM48" i="3"/>
  <c r="BM224" i="3"/>
  <c r="BM5" i="3"/>
  <c r="BM13" i="3"/>
  <c r="BM32" i="3"/>
  <c r="BM47" i="3"/>
  <c r="BM57" i="3"/>
  <c r="BM65" i="3"/>
  <c r="BM73" i="3"/>
  <c r="BM81" i="3"/>
  <c r="BM89" i="3"/>
  <c r="BM97" i="3"/>
  <c r="BM105" i="3"/>
  <c r="BM113" i="3"/>
  <c r="BM121" i="3"/>
  <c r="BM129" i="3"/>
  <c r="BM137" i="3"/>
  <c r="BM147" i="3"/>
  <c r="BM155" i="3"/>
  <c r="BM164" i="3"/>
  <c r="BM175" i="3"/>
  <c r="BM185" i="3"/>
  <c r="BM194" i="3"/>
  <c r="BM203" i="3"/>
  <c r="BM213" i="3"/>
  <c r="BM221" i="3"/>
  <c r="BM231" i="3"/>
  <c r="BM240" i="3"/>
  <c r="BM251" i="3"/>
  <c r="BM259" i="3"/>
  <c r="BM268" i="3"/>
  <c r="BM276" i="3"/>
  <c r="BM287" i="3"/>
  <c r="BM210" i="3"/>
  <c r="BM49" i="3"/>
  <c r="BM242" i="3"/>
  <c r="BM19" i="3"/>
  <c r="BM6" i="3"/>
  <c r="BM21" i="3"/>
  <c r="BM35" i="3"/>
  <c r="BM50" i="3"/>
  <c r="BM58" i="3"/>
  <c r="BM66" i="3"/>
  <c r="BM74" i="3"/>
  <c r="BM82" i="3"/>
  <c r="BM90" i="3"/>
  <c r="BM98" i="3"/>
  <c r="BM106" i="3"/>
  <c r="BM114" i="3"/>
  <c r="BM122" i="3"/>
  <c r="BM130" i="3"/>
  <c r="BM148" i="3"/>
  <c r="BM156" i="3"/>
  <c r="BM166" i="3"/>
  <c r="BM176" i="3"/>
  <c r="BM186" i="3"/>
  <c r="BM195" i="3"/>
  <c r="BM204" i="3"/>
  <c r="BM214" i="3"/>
  <c r="BM222" i="3"/>
  <c r="BM232" i="3"/>
  <c r="BM241" i="3"/>
  <c r="BM252" i="3"/>
  <c r="BM260" i="3"/>
  <c r="BM269" i="3"/>
  <c r="BM278" i="3"/>
  <c r="BM289" i="3"/>
  <c r="BM14" i="3"/>
  <c r="BM16" i="3"/>
  <c r="BM277" i="3"/>
  <c r="BM225" i="3"/>
  <c r="BM9" i="3"/>
  <c r="BM22" i="3"/>
  <c r="BM36" i="3"/>
  <c r="BM51" i="3"/>
  <c r="BM59" i="3"/>
  <c r="BM67" i="3"/>
  <c r="BM75" i="3"/>
  <c r="BM83" i="3"/>
  <c r="BM91" i="3"/>
  <c r="BM99" i="3"/>
  <c r="BM107" i="3"/>
  <c r="BM115" i="3"/>
  <c r="BM123" i="3"/>
  <c r="BM131" i="3"/>
  <c r="BM139" i="3"/>
  <c r="BM149" i="3"/>
  <c r="BM157" i="3"/>
  <c r="BM167" i="3"/>
  <c r="BM177" i="3"/>
  <c r="BM187" i="3"/>
  <c r="BM196" i="3"/>
  <c r="BM205" i="3"/>
  <c r="BM215" i="3"/>
  <c r="BM223" i="3"/>
  <c r="BM233" i="3"/>
  <c r="BM244" i="3"/>
  <c r="BM253" i="3"/>
  <c r="BM262" i="3"/>
  <c r="BM270" i="3"/>
  <c r="BM279" i="3"/>
  <c r="BM33" i="3"/>
  <c r="BM18" i="3"/>
  <c r="BM34" i="3"/>
  <c r="BM282" i="3"/>
  <c r="BM7" i="3"/>
  <c r="BM26" i="3"/>
  <c r="BM39" i="3"/>
  <c r="BM53" i="3"/>
  <c r="BM61" i="3"/>
  <c r="BM69" i="3"/>
  <c r="BM77" i="3"/>
  <c r="BM85" i="3"/>
  <c r="BM93" i="3"/>
  <c r="BM101" i="3"/>
  <c r="BM109" i="3"/>
  <c r="BM117" i="3"/>
  <c r="BM125" i="3"/>
  <c r="BM143" i="3"/>
  <c r="BM151" i="3"/>
  <c r="BM159" i="3"/>
  <c r="BM170" i="3"/>
  <c r="BM179" i="3"/>
  <c r="BM189" i="3"/>
  <c r="BM198" i="3"/>
  <c r="BM209" i="3"/>
  <c r="BM217" i="3"/>
  <c r="BM227" i="3"/>
  <c r="BM235" i="3"/>
  <c r="BM246" i="3"/>
  <c r="BM255" i="3"/>
  <c r="BM264" i="3"/>
  <c r="BM272" i="3"/>
  <c r="BM281" i="3"/>
  <c r="BM25" i="3"/>
  <c r="BM100" i="3"/>
  <c r="BM169" i="3"/>
  <c r="BM245" i="3"/>
  <c r="BM38" i="3"/>
  <c r="BM108" i="3"/>
  <c r="BM178" i="3"/>
  <c r="BM254" i="3"/>
  <c r="BM52" i="3"/>
  <c r="BM116" i="3"/>
  <c r="BM188" i="3"/>
  <c r="BM263" i="3"/>
  <c r="BM31" i="3"/>
  <c r="BM60" i="3"/>
  <c r="BM124" i="3"/>
  <c r="BM197" i="3"/>
  <c r="BM271" i="3"/>
  <c r="BM17" i="3"/>
  <c r="BM68" i="3"/>
  <c r="BM132" i="3"/>
  <c r="BM206" i="3"/>
  <c r="BM280" i="3"/>
  <c r="BM239" i="3"/>
  <c r="BM76" i="3"/>
  <c r="BM142" i="3"/>
  <c r="BM216" i="3"/>
  <c r="BM20" i="3"/>
  <c r="BM84" i="3"/>
  <c r="BM150" i="3"/>
  <c r="BM226" i="3"/>
  <c r="BM10" i="3"/>
  <c r="BM92" i="3"/>
  <c r="BM158" i="3"/>
  <c r="BM234" i="3"/>
  <c r="E1154" i="8"/>
  <c r="D1154" i="8"/>
  <c r="B1154" i="8"/>
  <c r="A1154" i="8"/>
  <c r="E1153" i="8"/>
  <c r="D1153" i="8"/>
  <c r="B1153" i="8"/>
  <c r="A1153" i="8"/>
  <c r="E1152" i="8"/>
  <c r="D1152" i="8"/>
  <c r="B1152" i="8"/>
  <c r="A1152" i="8"/>
  <c r="E1151" i="8"/>
  <c r="D1151" i="8"/>
  <c r="B1151" i="8"/>
  <c r="A1151" i="8"/>
  <c r="E1150" i="8"/>
  <c r="D1150" i="8"/>
  <c r="B1150" i="8"/>
  <c r="A1150" i="8"/>
  <c r="E1149" i="8"/>
  <c r="D1149" i="8"/>
  <c r="B1149" i="8"/>
  <c r="A1149" i="8"/>
  <c r="E1148" i="8"/>
  <c r="D1148" i="8"/>
  <c r="B1148" i="8"/>
  <c r="A1148" i="8"/>
  <c r="E1147" i="8"/>
  <c r="D1147" i="8"/>
  <c r="B1147" i="8"/>
  <c r="A1147" i="8"/>
  <c r="E1146" i="8"/>
  <c r="D1146" i="8"/>
  <c r="B1146" i="8"/>
  <c r="A1146" i="8"/>
  <c r="E1145" i="8"/>
  <c r="D1145" i="8"/>
  <c r="B1145" i="8"/>
  <c r="A1145" i="8"/>
  <c r="E1144" i="8"/>
  <c r="D1144" i="8"/>
  <c r="B1144" i="8"/>
  <c r="A1144" i="8"/>
  <c r="E1143" i="8"/>
  <c r="D1143" i="8"/>
  <c r="B1143" i="8"/>
  <c r="A1143" i="8"/>
  <c r="E1142" i="8"/>
  <c r="D1142" i="8"/>
  <c r="B1142" i="8"/>
  <c r="A1142" i="8"/>
  <c r="E1141" i="8"/>
  <c r="D1141" i="8"/>
  <c r="B1141" i="8"/>
  <c r="A1141" i="8"/>
  <c r="E1140" i="8"/>
  <c r="D1140" i="8"/>
  <c r="B1140" i="8"/>
  <c r="A1140" i="8"/>
  <c r="E1139" i="8"/>
  <c r="D1139" i="8"/>
  <c r="B1139" i="8"/>
  <c r="A1139" i="8"/>
  <c r="E1138" i="8"/>
  <c r="D1138" i="8"/>
  <c r="B1138" i="8"/>
  <c r="A1138" i="8"/>
  <c r="E1137" i="8"/>
  <c r="D1137" i="8"/>
  <c r="B1137" i="8"/>
  <c r="A1137" i="8"/>
  <c r="E1136" i="8"/>
  <c r="D1136" i="8"/>
  <c r="B1136" i="8"/>
  <c r="A1136" i="8"/>
  <c r="E1135" i="8"/>
  <c r="D1135" i="8"/>
  <c r="B1135" i="8"/>
  <c r="A1135" i="8"/>
  <c r="E1134" i="8"/>
  <c r="D1134" i="8"/>
  <c r="B1134" i="8"/>
  <c r="A1134" i="8"/>
  <c r="E1133" i="8"/>
  <c r="D1133" i="8"/>
  <c r="B1133" i="8"/>
  <c r="A1133" i="8"/>
  <c r="E1132" i="8"/>
  <c r="D1132" i="8"/>
  <c r="B1132" i="8"/>
  <c r="A1132" i="8"/>
  <c r="E1131" i="8"/>
  <c r="D1131" i="8"/>
  <c r="B1131" i="8"/>
  <c r="A1131" i="8"/>
  <c r="E1130" i="8"/>
  <c r="D1130" i="8"/>
  <c r="B1130" i="8"/>
  <c r="A1130" i="8"/>
  <c r="E1129" i="8"/>
  <c r="D1129" i="8"/>
  <c r="B1129" i="8"/>
  <c r="A1129" i="8"/>
  <c r="E1128" i="8"/>
  <c r="D1128" i="8"/>
  <c r="B1128" i="8"/>
  <c r="A1128" i="8"/>
  <c r="E1127" i="8"/>
  <c r="D1127" i="8"/>
  <c r="B1127" i="8"/>
  <c r="A1127" i="8"/>
  <c r="BL208" i="3" l="1"/>
  <c r="BL291" i="3"/>
  <c r="BL292" i="3"/>
  <c r="BL293" i="3"/>
  <c r="BL290" i="3"/>
  <c r="BL294" i="3"/>
  <c r="BL295" i="3"/>
  <c r="BL296" i="3"/>
  <c r="BL199" i="3"/>
  <c r="BL28" i="3"/>
  <c r="BL243" i="3"/>
  <c r="BL44" i="3"/>
  <c r="BL261" i="3"/>
  <c r="BL191" i="3"/>
  <c r="BL168" i="3"/>
  <c r="BL126" i="3"/>
  <c r="BL41" i="3"/>
  <c r="BL165" i="3"/>
  <c r="BL45" i="3"/>
  <c r="BL133" i="3"/>
  <c r="BL250" i="3"/>
  <c r="BL42" i="3"/>
  <c r="BL46" i="3"/>
  <c r="BL174" i="3"/>
  <c r="BL173" i="3"/>
  <c r="BL14" i="3"/>
  <c r="BL16" i="3"/>
  <c r="BL33" i="3"/>
  <c r="BL18" i="3"/>
  <c r="BL37" i="3"/>
  <c r="BL180" i="3"/>
  <c r="BL15" i="3"/>
  <c r="BL160" i="3"/>
  <c r="BL49" i="3"/>
  <c r="BL23" i="3"/>
  <c r="BL284" i="3"/>
  <c r="BL9" i="3"/>
  <c r="BL22" i="3"/>
  <c r="BL36" i="3"/>
  <c r="BL51" i="3"/>
  <c r="BL59" i="3"/>
  <c r="BL67" i="3"/>
  <c r="BL75" i="3"/>
  <c r="BL83" i="3"/>
  <c r="BL91" i="3"/>
  <c r="BL99" i="3"/>
  <c r="BL107" i="3"/>
  <c r="BL115" i="3"/>
  <c r="BL123" i="3"/>
  <c r="BL131" i="3"/>
  <c r="BL139" i="3"/>
  <c r="BL149" i="3"/>
  <c r="BL157" i="3"/>
  <c r="BL167" i="3"/>
  <c r="BL177" i="3"/>
  <c r="BL187" i="3"/>
  <c r="BL196" i="3"/>
  <c r="BL205" i="3"/>
  <c r="BL215" i="3"/>
  <c r="BL223" i="3"/>
  <c r="BL233" i="3"/>
  <c r="BL244" i="3"/>
  <c r="BL253" i="3"/>
  <c r="BL262" i="3"/>
  <c r="BL270" i="3"/>
  <c r="BL279" i="3"/>
  <c r="BL17" i="3"/>
  <c r="BL141" i="3"/>
  <c r="BL288" i="3"/>
  <c r="BL10" i="3"/>
  <c r="BL25" i="3"/>
  <c r="BL38" i="3"/>
  <c r="BL52" i="3"/>
  <c r="BL60" i="3"/>
  <c r="BL68" i="3"/>
  <c r="BL76" i="3"/>
  <c r="BL84" i="3"/>
  <c r="BL92" i="3"/>
  <c r="BL100" i="3"/>
  <c r="BL108" i="3"/>
  <c r="BL116" i="3"/>
  <c r="BL124" i="3"/>
  <c r="BL132" i="3"/>
  <c r="BL142" i="3"/>
  <c r="BL150" i="3"/>
  <c r="BL158" i="3"/>
  <c r="BL169" i="3"/>
  <c r="BL178" i="3"/>
  <c r="BL188" i="3"/>
  <c r="BL197" i="3"/>
  <c r="BL206" i="3"/>
  <c r="BL216" i="3"/>
  <c r="BL226" i="3"/>
  <c r="BL234" i="3"/>
  <c r="BL245" i="3"/>
  <c r="BL254" i="3"/>
  <c r="BL263" i="3"/>
  <c r="BL271" i="3"/>
  <c r="BL280" i="3"/>
  <c r="BL140" i="3"/>
  <c r="BL181" i="3"/>
  <c r="BL24" i="3"/>
  <c r="BL7" i="3"/>
  <c r="BL26" i="3"/>
  <c r="BL39" i="3"/>
  <c r="BL53" i="3"/>
  <c r="BL61" i="3"/>
  <c r="BL69" i="3"/>
  <c r="BL77" i="3"/>
  <c r="BL85" i="3"/>
  <c r="BL93" i="3"/>
  <c r="BL101" i="3"/>
  <c r="BL109" i="3"/>
  <c r="BL117" i="3"/>
  <c r="BL125" i="3"/>
  <c r="BL143" i="3"/>
  <c r="BL151" i="3"/>
  <c r="BL159" i="3"/>
  <c r="BL170" i="3"/>
  <c r="BL179" i="3"/>
  <c r="BL189" i="3"/>
  <c r="BL198" i="3"/>
  <c r="BL209" i="3"/>
  <c r="BL217" i="3"/>
  <c r="BL227" i="3"/>
  <c r="BL235" i="3"/>
  <c r="BL246" i="3"/>
  <c r="BL255" i="3"/>
  <c r="BL264" i="3"/>
  <c r="BL272" i="3"/>
  <c r="BL281" i="3"/>
  <c r="BL138" i="3"/>
  <c r="BL224" i="3"/>
  <c r="BL8" i="3"/>
  <c r="BL27" i="3"/>
  <c r="BL54" i="3"/>
  <c r="BL62" i="3"/>
  <c r="BL70" i="3"/>
  <c r="BL78" i="3"/>
  <c r="BL86" i="3"/>
  <c r="BL94" i="3"/>
  <c r="BL102" i="3"/>
  <c r="BL110" i="3"/>
  <c r="BL118" i="3"/>
  <c r="BL134" i="3"/>
  <c r="BL144" i="3"/>
  <c r="BL152" i="3"/>
  <c r="BL161" i="3"/>
  <c r="BL171" i="3"/>
  <c r="BL182" i="3"/>
  <c r="BL190" i="3"/>
  <c r="BL200" i="3"/>
  <c r="BL207" i="3"/>
  <c r="BL218" i="3"/>
  <c r="BL228" i="3"/>
  <c r="BL236" i="3"/>
  <c r="BL247" i="3"/>
  <c r="BL256" i="3"/>
  <c r="BL265" i="3"/>
  <c r="BL273" i="3"/>
  <c r="BL283" i="3"/>
  <c r="BL210" i="3"/>
  <c r="BL242" i="3"/>
  <c r="BL19" i="3"/>
  <c r="BL11" i="3"/>
  <c r="BL29" i="3"/>
  <c r="BL43" i="3"/>
  <c r="BL55" i="3"/>
  <c r="BL63" i="3"/>
  <c r="BL71" i="3"/>
  <c r="BL79" i="3"/>
  <c r="BL87" i="3"/>
  <c r="BL95" i="3"/>
  <c r="BL103" i="3"/>
  <c r="BL111" i="3"/>
  <c r="BL119" i="3"/>
  <c r="BL127" i="3"/>
  <c r="BL135" i="3"/>
  <c r="BL145" i="3"/>
  <c r="BL153" i="3"/>
  <c r="BL162" i="3"/>
  <c r="BL172" i="3"/>
  <c r="BL183" i="3"/>
  <c r="BL192" i="3"/>
  <c r="BL201" i="3"/>
  <c r="BL211" i="3"/>
  <c r="BL219" i="3"/>
  <c r="BL229" i="3"/>
  <c r="BL237" i="3"/>
  <c r="BL248" i="3"/>
  <c r="BL257" i="3"/>
  <c r="BL266" i="3"/>
  <c r="BL274" i="3"/>
  <c r="BL285" i="3"/>
  <c r="BL31" i="3"/>
  <c r="BL277" i="3"/>
  <c r="BL225" i="3"/>
  <c r="BL4" i="3"/>
  <c r="BL12" i="3"/>
  <c r="BL30" i="3"/>
  <c r="BL56" i="3"/>
  <c r="BL64" i="3"/>
  <c r="BL72" i="3"/>
  <c r="BL80" i="3"/>
  <c r="BL88" i="3"/>
  <c r="BL96" i="3"/>
  <c r="BL104" i="3"/>
  <c r="BL112" i="3"/>
  <c r="BL120" i="3"/>
  <c r="BL128" i="3"/>
  <c r="BL136" i="3"/>
  <c r="BL146" i="3"/>
  <c r="BL154" i="3"/>
  <c r="BL163" i="3"/>
  <c r="BL184" i="3"/>
  <c r="BL193" i="3"/>
  <c r="BL202" i="3"/>
  <c r="BL212" i="3"/>
  <c r="BL220" i="3"/>
  <c r="BL230" i="3"/>
  <c r="BL238" i="3"/>
  <c r="BL249" i="3"/>
  <c r="BL258" i="3"/>
  <c r="BL267" i="3"/>
  <c r="BL275" i="3"/>
  <c r="BL286" i="3"/>
  <c r="BL48" i="3"/>
  <c r="BL34" i="3"/>
  <c r="BL282" i="3"/>
  <c r="BL6" i="3"/>
  <c r="BL21" i="3"/>
  <c r="BL35" i="3"/>
  <c r="BL50" i="3"/>
  <c r="BL58" i="3"/>
  <c r="BL66" i="3"/>
  <c r="BL74" i="3"/>
  <c r="BL82" i="3"/>
  <c r="BL90" i="3"/>
  <c r="BL98" i="3"/>
  <c r="BL106" i="3"/>
  <c r="BL114" i="3"/>
  <c r="BL122" i="3"/>
  <c r="BL130" i="3"/>
  <c r="BL148" i="3"/>
  <c r="BL156" i="3"/>
  <c r="BL166" i="3"/>
  <c r="BL176" i="3"/>
  <c r="BL186" i="3"/>
  <c r="BL195" i="3"/>
  <c r="BL204" i="3"/>
  <c r="BL214" i="3"/>
  <c r="BL222" i="3"/>
  <c r="BL232" i="3"/>
  <c r="BL241" i="3"/>
  <c r="BL252" i="3"/>
  <c r="BL260" i="3"/>
  <c r="BL269" i="3"/>
  <c r="BL278" i="3"/>
  <c r="BL289" i="3"/>
  <c r="BL40" i="3"/>
  <c r="BL47" i="3"/>
  <c r="BL113" i="3"/>
  <c r="BL185" i="3"/>
  <c r="BL259" i="3"/>
  <c r="BL239" i="3"/>
  <c r="BL57" i="3"/>
  <c r="BL121" i="3"/>
  <c r="BL194" i="3"/>
  <c r="BL268" i="3"/>
  <c r="BL20" i="3"/>
  <c r="BL65" i="3"/>
  <c r="BL129" i="3"/>
  <c r="BL203" i="3"/>
  <c r="BL276" i="3"/>
  <c r="BL73" i="3"/>
  <c r="BL137" i="3"/>
  <c r="BL213" i="3"/>
  <c r="BL287" i="3"/>
  <c r="BL81" i="3"/>
  <c r="BL147" i="3"/>
  <c r="BL221" i="3"/>
  <c r="BL5" i="3"/>
  <c r="BL89" i="3"/>
  <c r="BL155" i="3"/>
  <c r="BL231" i="3"/>
  <c r="BL13" i="3"/>
  <c r="BL97" i="3"/>
  <c r="BL164" i="3"/>
  <c r="BL240" i="3"/>
  <c r="BL175" i="3"/>
  <c r="BL251" i="3"/>
  <c r="BL105" i="3"/>
  <c r="BL32" i="3"/>
  <c r="E1124" i="8"/>
  <c r="D1124" i="8"/>
  <c r="B1124" i="8"/>
  <c r="A1124" i="8"/>
  <c r="E1123" i="8"/>
  <c r="D1123" i="8"/>
  <c r="B1123" i="8"/>
  <c r="A1123" i="8"/>
  <c r="E1122" i="8"/>
  <c r="D1122" i="8"/>
  <c r="B1122" i="8"/>
  <c r="A1122" i="8"/>
  <c r="E1121" i="8"/>
  <c r="D1121" i="8"/>
  <c r="B1121" i="8"/>
  <c r="A1121" i="8"/>
  <c r="E1120" i="8"/>
  <c r="D1120" i="8"/>
  <c r="B1120" i="8"/>
  <c r="A1120" i="8"/>
  <c r="E1119" i="8"/>
  <c r="D1119" i="8"/>
  <c r="B1119" i="8"/>
  <c r="A1119" i="8"/>
  <c r="E1118" i="8"/>
  <c r="D1118" i="8"/>
  <c r="B1118" i="8"/>
  <c r="A1118" i="8"/>
  <c r="E1117" i="8"/>
  <c r="D1117" i="8"/>
  <c r="B1117" i="8"/>
  <c r="A1117" i="8"/>
  <c r="BK290" i="3" l="1"/>
  <c r="BK291" i="3"/>
  <c r="BK292" i="3"/>
  <c r="BK293" i="3"/>
  <c r="BK294" i="3"/>
  <c r="BK295" i="3"/>
  <c r="BK296" i="3"/>
  <c r="BK208" i="3"/>
  <c r="BK199" i="3"/>
  <c r="BK28" i="3"/>
  <c r="BK126" i="3"/>
  <c r="BK41" i="3"/>
  <c r="BK165" i="3"/>
  <c r="BK45" i="3"/>
  <c r="BK46" i="3"/>
  <c r="BK133" i="3"/>
  <c r="BK250" i="3"/>
  <c r="BK42" i="3"/>
  <c r="BK168" i="3"/>
  <c r="BK243" i="3"/>
  <c r="BK44" i="3"/>
  <c r="BK261" i="3"/>
  <c r="BK191" i="3"/>
  <c r="BK173" i="3"/>
  <c r="BK174" i="3"/>
  <c r="BK22" i="3"/>
  <c r="BK101" i="3"/>
  <c r="BK212" i="3"/>
  <c r="BK51" i="3"/>
  <c r="BK140" i="3"/>
  <c r="BK40" i="3"/>
  <c r="BK181" i="3"/>
  <c r="BK24" i="3"/>
  <c r="BK6" i="3"/>
  <c r="BK21" i="3"/>
  <c r="BK35" i="3"/>
  <c r="BK50" i="3"/>
  <c r="BK58" i="3"/>
  <c r="BK66" i="3"/>
  <c r="BK74" i="3"/>
  <c r="BK82" i="3"/>
  <c r="BK90" i="3"/>
  <c r="BK98" i="3"/>
  <c r="BK106" i="3"/>
  <c r="BK114" i="3"/>
  <c r="BK122" i="3"/>
  <c r="BK130" i="3"/>
  <c r="BK148" i="3"/>
  <c r="BK156" i="3"/>
  <c r="BK166" i="3"/>
  <c r="BK176" i="3"/>
  <c r="BK186" i="3"/>
  <c r="BK195" i="3"/>
  <c r="BK204" i="3"/>
  <c r="BK214" i="3"/>
  <c r="BK222" i="3"/>
  <c r="BK232" i="3"/>
  <c r="BK241" i="3"/>
  <c r="BK252" i="3"/>
  <c r="BK260" i="3"/>
  <c r="BK269" i="3"/>
  <c r="BK278" i="3"/>
  <c r="BK289" i="3"/>
  <c r="BK284" i="3"/>
  <c r="BK64" i="3"/>
  <c r="BK112" i="3"/>
  <c r="BK163" i="3"/>
  <c r="BK220" i="3"/>
  <c r="BK275" i="3"/>
  <c r="BK138" i="3"/>
  <c r="BK48" i="3"/>
  <c r="BK224" i="3"/>
  <c r="BK9" i="3"/>
  <c r="BK36" i="3"/>
  <c r="BK59" i="3"/>
  <c r="BK67" i="3"/>
  <c r="BK75" i="3"/>
  <c r="BK83" i="3"/>
  <c r="BK91" i="3"/>
  <c r="BK99" i="3"/>
  <c r="BK107" i="3"/>
  <c r="BK115" i="3"/>
  <c r="BK123" i="3"/>
  <c r="BK131" i="3"/>
  <c r="BK139" i="3"/>
  <c r="BK149" i="3"/>
  <c r="BK157" i="3"/>
  <c r="BK167" i="3"/>
  <c r="BK177" i="3"/>
  <c r="BK187" i="3"/>
  <c r="BK196" i="3"/>
  <c r="BK205" i="3"/>
  <c r="BK215" i="3"/>
  <c r="BK223" i="3"/>
  <c r="BK233" i="3"/>
  <c r="BK244" i="3"/>
  <c r="BK253" i="3"/>
  <c r="BK262" i="3"/>
  <c r="BK270" i="3"/>
  <c r="BK279" i="3"/>
  <c r="BK37" i="3"/>
  <c r="BK12" i="3"/>
  <c r="BK72" i="3"/>
  <c r="BK120" i="3"/>
  <c r="BK154" i="3"/>
  <c r="BK210" i="3"/>
  <c r="BK49" i="3"/>
  <c r="BK242" i="3"/>
  <c r="BK19" i="3"/>
  <c r="BK10" i="3"/>
  <c r="BK25" i="3"/>
  <c r="BK38" i="3"/>
  <c r="BK52" i="3"/>
  <c r="BK60" i="3"/>
  <c r="BK68" i="3"/>
  <c r="BK76" i="3"/>
  <c r="BK84" i="3"/>
  <c r="BK92" i="3"/>
  <c r="BK100" i="3"/>
  <c r="BK108" i="3"/>
  <c r="BK116" i="3"/>
  <c r="BK124" i="3"/>
  <c r="BK132" i="3"/>
  <c r="BK142" i="3"/>
  <c r="BK150" i="3"/>
  <c r="BK158" i="3"/>
  <c r="BK169" i="3"/>
  <c r="BK178" i="3"/>
  <c r="BK188" i="3"/>
  <c r="BK197" i="3"/>
  <c r="BK206" i="3"/>
  <c r="BK216" i="3"/>
  <c r="BK226" i="3"/>
  <c r="BK234" i="3"/>
  <c r="BK245" i="3"/>
  <c r="BK254" i="3"/>
  <c r="BK263" i="3"/>
  <c r="BK271" i="3"/>
  <c r="BK280" i="3"/>
  <c r="BK14" i="3"/>
  <c r="BK16" i="3"/>
  <c r="BK277" i="3"/>
  <c r="BK225" i="3"/>
  <c r="BK7" i="3"/>
  <c r="BK26" i="3"/>
  <c r="BK39" i="3"/>
  <c r="BK53" i="3"/>
  <c r="BK61" i="3"/>
  <c r="BK69" i="3"/>
  <c r="BK77" i="3"/>
  <c r="BK85" i="3"/>
  <c r="BK93" i="3"/>
  <c r="BK109" i="3"/>
  <c r="BK117" i="3"/>
  <c r="BK125" i="3"/>
  <c r="BK143" i="3"/>
  <c r="BK151" i="3"/>
  <c r="BK159" i="3"/>
  <c r="BK170" i="3"/>
  <c r="BK179" i="3"/>
  <c r="BK189" i="3"/>
  <c r="BK198" i="3"/>
  <c r="BK209" i="3"/>
  <c r="BK217" i="3"/>
  <c r="BK227" i="3"/>
  <c r="BK235" i="3"/>
  <c r="BK246" i="3"/>
  <c r="BK255" i="3"/>
  <c r="BK264" i="3"/>
  <c r="BK272" i="3"/>
  <c r="BK281" i="3"/>
  <c r="BK30" i="3"/>
  <c r="BK88" i="3"/>
  <c r="BK136" i="3"/>
  <c r="BK202" i="3"/>
  <c r="BK258" i="3"/>
  <c r="BK31" i="3"/>
  <c r="BK17" i="3"/>
  <c r="BK239" i="3"/>
  <c r="BK20" i="3"/>
  <c r="BK8" i="3"/>
  <c r="BK27" i="3"/>
  <c r="BK54" i="3"/>
  <c r="BK62" i="3"/>
  <c r="BK70" i="3"/>
  <c r="BK78" i="3"/>
  <c r="BK86" i="3"/>
  <c r="BK94" i="3"/>
  <c r="BK102" i="3"/>
  <c r="BK110" i="3"/>
  <c r="BK118" i="3"/>
  <c r="BK134" i="3"/>
  <c r="BK144" i="3"/>
  <c r="BK152" i="3"/>
  <c r="BK161" i="3"/>
  <c r="BK171" i="3"/>
  <c r="BK182" i="3"/>
  <c r="BK190" i="3"/>
  <c r="BK200" i="3"/>
  <c r="BK207" i="3"/>
  <c r="BK218" i="3"/>
  <c r="BK228" i="3"/>
  <c r="BK236" i="3"/>
  <c r="BK247" i="3"/>
  <c r="BK256" i="3"/>
  <c r="BK265" i="3"/>
  <c r="BK273" i="3"/>
  <c r="BK283" i="3"/>
  <c r="BK23" i="3"/>
  <c r="BK104" i="3"/>
  <c r="BK230" i="3"/>
  <c r="BK286" i="3"/>
  <c r="BK33" i="3"/>
  <c r="BK18" i="3"/>
  <c r="BK34" i="3"/>
  <c r="BK282" i="3"/>
  <c r="BK11" i="3"/>
  <c r="BK29" i="3"/>
  <c r="BK43" i="3"/>
  <c r="BK55" i="3"/>
  <c r="BK63" i="3"/>
  <c r="BK71" i="3"/>
  <c r="BK79" i="3"/>
  <c r="BK87" i="3"/>
  <c r="BK95" i="3"/>
  <c r="BK103" i="3"/>
  <c r="BK111" i="3"/>
  <c r="BK119" i="3"/>
  <c r="BK127" i="3"/>
  <c r="BK135" i="3"/>
  <c r="BK145" i="3"/>
  <c r="BK153" i="3"/>
  <c r="BK162" i="3"/>
  <c r="BK172" i="3"/>
  <c r="BK183" i="3"/>
  <c r="BK192" i="3"/>
  <c r="BK201" i="3"/>
  <c r="BK211" i="3"/>
  <c r="BK219" i="3"/>
  <c r="BK229" i="3"/>
  <c r="BK237" i="3"/>
  <c r="BK248" i="3"/>
  <c r="BK257" i="3"/>
  <c r="BK266" i="3"/>
  <c r="BK274" i="3"/>
  <c r="BK285" i="3"/>
  <c r="BK56" i="3"/>
  <c r="BK96" i="3"/>
  <c r="BK146" i="3"/>
  <c r="BK193" i="3"/>
  <c r="BK238" i="3"/>
  <c r="BK267" i="3"/>
  <c r="BK15" i="3"/>
  <c r="BK160" i="3"/>
  <c r="BK141" i="3"/>
  <c r="BK288" i="3"/>
  <c r="BK5" i="3"/>
  <c r="BK13" i="3"/>
  <c r="BK32" i="3"/>
  <c r="BK47" i="3"/>
  <c r="BK57" i="3"/>
  <c r="BK65" i="3"/>
  <c r="BK73" i="3"/>
  <c r="BK81" i="3"/>
  <c r="BK89" i="3"/>
  <c r="BK97" i="3"/>
  <c r="BK105" i="3"/>
  <c r="BK113" i="3"/>
  <c r="BK121" i="3"/>
  <c r="BK129" i="3"/>
  <c r="BK137" i="3"/>
  <c r="BK147" i="3"/>
  <c r="BK155" i="3"/>
  <c r="BK164" i="3"/>
  <c r="BK175" i="3"/>
  <c r="BK185" i="3"/>
  <c r="BK194" i="3"/>
  <c r="BK203" i="3"/>
  <c r="BK213" i="3"/>
  <c r="BK221" i="3"/>
  <c r="BK231" i="3"/>
  <c r="BK240" i="3"/>
  <c r="BK251" i="3"/>
  <c r="BK259" i="3"/>
  <c r="BK268" i="3"/>
  <c r="BK276" i="3"/>
  <c r="BK287" i="3"/>
  <c r="BK180" i="3"/>
  <c r="BK4" i="3"/>
  <c r="BK80" i="3"/>
  <c r="BK128" i="3"/>
  <c r="BK184" i="3"/>
  <c r="BK249" i="3"/>
  <c r="E1114" i="8"/>
  <c r="D1114" i="8"/>
  <c r="B1114" i="8"/>
  <c r="A1114" i="8"/>
  <c r="E1113" i="8"/>
  <c r="D1113" i="8"/>
  <c r="B1113" i="8"/>
  <c r="A1113" i="8"/>
  <c r="E1112" i="8"/>
  <c r="D1112" i="8"/>
  <c r="B1112" i="8"/>
  <c r="A1112" i="8"/>
  <c r="E1111" i="8"/>
  <c r="D1111" i="8"/>
  <c r="B1111" i="8"/>
  <c r="A1111" i="8"/>
  <c r="E1110" i="8"/>
  <c r="D1110" i="8"/>
  <c r="B1110" i="8"/>
  <c r="A1110" i="8"/>
  <c r="E1109" i="8"/>
  <c r="D1109" i="8"/>
  <c r="B1109" i="8"/>
  <c r="A1109" i="8"/>
  <c r="E1108" i="8"/>
  <c r="D1108" i="8"/>
  <c r="B1108" i="8"/>
  <c r="A1108" i="8"/>
  <c r="E1107" i="8"/>
  <c r="D1107" i="8"/>
  <c r="B1107" i="8"/>
  <c r="A1107" i="8"/>
  <c r="BJ208" i="3" l="1"/>
  <c r="BJ290" i="3"/>
  <c r="BJ296" i="3"/>
  <c r="BJ291" i="3"/>
  <c r="BJ292" i="3"/>
  <c r="BJ293" i="3"/>
  <c r="BJ294" i="3"/>
  <c r="BJ295" i="3"/>
  <c r="BJ199" i="3"/>
  <c r="BJ28" i="3"/>
  <c r="BJ133" i="3"/>
  <c r="BJ165" i="3"/>
  <c r="BJ191" i="3"/>
  <c r="BJ126" i="3"/>
  <c r="BJ44" i="3"/>
  <c r="BJ45" i="3"/>
  <c r="BJ42" i="3"/>
  <c r="BJ46" i="3"/>
  <c r="BJ250" i="3"/>
  <c r="BJ41" i="3"/>
  <c r="BJ261" i="3"/>
  <c r="BJ243" i="3"/>
  <c r="BJ168" i="3"/>
  <c r="BJ173" i="3"/>
  <c r="BJ174" i="3"/>
  <c r="BJ14" i="3"/>
  <c r="BJ16" i="3"/>
  <c r="BJ277" i="3"/>
  <c r="BJ225" i="3"/>
  <c r="BJ33" i="3"/>
  <c r="BJ18" i="3"/>
  <c r="BJ34" i="3"/>
  <c r="BJ282" i="3"/>
  <c r="BJ37" i="3"/>
  <c r="BJ180" i="3"/>
  <c r="BJ23" i="3"/>
  <c r="BJ284" i="3"/>
  <c r="BJ15" i="3"/>
  <c r="BJ160" i="3"/>
  <c r="BJ141" i="3"/>
  <c r="BJ288" i="3"/>
  <c r="BJ49" i="3"/>
  <c r="BJ19" i="3"/>
  <c r="BJ17" i="3"/>
  <c r="BJ20" i="3"/>
  <c r="BJ140" i="3"/>
  <c r="BJ181" i="3"/>
  <c r="BJ138" i="3"/>
  <c r="BJ210" i="3"/>
  <c r="BJ242" i="3"/>
  <c r="BJ4" i="3"/>
  <c r="BJ31" i="3"/>
  <c r="BJ239" i="3"/>
  <c r="BJ5" i="3"/>
  <c r="BJ48" i="3"/>
  <c r="BJ224" i="3"/>
  <c r="BJ9" i="3"/>
  <c r="BJ8" i="3"/>
  <c r="BJ27" i="3"/>
  <c r="BJ54" i="3"/>
  <c r="BJ62" i="3"/>
  <c r="BJ70" i="3"/>
  <c r="BJ78" i="3"/>
  <c r="BJ86" i="3"/>
  <c r="BJ94" i="3"/>
  <c r="BJ102" i="3"/>
  <c r="BJ110" i="3"/>
  <c r="BJ118" i="3"/>
  <c r="BJ134" i="3"/>
  <c r="BJ144" i="3"/>
  <c r="BJ152" i="3"/>
  <c r="BJ161" i="3"/>
  <c r="BJ171" i="3"/>
  <c r="BJ182" i="3"/>
  <c r="BJ190" i="3"/>
  <c r="BJ200" i="3"/>
  <c r="BJ207" i="3"/>
  <c r="BJ218" i="3"/>
  <c r="BJ228" i="3"/>
  <c r="BJ236" i="3"/>
  <c r="BJ247" i="3"/>
  <c r="BJ256" i="3"/>
  <c r="BJ265" i="3"/>
  <c r="BJ273" i="3"/>
  <c r="BJ283" i="3"/>
  <c r="BJ11" i="3"/>
  <c r="BJ29" i="3"/>
  <c r="BJ43" i="3"/>
  <c r="BJ55" i="3"/>
  <c r="BJ63" i="3"/>
  <c r="BJ71" i="3"/>
  <c r="BJ79" i="3"/>
  <c r="BJ87" i="3"/>
  <c r="BJ95" i="3"/>
  <c r="BJ103" i="3"/>
  <c r="BJ111" i="3"/>
  <c r="BJ119" i="3"/>
  <c r="BJ127" i="3"/>
  <c r="BJ135" i="3"/>
  <c r="BJ145" i="3"/>
  <c r="BJ153" i="3"/>
  <c r="BJ162" i="3"/>
  <c r="BJ172" i="3"/>
  <c r="BJ183" i="3"/>
  <c r="BJ192" i="3"/>
  <c r="BJ201" i="3"/>
  <c r="BJ211" i="3"/>
  <c r="BJ219" i="3"/>
  <c r="BJ229" i="3"/>
  <c r="BJ237" i="3"/>
  <c r="BJ248" i="3"/>
  <c r="BJ257" i="3"/>
  <c r="BJ266" i="3"/>
  <c r="BJ274" i="3"/>
  <c r="BJ285" i="3"/>
  <c r="BJ12" i="3"/>
  <c r="BJ30" i="3"/>
  <c r="BJ56" i="3"/>
  <c r="BJ64" i="3"/>
  <c r="BJ72" i="3"/>
  <c r="BJ80" i="3"/>
  <c r="BJ88" i="3"/>
  <c r="BJ96" i="3"/>
  <c r="BJ104" i="3"/>
  <c r="BJ112" i="3"/>
  <c r="BJ120" i="3"/>
  <c r="BJ128" i="3"/>
  <c r="BJ136" i="3"/>
  <c r="BJ146" i="3"/>
  <c r="BJ154" i="3"/>
  <c r="BJ163" i="3"/>
  <c r="BJ184" i="3"/>
  <c r="BJ193" i="3"/>
  <c r="BJ202" i="3"/>
  <c r="BJ212" i="3"/>
  <c r="BJ220" i="3"/>
  <c r="BJ230" i="3"/>
  <c r="BJ238" i="3"/>
  <c r="BJ249" i="3"/>
  <c r="BJ258" i="3"/>
  <c r="BJ267" i="3"/>
  <c r="BJ275" i="3"/>
  <c r="BJ286" i="3"/>
  <c r="BJ13" i="3"/>
  <c r="BJ32" i="3"/>
  <c r="BJ47" i="3"/>
  <c r="BJ57" i="3"/>
  <c r="BJ65" i="3"/>
  <c r="BJ73" i="3"/>
  <c r="BJ81" i="3"/>
  <c r="BJ89" i="3"/>
  <c r="BJ97" i="3"/>
  <c r="BJ105" i="3"/>
  <c r="BJ113" i="3"/>
  <c r="BJ121" i="3"/>
  <c r="BJ129" i="3"/>
  <c r="BJ137" i="3"/>
  <c r="BJ147" i="3"/>
  <c r="BJ155" i="3"/>
  <c r="BJ164" i="3"/>
  <c r="BJ175" i="3"/>
  <c r="BJ185" i="3"/>
  <c r="BJ194" i="3"/>
  <c r="BJ203" i="3"/>
  <c r="BJ213" i="3"/>
  <c r="BJ221" i="3"/>
  <c r="BJ231" i="3"/>
  <c r="BJ240" i="3"/>
  <c r="BJ251" i="3"/>
  <c r="BJ259" i="3"/>
  <c r="BJ268" i="3"/>
  <c r="BJ276" i="3"/>
  <c r="BJ287" i="3"/>
  <c r="BJ21" i="3"/>
  <c r="BJ35" i="3"/>
  <c r="BJ50" i="3"/>
  <c r="BJ58" i="3"/>
  <c r="BJ66" i="3"/>
  <c r="BJ74" i="3"/>
  <c r="BJ82" i="3"/>
  <c r="BJ90" i="3"/>
  <c r="BJ98" i="3"/>
  <c r="BJ106" i="3"/>
  <c r="BJ114" i="3"/>
  <c r="BJ122" i="3"/>
  <c r="BJ130" i="3"/>
  <c r="BJ148" i="3"/>
  <c r="BJ156" i="3"/>
  <c r="BJ166" i="3"/>
  <c r="BJ176" i="3"/>
  <c r="BJ186" i="3"/>
  <c r="BJ195" i="3"/>
  <c r="BJ204" i="3"/>
  <c r="BJ214" i="3"/>
  <c r="BJ222" i="3"/>
  <c r="BJ232" i="3"/>
  <c r="BJ241" i="3"/>
  <c r="BJ252" i="3"/>
  <c r="BJ260" i="3"/>
  <c r="BJ269" i="3"/>
  <c r="BJ278" i="3"/>
  <c r="BJ289" i="3"/>
  <c r="BJ6" i="3"/>
  <c r="BJ22" i="3"/>
  <c r="BJ36" i="3"/>
  <c r="BJ51" i="3"/>
  <c r="BJ59" i="3"/>
  <c r="BJ67" i="3"/>
  <c r="BJ75" i="3"/>
  <c r="BJ83" i="3"/>
  <c r="BJ91" i="3"/>
  <c r="BJ99" i="3"/>
  <c r="BJ107" i="3"/>
  <c r="BJ115" i="3"/>
  <c r="BJ123" i="3"/>
  <c r="BJ131" i="3"/>
  <c r="BJ139" i="3"/>
  <c r="BJ149" i="3"/>
  <c r="BJ157" i="3"/>
  <c r="BJ167" i="3"/>
  <c r="BJ177" i="3"/>
  <c r="BJ187" i="3"/>
  <c r="BJ196" i="3"/>
  <c r="BJ205" i="3"/>
  <c r="BJ215" i="3"/>
  <c r="BJ223" i="3"/>
  <c r="BJ233" i="3"/>
  <c r="BJ244" i="3"/>
  <c r="BJ253" i="3"/>
  <c r="BJ262" i="3"/>
  <c r="BJ270" i="3"/>
  <c r="BJ279" i="3"/>
  <c r="BJ40" i="3"/>
  <c r="BJ10" i="3"/>
  <c r="BJ25" i="3"/>
  <c r="BJ38" i="3"/>
  <c r="BJ52" i="3"/>
  <c r="BJ60" i="3"/>
  <c r="BJ68" i="3"/>
  <c r="BJ76" i="3"/>
  <c r="BJ84" i="3"/>
  <c r="BJ92" i="3"/>
  <c r="BJ100" i="3"/>
  <c r="BJ108" i="3"/>
  <c r="BJ116" i="3"/>
  <c r="BJ124" i="3"/>
  <c r="BJ132" i="3"/>
  <c r="BJ142" i="3"/>
  <c r="BJ150" i="3"/>
  <c r="BJ158" i="3"/>
  <c r="BJ169" i="3"/>
  <c r="BJ178" i="3"/>
  <c r="BJ188" i="3"/>
  <c r="BJ197" i="3"/>
  <c r="BJ206" i="3"/>
  <c r="BJ216" i="3"/>
  <c r="BJ226" i="3"/>
  <c r="BJ234" i="3"/>
  <c r="BJ245" i="3"/>
  <c r="BJ254" i="3"/>
  <c r="BJ263" i="3"/>
  <c r="BJ271" i="3"/>
  <c r="BJ280" i="3"/>
  <c r="BJ77" i="3"/>
  <c r="BJ143" i="3"/>
  <c r="BJ217" i="3"/>
  <c r="BJ24" i="3"/>
  <c r="BJ85" i="3"/>
  <c r="BJ151" i="3"/>
  <c r="BJ227" i="3"/>
  <c r="BJ7" i="3"/>
  <c r="BJ93" i="3"/>
  <c r="BJ159" i="3"/>
  <c r="BJ235" i="3"/>
  <c r="BJ26" i="3"/>
  <c r="BJ101" i="3"/>
  <c r="BJ170" i="3"/>
  <c r="BJ246" i="3"/>
  <c r="BJ39" i="3"/>
  <c r="BJ109" i="3"/>
  <c r="BJ179" i="3"/>
  <c r="BJ255" i="3"/>
  <c r="BJ53" i="3"/>
  <c r="BJ117" i="3"/>
  <c r="BJ189" i="3"/>
  <c r="BJ264" i="3"/>
  <c r="BJ69" i="3"/>
  <c r="BJ209" i="3"/>
  <c r="BJ281" i="3"/>
  <c r="BJ61" i="3"/>
  <c r="BJ125" i="3"/>
  <c r="BJ198" i="3"/>
  <c r="BJ272" i="3"/>
  <c r="E1102" i="8"/>
  <c r="D1102" i="8"/>
  <c r="B1102" i="8"/>
  <c r="A1102" i="8"/>
  <c r="E1101" i="8"/>
  <c r="D1101" i="8"/>
  <c r="B1101" i="8"/>
  <c r="A1101" i="8"/>
  <c r="E1100" i="8"/>
  <c r="D1100" i="8"/>
  <c r="B1100" i="8"/>
  <c r="A1100" i="8"/>
  <c r="E1099" i="8"/>
  <c r="D1099" i="8"/>
  <c r="B1099" i="8"/>
  <c r="A1099" i="8"/>
  <c r="E1098" i="8"/>
  <c r="D1098" i="8"/>
  <c r="B1098" i="8"/>
  <c r="A1098" i="8"/>
  <c r="E1097" i="8"/>
  <c r="D1097" i="8"/>
  <c r="B1097" i="8"/>
  <c r="A1097" i="8"/>
  <c r="E1096" i="8"/>
  <c r="D1096" i="8"/>
  <c r="B1096" i="8"/>
  <c r="A1096" i="8"/>
  <c r="E1095" i="8"/>
  <c r="D1095" i="8"/>
  <c r="B1095" i="8"/>
  <c r="A1095" i="8"/>
  <c r="E1094" i="8"/>
  <c r="D1094" i="8"/>
  <c r="B1094" i="8"/>
  <c r="A1094" i="8"/>
  <c r="E1093" i="8"/>
  <c r="D1093" i="8"/>
  <c r="B1093" i="8"/>
  <c r="A1093" i="8"/>
  <c r="E1092" i="8"/>
  <c r="D1092" i="8"/>
  <c r="B1092" i="8"/>
  <c r="A1092" i="8"/>
  <c r="E1091" i="8"/>
  <c r="D1091" i="8"/>
  <c r="B1091" i="8"/>
  <c r="A1091" i="8"/>
  <c r="E1090" i="8"/>
  <c r="D1090" i="8"/>
  <c r="B1090" i="8"/>
  <c r="A1090" i="8"/>
  <c r="E1089" i="8"/>
  <c r="D1089" i="8"/>
  <c r="B1089" i="8"/>
  <c r="A1089" i="8"/>
  <c r="E1088" i="8"/>
  <c r="D1088" i="8"/>
  <c r="B1088" i="8"/>
  <c r="A1088" i="8"/>
  <c r="E1087" i="8"/>
  <c r="D1087" i="8"/>
  <c r="B1087" i="8"/>
  <c r="A1087" i="8"/>
  <c r="E1086" i="8"/>
  <c r="D1086" i="8"/>
  <c r="B1086" i="8"/>
  <c r="A1086" i="8"/>
  <c r="E1085" i="8"/>
  <c r="D1085" i="8"/>
  <c r="B1085" i="8"/>
  <c r="A1085" i="8"/>
  <c r="E1084" i="8"/>
  <c r="D1084" i="8"/>
  <c r="B1084" i="8"/>
  <c r="A1084" i="8"/>
  <c r="E1083" i="8"/>
  <c r="D1083" i="8"/>
  <c r="B1083" i="8"/>
  <c r="A1083" i="8"/>
  <c r="E1082" i="8"/>
  <c r="D1082" i="8"/>
  <c r="B1082" i="8"/>
  <c r="A1082" i="8"/>
  <c r="E1081" i="8"/>
  <c r="D1081" i="8"/>
  <c r="B1081" i="8"/>
  <c r="A1081" i="8"/>
  <c r="E1080" i="8"/>
  <c r="D1080" i="8"/>
  <c r="B1080" i="8"/>
  <c r="A1080" i="8"/>
  <c r="E1079" i="8"/>
  <c r="D1079" i="8"/>
  <c r="B1079" i="8"/>
  <c r="A1079" i="8"/>
  <c r="E1078" i="8"/>
  <c r="D1078" i="8"/>
  <c r="B1078" i="8"/>
  <c r="A1078" i="8"/>
  <c r="E1077" i="8"/>
  <c r="D1077" i="8"/>
  <c r="B1077" i="8"/>
  <c r="A1077" i="8"/>
  <c r="E1076" i="8"/>
  <c r="D1076" i="8"/>
  <c r="B1076" i="8"/>
  <c r="A1076" i="8"/>
  <c r="E1075" i="8"/>
  <c r="D1075" i="8"/>
  <c r="B1075" i="8"/>
  <c r="A1075" i="8"/>
  <c r="BI296" i="3" l="1"/>
  <c r="BI290" i="3"/>
  <c r="BI291" i="3"/>
  <c r="BI292" i="3"/>
  <c r="BI293" i="3"/>
  <c r="BI295" i="3"/>
  <c r="BI294" i="3"/>
  <c r="BI208" i="3"/>
  <c r="BI199" i="3"/>
  <c r="BI28" i="3"/>
  <c r="BI126" i="3"/>
  <c r="BI45" i="3"/>
  <c r="BI41" i="3"/>
  <c r="BI165" i="3"/>
  <c r="BI243" i="3"/>
  <c r="BI191" i="3"/>
  <c r="BI46" i="3"/>
  <c r="BI133" i="3"/>
  <c r="BI250" i="3"/>
  <c r="BI42" i="3"/>
  <c r="BI168" i="3"/>
  <c r="BI261" i="3"/>
  <c r="BI44" i="3"/>
  <c r="BI173" i="3"/>
  <c r="BI174" i="3"/>
  <c r="BI14" i="3"/>
  <c r="BI16" i="3"/>
  <c r="BI277" i="3"/>
  <c r="BI225" i="3"/>
  <c r="BI33" i="3"/>
  <c r="BI18" i="3"/>
  <c r="BI34" i="3"/>
  <c r="BI282" i="3"/>
  <c r="BI37" i="3"/>
  <c r="BI180" i="3"/>
  <c r="BI23" i="3"/>
  <c r="BI284" i="3"/>
  <c r="BI15" i="3"/>
  <c r="BI160" i="3"/>
  <c r="BI141" i="3"/>
  <c r="BI288" i="3"/>
  <c r="BI49" i="3"/>
  <c r="BI19" i="3"/>
  <c r="BI17" i="3"/>
  <c r="BI20" i="3"/>
  <c r="BI140" i="3"/>
  <c r="BI181" i="3"/>
  <c r="BI138" i="3"/>
  <c r="BI210" i="3"/>
  <c r="BI242" i="3"/>
  <c r="BI31" i="3"/>
  <c r="BI239" i="3"/>
  <c r="BI48" i="3"/>
  <c r="BI224" i="3"/>
  <c r="BI9" i="3"/>
  <c r="BI22" i="3"/>
  <c r="BI36" i="3"/>
  <c r="BI51" i="3"/>
  <c r="BI59" i="3"/>
  <c r="BI67" i="3"/>
  <c r="BI75" i="3"/>
  <c r="BI83" i="3"/>
  <c r="BI91" i="3"/>
  <c r="BI99" i="3"/>
  <c r="BI107" i="3"/>
  <c r="BI115" i="3"/>
  <c r="BI123" i="3"/>
  <c r="BI131" i="3"/>
  <c r="BI139" i="3"/>
  <c r="BI149" i="3"/>
  <c r="BI157" i="3"/>
  <c r="BI167" i="3"/>
  <c r="BI10" i="3"/>
  <c r="BI25" i="3"/>
  <c r="BI38" i="3"/>
  <c r="BI52" i="3"/>
  <c r="BI60" i="3"/>
  <c r="BI68" i="3"/>
  <c r="BI76" i="3"/>
  <c r="BI84" i="3"/>
  <c r="BI92" i="3"/>
  <c r="BI100" i="3"/>
  <c r="BI108" i="3"/>
  <c r="BI116" i="3"/>
  <c r="BI124" i="3"/>
  <c r="BI132" i="3"/>
  <c r="BI142" i="3"/>
  <c r="BI150" i="3"/>
  <c r="BI158" i="3"/>
  <c r="BI169" i="3"/>
  <c r="BI178" i="3"/>
  <c r="BI188" i="3"/>
  <c r="BI197" i="3"/>
  <c r="BI206" i="3"/>
  <c r="BI216" i="3"/>
  <c r="BI226" i="3"/>
  <c r="BI234" i="3"/>
  <c r="BI245" i="3"/>
  <c r="BI254" i="3"/>
  <c r="BI263" i="3"/>
  <c r="BI271" i="3"/>
  <c r="BI280" i="3"/>
  <c r="BI7" i="3"/>
  <c r="BI26" i="3"/>
  <c r="BI39" i="3"/>
  <c r="BI53" i="3"/>
  <c r="BI61" i="3"/>
  <c r="BI69" i="3"/>
  <c r="BI77" i="3"/>
  <c r="BI85" i="3"/>
  <c r="BI93" i="3"/>
  <c r="BI101" i="3"/>
  <c r="BI109" i="3"/>
  <c r="BI117" i="3"/>
  <c r="BI125" i="3"/>
  <c r="BI143" i="3"/>
  <c r="BI151" i="3"/>
  <c r="BI159" i="3"/>
  <c r="BI170" i="3"/>
  <c r="BI179" i="3"/>
  <c r="BI189" i="3"/>
  <c r="BI198" i="3"/>
  <c r="BI209" i="3"/>
  <c r="BI217" i="3"/>
  <c r="BI227" i="3"/>
  <c r="BI235" i="3"/>
  <c r="BI246" i="3"/>
  <c r="BI255" i="3"/>
  <c r="BI264" i="3"/>
  <c r="BI272" i="3"/>
  <c r="BI281" i="3"/>
  <c r="BI8" i="3"/>
  <c r="BI27" i="3"/>
  <c r="BI54" i="3"/>
  <c r="BI62" i="3"/>
  <c r="BI70" i="3"/>
  <c r="BI78" i="3"/>
  <c r="BI86" i="3"/>
  <c r="BI94" i="3"/>
  <c r="BI102" i="3"/>
  <c r="BI110" i="3"/>
  <c r="BI118" i="3"/>
  <c r="BI134" i="3"/>
  <c r="BI144" i="3"/>
  <c r="BI152" i="3"/>
  <c r="BI161" i="3"/>
  <c r="BI171" i="3"/>
  <c r="BI182" i="3"/>
  <c r="BI40" i="3"/>
  <c r="BI11" i="3"/>
  <c r="BI29" i="3"/>
  <c r="BI43" i="3"/>
  <c r="BI55" i="3"/>
  <c r="BI63" i="3"/>
  <c r="BI71" i="3"/>
  <c r="BI79" i="3"/>
  <c r="BI87" i="3"/>
  <c r="BI95" i="3"/>
  <c r="BI103" i="3"/>
  <c r="BI111" i="3"/>
  <c r="BI119" i="3"/>
  <c r="BI127" i="3"/>
  <c r="BI135" i="3"/>
  <c r="BI145" i="3"/>
  <c r="BI153" i="3"/>
  <c r="BI162" i="3"/>
  <c r="BI24" i="3"/>
  <c r="BI4" i="3"/>
  <c r="BI12" i="3"/>
  <c r="BI30" i="3"/>
  <c r="BI56" i="3"/>
  <c r="BI64" i="3"/>
  <c r="BI72" i="3"/>
  <c r="BI80" i="3"/>
  <c r="BI88" i="3"/>
  <c r="BI96" i="3"/>
  <c r="BI104" i="3"/>
  <c r="BI112" i="3"/>
  <c r="BI120" i="3"/>
  <c r="BI128" i="3"/>
  <c r="BI136" i="3"/>
  <c r="BI146" i="3"/>
  <c r="BI154" i="3"/>
  <c r="BI163" i="3"/>
  <c r="BI184" i="3"/>
  <c r="BI193" i="3"/>
  <c r="BI202" i="3"/>
  <c r="BI212" i="3"/>
  <c r="BI220" i="3"/>
  <c r="BI230" i="3"/>
  <c r="BI238" i="3"/>
  <c r="BI249" i="3"/>
  <c r="BI258" i="3"/>
  <c r="BI267" i="3"/>
  <c r="BI275" i="3"/>
  <c r="BI286" i="3"/>
  <c r="BI5" i="3"/>
  <c r="BI13" i="3"/>
  <c r="BI32" i="3"/>
  <c r="BI47" i="3"/>
  <c r="BI57" i="3"/>
  <c r="BI65" i="3"/>
  <c r="BI73" i="3"/>
  <c r="BI81" i="3"/>
  <c r="BI89" i="3"/>
  <c r="BI97" i="3"/>
  <c r="BI105" i="3"/>
  <c r="BI113" i="3"/>
  <c r="BI121" i="3"/>
  <c r="BI129" i="3"/>
  <c r="BI137" i="3"/>
  <c r="BI147" i="3"/>
  <c r="BI155" i="3"/>
  <c r="BI164" i="3"/>
  <c r="BI175" i="3"/>
  <c r="BI185" i="3"/>
  <c r="BI194" i="3"/>
  <c r="BI203" i="3"/>
  <c r="BI213" i="3"/>
  <c r="BI221" i="3"/>
  <c r="BI231" i="3"/>
  <c r="BI240" i="3"/>
  <c r="BI251" i="3"/>
  <c r="BI259" i="3"/>
  <c r="BI268" i="3"/>
  <c r="BI276" i="3"/>
  <c r="BI287" i="3"/>
  <c r="BI6" i="3"/>
  <c r="BI90" i="3"/>
  <c r="BI156" i="3"/>
  <c r="BI190" i="3"/>
  <c r="BI207" i="3"/>
  <c r="BI228" i="3"/>
  <c r="BI247" i="3"/>
  <c r="BI265" i="3"/>
  <c r="BI283" i="3"/>
  <c r="BI21" i="3"/>
  <c r="BI98" i="3"/>
  <c r="BI166" i="3"/>
  <c r="BI192" i="3"/>
  <c r="BI211" i="3"/>
  <c r="BI229" i="3"/>
  <c r="BI248" i="3"/>
  <c r="BI266" i="3"/>
  <c r="BI285" i="3"/>
  <c r="BI35" i="3"/>
  <c r="BI106" i="3"/>
  <c r="BI172" i="3"/>
  <c r="BI195" i="3"/>
  <c r="BI214" i="3"/>
  <c r="BI232" i="3"/>
  <c r="BI252" i="3"/>
  <c r="BI269" i="3"/>
  <c r="BI289" i="3"/>
  <c r="BI50" i="3"/>
  <c r="BI114" i="3"/>
  <c r="BI176" i="3"/>
  <c r="BI196" i="3"/>
  <c r="BI215" i="3"/>
  <c r="BI233" i="3"/>
  <c r="BI253" i="3"/>
  <c r="BI270" i="3"/>
  <c r="BI58" i="3"/>
  <c r="BI122" i="3"/>
  <c r="BI177" i="3"/>
  <c r="BI200" i="3"/>
  <c r="BI218" i="3"/>
  <c r="BI236" i="3"/>
  <c r="BI256" i="3"/>
  <c r="BI273" i="3"/>
  <c r="BI66" i="3"/>
  <c r="BI130" i="3"/>
  <c r="BI183" i="3"/>
  <c r="BI201" i="3"/>
  <c r="BI219" i="3"/>
  <c r="BI237" i="3"/>
  <c r="BI257" i="3"/>
  <c r="BI274" i="3"/>
  <c r="BI82" i="3"/>
  <c r="BI148" i="3"/>
  <c r="BI187" i="3"/>
  <c r="BI205" i="3"/>
  <c r="BI223" i="3"/>
  <c r="BI244" i="3"/>
  <c r="BI262" i="3"/>
  <c r="BI279" i="3"/>
  <c r="BI204" i="3"/>
  <c r="BI222" i="3"/>
  <c r="BI241" i="3"/>
  <c r="BI260" i="3"/>
  <c r="BI278" i="3"/>
  <c r="BI74" i="3"/>
  <c r="BI186" i="3"/>
  <c r="E1072" i="8"/>
  <c r="D1072" i="8"/>
  <c r="B1072" i="8"/>
  <c r="A1072" i="8"/>
  <c r="E1071" i="8"/>
  <c r="D1071" i="8"/>
  <c r="B1071" i="8"/>
  <c r="A1071" i="8"/>
  <c r="E1070" i="8"/>
  <c r="D1070" i="8"/>
  <c r="B1070" i="8"/>
  <c r="A1070" i="8"/>
  <c r="E1069" i="8"/>
  <c r="D1069" i="8"/>
  <c r="B1069" i="8"/>
  <c r="A1069" i="8"/>
  <c r="E1068" i="8"/>
  <c r="D1068" i="8"/>
  <c r="B1068" i="8"/>
  <c r="A1068" i="8"/>
  <c r="E1067" i="8"/>
  <c r="D1067" i="8"/>
  <c r="B1067" i="8"/>
  <c r="A1067" i="8"/>
  <c r="BH208" i="3" l="1"/>
  <c r="BH295" i="3"/>
  <c r="BH296" i="3"/>
  <c r="BH290" i="3"/>
  <c r="BH291" i="3"/>
  <c r="BH292" i="3"/>
  <c r="BH293" i="3"/>
  <c r="BH294" i="3"/>
  <c r="BH199" i="3"/>
  <c r="BH28" i="3"/>
  <c r="BH133" i="3"/>
  <c r="BH250" i="3"/>
  <c r="BH42" i="3"/>
  <c r="BH168" i="3"/>
  <c r="BH243" i="3"/>
  <c r="BH44" i="3"/>
  <c r="BH261" i="3"/>
  <c r="BH191" i="3"/>
  <c r="BH126" i="3"/>
  <c r="BH46" i="3"/>
  <c r="BH41" i="3"/>
  <c r="BH165" i="3"/>
  <c r="BH45" i="3"/>
  <c r="BH174" i="3"/>
  <c r="BH173" i="3"/>
  <c r="BH14" i="3"/>
  <c r="BH16" i="3"/>
  <c r="BH277" i="3"/>
  <c r="BH225" i="3"/>
  <c r="BH33" i="3"/>
  <c r="BH18" i="3"/>
  <c r="BH34" i="3"/>
  <c r="BH282" i="3"/>
  <c r="BH37" i="3"/>
  <c r="BH180" i="3"/>
  <c r="BH23" i="3"/>
  <c r="BH284" i="3"/>
  <c r="BH15" i="3"/>
  <c r="BH160" i="3"/>
  <c r="BH141" i="3"/>
  <c r="BH288" i="3"/>
  <c r="BH49" i="3"/>
  <c r="BH19" i="3"/>
  <c r="BH17" i="3"/>
  <c r="BH20" i="3"/>
  <c r="BH140" i="3"/>
  <c r="BH181" i="3"/>
  <c r="BH138" i="3"/>
  <c r="BH210" i="3"/>
  <c r="BH242" i="3"/>
  <c r="BH31" i="3"/>
  <c r="BH239" i="3"/>
  <c r="BH48" i="3"/>
  <c r="BH224" i="3"/>
  <c r="BH5" i="3"/>
  <c r="BH13" i="3"/>
  <c r="BH32" i="3"/>
  <c r="BH47" i="3"/>
  <c r="BH57" i="3"/>
  <c r="BH65" i="3"/>
  <c r="BH73" i="3"/>
  <c r="BH81" i="3"/>
  <c r="BH89" i="3"/>
  <c r="BH97" i="3"/>
  <c r="BH105" i="3"/>
  <c r="BH113" i="3"/>
  <c r="BH121" i="3"/>
  <c r="BH129" i="3"/>
  <c r="BH137" i="3"/>
  <c r="BH40" i="3"/>
  <c r="BH6" i="3"/>
  <c r="BH21" i="3"/>
  <c r="BH35" i="3"/>
  <c r="BH50" i="3"/>
  <c r="BH58" i="3"/>
  <c r="BH66" i="3"/>
  <c r="BH74" i="3"/>
  <c r="BH82" i="3"/>
  <c r="BH90" i="3"/>
  <c r="BH98" i="3"/>
  <c r="BH106" i="3"/>
  <c r="BH114" i="3"/>
  <c r="BH122" i="3"/>
  <c r="BH130" i="3"/>
  <c r="BH24" i="3"/>
  <c r="BH7" i="3"/>
  <c r="BH26" i="3"/>
  <c r="BH39" i="3"/>
  <c r="BH53" i="3"/>
  <c r="BH61" i="3"/>
  <c r="BH69" i="3"/>
  <c r="BH77" i="3"/>
  <c r="BH85" i="3"/>
  <c r="BH93" i="3"/>
  <c r="BH101" i="3"/>
  <c r="BH109" i="3"/>
  <c r="BH117" i="3"/>
  <c r="BH125" i="3"/>
  <c r="BH8" i="3"/>
  <c r="BH27" i="3"/>
  <c r="BH54" i="3"/>
  <c r="BH62" i="3"/>
  <c r="BH70" i="3"/>
  <c r="BH78" i="3"/>
  <c r="BH86" i="3"/>
  <c r="BH94" i="3"/>
  <c r="BH102" i="3"/>
  <c r="BH110" i="3"/>
  <c r="BH118" i="3"/>
  <c r="BH134" i="3"/>
  <c r="BH22" i="3"/>
  <c r="BH51" i="3"/>
  <c r="BH67" i="3"/>
  <c r="BH83" i="3"/>
  <c r="BH99" i="3"/>
  <c r="BH115" i="3"/>
  <c r="BH131" i="3"/>
  <c r="BH145" i="3"/>
  <c r="BH153" i="3"/>
  <c r="BH162" i="3"/>
  <c r="BH172" i="3"/>
  <c r="BH183" i="3"/>
  <c r="BH192" i="3"/>
  <c r="BH201" i="3"/>
  <c r="BH211" i="3"/>
  <c r="BH219" i="3"/>
  <c r="BH229" i="3"/>
  <c r="BH237" i="3"/>
  <c r="BH248" i="3"/>
  <c r="BH257" i="3"/>
  <c r="BH266" i="3"/>
  <c r="BH274" i="3"/>
  <c r="BH285" i="3"/>
  <c r="BH25" i="3"/>
  <c r="BH52" i="3"/>
  <c r="BH68" i="3"/>
  <c r="BH84" i="3"/>
  <c r="BH100" i="3"/>
  <c r="BH116" i="3"/>
  <c r="BH132" i="3"/>
  <c r="BH146" i="3"/>
  <c r="BH154" i="3"/>
  <c r="BH163" i="3"/>
  <c r="BH184" i="3"/>
  <c r="BH193" i="3"/>
  <c r="BH202" i="3"/>
  <c r="BH212" i="3"/>
  <c r="BH220" i="3"/>
  <c r="BH230" i="3"/>
  <c r="BH238" i="3"/>
  <c r="BH249" i="3"/>
  <c r="BH258" i="3"/>
  <c r="BH267" i="3"/>
  <c r="BH275" i="3"/>
  <c r="BH286" i="3"/>
  <c r="BH29" i="3"/>
  <c r="BH55" i="3"/>
  <c r="BH71" i="3"/>
  <c r="BH87" i="3"/>
  <c r="BH103" i="3"/>
  <c r="BH119" i="3"/>
  <c r="BH135" i="3"/>
  <c r="BH147" i="3"/>
  <c r="BH155" i="3"/>
  <c r="BH164" i="3"/>
  <c r="BH175" i="3"/>
  <c r="BH185" i="3"/>
  <c r="BH194" i="3"/>
  <c r="BH203" i="3"/>
  <c r="BH213" i="3"/>
  <c r="BH221" i="3"/>
  <c r="BH231" i="3"/>
  <c r="BH240" i="3"/>
  <c r="BH251" i="3"/>
  <c r="BH259" i="3"/>
  <c r="BH268" i="3"/>
  <c r="BH276" i="3"/>
  <c r="BH287" i="3"/>
  <c r="BH4" i="3"/>
  <c r="BH30" i="3"/>
  <c r="BH56" i="3"/>
  <c r="BH72" i="3"/>
  <c r="BH88" i="3"/>
  <c r="BH104" i="3"/>
  <c r="BH120" i="3"/>
  <c r="BH136" i="3"/>
  <c r="BH148" i="3"/>
  <c r="BH156" i="3"/>
  <c r="BH166" i="3"/>
  <c r="BH176" i="3"/>
  <c r="BH186" i="3"/>
  <c r="BH195" i="3"/>
  <c r="BH204" i="3"/>
  <c r="BH214" i="3"/>
  <c r="BH222" i="3"/>
  <c r="BH232" i="3"/>
  <c r="BH241" i="3"/>
  <c r="BH252" i="3"/>
  <c r="BH260" i="3"/>
  <c r="BH269" i="3"/>
  <c r="BH278" i="3"/>
  <c r="BH289" i="3"/>
  <c r="BH9" i="3"/>
  <c r="BH36" i="3"/>
  <c r="BH59" i="3"/>
  <c r="BH75" i="3"/>
  <c r="BH91" i="3"/>
  <c r="BH107" i="3"/>
  <c r="BH123" i="3"/>
  <c r="BH139" i="3"/>
  <c r="BH149" i="3"/>
  <c r="BH157" i="3"/>
  <c r="BH167" i="3"/>
  <c r="BH177" i="3"/>
  <c r="BH187" i="3"/>
  <c r="BH196" i="3"/>
  <c r="BH205" i="3"/>
  <c r="BH215" i="3"/>
  <c r="BH223" i="3"/>
  <c r="BH233" i="3"/>
  <c r="BH244" i="3"/>
  <c r="BH253" i="3"/>
  <c r="BH262" i="3"/>
  <c r="BH270" i="3"/>
  <c r="BH279" i="3"/>
  <c r="BH10" i="3"/>
  <c r="BH38" i="3"/>
  <c r="BH60" i="3"/>
  <c r="BH76" i="3"/>
  <c r="BH92" i="3"/>
  <c r="BH108" i="3"/>
  <c r="BH124" i="3"/>
  <c r="BH142" i="3"/>
  <c r="BH150" i="3"/>
  <c r="BH158" i="3"/>
  <c r="BH169" i="3"/>
  <c r="BH178" i="3"/>
  <c r="BH188" i="3"/>
  <c r="BH197" i="3"/>
  <c r="BH206" i="3"/>
  <c r="BH216" i="3"/>
  <c r="BH226" i="3"/>
  <c r="BH234" i="3"/>
  <c r="BH245" i="3"/>
  <c r="BH254" i="3"/>
  <c r="BH263" i="3"/>
  <c r="BH271" i="3"/>
  <c r="BH280" i="3"/>
  <c r="BH12" i="3"/>
  <c r="BH64" i="3"/>
  <c r="BH80" i="3"/>
  <c r="BH96" i="3"/>
  <c r="BH112" i="3"/>
  <c r="BH128" i="3"/>
  <c r="BH144" i="3"/>
  <c r="BH152" i="3"/>
  <c r="BH161" i="3"/>
  <c r="BH171" i="3"/>
  <c r="BH182" i="3"/>
  <c r="BH190" i="3"/>
  <c r="BH200" i="3"/>
  <c r="BH207" i="3"/>
  <c r="BH218" i="3"/>
  <c r="BH228" i="3"/>
  <c r="BH236" i="3"/>
  <c r="BH247" i="3"/>
  <c r="BH256" i="3"/>
  <c r="BH265" i="3"/>
  <c r="BH273" i="3"/>
  <c r="BH283" i="3"/>
  <c r="BH79" i="3"/>
  <c r="BH179" i="3"/>
  <c r="BH255" i="3"/>
  <c r="BH95" i="3"/>
  <c r="BH189" i="3"/>
  <c r="BH264" i="3"/>
  <c r="BH111" i="3"/>
  <c r="BH198" i="3"/>
  <c r="BH272" i="3"/>
  <c r="BH127" i="3"/>
  <c r="BH209" i="3"/>
  <c r="BH281" i="3"/>
  <c r="BH143" i="3"/>
  <c r="BH217" i="3"/>
  <c r="BH11" i="3"/>
  <c r="BH151" i="3"/>
  <c r="BH227" i="3"/>
  <c r="BH43" i="3"/>
  <c r="BH159" i="3"/>
  <c r="BH235" i="3"/>
  <c r="BH63" i="3"/>
  <c r="BH170" i="3"/>
  <c r="BH246" i="3"/>
  <c r="E1062" i="8"/>
  <c r="D1062" i="8"/>
  <c r="B1062" i="8"/>
  <c r="A1062" i="8"/>
  <c r="E1061" i="8"/>
  <c r="D1061" i="8"/>
  <c r="B1061" i="8"/>
  <c r="A1061" i="8"/>
  <c r="E1060" i="8"/>
  <c r="D1060" i="8"/>
  <c r="B1060" i="8"/>
  <c r="A1060" i="8"/>
  <c r="E1059" i="8"/>
  <c r="D1059" i="8"/>
  <c r="B1059" i="8"/>
  <c r="A1059" i="8"/>
  <c r="E1058" i="8"/>
  <c r="D1058" i="8"/>
  <c r="B1058" i="8"/>
  <c r="A1058" i="8"/>
  <c r="E1057" i="8"/>
  <c r="D1057" i="8"/>
  <c r="B1057" i="8"/>
  <c r="A1057" i="8"/>
  <c r="E1056" i="8"/>
  <c r="D1056" i="8"/>
  <c r="B1056" i="8"/>
  <c r="A1056" i="8"/>
  <c r="E1055" i="8"/>
  <c r="D1055" i="8"/>
  <c r="B1055" i="8"/>
  <c r="A1055" i="8"/>
  <c r="E1054" i="8"/>
  <c r="D1054" i="8"/>
  <c r="B1054" i="8"/>
  <c r="A1054" i="8"/>
  <c r="E1053" i="8"/>
  <c r="D1053" i="8"/>
  <c r="B1053" i="8"/>
  <c r="A1053" i="8"/>
  <c r="E1052" i="8"/>
  <c r="D1052" i="8"/>
  <c r="B1052" i="8"/>
  <c r="A1052" i="8"/>
  <c r="E1051" i="8"/>
  <c r="D1051" i="8"/>
  <c r="B1051" i="8"/>
  <c r="A1051" i="8"/>
  <c r="E1050" i="8"/>
  <c r="D1050" i="8"/>
  <c r="B1050" i="8"/>
  <c r="A1050" i="8"/>
  <c r="E1049" i="8"/>
  <c r="D1049" i="8"/>
  <c r="B1049" i="8"/>
  <c r="A1049" i="8"/>
  <c r="E1048" i="8"/>
  <c r="D1048" i="8"/>
  <c r="B1048" i="8"/>
  <c r="A1048" i="8"/>
  <c r="E1047" i="8"/>
  <c r="D1047" i="8"/>
  <c r="B1047" i="8"/>
  <c r="A1047" i="8"/>
  <c r="E1046" i="8"/>
  <c r="D1046" i="8"/>
  <c r="B1046" i="8"/>
  <c r="A1046" i="8"/>
  <c r="E1045" i="8"/>
  <c r="D1045" i="8"/>
  <c r="B1045" i="8"/>
  <c r="A1045" i="8"/>
  <c r="E1044" i="8"/>
  <c r="D1044" i="8"/>
  <c r="B1044" i="8"/>
  <c r="A1044" i="8"/>
  <c r="E1043" i="8"/>
  <c r="D1043" i="8"/>
  <c r="B1043" i="8"/>
  <c r="A1043" i="8"/>
  <c r="E1042" i="8"/>
  <c r="D1042" i="8"/>
  <c r="B1042" i="8"/>
  <c r="A1042" i="8"/>
  <c r="E1041" i="8"/>
  <c r="D1041" i="8"/>
  <c r="B1041" i="8"/>
  <c r="A1041" i="8"/>
  <c r="E1040" i="8"/>
  <c r="D1040" i="8"/>
  <c r="B1040" i="8"/>
  <c r="A1040" i="8"/>
  <c r="E1039" i="8"/>
  <c r="D1039" i="8"/>
  <c r="B1039" i="8"/>
  <c r="A1039" i="8"/>
  <c r="E1038" i="8"/>
  <c r="D1038" i="8"/>
  <c r="B1038" i="8"/>
  <c r="A1038" i="8"/>
  <c r="E1037" i="8"/>
  <c r="D1037" i="8"/>
  <c r="B1037" i="8"/>
  <c r="A1037" i="8"/>
  <c r="E1036" i="8"/>
  <c r="D1036" i="8"/>
  <c r="B1036" i="8"/>
  <c r="A1036" i="8"/>
  <c r="E1035" i="8"/>
  <c r="D1035" i="8"/>
  <c r="B1035" i="8"/>
  <c r="A1035" i="8"/>
  <c r="BG294" i="3" l="1"/>
  <c r="BG295" i="3"/>
  <c r="BG296" i="3"/>
  <c r="BG293" i="3"/>
  <c r="BG290" i="3"/>
  <c r="BG291" i="3"/>
  <c r="BG292" i="3"/>
  <c r="BG208" i="3"/>
  <c r="BG199" i="3"/>
  <c r="BG28" i="3"/>
  <c r="BG133" i="3"/>
  <c r="BG250" i="3"/>
  <c r="BG42" i="3"/>
  <c r="BG168" i="3"/>
  <c r="BG41" i="3"/>
  <c r="BG165" i="3"/>
  <c r="BG243" i="3"/>
  <c r="BG45" i="3"/>
  <c r="BG44" i="3"/>
  <c r="BG261" i="3"/>
  <c r="BG191" i="3"/>
  <c r="BG126" i="3"/>
  <c r="BG46" i="3"/>
  <c r="BG173" i="3"/>
  <c r="BG174" i="3"/>
  <c r="BG14" i="3"/>
  <c r="BG16" i="3"/>
  <c r="BG277" i="3"/>
  <c r="BG225" i="3"/>
  <c r="BG33" i="3"/>
  <c r="BG18" i="3"/>
  <c r="BG34" i="3"/>
  <c r="BG282" i="3"/>
  <c r="BG37" i="3"/>
  <c r="BG180" i="3"/>
  <c r="BG23" i="3"/>
  <c r="BG284" i="3"/>
  <c r="BG15" i="3"/>
  <c r="BG160" i="3"/>
  <c r="BG141" i="3"/>
  <c r="BG288" i="3"/>
  <c r="BG49" i="3"/>
  <c r="BG19" i="3"/>
  <c r="BG17" i="3"/>
  <c r="BG20" i="3"/>
  <c r="BG140" i="3"/>
  <c r="BG181" i="3"/>
  <c r="BG138" i="3"/>
  <c r="BG210" i="3"/>
  <c r="BG242" i="3"/>
  <c r="BG31" i="3"/>
  <c r="BG239" i="3"/>
  <c r="BG48" i="3"/>
  <c r="BG224" i="3"/>
  <c r="BG40" i="3"/>
  <c r="BG24" i="3"/>
  <c r="BG10" i="3"/>
  <c r="BG25" i="3"/>
  <c r="BG38" i="3"/>
  <c r="BG52" i="3"/>
  <c r="BG60" i="3"/>
  <c r="BG68" i="3"/>
  <c r="BG76" i="3"/>
  <c r="BG84" i="3"/>
  <c r="BG92" i="3"/>
  <c r="BG100" i="3"/>
  <c r="BG108" i="3"/>
  <c r="BG116" i="3"/>
  <c r="BG124" i="3"/>
  <c r="BG132" i="3"/>
  <c r="BG142" i="3"/>
  <c r="BG150" i="3"/>
  <c r="BG158" i="3"/>
  <c r="BG169" i="3"/>
  <c r="BG178" i="3"/>
  <c r="BG188" i="3"/>
  <c r="BG197" i="3"/>
  <c r="BG206" i="3"/>
  <c r="BG216" i="3"/>
  <c r="BG226" i="3"/>
  <c r="BG234" i="3"/>
  <c r="BG245" i="3"/>
  <c r="BG254" i="3"/>
  <c r="BG263" i="3"/>
  <c r="BG271" i="3"/>
  <c r="BG280" i="3"/>
  <c r="BG7" i="3"/>
  <c r="BG26" i="3"/>
  <c r="BG39" i="3"/>
  <c r="BG53" i="3"/>
  <c r="BG61" i="3"/>
  <c r="BG69" i="3"/>
  <c r="BG77" i="3"/>
  <c r="BG85" i="3"/>
  <c r="BG93" i="3"/>
  <c r="BG101" i="3"/>
  <c r="BG109" i="3"/>
  <c r="BG117" i="3"/>
  <c r="BG125" i="3"/>
  <c r="BG143" i="3"/>
  <c r="BG151" i="3"/>
  <c r="BG159" i="3"/>
  <c r="BG170" i="3"/>
  <c r="BG179" i="3"/>
  <c r="BG189" i="3"/>
  <c r="BG198" i="3"/>
  <c r="BG209" i="3"/>
  <c r="BG217" i="3"/>
  <c r="BG227" i="3"/>
  <c r="BG235" i="3"/>
  <c r="BG246" i="3"/>
  <c r="BG255" i="3"/>
  <c r="BG264" i="3"/>
  <c r="BG272" i="3"/>
  <c r="BG281" i="3"/>
  <c r="BG8" i="3"/>
  <c r="BG27" i="3"/>
  <c r="BG54" i="3"/>
  <c r="BG62" i="3"/>
  <c r="BG70" i="3"/>
  <c r="BG78" i="3"/>
  <c r="BG86" i="3"/>
  <c r="BG94" i="3"/>
  <c r="BG102" i="3"/>
  <c r="BG110" i="3"/>
  <c r="BG118" i="3"/>
  <c r="BG134" i="3"/>
  <c r="BG144" i="3"/>
  <c r="BG152" i="3"/>
  <c r="BG161" i="3"/>
  <c r="BG171" i="3"/>
  <c r="BG182" i="3"/>
  <c r="BG190" i="3"/>
  <c r="BG200" i="3"/>
  <c r="BG207" i="3"/>
  <c r="BG218" i="3"/>
  <c r="BG228" i="3"/>
  <c r="BG236" i="3"/>
  <c r="BG247" i="3"/>
  <c r="BG256" i="3"/>
  <c r="BG265" i="3"/>
  <c r="BG273" i="3"/>
  <c r="BG283" i="3"/>
  <c r="BG11" i="3"/>
  <c r="BG29" i="3"/>
  <c r="BG43" i="3"/>
  <c r="BG55" i="3"/>
  <c r="BG63" i="3"/>
  <c r="BG71" i="3"/>
  <c r="BG79" i="3"/>
  <c r="BG87" i="3"/>
  <c r="BG95" i="3"/>
  <c r="BG103" i="3"/>
  <c r="BG111" i="3"/>
  <c r="BG119" i="3"/>
  <c r="BG127" i="3"/>
  <c r="BG135" i="3"/>
  <c r="BG145" i="3"/>
  <c r="BG153" i="3"/>
  <c r="BG162" i="3"/>
  <c r="BG172" i="3"/>
  <c r="BG183" i="3"/>
  <c r="BG192" i="3"/>
  <c r="BG201" i="3"/>
  <c r="BG211" i="3"/>
  <c r="BG219" i="3"/>
  <c r="BG229" i="3"/>
  <c r="BG237" i="3"/>
  <c r="BG248" i="3"/>
  <c r="BG257" i="3"/>
  <c r="BG266" i="3"/>
  <c r="BG274" i="3"/>
  <c r="BG285" i="3"/>
  <c r="BG4" i="3"/>
  <c r="BG12" i="3"/>
  <c r="BG30" i="3"/>
  <c r="BG56" i="3"/>
  <c r="BG64" i="3"/>
  <c r="BG72" i="3"/>
  <c r="BG80" i="3"/>
  <c r="BG88" i="3"/>
  <c r="BG96" i="3"/>
  <c r="BG104" i="3"/>
  <c r="BG112" i="3"/>
  <c r="BG120" i="3"/>
  <c r="BG128" i="3"/>
  <c r="BG136" i="3"/>
  <c r="BG146" i="3"/>
  <c r="BG154" i="3"/>
  <c r="BG163" i="3"/>
  <c r="BG184" i="3"/>
  <c r="BG193" i="3"/>
  <c r="BG202" i="3"/>
  <c r="BG212" i="3"/>
  <c r="BG220" i="3"/>
  <c r="BG230" i="3"/>
  <c r="BG238" i="3"/>
  <c r="BG249" i="3"/>
  <c r="BG258" i="3"/>
  <c r="BG267" i="3"/>
  <c r="BG275" i="3"/>
  <c r="BG286" i="3"/>
  <c r="BG5" i="3"/>
  <c r="BG13" i="3"/>
  <c r="BG32" i="3"/>
  <c r="BG47" i="3"/>
  <c r="BG57" i="3"/>
  <c r="BG65" i="3"/>
  <c r="BG73" i="3"/>
  <c r="BG81" i="3"/>
  <c r="BG89" i="3"/>
  <c r="BG97" i="3"/>
  <c r="BG105" i="3"/>
  <c r="BG113" i="3"/>
  <c r="BG121" i="3"/>
  <c r="BG129" i="3"/>
  <c r="BG137" i="3"/>
  <c r="BG147" i="3"/>
  <c r="BG155" i="3"/>
  <c r="BG164" i="3"/>
  <c r="BG175" i="3"/>
  <c r="BG185" i="3"/>
  <c r="BG194" i="3"/>
  <c r="BG203" i="3"/>
  <c r="BG213" i="3"/>
  <c r="BG221" i="3"/>
  <c r="BG231" i="3"/>
  <c r="BG240" i="3"/>
  <c r="BG251" i="3"/>
  <c r="BG259" i="3"/>
  <c r="BG268" i="3"/>
  <c r="BG276" i="3"/>
  <c r="BG287" i="3"/>
  <c r="BG9" i="3"/>
  <c r="BG22" i="3"/>
  <c r="BG36" i="3"/>
  <c r="BG51" i="3"/>
  <c r="BG59" i="3"/>
  <c r="BG67" i="3"/>
  <c r="BG75" i="3"/>
  <c r="BG83" i="3"/>
  <c r="BG91" i="3"/>
  <c r="BG99" i="3"/>
  <c r="BG107" i="3"/>
  <c r="BG115" i="3"/>
  <c r="BG123" i="3"/>
  <c r="BG131" i="3"/>
  <c r="BG139" i="3"/>
  <c r="BG149" i="3"/>
  <c r="BG157" i="3"/>
  <c r="BG167" i="3"/>
  <c r="BG177" i="3"/>
  <c r="BG187" i="3"/>
  <c r="BG196" i="3"/>
  <c r="BG205" i="3"/>
  <c r="BG215" i="3"/>
  <c r="BG223" i="3"/>
  <c r="BG233" i="3"/>
  <c r="BG244" i="3"/>
  <c r="BG253" i="3"/>
  <c r="BG262" i="3"/>
  <c r="BG270" i="3"/>
  <c r="BG279" i="3"/>
  <c r="BG58" i="3"/>
  <c r="BG122" i="3"/>
  <c r="BG195" i="3"/>
  <c r="BG269" i="3"/>
  <c r="BG66" i="3"/>
  <c r="BG130" i="3"/>
  <c r="BG204" i="3"/>
  <c r="BG278" i="3"/>
  <c r="BG74" i="3"/>
  <c r="BG214" i="3"/>
  <c r="BG289" i="3"/>
  <c r="BG82" i="3"/>
  <c r="BG148" i="3"/>
  <c r="BG222" i="3"/>
  <c r="BG6" i="3"/>
  <c r="BG90" i="3"/>
  <c r="BG156" i="3"/>
  <c r="BG232" i="3"/>
  <c r="BG21" i="3"/>
  <c r="BG98" i="3"/>
  <c r="BG166" i="3"/>
  <c r="BG241" i="3"/>
  <c r="BG35" i="3"/>
  <c r="BG106" i="3"/>
  <c r="BG176" i="3"/>
  <c r="BG252" i="3"/>
  <c r="BG50" i="3"/>
  <c r="BG114" i="3"/>
  <c r="BG186" i="3"/>
  <c r="BG260" i="3"/>
  <c r="E1032" i="8"/>
  <c r="D1032" i="8"/>
  <c r="B1032" i="8"/>
  <c r="A1032" i="8"/>
  <c r="E1031" i="8"/>
  <c r="D1031" i="8"/>
  <c r="B1031" i="8"/>
  <c r="A1031" i="8"/>
  <c r="E1030" i="8"/>
  <c r="D1030" i="8"/>
  <c r="B1030" i="8"/>
  <c r="A1030" i="8"/>
  <c r="E1029" i="8"/>
  <c r="D1029" i="8"/>
  <c r="B1029" i="8"/>
  <c r="A1029" i="8"/>
  <c r="E1028" i="8"/>
  <c r="D1028" i="8"/>
  <c r="B1028" i="8"/>
  <c r="A1028" i="8"/>
  <c r="E1027" i="8"/>
  <c r="D1027" i="8"/>
  <c r="B1027" i="8"/>
  <c r="A1027" i="8"/>
  <c r="BF208" i="3" l="1"/>
  <c r="BF293" i="3"/>
  <c r="BF294" i="3"/>
  <c r="BF292" i="3"/>
  <c r="BF295" i="3"/>
  <c r="BF296" i="3"/>
  <c r="BF290" i="3"/>
  <c r="BF291" i="3"/>
  <c r="BF199" i="3"/>
  <c r="BF28" i="3"/>
  <c r="BF191" i="3"/>
  <c r="BF42" i="3"/>
  <c r="BF168" i="3"/>
  <c r="BF45" i="3"/>
  <c r="BF243" i="3"/>
  <c r="BF46" i="3"/>
  <c r="BF44" i="3"/>
  <c r="BF261" i="3"/>
  <c r="BF126" i="3"/>
  <c r="BF41" i="3"/>
  <c r="BF165" i="3"/>
  <c r="BF133" i="3"/>
  <c r="BF250" i="3"/>
  <c r="BF173" i="3"/>
  <c r="BF174" i="3"/>
  <c r="BF14" i="3"/>
  <c r="BF16" i="3"/>
  <c r="BF277" i="3"/>
  <c r="BF225" i="3"/>
  <c r="BF33" i="3"/>
  <c r="BF18" i="3"/>
  <c r="BF34" i="3"/>
  <c r="BF282" i="3"/>
  <c r="BF37" i="3"/>
  <c r="BF180" i="3"/>
  <c r="BF23" i="3"/>
  <c r="BF284" i="3"/>
  <c r="BF15" i="3"/>
  <c r="BF160" i="3"/>
  <c r="BF141" i="3"/>
  <c r="BF288" i="3"/>
  <c r="BF49" i="3"/>
  <c r="BF19" i="3"/>
  <c r="BF17" i="3"/>
  <c r="BF20" i="3"/>
  <c r="BF140" i="3"/>
  <c r="BF181" i="3"/>
  <c r="BF138" i="3"/>
  <c r="BF210" i="3"/>
  <c r="BF242" i="3"/>
  <c r="BF31" i="3"/>
  <c r="BF239" i="3"/>
  <c r="BF48" i="3"/>
  <c r="BF224" i="3"/>
  <c r="BF40" i="3"/>
  <c r="BF24" i="3"/>
  <c r="BF11" i="3"/>
  <c r="BF29" i="3"/>
  <c r="BF43" i="3"/>
  <c r="BF55" i="3"/>
  <c r="BF63" i="3"/>
  <c r="BF71" i="3"/>
  <c r="BF79" i="3"/>
  <c r="BF87" i="3"/>
  <c r="BF95" i="3"/>
  <c r="BF103" i="3"/>
  <c r="BF111" i="3"/>
  <c r="BF119" i="3"/>
  <c r="BF127" i="3"/>
  <c r="BF135" i="3"/>
  <c r="BF145" i="3"/>
  <c r="BF153" i="3"/>
  <c r="BF162" i="3"/>
  <c r="BF172" i="3"/>
  <c r="BF183" i="3"/>
  <c r="BF192" i="3"/>
  <c r="BF201" i="3"/>
  <c r="BF211" i="3"/>
  <c r="BF219" i="3"/>
  <c r="BF229" i="3"/>
  <c r="BF237" i="3"/>
  <c r="BF248" i="3"/>
  <c r="BF257" i="3"/>
  <c r="BF266" i="3"/>
  <c r="BF274" i="3"/>
  <c r="BF285" i="3"/>
  <c r="BF4" i="3"/>
  <c r="BF12" i="3"/>
  <c r="BF30" i="3"/>
  <c r="BF56" i="3"/>
  <c r="BF64" i="3"/>
  <c r="BF72" i="3"/>
  <c r="BF80" i="3"/>
  <c r="BF88" i="3"/>
  <c r="BF96" i="3"/>
  <c r="BF104" i="3"/>
  <c r="BF112" i="3"/>
  <c r="BF120" i="3"/>
  <c r="BF128" i="3"/>
  <c r="BF136" i="3"/>
  <c r="BF146" i="3"/>
  <c r="BF154" i="3"/>
  <c r="BF163" i="3"/>
  <c r="BF184" i="3"/>
  <c r="BF193" i="3"/>
  <c r="BF202" i="3"/>
  <c r="BF212" i="3"/>
  <c r="BF220" i="3"/>
  <c r="BF230" i="3"/>
  <c r="BF238" i="3"/>
  <c r="BF249" i="3"/>
  <c r="BF258" i="3"/>
  <c r="BF267" i="3"/>
  <c r="BF275" i="3"/>
  <c r="BF286" i="3"/>
  <c r="BF5" i="3"/>
  <c r="BF13" i="3"/>
  <c r="BF32" i="3"/>
  <c r="BF47" i="3"/>
  <c r="BF57" i="3"/>
  <c r="BF65" i="3"/>
  <c r="BF73" i="3"/>
  <c r="BF81" i="3"/>
  <c r="BF89" i="3"/>
  <c r="BF97" i="3"/>
  <c r="BF105" i="3"/>
  <c r="BF113" i="3"/>
  <c r="BF121" i="3"/>
  <c r="BF129" i="3"/>
  <c r="BF137" i="3"/>
  <c r="BF147" i="3"/>
  <c r="BF155" i="3"/>
  <c r="BF164" i="3"/>
  <c r="BF175" i="3"/>
  <c r="BF185" i="3"/>
  <c r="BF194" i="3"/>
  <c r="BF203" i="3"/>
  <c r="BF213" i="3"/>
  <c r="BF221" i="3"/>
  <c r="BF231" i="3"/>
  <c r="BF240" i="3"/>
  <c r="BF251" i="3"/>
  <c r="BF259" i="3"/>
  <c r="BF268" i="3"/>
  <c r="BF276" i="3"/>
  <c r="BF287" i="3"/>
  <c r="BF6" i="3"/>
  <c r="BF21" i="3"/>
  <c r="BF35" i="3"/>
  <c r="BF50" i="3"/>
  <c r="BF58" i="3"/>
  <c r="BF66" i="3"/>
  <c r="BF74" i="3"/>
  <c r="BF82" i="3"/>
  <c r="BF90" i="3"/>
  <c r="BF98" i="3"/>
  <c r="BF106" i="3"/>
  <c r="BF114" i="3"/>
  <c r="BF122" i="3"/>
  <c r="BF130" i="3"/>
  <c r="BF148" i="3"/>
  <c r="BF156" i="3"/>
  <c r="BF166" i="3"/>
  <c r="BF176" i="3"/>
  <c r="BF186" i="3"/>
  <c r="BF195" i="3"/>
  <c r="BF204" i="3"/>
  <c r="BF214" i="3"/>
  <c r="BF222" i="3"/>
  <c r="BF232" i="3"/>
  <c r="BF241" i="3"/>
  <c r="BF252" i="3"/>
  <c r="BF260" i="3"/>
  <c r="BF269" i="3"/>
  <c r="BF278" i="3"/>
  <c r="BF289" i="3"/>
  <c r="BF9" i="3"/>
  <c r="BF22" i="3"/>
  <c r="BF36" i="3"/>
  <c r="BF51" i="3"/>
  <c r="BF59" i="3"/>
  <c r="BF67" i="3"/>
  <c r="BF75" i="3"/>
  <c r="BF83" i="3"/>
  <c r="BF91" i="3"/>
  <c r="BF99" i="3"/>
  <c r="BF107" i="3"/>
  <c r="BF115" i="3"/>
  <c r="BF123" i="3"/>
  <c r="BF131" i="3"/>
  <c r="BF139" i="3"/>
  <c r="BF149" i="3"/>
  <c r="BF157" i="3"/>
  <c r="BF167" i="3"/>
  <c r="BF177" i="3"/>
  <c r="BF187" i="3"/>
  <c r="BF196" i="3"/>
  <c r="BF205" i="3"/>
  <c r="BF215" i="3"/>
  <c r="BF223" i="3"/>
  <c r="BF233" i="3"/>
  <c r="BF244" i="3"/>
  <c r="BF253" i="3"/>
  <c r="BF262" i="3"/>
  <c r="BF270" i="3"/>
  <c r="BF279" i="3"/>
  <c r="BF10" i="3"/>
  <c r="BF25" i="3"/>
  <c r="BF38" i="3"/>
  <c r="BF52" i="3"/>
  <c r="BF60" i="3"/>
  <c r="BF68" i="3"/>
  <c r="BF76" i="3"/>
  <c r="BF84" i="3"/>
  <c r="BF92" i="3"/>
  <c r="BF100" i="3"/>
  <c r="BF108" i="3"/>
  <c r="BF116" i="3"/>
  <c r="BF124" i="3"/>
  <c r="BF132" i="3"/>
  <c r="BF142" i="3"/>
  <c r="BF150" i="3"/>
  <c r="BF158" i="3"/>
  <c r="BF169" i="3"/>
  <c r="BF178" i="3"/>
  <c r="BF188" i="3"/>
  <c r="BF197" i="3"/>
  <c r="BF206" i="3"/>
  <c r="BF216" i="3"/>
  <c r="BF226" i="3"/>
  <c r="BF234" i="3"/>
  <c r="BF245" i="3"/>
  <c r="BF254" i="3"/>
  <c r="BF263" i="3"/>
  <c r="BF271" i="3"/>
  <c r="BF280" i="3"/>
  <c r="BF7" i="3"/>
  <c r="BF26" i="3"/>
  <c r="BF39" i="3"/>
  <c r="BF53" i="3"/>
  <c r="BF61" i="3"/>
  <c r="BF69" i="3"/>
  <c r="BF77" i="3"/>
  <c r="BF85" i="3"/>
  <c r="BF93" i="3"/>
  <c r="BF101" i="3"/>
  <c r="BF109" i="3"/>
  <c r="BF117" i="3"/>
  <c r="BF125" i="3"/>
  <c r="BF143" i="3"/>
  <c r="BF151" i="3"/>
  <c r="BF159" i="3"/>
  <c r="BF170" i="3"/>
  <c r="BF179" i="3"/>
  <c r="BF189" i="3"/>
  <c r="BF198" i="3"/>
  <c r="BF209" i="3"/>
  <c r="BF217" i="3"/>
  <c r="BF227" i="3"/>
  <c r="BF235" i="3"/>
  <c r="BF246" i="3"/>
  <c r="BF255" i="3"/>
  <c r="BF264" i="3"/>
  <c r="BF272" i="3"/>
  <c r="BF281" i="3"/>
  <c r="BF8" i="3"/>
  <c r="BF27" i="3"/>
  <c r="BF54" i="3"/>
  <c r="BF62" i="3"/>
  <c r="BF70" i="3"/>
  <c r="BF78" i="3"/>
  <c r="BF86" i="3"/>
  <c r="BF94" i="3"/>
  <c r="BF102" i="3"/>
  <c r="BF110" i="3"/>
  <c r="BF118" i="3"/>
  <c r="BF134" i="3"/>
  <c r="BF144" i="3"/>
  <c r="BF152" i="3"/>
  <c r="BF161" i="3"/>
  <c r="BF171" i="3"/>
  <c r="BF182" i="3"/>
  <c r="BF190" i="3"/>
  <c r="BF200" i="3"/>
  <c r="BF207" i="3"/>
  <c r="BF218" i="3"/>
  <c r="BF228" i="3"/>
  <c r="BF236" i="3"/>
  <c r="BF247" i="3"/>
  <c r="BF256" i="3"/>
  <c r="BF265" i="3"/>
  <c r="BF273" i="3"/>
  <c r="BF283" i="3"/>
  <c r="E1022" i="8"/>
  <c r="D1022" i="8"/>
  <c r="B1022" i="8"/>
  <c r="A1022" i="8"/>
  <c r="E1021" i="8"/>
  <c r="D1021" i="8"/>
  <c r="B1021" i="8"/>
  <c r="A1021" i="8"/>
  <c r="E1020" i="8"/>
  <c r="D1020" i="8"/>
  <c r="B1020" i="8"/>
  <c r="A1020" i="8"/>
  <c r="E1019" i="8"/>
  <c r="D1019" i="8"/>
  <c r="B1019" i="8"/>
  <c r="A1019" i="8"/>
  <c r="E1018" i="8"/>
  <c r="D1018" i="8"/>
  <c r="B1018" i="8"/>
  <c r="A1018" i="8"/>
  <c r="E1017" i="8"/>
  <c r="D1017" i="8"/>
  <c r="B1017" i="8"/>
  <c r="A1017" i="8"/>
  <c r="E1016" i="8"/>
  <c r="D1016" i="8"/>
  <c r="B1016" i="8"/>
  <c r="A1016" i="8"/>
  <c r="E1015" i="8"/>
  <c r="D1015" i="8"/>
  <c r="B1015" i="8"/>
  <c r="A1015" i="8"/>
  <c r="E1014" i="8"/>
  <c r="D1014" i="8"/>
  <c r="B1014" i="8"/>
  <c r="A1014" i="8"/>
  <c r="E1013" i="8"/>
  <c r="D1013" i="8"/>
  <c r="B1013" i="8"/>
  <c r="A1013" i="8"/>
  <c r="E1012" i="8"/>
  <c r="D1012" i="8"/>
  <c r="B1012" i="8"/>
  <c r="A1012" i="8"/>
  <c r="E1011" i="8"/>
  <c r="D1011" i="8"/>
  <c r="B1011" i="8"/>
  <c r="A1011" i="8"/>
  <c r="E1010" i="8"/>
  <c r="D1010" i="8"/>
  <c r="B1010" i="8"/>
  <c r="A1010" i="8"/>
  <c r="E1009" i="8"/>
  <c r="D1009" i="8"/>
  <c r="B1009" i="8"/>
  <c r="A1009" i="8"/>
  <c r="E1008" i="8"/>
  <c r="D1008" i="8"/>
  <c r="B1008" i="8"/>
  <c r="A1008" i="8"/>
  <c r="E1007" i="8"/>
  <c r="D1007" i="8"/>
  <c r="B1007" i="8"/>
  <c r="A1007" i="8"/>
  <c r="E1006" i="8"/>
  <c r="D1006" i="8"/>
  <c r="B1006" i="8"/>
  <c r="A1006" i="8"/>
  <c r="E1005" i="8"/>
  <c r="D1005" i="8"/>
  <c r="B1005" i="8"/>
  <c r="A1005" i="8"/>
  <c r="E1004" i="8"/>
  <c r="D1004" i="8"/>
  <c r="B1004" i="8"/>
  <c r="A1004" i="8"/>
  <c r="E1003" i="8"/>
  <c r="D1003" i="8"/>
  <c r="B1003" i="8"/>
  <c r="A1003" i="8"/>
  <c r="E1002" i="8"/>
  <c r="D1002" i="8"/>
  <c r="B1002" i="8"/>
  <c r="A1002" i="8"/>
  <c r="E1001" i="8"/>
  <c r="D1001" i="8"/>
  <c r="B1001" i="8"/>
  <c r="A1001" i="8"/>
  <c r="E1000" i="8"/>
  <c r="D1000" i="8"/>
  <c r="B1000" i="8"/>
  <c r="A1000" i="8"/>
  <c r="E999" i="8"/>
  <c r="D999" i="8"/>
  <c r="B999" i="8"/>
  <c r="A999" i="8"/>
  <c r="E998" i="8"/>
  <c r="D998" i="8"/>
  <c r="B998" i="8"/>
  <c r="A998" i="8"/>
  <c r="E997" i="8"/>
  <c r="D997" i="8"/>
  <c r="B997" i="8"/>
  <c r="A997" i="8"/>
  <c r="E996" i="8"/>
  <c r="D996" i="8"/>
  <c r="B996" i="8"/>
  <c r="A996" i="8"/>
  <c r="E995" i="8"/>
  <c r="D995" i="8"/>
  <c r="B995" i="8"/>
  <c r="A995" i="8"/>
  <c r="BE292" i="3" l="1"/>
  <c r="BE293" i="3"/>
  <c r="BE294" i="3"/>
  <c r="BE295" i="3"/>
  <c r="BE296" i="3"/>
  <c r="BE291" i="3"/>
  <c r="BE290" i="3"/>
  <c r="BE208" i="3"/>
  <c r="BE199" i="3"/>
  <c r="BE28" i="3"/>
  <c r="BE45" i="3"/>
  <c r="BE42" i="3"/>
  <c r="BE168" i="3"/>
  <c r="BE46" i="3"/>
  <c r="BE191" i="3"/>
  <c r="BE133" i="3"/>
  <c r="BE250" i="3"/>
  <c r="BE243" i="3"/>
  <c r="BE44" i="3"/>
  <c r="BE261" i="3"/>
  <c r="BE126" i="3"/>
  <c r="BE41" i="3"/>
  <c r="BE165" i="3"/>
  <c r="BE174" i="3"/>
  <c r="BE173" i="3"/>
  <c r="BE140" i="3"/>
  <c r="BE14" i="3"/>
  <c r="BE16" i="3"/>
  <c r="BE277" i="3"/>
  <c r="BE225" i="3"/>
  <c r="BE31" i="3"/>
  <c r="BE33" i="3"/>
  <c r="BE18" i="3"/>
  <c r="BE34" i="3"/>
  <c r="BE282" i="3"/>
  <c r="BE37" i="3"/>
  <c r="BE180" i="3"/>
  <c r="BE23" i="3"/>
  <c r="BE284" i="3"/>
  <c r="BE15" i="3"/>
  <c r="BE160" i="3"/>
  <c r="BE141" i="3"/>
  <c r="BE288" i="3"/>
  <c r="BE49" i="3"/>
  <c r="BE19" i="3"/>
  <c r="BE17" i="3"/>
  <c r="BE20" i="3"/>
  <c r="BE181" i="3"/>
  <c r="BE138" i="3"/>
  <c r="BE242" i="3"/>
  <c r="BE210" i="3"/>
  <c r="BE239" i="3"/>
  <c r="BE48" i="3"/>
  <c r="BE224" i="3"/>
  <c r="BE40" i="3"/>
  <c r="BE24" i="3"/>
  <c r="BE5" i="3"/>
  <c r="BE13" i="3"/>
  <c r="BE32" i="3"/>
  <c r="BE47" i="3"/>
  <c r="BE57" i="3"/>
  <c r="BE65" i="3"/>
  <c r="BE73" i="3"/>
  <c r="BE81" i="3"/>
  <c r="BE89" i="3"/>
  <c r="BE97" i="3"/>
  <c r="BE105" i="3"/>
  <c r="BE113" i="3"/>
  <c r="BE121" i="3"/>
  <c r="BE129" i="3"/>
  <c r="BE137" i="3"/>
  <c r="BE147" i="3"/>
  <c r="BE155" i="3"/>
  <c r="BE164" i="3"/>
  <c r="BE175" i="3"/>
  <c r="BE185" i="3"/>
  <c r="BE6" i="3"/>
  <c r="BE21" i="3"/>
  <c r="BE35" i="3"/>
  <c r="BE50" i="3"/>
  <c r="BE58" i="3"/>
  <c r="BE66" i="3"/>
  <c r="BE74" i="3"/>
  <c r="BE82" i="3"/>
  <c r="BE90" i="3"/>
  <c r="BE98" i="3"/>
  <c r="BE106" i="3"/>
  <c r="BE114" i="3"/>
  <c r="BE122" i="3"/>
  <c r="BE130" i="3"/>
  <c r="BE148" i="3"/>
  <c r="BE156" i="3"/>
  <c r="BE166" i="3"/>
  <c r="BE176" i="3"/>
  <c r="BE9" i="3"/>
  <c r="BE22" i="3"/>
  <c r="BE36" i="3"/>
  <c r="BE51" i="3"/>
  <c r="BE59" i="3"/>
  <c r="BE67" i="3"/>
  <c r="BE75" i="3"/>
  <c r="BE83" i="3"/>
  <c r="BE91" i="3"/>
  <c r="BE99" i="3"/>
  <c r="BE107" i="3"/>
  <c r="BE115" i="3"/>
  <c r="BE123" i="3"/>
  <c r="BE131" i="3"/>
  <c r="BE139" i="3"/>
  <c r="BE149" i="3"/>
  <c r="BE157" i="3"/>
  <c r="BE167" i="3"/>
  <c r="BE177" i="3"/>
  <c r="BE10" i="3"/>
  <c r="BE25" i="3"/>
  <c r="BE38" i="3"/>
  <c r="BE52" i="3"/>
  <c r="BE60" i="3"/>
  <c r="BE68" i="3"/>
  <c r="BE76" i="3"/>
  <c r="BE84" i="3"/>
  <c r="BE92" i="3"/>
  <c r="BE100" i="3"/>
  <c r="BE108" i="3"/>
  <c r="BE116" i="3"/>
  <c r="BE124" i="3"/>
  <c r="BE132" i="3"/>
  <c r="BE142" i="3"/>
  <c r="BE150" i="3"/>
  <c r="BE158" i="3"/>
  <c r="BE169" i="3"/>
  <c r="BE178" i="3"/>
  <c r="BE7" i="3"/>
  <c r="BE26" i="3"/>
  <c r="BE39" i="3"/>
  <c r="BE53" i="3"/>
  <c r="BE61" i="3"/>
  <c r="BE69" i="3"/>
  <c r="BE77" i="3"/>
  <c r="BE85" i="3"/>
  <c r="BE93" i="3"/>
  <c r="BE101" i="3"/>
  <c r="BE109" i="3"/>
  <c r="BE117" i="3"/>
  <c r="BE125" i="3"/>
  <c r="BE143" i="3"/>
  <c r="BE151" i="3"/>
  <c r="BE159" i="3"/>
  <c r="BE170" i="3"/>
  <c r="BE179" i="3"/>
  <c r="BE8" i="3"/>
  <c r="BE27" i="3"/>
  <c r="BE54" i="3"/>
  <c r="BE62" i="3"/>
  <c r="BE70" i="3"/>
  <c r="BE78" i="3"/>
  <c r="BE86" i="3"/>
  <c r="BE94" i="3"/>
  <c r="BE102" i="3"/>
  <c r="BE4" i="3"/>
  <c r="BE12" i="3"/>
  <c r="BE30" i="3"/>
  <c r="BE56" i="3"/>
  <c r="BE64" i="3"/>
  <c r="BE72" i="3"/>
  <c r="BE80" i="3"/>
  <c r="BE88" i="3"/>
  <c r="BE96" i="3"/>
  <c r="BE104" i="3"/>
  <c r="BE112" i="3"/>
  <c r="BE120" i="3"/>
  <c r="BE128" i="3"/>
  <c r="BE136" i="3"/>
  <c r="BE146" i="3"/>
  <c r="BE154" i="3"/>
  <c r="BE163" i="3"/>
  <c r="BE71" i="3"/>
  <c r="BE119" i="3"/>
  <c r="BE153" i="3"/>
  <c r="BE186" i="3"/>
  <c r="BE195" i="3"/>
  <c r="BE204" i="3"/>
  <c r="BE214" i="3"/>
  <c r="BE222" i="3"/>
  <c r="BE232" i="3"/>
  <c r="BE241" i="3"/>
  <c r="BE252" i="3"/>
  <c r="BE260" i="3"/>
  <c r="BE269" i="3"/>
  <c r="BE278" i="3"/>
  <c r="BE289" i="3"/>
  <c r="BE79" i="3"/>
  <c r="BE161" i="3"/>
  <c r="BE187" i="3"/>
  <c r="BE196" i="3"/>
  <c r="BE205" i="3"/>
  <c r="BE215" i="3"/>
  <c r="BE223" i="3"/>
  <c r="BE233" i="3"/>
  <c r="BE244" i="3"/>
  <c r="BE253" i="3"/>
  <c r="BE262" i="3"/>
  <c r="BE270" i="3"/>
  <c r="BE279" i="3"/>
  <c r="BE87" i="3"/>
  <c r="BE127" i="3"/>
  <c r="BE162" i="3"/>
  <c r="BE188" i="3"/>
  <c r="BE197" i="3"/>
  <c r="BE206" i="3"/>
  <c r="BE216" i="3"/>
  <c r="BE226" i="3"/>
  <c r="BE234" i="3"/>
  <c r="BE245" i="3"/>
  <c r="BE254" i="3"/>
  <c r="BE263" i="3"/>
  <c r="BE271" i="3"/>
  <c r="BE280" i="3"/>
  <c r="BE11" i="3"/>
  <c r="BE95" i="3"/>
  <c r="BE134" i="3"/>
  <c r="BE171" i="3"/>
  <c r="BE189" i="3"/>
  <c r="BE198" i="3"/>
  <c r="BE209" i="3"/>
  <c r="BE217" i="3"/>
  <c r="BE227" i="3"/>
  <c r="BE235" i="3"/>
  <c r="BE246" i="3"/>
  <c r="BE255" i="3"/>
  <c r="BE264" i="3"/>
  <c r="BE272" i="3"/>
  <c r="BE281" i="3"/>
  <c r="BE29" i="3"/>
  <c r="BE103" i="3"/>
  <c r="BE135" i="3"/>
  <c r="BE172" i="3"/>
  <c r="BE190" i="3"/>
  <c r="BE200" i="3"/>
  <c r="BE207" i="3"/>
  <c r="BE218" i="3"/>
  <c r="BE228" i="3"/>
  <c r="BE236" i="3"/>
  <c r="BE247" i="3"/>
  <c r="BE256" i="3"/>
  <c r="BE265" i="3"/>
  <c r="BE273" i="3"/>
  <c r="BE283" i="3"/>
  <c r="BE43" i="3"/>
  <c r="BE110" i="3"/>
  <c r="BE144" i="3"/>
  <c r="BE182" i="3"/>
  <c r="BE192" i="3"/>
  <c r="BE201" i="3"/>
  <c r="BE211" i="3"/>
  <c r="BE219" i="3"/>
  <c r="BE229" i="3"/>
  <c r="BE237" i="3"/>
  <c r="BE248" i="3"/>
  <c r="BE257" i="3"/>
  <c r="BE266" i="3"/>
  <c r="BE274" i="3"/>
  <c r="BE285" i="3"/>
  <c r="BE55" i="3"/>
  <c r="BE111" i="3"/>
  <c r="BE145" i="3"/>
  <c r="BE183" i="3"/>
  <c r="BE193" i="3"/>
  <c r="BE202" i="3"/>
  <c r="BE212" i="3"/>
  <c r="BE220" i="3"/>
  <c r="BE230" i="3"/>
  <c r="BE238" i="3"/>
  <c r="BE249" i="3"/>
  <c r="BE258" i="3"/>
  <c r="BE267" i="3"/>
  <c r="BE275" i="3"/>
  <c r="BE286" i="3"/>
  <c r="BE63" i="3"/>
  <c r="BE118" i="3"/>
  <c r="BE152" i="3"/>
  <c r="BE184" i="3"/>
  <c r="BE194" i="3"/>
  <c r="BE203" i="3"/>
  <c r="BE213" i="3"/>
  <c r="BE221" i="3"/>
  <c r="BE231" i="3"/>
  <c r="BE240" i="3"/>
  <c r="BE251" i="3"/>
  <c r="BE259" i="3"/>
  <c r="BE268" i="3"/>
  <c r="BE276" i="3"/>
  <c r="BE287" i="3"/>
  <c r="E991" i="8"/>
  <c r="D991" i="8"/>
  <c r="B991" i="8"/>
  <c r="A991" i="8"/>
  <c r="E990" i="8"/>
  <c r="D990" i="8"/>
  <c r="B990" i="8"/>
  <c r="A990" i="8"/>
  <c r="E989" i="8"/>
  <c r="D989" i="8"/>
  <c r="B989" i="8"/>
  <c r="A989" i="8"/>
  <c r="E988" i="8"/>
  <c r="D988" i="8"/>
  <c r="B988" i="8"/>
  <c r="A988" i="8"/>
  <c r="E987" i="8"/>
  <c r="D987" i="8"/>
  <c r="B987" i="8"/>
  <c r="A987" i="8"/>
  <c r="E986" i="8"/>
  <c r="D986" i="8"/>
  <c r="B986" i="8"/>
  <c r="A986" i="8"/>
  <c r="BD208" i="3" l="1"/>
  <c r="BD291" i="3"/>
  <c r="BD290" i="3"/>
  <c r="BD292" i="3"/>
  <c r="BD293" i="3"/>
  <c r="BD294" i="3"/>
  <c r="BD295" i="3"/>
  <c r="BD296" i="3"/>
  <c r="BD199" i="3"/>
  <c r="BD28" i="3"/>
  <c r="BD45" i="3"/>
  <c r="BD243" i="3"/>
  <c r="BD44" i="3"/>
  <c r="BD261" i="3"/>
  <c r="BD191" i="3"/>
  <c r="BD126" i="3"/>
  <c r="BD41" i="3"/>
  <c r="BD165" i="3"/>
  <c r="BD133" i="3"/>
  <c r="BD250" i="3"/>
  <c r="BD46" i="3"/>
  <c r="BD42" i="3"/>
  <c r="BD168" i="3"/>
  <c r="BD173" i="3"/>
  <c r="BD174" i="3"/>
  <c r="BD140" i="3"/>
  <c r="BD40" i="3"/>
  <c r="BD181" i="3"/>
  <c r="BD24" i="3"/>
  <c r="BD14" i="3"/>
  <c r="BD16" i="3"/>
  <c r="BD277" i="3"/>
  <c r="BD225" i="3"/>
  <c r="BD31" i="3"/>
  <c r="BD17" i="3"/>
  <c r="BD239" i="3"/>
  <c r="BD20" i="3"/>
  <c r="BD33" i="3"/>
  <c r="BD18" i="3"/>
  <c r="BD34" i="3"/>
  <c r="BD282" i="3"/>
  <c r="BD37" i="3"/>
  <c r="BD180" i="3"/>
  <c r="BD23" i="3"/>
  <c r="BD284" i="3"/>
  <c r="BD15" i="3"/>
  <c r="BD160" i="3"/>
  <c r="BD141" i="3"/>
  <c r="BD288" i="3"/>
  <c r="BD242" i="3"/>
  <c r="BD224" i="3"/>
  <c r="BD19" i="3"/>
  <c r="BD138" i="3"/>
  <c r="BD210" i="3"/>
  <c r="BD49" i="3"/>
  <c r="BD48" i="3"/>
  <c r="BD7" i="3"/>
  <c r="BD26" i="3"/>
  <c r="BD39" i="3"/>
  <c r="BD53" i="3"/>
  <c r="BD61" i="3"/>
  <c r="BD69" i="3"/>
  <c r="BD77" i="3"/>
  <c r="BD85" i="3"/>
  <c r="BD93" i="3"/>
  <c r="BD101" i="3"/>
  <c r="BD109" i="3"/>
  <c r="BD117" i="3"/>
  <c r="BD125" i="3"/>
  <c r="BD143" i="3"/>
  <c r="BD151" i="3"/>
  <c r="BD159" i="3"/>
  <c r="BD170" i="3"/>
  <c r="BD179" i="3"/>
  <c r="BD189" i="3"/>
  <c r="BD198" i="3"/>
  <c r="BD209" i="3"/>
  <c r="BD217" i="3"/>
  <c r="BD227" i="3"/>
  <c r="BD235" i="3"/>
  <c r="BD246" i="3"/>
  <c r="BD255" i="3"/>
  <c r="BD264" i="3"/>
  <c r="BD272" i="3"/>
  <c r="BD281" i="3"/>
  <c r="BD8" i="3"/>
  <c r="BD27" i="3"/>
  <c r="BD54" i="3"/>
  <c r="BD62" i="3"/>
  <c r="BD70" i="3"/>
  <c r="BD78" i="3"/>
  <c r="BD86" i="3"/>
  <c r="BD94" i="3"/>
  <c r="BD102" i="3"/>
  <c r="BD110" i="3"/>
  <c r="BD118" i="3"/>
  <c r="BD134" i="3"/>
  <c r="BD144" i="3"/>
  <c r="BD152" i="3"/>
  <c r="BD161" i="3"/>
  <c r="BD171" i="3"/>
  <c r="BD182" i="3"/>
  <c r="BD190" i="3"/>
  <c r="BD200" i="3"/>
  <c r="BD207" i="3"/>
  <c r="BD218" i="3"/>
  <c r="BD228" i="3"/>
  <c r="BD236" i="3"/>
  <c r="BD247" i="3"/>
  <c r="BD256" i="3"/>
  <c r="BD265" i="3"/>
  <c r="BD273" i="3"/>
  <c r="BD283" i="3"/>
  <c r="BD11" i="3"/>
  <c r="BD29" i="3"/>
  <c r="BD43" i="3"/>
  <c r="BD55" i="3"/>
  <c r="BD63" i="3"/>
  <c r="BD71" i="3"/>
  <c r="BD79" i="3"/>
  <c r="BD87" i="3"/>
  <c r="BD95" i="3"/>
  <c r="BD103" i="3"/>
  <c r="BD111" i="3"/>
  <c r="BD119" i="3"/>
  <c r="BD127" i="3"/>
  <c r="BD135" i="3"/>
  <c r="BD145" i="3"/>
  <c r="BD153" i="3"/>
  <c r="BD162" i="3"/>
  <c r="BD172" i="3"/>
  <c r="BD183" i="3"/>
  <c r="BD192" i="3"/>
  <c r="BD201" i="3"/>
  <c r="BD211" i="3"/>
  <c r="BD219" i="3"/>
  <c r="BD229" i="3"/>
  <c r="BD237" i="3"/>
  <c r="BD248" i="3"/>
  <c r="BD257" i="3"/>
  <c r="BD266" i="3"/>
  <c r="BD274" i="3"/>
  <c r="BD285" i="3"/>
  <c r="BD4" i="3"/>
  <c r="BD5" i="3"/>
  <c r="BD13" i="3"/>
  <c r="BD32" i="3"/>
  <c r="BD47" i="3"/>
  <c r="BD57" i="3"/>
  <c r="BD65" i="3"/>
  <c r="BD73" i="3"/>
  <c r="BD81" i="3"/>
  <c r="BD89" i="3"/>
  <c r="BD97" i="3"/>
  <c r="BD105" i="3"/>
  <c r="BD113" i="3"/>
  <c r="BD121" i="3"/>
  <c r="BD129" i="3"/>
  <c r="BD137" i="3"/>
  <c r="BD147" i="3"/>
  <c r="BD155" i="3"/>
  <c r="BD164" i="3"/>
  <c r="BD175" i="3"/>
  <c r="BD185" i="3"/>
  <c r="BD194" i="3"/>
  <c r="BD203" i="3"/>
  <c r="BD213" i="3"/>
  <c r="BD221" i="3"/>
  <c r="BD231" i="3"/>
  <c r="BD240" i="3"/>
  <c r="BD251" i="3"/>
  <c r="BD259" i="3"/>
  <c r="BD268" i="3"/>
  <c r="BD276" i="3"/>
  <c r="BD287" i="3"/>
  <c r="BD6" i="3"/>
  <c r="BD21" i="3"/>
  <c r="BD35" i="3"/>
  <c r="BD50" i="3"/>
  <c r="BD58" i="3"/>
  <c r="BD66" i="3"/>
  <c r="BD74" i="3"/>
  <c r="BD82" i="3"/>
  <c r="BD90" i="3"/>
  <c r="BD98" i="3"/>
  <c r="BD106" i="3"/>
  <c r="BD114" i="3"/>
  <c r="BD122" i="3"/>
  <c r="BD130" i="3"/>
  <c r="BD148" i="3"/>
  <c r="BD156" i="3"/>
  <c r="BD166" i="3"/>
  <c r="BD176" i="3"/>
  <c r="BD186" i="3"/>
  <c r="BD195" i="3"/>
  <c r="BD204" i="3"/>
  <c r="BD214" i="3"/>
  <c r="BD222" i="3"/>
  <c r="BD232" i="3"/>
  <c r="BD241" i="3"/>
  <c r="BD252" i="3"/>
  <c r="BD260" i="3"/>
  <c r="BD269" i="3"/>
  <c r="BD278" i="3"/>
  <c r="BD289" i="3"/>
  <c r="BD9" i="3"/>
  <c r="BD22" i="3"/>
  <c r="BD36" i="3"/>
  <c r="BD51" i="3"/>
  <c r="BD59" i="3"/>
  <c r="BD67" i="3"/>
  <c r="BD75" i="3"/>
  <c r="BD83" i="3"/>
  <c r="BD91" i="3"/>
  <c r="BD99" i="3"/>
  <c r="BD107" i="3"/>
  <c r="BD115" i="3"/>
  <c r="BD123" i="3"/>
  <c r="BD131" i="3"/>
  <c r="BD139" i="3"/>
  <c r="BD149" i="3"/>
  <c r="BD157" i="3"/>
  <c r="BD167" i="3"/>
  <c r="BD177" i="3"/>
  <c r="BD187" i="3"/>
  <c r="BD196" i="3"/>
  <c r="BD205" i="3"/>
  <c r="BD215" i="3"/>
  <c r="BD223" i="3"/>
  <c r="BD233" i="3"/>
  <c r="BD244" i="3"/>
  <c r="BD253" i="3"/>
  <c r="BD262" i="3"/>
  <c r="BD270" i="3"/>
  <c r="BD279" i="3"/>
  <c r="BD10" i="3"/>
  <c r="BD60" i="3"/>
  <c r="BD92" i="3"/>
  <c r="BD124" i="3"/>
  <c r="BD158" i="3"/>
  <c r="BD197" i="3"/>
  <c r="BD234" i="3"/>
  <c r="BD271" i="3"/>
  <c r="BD12" i="3"/>
  <c r="BD64" i="3"/>
  <c r="BD96" i="3"/>
  <c r="BD128" i="3"/>
  <c r="BD163" i="3"/>
  <c r="BD202" i="3"/>
  <c r="BD238" i="3"/>
  <c r="BD275" i="3"/>
  <c r="BD25" i="3"/>
  <c r="BD68" i="3"/>
  <c r="BD100" i="3"/>
  <c r="BD132" i="3"/>
  <c r="BD169" i="3"/>
  <c r="BD206" i="3"/>
  <c r="BD245" i="3"/>
  <c r="BD280" i="3"/>
  <c r="BD30" i="3"/>
  <c r="BD72" i="3"/>
  <c r="BD104" i="3"/>
  <c r="BD136" i="3"/>
  <c r="BD212" i="3"/>
  <c r="BD249" i="3"/>
  <c r="BD286" i="3"/>
  <c r="BD38" i="3"/>
  <c r="BD76" i="3"/>
  <c r="BD108" i="3"/>
  <c r="BD142" i="3"/>
  <c r="BD178" i="3"/>
  <c r="BD216" i="3"/>
  <c r="BD254" i="3"/>
  <c r="BD80" i="3"/>
  <c r="BD112" i="3"/>
  <c r="BD146" i="3"/>
  <c r="BD184" i="3"/>
  <c r="BD220" i="3"/>
  <c r="BD258" i="3"/>
  <c r="BD52" i="3"/>
  <c r="BD84" i="3"/>
  <c r="BD116" i="3"/>
  <c r="BD150" i="3"/>
  <c r="BD188" i="3"/>
  <c r="BD226" i="3"/>
  <c r="BD263" i="3"/>
  <c r="BD56" i="3"/>
  <c r="BD88" i="3"/>
  <c r="BD120" i="3"/>
  <c r="BD154" i="3"/>
  <c r="BD193" i="3"/>
  <c r="BD230" i="3"/>
  <c r="BD267" i="3"/>
  <c r="E983" i="8"/>
  <c r="D983" i="8"/>
  <c r="B983" i="8"/>
  <c r="A983" i="8"/>
  <c r="E982" i="8"/>
  <c r="D982" i="8"/>
  <c r="B982" i="8"/>
  <c r="A982" i="8"/>
  <c r="E981" i="8"/>
  <c r="D981" i="8"/>
  <c r="B981" i="8"/>
  <c r="A981" i="8"/>
  <c r="E980" i="8"/>
  <c r="D980" i="8"/>
  <c r="B980" i="8"/>
  <c r="A980" i="8"/>
  <c r="E979" i="8"/>
  <c r="D979" i="8"/>
  <c r="B979" i="8"/>
  <c r="A979" i="8"/>
  <c r="E978" i="8"/>
  <c r="D978" i="8"/>
  <c r="B978" i="8"/>
  <c r="A978" i="8"/>
  <c r="E977" i="8"/>
  <c r="D977" i="8"/>
  <c r="B977" i="8"/>
  <c r="A977" i="8"/>
  <c r="E976" i="8"/>
  <c r="D976" i="8"/>
  <c r="B976" i="8"/>
  <c r="A976" i="8"/>
  <c r="E975" i="8"/>
  <c r="D975" i="8"/>
  <c r="B975" i="8"/>
  <c r="A975" i="8"/>
  <c r="E974" i="8"/>
  <c r="D974" i="8"/>
  <c r="B974" i="8"/>
  <c r="A974" i="8"/>
  <c r="E973" i="8"/>
  <c r="D973" i="8"/>
  <c r="B973" i="8"/>
  <c r="A973" i="8"/>
  <c r="E972" i="8"/>
  <c r="D972" i="8"/>
  <c r="B972" i="8"/>
  <c r="A972" i="8"/>
  <c r="E971" i="8"/>
  <c r="D971" i="8"/>
  <c r="B971" i="8"/>
  <c r="A971" i="8"/>
  <c r="E970" i="8"/>
  <c r="D970" i="8"/>
  <c r="B970" i="8"/>
  <c r="A970" i="8"/>
  <c r="E969" i="8"/>
  <c r="D969" i="8"/>
  <c r="B969" i="8"/>
  <c r="A969" i="8"/>
  <c r="E968" i="8"/>
  <c r="D968" i="8"/>
  <c r="B968" i="8"/>
  <c r="A968" i="8"/>
  <c r="E967" i="8"/>
  <c r="D967" i="8"/>
  <c r="B967" i="8"/>
  <c r="A967" i="8"/>
  <c r="E966" i="8"/>
  <c r="D966" i="8"/>
  <c r="B966" i="8"/>
  <c r="A966" i="8"/>
  <c r="E965" i="8"/>
  <c r="D965" i="8"/>
  <c r="B965" i="8"/>
  <c r="A965" i="8"/>
  <c r="E964" i="8"/>
  <c r="D964" i="8"/>
  <c r="B964" i="8"/>
  <c r="A964" i="8"/>
  <c r="E963" i="8"/>
  <c r="D963" i="8"/>
  <c r="B963" i="8"/>
  <c r="A963" i="8"/>
  <c r="E962" i="8"/>
  <c r="D962" i="8"/>
  <c r="B962" i="8"/>
  <c r="A962" i="8"/>
  <c r="E961" i="8"/>
  <c r="D961" i="8"/>
  <c r="B961" i="8"/>
  <c r="A961" i="8"/>
  <c r="E960" i="8"/>
  <c r="D960" i="8"/>
  <c r="B960" i="8"/>
  <c r="A960" i="8"/>
  <c r="E959" i="8"/>
  <c r="D959" i="8"/>
  <c r="B959" i="8"/>
  <c r="A959" i="8"/>
  <c r="E958" i="8"/>
  <c r="D958" i="8"/>
  <c r="B958" i="8"/>
  <c r="A958" i="8"/>
  <c r="E957" i="8"/>
  <c r="D957" i="8"/>
  <c r="B957" i="8"/>
  <c r="A957" i="8"/>
  <c r="E956" i="8"/>
  <c r="D956" i="8"/>
  <c r="B956" i="8"/>
  <c r="A956" i="8"/>
  <c r="BC208" i="3" l="1"/>
  <c r="BC290" i="3"/>
  <c r="BC291" i="3"/>
  <c r="BC292" i="3"/>
  <c r="BC293" i="3"/>
  <c r="BC294" i="3"/>
  <c r="BC295" i="3"/>
  <c r="BC296" i="3"/>
  <c r="BC199" i="3"/>
  <c r="BC28" i="3"/>
  <c r="BC243" i="3"/>
  <c r="BC44" i="3"/>
  <c r="BC261" i="3"/>
  <c r="BC191" i="3"/>
  <c r="BC126" i="3"/>
  <c r="BC41" i="3"/>
  <c r="BC165" i="3"/>
  <c r="BC45" i="3"/>
  <c r="BC133" i="3"/>
  <c r="BC250" i="3"/>
  <c r="BC168" i="3"/>
  <c r="BC46" i="3"/>
  <c r="BC42" i="3"/>
  <c r="BC173" i="3"/>
  <c r="BC174" i="3"/>
  <c r="BC140" i="3"/>
  <c r="BC40" i="3"/>
  <c r="BC181" i="3"/>
  <c r="BC24" i="3"/>
  <c r="BC14" i="3"/>
  <c r="BC16" i="3"/>
  <c r="BC277" i="3"/>
  <c r="BC225" i="3"/>
  <c r="BC31" i="3"/>
  <c r="BC17" i="3"/>
  <c r="BC239" i="3"/>
  <c r="BC20" i="3"/>
  <c r="BC33" i="3"/>
  <c r="BC18" i="3"/>
  <c r="BC34" i="3"/>
  <c r="BC282" i="3"/>
  <c r="BC37" i="3"/>
  <c r="BC180" i="3"/>
  <c r="BC23" i="3"/>
  <c r="BC284" i="3"/>
  <c r="BC15" i="3"/>
  <c r="BC160" i="3"/>
  <c r="BC141" i="3"/>
  <c r="BC288" i="3"/>
  <c r="BC242" i="3"/>
  <c r="BC224" i="3"/>
  <c r="BC19" i="3"/>
  <c r="BC138" i="3"/>
  <c r="BC210" i="3"/>
  <c r="BC49" i="3"/>
  <c r="BC48" i="3"/>
  <c r="BC6" i="3"/>
  <c r="BC21" i="3"/>
  <c r="BC9" i="3"/>
  <c r="BC22" i="3"/>
  <c r="BC10" i="3"/>
  <c r="BC8" i="3"/>
  <c r="BC27" i="3"/>
  <c r="BC11" i="3"/>
  <c r="BC4" i="3"/>
  <c r="BC12" i="3"/>
  <c r="BC26" i="3"/>
  <c r="BC54" i="3"/>
  <c r="BC62" i="3"/>
  <c r="BC70" i="3"/>
  <c r="BC78" i="3"/>
  <c r="BC86" i="3"/>
  <c r="BC94" i="3"/>
  <c r="BC102" i="3"/>
  <c r="BC110" i="3"/>
  <c r="BC118" i="3"/>
  <c r="BC134" i="3"/>
  <c r="BC144" i="3"/>
  <c r="BC152" i="3"/>
  <c r="BC161" i="3"/>
  <c r="BC171" i="3"/>
  <c r="BC182" i="3"/>
  <c r="BC190" i="3"/>
  <c r="BC200" i="3"/>
  <c r="BC207" i="3"/>
  <c r="BC218" i="3"/>
  <c r="BC228" i="3"/>
  <c r="BC236" i="3"/>
  <c r="BC247" i="3"/>
  <c r="BC256" i="3"/>
  <c r="BC265" i="3"/>
  <c r="BC273" i="3"/>
  <c r="BC283" i="3"/>
  <c r="BC29" i="3"/>
  <c r="BC43" i="3"/>
  <c r="BC55" i="3"/>
  <c r="BC63" i="3"/>
  <c r="BC71" i="3"/>
  <c r="BC79" i="3"/>
  <c r="BC87" i="3"/>
  <c r="BC95" i="3"/>
  <c r="BC103" i="3"/>
  <c r="BC111" i="3"/>
  <c r="BC119" i="3"/>
  <c r="BC127" i="3"/>
  <c r="BC135" i="3"/>
  <c r="BC145" i="3"/>
  <c r="BC153" i="3"/>
  <c r="BC162" i="3"/>
  <c r="BC172" i="3"/>
  <c r="BC183" i="3"/>
  <c r="BC192" i="3"/>
  <c r="BC201" i="3"/>
  <c r="BC211" i="3"/>
  <c r="BC219" i="3"/>
  <c r="BC229" i="3"/>
  <c r="BC237" i="3"/>
  <c r="BC248" i="3"/>
  <c r="BC257" i="3"/>
  <c r="BC266" i="3"/>
  <c r="BC274" i="3"/>
  <c r="BC285" i="3"/>
  <c r="BC30" i="3"/>
  <c r="BC56" i="3"/>
  <c r="BC64" i="3"/>
  <c r="BC72" i="3"/>
  <c r="BC80" i="3"/>
  <c r="BC88" i="3"/>
  <c r="BC96" i="3"/>
  <c r="BC104" i="3"/>
  <c r="BC112" i="3"/>
  <c r="BC120" i="3"/>
  <c r="BC128" i="3"/>
  <c r="BC136" i="3"/>
  <c r="BC146" i="3"/>
  <c r="BC154" i="3"/>
  <c r="BC163" i="3"/>
  <c r="BC184" i="3"/>
  <c r="BC193" i="3"/>
  <c r="BC202" i="3"/>
  <c r="BC212" i="3"/>
  <c r="BC220" i="3"/>
  <c r="BC230" i="3"/>
  <c r="BC238" i="3"/>
  <c r="BC249" i="3"/>
  <c r="BC258" i="3"/>
  <c r="BC267" i="3"/>
  <c r="BC275" i="3"/>
  <c r="BC286" i="3"/>
  <c r="BC32" i="3"/>
  <c r="BC47" i="3"/>
  <c r="BC57" i="3"/>
  <c r="BC65" i="3"/>
  <c r="BC73" i="3"/>
  <c r="BC81" i="3"/>
  <c r="BC89" i="3"/>
  <c r="BC97" i="3"/>
  <c r="BC105" i="3"/>
  <c r="BC113" i="3"/>
  <c r="BC121" i="3"/>
  <c r="BC129" i="3"/>
  <c r="BC137" i="3"/>
  <c r="BC147" i="3"/>
  <c r="BC155" i="3"/>
  <c r="BC164" i="3"/>
  <c r="BC175" i="3"/>
  <c r="BC185" i="3"/>
  <c r="BC194" i="3"/>
  <c r="BC203" i="3"/>
  <c r="BC213" i="3"/>
  <c r="BC221" i="3"/>
  <c r="BC231" i="3"/>
  <c r="BC240" i="3"/>
  <c r="BC251" i="3"/>
  <c r="BC259" i="3"/>
  <c r="BC268" i="3"/>
  <c r="BC276" i="3"/>
  <c r="BC287" i="3"/>
  <c r="BC5" i="3"/>
  <c r="BC35" i="3"/>
  <c r="BC50" i="3"/>
  <c r="BC58" i="3"/>
  <c r="BC66" i="3"/>
  <c r="BC74" i="3"/>
  <c r="BC82" i="3"/>
  <c r="BC90" i="3"/>
  <c r="BC98" i="3"/>
  <c r="BC106" i="3"/>
  <c r="BC114" i="3"/>
  <c r="BC122" i="3"/>
  <c r="BC130" i="3"/>
  <c r="BC148" i="3"/>
  <c r="BC156" i="3"/>
  <c r="BC166" i="3"/>
  <c r="BC176" i="3"/>
  <c r="BC186" i="3"/>
  <c r="BC195" i="3"/>
  <c r="BC204" i="3"/>
  <c r="BC214" i="3"/>
  <c r="BC222" i="3"/>
  <c r="BC232" i="3"/>
  <c r="BC241" i="3"/>
  <c r="BC252" i="3"/>
  <c r="BC260" i="3"/>
  <c r="BC269" i="3"/>
  <c r="BC278" i="3"/>
  <c r="BC289" i="3"/>
  <c r="BC7" i="3"/>
  <c r="BC36" i="3"/>
  <c r="BC51" i="3"/>
  <c r="BC59" i="3"/>
  <c r="BC67" i="3"/>
  <c r="BC75" i="3"/>
  <c r="BC83" i="3"/>
  <c r="BC91" i="3"/>
  <c r="BC99" i="3"/>
  <c r="BC107" i="3"/>
  <c r="BC115" i="3"/>
  <c r="BC123" i="3"/>
  <c r="BC131" i="3"/>
  <c r="BC139" i="3"/>
  <c r="BC149" i="3"/>
  <c r="BC157" i="3"/>
  <c r="BC167" i="3"/>
  <c r="BC177" i="3"/>
  <c r="BC187" i="3"/>
  <c r="BC196" i="3"/>
  <c r="BC205" i="3"/>
  <c r="BC215" i="3"/>
  <c r="BC223" i="3"/>
  <c r="BC233" i="3"/>
  <c r="BC244" i="3"/>
  <c r="BC253" i="3"/>
  <c r="BC262" i="3"/>
  <c r="BC270" i="3"/>
  <c r="BC279" i="3"/>
  <c r="BC13" i="3"/>
  <c r="BC38" i="3"/>
  <c r="BC52" i="3"/>
  <c r="BC60" i="3"/>
  <c r="BC68" i="3"/>
  <c r="BC76" i="3"/>
  <c r="BC84" i="3"/>
  <c r="BC92" i="3"/>
  <c r="BC100" i="3"/>
  <c r="BC108" i="3"/>
  <c r="BC116" i="3"/>
  <c r="BC124" i="3"/>
  <c r="BC132" i="3"/>
  <c r="BC142" i="3"/>
  <c r="BC150" i="3"/>
  <c r="BC158" i="3"/>
  <c r="BC169" i="3"/>
  <c r="BC178" i="3"/>
  <c r="BC188" i="3"/>
  <c r="BC197" i="3"/>
  <c r="BC206" i="3"/>
  <c r="BC216" i="3"/>
  <c r="BC226" i="3"/>
  <c r="BC234" i="3"/>
  <c r="BC245" i="3"/>
  <c r="BC254" i="3"/>
  <c r="BC263" i="3"/>
  <c r="BC271" i="3"/>
  <c r="BC280" i="3"/>
  <c r="BC25" i="3"/>
  <c r="BC39" i="3"/>
  <c r="BC53" i="3"/>
  <c r="BC61" i="3"/>
  <c r="BC69" i="3"/>
  <c r="BC77" i="3"/>
  <c r="BC85" i="3"/>
  <c r="BC93" i="3"/>
  <c r="BC101" i="3"/>
  <c r="BC109" i="3"/>
  <c r="BC117" i="3"/>
  <c r="BC125" i="3"/>
  <c r="BC143" i="3"/>
  <c r="BC151" i="3"/>
  <c r="BC159" i="3"/>
  <c r="BC170" i="3"/>
  <c r="BC179" i="3"/>
  <c r="BC189" i="3"/>
  <c r="BC198" i="3"/>
  <c r="BC209" i="3"/>
  <c r="BC217" i="3"/>
  <c r="BC227" i="3"/>
  <c r="BC235" i="3"/>
  <c r="BC246" i="3"/>
  <c r="BC255" i="3"/>
  <c r="BC264" i="3"/>
  <c r="BC272" i="3"/>
  <c r="BC281" i="3"/>
  <c r="E951" i="8"/>
  <c r="D951" i="8"/>
  <c r="B951" i="8"/>
  <c r="A951" i="8"/>
  <c r="E950" i="8"/>
  <c r="D950" i="8"/>
  <c r="B950" i="8"/>
  <c r="A950" i="8"/>
  <c r="E949" i="8"/>
  <c r="D949" i="8"/>
  <c r="B949" i="8"/>
  <c r="A949" i="8"/>
  <c r="E948" i="8"/>
  <c r="D948" i="8"/>
  <c r="B948" i="8"/>
  <c r="A948" i="8"/>
  <c r="E947" i="8"/>
  <c r="D947" i="8"/>
  <c r="B947" i="8"/>
  <c r="A947" i="8"/>
  <c r="E946" i="8"/>
  <c r="D946" i="8"/>
  <c r="B946" i="8"/>
  <c r="A946" i="8"/>
  <c r="E945" i="8"/>
  <c r="D945" i="8"/>
  <c r="B945" i="8"/>
  <c r="A945" i="8"/>
  <c r="E944" i="8"/>
  <c r="D944" i="8"/>
  <c r="B944" i="8"/>
  <c r="A944" i="8"/>
  <c r="E943" i="8"/>
  <c r="D943" i="8"/>
  <c r="B943" i="8"/>
  <c r="A943" i="8"/>
  <c r="E942" i="8"/>
  <c r="D942" i="8"/>
  <c r="B942" i="8"/>
  <c r="A942" i="8"/>
  <c r="E941" i="8"/>
  <c r="D941" i="8"/>
  <c r="B941" i="8"/>
  <c r="A941" i="8"/>
  <c r="E940" i="8"/>
  <c r="D940" i="8"/>
  <c r="B940" i="8"/>
  <c r="A940" i="8"/>
  <c r="E939" i="8"/>
  <c r="D939" i="8"/>
  <c r="B939" i="8"/>
  <c r="A939" i="8"/>
  <c r="E938" i="8"/>
  <c r="D938" i="8"/>
  <c r="B938" i="8"/>
  <c r="A938" i="8"/>
  <c r="E937" i="8"/>
  <c r="D937" i="8"/>
  <c r="B937" i="8"/>
  <c r="A937" i="8"/>
  <c r="E936" i="8"/>
  <c r="D936" i="8"/>
  <c r="B936" i="8"/>
  <c r="A936" i="8"/>
  <c r="E935" i="8"/>
  <c r="D935" i="8"/>
  <c r="B935" i="8"/>
  <c r="A935" i="8"/>
  <c r="E934" i="8"/>
  <c r="D934" i="8"/>
  <c r="B934" i="8"/>
  <c r="A934" i="8"/>
  <c r="E933" i="8"/>
  <c r="D933" i="8"/>
  <c r="B933" i="8"/>
  <c r="A933" i="8"/>
  <c r="E932" i="8"/>
  <c r="D932" i="8"/>
  <c r="B932" i="8"/>
  <c r="A932" i="8"/>
  <c r="E931" i="8"/>
  <c r="D931" i="8"/>
  <c r="B931" i="8"/>
  <c r="A931" i="8"/>
  <c r="E930" i="8"/>
  <c r="D930" i="8"/>
  <c r="B930" i="8"/>
  <c r="A930" i="8"/>
  <c r="E929" i="8"/>
  <c r="D929" i="8"/>
  <c r="B929" i="8"/>
  <c r="A929" i="8"/>
  <c r="E928" i="8"/>
  <c r="D928" i="8"/>
  <c r="B928" i="8"/>
  <c r="A928" i="8"/>
  <c r="E927" i="8"/>
  <c r="D927" i="8"/>
  <c r="B927" i="8"/>
  <c r="A927" i="8"/>
  <c r="E926" i="8"/>
  <c r="D926" i="8"/>
  <c r="B926" i="8"/>
  <c r="A926" i="8"/>
  <c r="E925" i="8"/>
  <c r="D925" i="8"/>
  <c r="B925" i="8"/>
  <c r="A925" i="8"/>
  <c r="E924" i="8"/>
  <c r="D924" i="8"/>
  <c r="B924" i="8"/>
  <c r="A924" i="8"/>
  <c r="A908" i="8"/>
  <c r="A909" i="8"/>
  <c r="B908" i="8"/>
  <c r="B909" i="8"/>
  <c r="D908" i="8"/>
  <c r="D909" i="8"/>
  <c r="E908" i="8"/>
  <c r="E909" i="8"/>
  <c r="BB208" i="3" l="1"/>
  <c r="BB290" i="3"/>
  <c r="BB291" i="3"/>
  <c r="BB296" i="3"/>
  <c r="BB292" i="3"/>
  <c r="BB293" i="3"/>
  <c r="BB294" i="3"/>
  <c r="BB295" i="3"/>
  <c r="BB199" i="3"/>
  <c r="BB28" i="3"/>
  <c r="BB126" i="3"/>
  <c r="BB41" i="3"/>
  <c r="BB165" i="3"/>
  <c r="BB45" i="3"/>
  <c r="BB46" i="3"/>
  <c r="BB133" i="3"/>
  <c r="BB250" i="3"/>
  <c r="BB42" i="3"/>
  <c r="BB168" i="3"/>
  <c r="BB243" i="3"/>
  <c r="BB44" i="3"/>
  <c r="BB261" i="3"/>
  <c r="BB191" i="3"/>
  <c r="BB174" i="3"/>
  <c r="BB173" i="3"/>
  <c r="BB140" i="3"/>
  <c r="BB40" i="3"/>
  <c r="BB181" i="3"/>
  <c r="BB24" i="3"/>
  <c r="BB14" i="3"/>
  <c r="BB16" i="3"/>
  <c r="BB277" i="3"/>
  <c r="BB225" i="3"/>
  <c r="BB31" i="3"/>
  <c r="BB17" i="3"/>
  <c r="BB239" i="3"/>
  <c r="BB20" i="3"/>
  <c r="BB33" i="3"/>
  <c r="BB18" i="3"/>
  <c r="BB34" i="3"/>
  <c r="BB282" i="3"/>
  <c r="BB37" i="3"/>
  <c r="BB180" i="3"/>
  <c r="BB23" i="3"/>
  <c r="BB284" i="3"/>
  <c r="BB15" i="3"/>
  <c r="BB160" i="3"/>
  <c r="BB141" i="3"/>
  <c r="BB288" i="3"/>
  <c r="BB242" i="3"/>
  <c r="BB224" i="3"/>
  <c r="BB19" i="3"/>
  <c r="BB138" i="3"/>
  <c r="BB210" i="3"/>
  <c r="BB49" i="3"/>
  <c r="BB48" i="3"/>
  <c r="BB9" i="3"/>
  <c r="BB22" i="3"/>
  <c r="BB36" i="3"/>
  <c r="BB51" i="3"/>
  <c r="BB59" i="3"/>
  <c r="BB67" i="3"/>
  <c r="BB75" i="3"/>
  <c r="BB83" i="3"/>
  <c r="BB91" i="3"/>
  <c r="BB99" i="3"/>
  <c r="BB107" i="3"/>
  <c r="BB115" i="3"/>
  <c r="BB123" i="3"/>
  <c r="BB131" i="3"/>
  <c r="BB139" i="3"/>
  <c r="BB149" i="3"/>
  <c r="BB157" i="3"/>
  <c r="BB167" i="3"/>
  <c r="BB177" i="3"/>
  <c r="BB187" i="3"/>
  <c r="BB196" i="3"/>
  <c r="BB205" i="3"/>
  <c r="BB215" i="3"/>
  <c r="BB223" i="3"/>
  <c r="BB233" i="3"/>
  <c r="BB244" i="3"/>
  <c r="BB253" i="3"/>
  <c r="BB262" i="3"/>
  <c r="BB270" i="3"/>
  <c r="BB279" i="3"/>
  <c r="BB10" i="3"/>
  <c r="BB25" i="3"/>
  <c r="BB38" i="3"/>
  <c r="BB52" i="3"/>
  <c r="BB60" i="3"/>
  <c r="BB68" i="3"/>
  <c r="BB76" i="3"/>
  <c r="BB84" i="3"/>
  <c r="BB92" i="3"/>
  <c r="BB100" i="3"/>
  <c r="BB108" i="3"/>
  <c r="BB116" i="3"/>
  <c r="BB124" i="3"/>
  <c r="BB132" i="3"/>
  <c r="BB142" i="3"/>
  <c r="BB150" i="3"/>
  <c r="BB158" i="3"/>
  <c r="BB169" i="3"/>
  <c r="BB178" i="3"/>
  <c r="BB188" i="3"/>
  <c r="BB197" i="3"/>
  <c r="BB206" i="3"/>
  <c r="BB216" i="3"/>
  <c r="BB226" i="3"/>
  <c r="BB234" i="3"/>
  <c r="BB245" i="3"/>
  <c r="BB254" i="3"/>
  <c r="BB263" i="3"/>
  <c r="BB271" i="3"/>
  <c r="BB280" i="3"/>
  <c r="BB7" i="3"/>
  <c r="BB26" i="3"/>
  <c r="BB39" i="3"/>
  <c r="BB53" i="3"/>
  <c r="BB61" i="3"/>
  <c r="BB69" i="3"/>
  <c r="BB77" i="3"/>
  <c r="BB85" i="3"/>
  <c r="BB93" i="3"/>
  <c r="BB101" i="3"/>
  <c r="BB109" i="3"/>
  <c r="BB117" i="3"/>
  <c r="BB125" i="3"/>
  <c r="BB143" i="3"/>
  <c r="BB151" i="3"/>
  <c r="BB159" i="3"/>
  <c r="BB170" i="3"/>
  <c r="BB179" i="3"/>
  <c r="BB189" i="3"/>
  <c r="BB198" i="3"/>
  <c r="BB209" i="3"/>
  <c r="BB217" i="3"/>
  <c r="BB227" i="3"/>
  <c r="BB235" i="3"/>
  <c r="BB246" i="3"/>
  <c r="BB255" i="3"/>
  <c r="BB264" i="3"/>
  <c r="BB272" i="3"/>
  <c r="BB281" i="3"/>
  <c r="BB8" i="3"/>
  <c r="BB27" i="3"/>
  <c r="BB54" i="3"/>
  <c r="BB62" i="3"/>
  <c r="BB70" i="3"/>
  <c r="BB78" i="3"/>
  <c r="BB86" i="3"/>
  <c r="BB94" i="3"/>
  <c r="BB102" i="3"/>
  <c r="BB110" i="3"/>
  <c r="BB118" i="3"/>
  <c r="BB134" i="3"/>
  <c r="BB144" i="3"/>
  <c r="BB152" i="3"/>
  <c r="BB161" i="3"/>
  <c r="BB171" i="3"/>
  <c r="BB182" i="3"/>
  <c r="BB190" i="3"/>
  <c r="BB200" i="3"/>
  <c r="BB207" i="3"/>
  <c r="BB218" i="3"/>
  <c r="BB228" i="3"/>
  <c r="BB236" i="3"/>
  <c r="BB247" i="3"/>
  <c r="BB256" i="3"/>
  <c r="BB265" i="3"/>
  <c r="BB273" i="3"/>
  <c r="BB283" i="3"/>
  <c r="BB11" i="3"/>
  <c r="BB29" i="3"/>
  <c r="BB43" i="3"/>
  <c r="BB55" i="3"/>
  <c r="BB63" i="3"/>
  <c r="BB71" i="3"/>
  <c r="BB79" i="3"/>
  <c r="BB87" i="3"/>
  <c r="BB95" i="3"/>
  <c r="BB103" i="3"/>
  <c r="BB111" i="3"/>
  <c r="BB119" i="3"/>
  <c r="BB127" i="3"/>
  <c r="BB135" i="3"/>
  <c r="BB145" i="3"/>
  <c r="BB153" i="3"/>
  <c r="BB162" i="3"/>
  <c r="BB172" i="3"/>
  <c r="BB183" i="3"/>
  <c r="BB192" i="3"/>
  <c r="BB201" i="3"/>
  <c r="BB211" i="3"/>
  <c r="BB219" i="3"/>
  <c r="BB229" i="3"/>
  <c r="BB237" i="3"/>
  <c r="BB248" i="3"/>
  <c r="BB257" i="3"/>
  <c r="BB266" i="3"/>
  <c r="BB274" i="3"/>
  <c r="BB285" i="3"/>
  <c r="BB4" i="3"/>
  <c r="BB12" i="3"/>
  <c r="BB30" i="3"/>
  <c r="BB56" i="3"/>
  <c r="BB64" i="3"/>
  <c r="BB72" i="3"/>
  <c r="BB80" i="3"/>
  <c r="BB88" i="3"/>
  <c r="BB96" i="3"/>
  <c r="BB104" i="3"/>
  <c r="BB112" i="3"/>
  <c r="BB120" i="3"/>
  <c r="BB128" i="3"/>
  <c r="BB136" i="3"/>
  <c r="BB146" i="3"/>
  <c r="BB154" i="3"/>
  <c r="BB163" i="3"/>
  <c r="BB184" i="3"/>
  <c r="BB193" i="3"/>
  <c r="BB202" i="3"/>
  <c r="BB212" i="3"/>
  <c r="BB220" i="3"/>
  <c r="BB230" i="3"/>
  <c r="BB238" i="3"/>
  <c r="BB249" i="3"/>
  <c r="BB258" i="3"/>
  <c r="BB267" i="3"/>
  <c r="BB275" i="3"/>
  <c r="BB286" i="3"/>
  <c r="BB5" i="3"/>
  <c r="BB13" i="3"/>
  <c r="BB32" i="3"/>
  <c r="BB47" i="3"/>
  <c r="BB57" i="3"/>
  <c r="BB65" i="3"/>
  <c r="BB73" i="3"/>
  <c r="BB81" i="3"/>
  <c r="BB89" i="3"/>
  <c r="BB97" i="3"/>
  <c r="BB105" i="3"/>
  <c r="BB113" i="3"/>
  <c r="BB121" i="3"/>
  <c r="BB129" i="3"/>
  <c r="BB137" i="3"/>
  <c r="BB147" i="3"/>
  <c r="BB155" i="3"/>
  <c r="BB164" i="3"/>
  <c r="BB175" i="3"/>
  <c r="BB185" i="3"/>
  <c r="BB194" i="3"/>
  <c r="BB203" i="3"/>
  <c r="BB213" i="3"/>
  <c r="BB221" i="3"/>
  <c r="BB231" i="3"/>
  <c r="BB240" i="3"/>
  <c r="BB251" i="3"/>
  <c r="BB259" i="3"/>
  <c r="BB268" i="3"/>
  <c r="BB276" i="3"/>
  <c r="BB287" i="3"/>
  <c r="BB6" i="3"/>
  <c r="BB21" i="3"/>
  <c r="BB35" i="3"/>
  <c r="BB50" i="3"/>
  <c r="BB58" i="3"/>
  <c r="BB66" i="3"/>
  <c r="BB74" i="3"/>
  <c r="BB82" i="3"/>
  <c r="BB90" i="3"/>
  <c r="BB98" i="3"/>
  <c r="BB106" i="3"/>
  <c r="BB114" i="3"/>
  <c r="BB122" i="3"/>
  <c r="BB130" i="3"/>
  <c r="BB148" i="3"/>
  <c r="BB156" i="3"/>
  <c r="BB166" i="3"/>
  <c r="BB176" i="3"/>
  <c r="BB186" i="3"/>
  <c r="BB195" i="3"/>
  <c r="BB204" i="3"/>
  <c r="BB214" i="3"/>
  <c r="BB222" i="3"/>
  <c r="BB232" i="3"/>
  <c r="BB241" i="3"/>
  <c r="BB252" i="3"/>
  <c r="BB260" i="3"/>
  <c r="BB269" i="3"/>
  <c r="BB278" i="3"/>
  <c r="BB289" i="3"/>
  <c r="E921" i="8"/>
  <c r="D921" i="8"/>
  <c r="B921" i="8"/>
  <c r="A921" i="8"/>
  <c r="E920" i="8"/>
  <c r="D920" i="8"/>
  <c r="B920" i="8"/>
  <c r="A920" i="8"/>
  <c r="E919" i="8"/>
  <c r="D919" i="8"/>
  <c r="B919" i="8"/>
  <c r="A919" i="8"/>
  <c r="E918" i="8"/>
  <c r="D918" i="8"/>
  <c r="B918" i="8"/>
  <c r="A918" i="8"/>
  <c r="E917" i="8"/>
  <c r="D917" i="8"/>
  <c r="B917" i="8"/>
  <c r="A917" i="8"/>
  <c r="E916" i="8"/>
  <c r="D916" i="8"/>
  <c r="B916" i="8"/>
  <c r="A916" i="8"/>
  <c r="E915" i="8"/>
  <c r="D915" i="8"/>
  <c r="B915" i="8"/>
  <c r="A915" i="8"/>
  <c r="E914" i="8"/>
  <c r="D914" i="8"/>
  <c r="B914" i="8"/>
  <c r="A914" i="8"/>
  <c r="A872" i="8"/>
  <c r="A873" i="8"/>
  <c r="B872" i="8"/>
  <c r="B873" i="8"/>
  <c r="D872" i="8"/>
  <c r="D873" i="8"/>
  <c r="E872" i="8"/>
  <c r="E873" i="8"/>
  <c r="BA208" i="3" l="1"/>
  <c r="BA296" i="3"/>
  <c r="BA290" i="3"/>
  <c r="BA291" i="3"/>
  <c r="BA292" i="3"/>
  <c r="BA293" i="3"/>
  <c r="BA295" i="3"/>
  <c r="BA294" i="3"/>
  <c r="BA199" i="3"/>
  <c r="BA28" i="3"/>
  <c r="BA126" i="3"/>
  <c r="BA45" i="3"/>
  <c r="BA41" i="3"/>
  <c r="BA165" i="3"/>
  <c r="BA46" i="3"/>
  <c r="BA133" i="3"/>
  <c r="BA250" i="3"/>
  <c r="BA243" i="3"/>
  <c r="BA44" i="3"/>
  <c r="BA42" i="3"/>
  <c r="BA168" i="3"/>
  <c r="BA261" i="3"/>
  <c r="BA191" i="3"/>
  <c r="BA174" i="3"/>
  <c r="BA173" i="3"/>
  <c r="BA140" i="3"/>
  <c r="BA40" i="3"/>
  <c r="BA181" i="3"/>
  <c r="BA24" i="3"/>
  <c r="BA138" i="3"/>
  <c r="BA48" i="3"/>
  <c r="BA224" i="3"/>
  <c r="BA14" i="3"/>
  <c r="BA16" i="3"/>
  <c r="BA277" i="3"/>
  <c r="BA225" i="3"/>
  <c r="BA31" i="3"/>
  <c r="BA17" i="3"/>
  <c r="BA239" i="3"/>
  <c r="BA20" i="3"/>
  <c r="BA33" i="3"/>
  <c r="BA18" i="3"/>
  <c r="BA34" i="3"/>
  <c r="BA282" i="3"/>
  <c r="BA37" i="3"/>
  <c r="BA180" i="3"/>
  <c r="BA23" i="3"/>
  <c r="BA284" i="3"/>
  <c r="BA15" i="3"/>
  <c r="BA160" i="3"/>
  <c r="BA141" i="3"/>
  <c r="BA288" i="3"/>
  <c r="BA210" i="3"/>
  <c r="BA49" i="3"/>
  <c r="BA242" i="3"/>
  <c r="BA19" i="3"/>
  <c r="BA4" i="3"/>
  <c r="BA12" i="3"/>
  <c r="BA30" i="3"/>
  <c r="BA56" i="3"/>
  <c r="BA64" i="3"/>
  <c r="BA72" i="3"/>
  <c r="BA80" i="3"/>
  <c r="BA88" i="3"/>
  <c r="BA96" i="3"/>
  <c r="BA104" i="3"/>
  <c r="BA112" i="3"/>
  <c r="BA120" i="3"/>
  <c r="BA128" i="3"/>
  <c r="BA136" i="3"/>
  <c r="BA146" i="3"/>
  <c r="BA154" i="3"/>
  <c r="BA163" i="3"/>
  <c r="BA184" i="3"/>
  <c r="BA193" i="3"/>
  <c r="BA202" i="3"/>
  <c r="BA212" i="3"/>
  <c r="BA220" i="3"/>
  <c r="BA230" i="3"/>
  <c r="BA238" i="3"/>
  <c r="BA249" i="3"/>
  <c r="BA258" i="3"/>
  <c r="BA267" i="3"/>
  <c r="BA275" i="3"/>
  <c r="BA286" i="3"/>
  <c r="BA5" i="3"/>
  <c r="BA13" i="3"/>
  <c r="BA32" i="3"/>
  <c r="BA47" i="3"/>
  <c r="BA57" i="3"/>
  <c r="BA65" i="3"/>
  <c r="BA73" i="3"/>
  <c r="BA81" i="3"/>
  <c r="BA89" i="3"/>
  <c r="BA97" i="3"/>
  <c r="BA105" i="3"/>
  <c r="BA113" i="3"/>
  <c r="BA121" i="3"/>
  <c r="BA129" i="3"/>
  <c r="BA137" i="3"/>
  <c r="BA147" i="3"/>
  <c r="BA155" i="3"/>
  <c r="BA164" i="3"/>
  <c r="BA175" i="3"/>
  <c r="BA185" i="3"/>
  <c r="BA194" i="3"/>
  <c r="BA203" i="3"/>
  <c r="BA213" i="3"/>
  <c r="BA221" i="3"/>
  <c r="BA231" i="3"/>
  <c r="BA240" i="3"/>
  <c r="BA251" i="3"/>
  <c r="BA259" i="3"/>
  <c r="BA268" i="3"/>
  <c r="BA276" i="3"/>
  <c r="BA287" i="3"/>
  <c r="BA6" i="3"/>
  <c r="BA21" i="3"/>
  <c r="BA35" i="3"/>
  <c r="BA50" i="3"/>
  <c r="BA58" i="3"/>
  <c r="BA66" i="3"/>
  <c r="BA74" i="3"/>
  <c r="BA82" i="3"/>
  <c r="BA90" i="3"/>
  <c r="BA98" i="3"/>
  <c r="BA106" i="3"/>
  <c r="BA114" i="3"/>
  <c r="BA122" i="3"/>
  <c r="BA130" i="3"/>
  <c r="BA148" i="3"/>
  <c r="BA156" i="3"/>
  <c r="BA166" i="3"/>
  <c r="BA176" i="3"/>
  <c r="BA186" i="3"/>
  <c r="BA195" i="3"/>
  <c r="BA204" i="3"/>
  <c r="BA214" i="3"/>
  <c r="BA222" i="3"/>
  <c r="BA232" i="3"/>
  <c r="BA241" i="3"/>
  <c r="BA252" i="3"/>
  <c r="BA260" i="3"/>
  <c r="BA269" i="3"/>
  <c r="BA278" i="3"/>
  <c r="BA289" i="3"/>
  <c r="BA9" i="3"/>
  <c r="BA22" i="3"/>
  <c r="BA36" i="3"/>
  <c r="BA51" i="3"/>
  <c r="BA59" i="3"/>
  <c r="BA67" i="3"/>
  <c r="BA75" i="3"/>
  <c r="BA83" i="3"/>
  <c r="BA91" i="3"/>
  <c r="BA99" i="3"/>
  <c r="BA107" i="3"/>
  <c r="BA115" i="3"/>
  <c r="BA123" i="3"/>
  <c r="BA131" i="3"/>
  <c r="BA139" i="3"/>
  <c r="BA149" i="3"/>
  <c r="BA157" i="3"/>
  <c r="BA167" i="3"/>
  <c r="BA177" i="3"/>
  <c r="BA187" i="3"/>
  <c r="BA196" i="3"/>
  <c r="BA205" i="3"/>
  <c r="BA215" i="3"/>
  <c r="BA223" i="3"/>
  <c r="BA233" i="3"/>
  <c r="BA244" i="3"/>
  <c r="BA253" i="3"/>
  <c r="BA262" i="3"/>
  <c r="BA270" i="3"/>
  <c r="BA279" i="3"/>
  <c r="BA10" i="3"/>
  <c r="BA25" i="3"/>
  <c r="BA38" i="3"/>
  <c r="BA52" i="3"/>
  <c r="BA60" i="3"/>
  <c r="BA68" i="3"/>
  <c r="BA76" i="3"/>
  <c r="BA84" i="3"/>
  <c r="BA92" i="3"/>
  <c r="BA100" i="3"/>
  <c r="BA108" i="3"/>
  <c r="BA116" i="3"/>
  <c r="BA124" i="3"/>
  <c r="BA132" i="3"/>
  <c r="BA142" i="3"/>
  <c r="BA150" i="3"/>
  <c r="BA158" i="3"/>
  <c r="BA169" i="3"/>
  <c r="BA178" i="3"/>
  <c r="BA188" i="3"/>
  <c r="BA197" i="3"/>
  <c r="BA206" i="3"/>
  <c r="BA216" i="3"/>
  <c r="BA226" i="3"/>
  <c r="BA234" i="3"/>
  <c r="BA245" i="3"/>
  <c r="BA254" i="3"/>
  <c r="BA263" i="3"/>
  <c r="BA271" i="3"/>
  <c r="BA280" i="3"/>
  <c r="BA7" i="3"/>
  <c r="BA26" i="3"/>
  <c r="BA39" i="3"/>
  <c r="BA53" i="3"/>
  <c r="BA61" i="3"/>
  <c r="BA69" i="3"/>
  <c r="BA77" i="3"/>
  <c r="BA85" i="3"/>
  <c r="BA93" i="3"/>
  <c r="BA101" i="3"/>
  <c r="BA109" i="3"/>
  <c r="BA117" i="3"/>
  <c r="BA125" i="3"/>
  <c r="BA143" i="3"/>
  <c r="BA151" i="3"/>
  <c r="BA159" i="3"/>
  <c r="BA170" i="3"/>
  <c r="BA179" i="3"/>
  <c r="BA189" i="3"/>
  <c r="BA198" i="3"/>
  <c r="BA209" i="3"/>
  <c r="BA217" i="3"/>
  <c r="BA227" i="3"/>
  <c r="BA235" i="3"/>
  <c r="BA246" i="3"/>
  <c r="BA255" i="3"/>
  <c r="BA264" i="3"/>
  <c r="BA272" i="3"/>
  <c r="BA281" i="3"/>
  <c r="BA8" i="3"/>
  <c r="BA27" i="3"/>
  <c r="BA54" i="3"/>
  <c r="BA62" i="3"/>
  <c r="BA70" i="3"/>
  <c r="BA78" i="3"/>
  <c r="BA86" i="3"/>
  <c r="BA94" i="3"/>
  <c r="BA102" i="3"/>
  <c r="BA110" i="3"/>
  <c r="BA118" i="3"/>
  <c r="BA134" i="3"/>
  <c r="BA144" i="3"/>
  <c r="BA152" i="3"/>
  <c r="BA161" i="3"/>
  <c r="BA171" i="3"/>
  <c r="BA182" i="3"/>
  <c r="BA190" i="3"/>
  <c r="BA200" i="3"/>
  <c r="BA207" i="3"/>
  <c r="BA218" i="3"/>
  <c r="BA228" i="3"/>
  <c r="BA236" i="3"/>
  <c r="BA247" i="3"/>
  <c r="BA256" i="3"/>
  <c r="BA265" i="3"/>
  <c r="BA273" i="3"/>
  <c r="BA283" i="3"/>
  <c r="BA11" i="3"/>
  <c r="BA29" i="3"/>
  <c r="BA43" i="3"/>
  <c r="BA55" i="3"/>
  <c r="BA63" i="3"/>
  <c r="BA71" i="3"/>
  <c r="BA79" i="3"/>
  <c r="BA87" i="3"/>
  <c r="BA95" i="3"/>
  <c r="BA103" i="3"/>
  <c r="BA111" i="3"/>
  <c r="BA119" i="3"/>
  <c r="BA127" i="3"/>
  <c r="BA135" i="3"/>
  <c r="BA145" i="3"/>
  <c r="BA153" i="3"/>
  <c r="BA162" i="3"/>
  <c r="BA172" i="3"/>
  <c r="BA183" i="3"/>
  <c r="BA192" i="3"/>
  <c r="BA201" i="3"/>
  <c r="BA211" i="3"/>
  <c r="BA219" i="3"/>
  <c r="BA229" i="3"/>
  <c r="BA237" i="3"/>
  <c r="BA248" i="3"/>
  <c r="BA257" i="3"/>
  <c r="BA266" i="3"/>
  <c r="BA274" i="3"/>
  <c r="BA285" i="3"/>
  <c r="E907" i="8"/>
  <c r="D907" i="8"/>
  <c r="B907" i="8"/>
  <c r="A907" i="8"/>
  <c r="E906" i="8"/>
  <c r="D906" i="8"/>
  <c r="B906" i="8"/>
  <c r="A906" i="8"/>
  <c r="E905" i="8"/>
  <c r="D905" i="8"/>
  <c r="B905" i="8"/>
  <c r="A905" i="8"/>
  <c r="E904" i="8"/>
  <c r="D904" i="8"/>
  <c r="B904" i="8"/>
  <c r="A904" i="8"/>
  <c r="E903" i="8"/>
  <c r="D903" i="8"/>
  <c r="B903" i="8"/>
  <c r="A903" i="8"/>
  <c r="E902" i="8"/>
  <c r="D902" i="8"/>
  <c r="B902" i="8"/>
  <c r="A902" i="8"/>
  <c r="E901" i="8"/>
  <c r="D901" i="8"/>
  <c r="B901" i="8"/>
  <c r="A901" i="8"/>
  <c r="E900" i="8"/>
  <c r="D900" i="8"/>
  <c r="B900" i="8"/>
  <c r="A900" i="8"/>
  <c r="E899" i="8"/>
  <c r="D899" i="8"/>
  <c r="B899" i="8"/>
  <c r="A899" i="8"/>
  <c r="E898" i="8"/>
  <c r="D898" i="8"/>
  <c r="B898" i="8"/>
  <c r="A898" i="8"/>
  <c r="E897" i="8"/>
  <c r="D897" i="8"/>
  <c r="B897" i="8"/>
  <c r="A897" i="8"/>
  <c r="E896" i="8"/>
  <c r="D896" i="8"/>
  <c r="B896" i="8"/>
  <c r="A896" i="8"/>
  <c r="E895" i="8"/>
  <c r="D895" i="8"/>
  <c r="B895" i="8"/>
  <c r="A895" i="8"/>
  <c r="E894" i="8"/>
  <c r="D894" i="8"/>
  <c r="B894" i="8"/>
  <c r="A894" i="8"/>
  <c r="E893" i="8"/>
  <c r="D893" i="8"/>
  <c r="B893" i="8"/>
  <c r="A893" i="8"/>
  <c r="E892" i="8"/>
  <c r="D892" i="8"/>
  <c r="B892" i="8"/>
  <c r="A892" i="8"/>
  <c r="E891" i="8"/>
  <c r="D891" i="8"/>
  <c r="B891" i="8"/>
  <c r="A891" i="8"/>
  <c r="E890" i="8"/>
  <c r="D890" i="8"/>
  <c r="B890" i="8"/>
  <c r="A890" i="8"/>
  <c r="E889" i="8"/>
  <c r="D889" i="8"/>
  <c r="B889" i="8"/>
  <c r="A889" i="8"/>
  <c r="E888" i="8"/>
  <c r="D888" i="8"/>
  <c r="B888" i="8"/>
  <c r="A888" i="8"/>
  <c r="E887" i="8"/>
  <c r="D887" i="8"/>
  <c r="B887" i="8"/>
  <c r="A887" i="8"/>
  <c r="E886" i="8"/>
  <c r="D886" i="8"/>
  <c r="B886" i="8"/>
  <c r="A886" i="8"/>
  <c r="E885" i="8"/>
  <c r="D885" i="8"/>
  <c r="B885" i="8"/>
  <c r="A885" i="8"/>
  <c r="E884" i="8"/>
  <c r="D884" i="8"/>
  <c r="B884" i="8"/>
  <c r="A884" i="8"/>
  <c r="E883" i="8"/>
  <c r="D883" i="8"/>
  <c r="B883" i="8"/>
  <c r="A883" i="8"/>
  <c r="E882" i="8"/>
  <c r="D882" i="8"/>
  <c r="B882" i="8"/>
  <c r="A882" i="8"/>
  <c r="E881" i="8"/>
  <c r="D881" i="8"/>
  <c r="B881" i="8"/>
  <c r="A881" i="8"/>
  <c r="E880" i="8"/>
  <c r="D880" i="8"/>
  <c r="B880" i="8"/>
  <c r="A880" i="8"/>
  <c r="AZ208" i="3" l="1"/>
  <c r="AZ295" i="3"/>
  <c r="AZ296" i="3"/>
  <c r="AZ290" i="3"/>
  <c r="AZ291" i="3"/>
  <c r="AZ292" i="3"/>
  <c r="AZ293" i="3"/>
  <c r="AZ294" i="3"/>
  <c r="AZ199" i="3"/>
  <c r="AZ28" i="3"/>
  <c r="AZ133" i="3"/>
  <c r="AZ250" i="3"/>
  <c r="AZ42" i="3"/>
  <c r="AZ168" i="3"/>
  <c r="AZ45" i="3"/>
  <c r="AZ243" i="3"/>
  <c r="AZ44" i="3"/>
  <c r="AZ261" i="3"/>
  <c r="AZ191" i="3"/>
  <c r="AZ126" i="3"/>
  <c r="AZ46" i="3"/>
  <c r="AZ41" i="3"/>
  <c r="AZ165" i="3"/>
  <c r="AZ173" i="3"/>
  <c r="AZ174" i="3"/>
  <c r="AZ140" i="3"/>
  <c r="AZ40" i="3"/>
  <c r="AZ181" i="3"/>
  <c r="AZ24" i="3"/>
  <c r="AZ138" i="3"/>
  <c r="AZ48" i="3"/>
  <c r="AZ224" i="3"/>
  <c r="AZ14" i="3"/>
  <c r="AZ16" i="3"/>
  <c r="AZ277" i="3"/>
  <c r="AZ225" i="3"/>
  <c r="AZ31" i="3"/>
  <c r="AZ17" i="3"/>
  <c r="AZ239" i="3"/>
  <c r="AZ20" i="3"/>
  <c r="AZ33" i="3"/>
  <c r="AZ18" i="3"/>
  <c r="AZ34" i="3"/>
  <c r="AZ282" i="3"/>
  <c r="AZ37" i="3"/>
  <c r="AZ180" i="3"/>
  <c r="AZ23" i="3"/>
  <c r="AZ284" i="3"/>
  <c r="AZ15" i="3"/>
  <c r="AZ160" i="3"/>
  <c r="AZ141" i="3"/>
  <c r="AZ288" i="3"/>
  <c r="AZ210" i="3"/>
  <c r="AZ49" i="3"/>
  <c r="AZ19" i="3"/>
  <c r="AZ242" i="3"/>
  <c r="AZ7" i="3"/>
  <c r="AZ26" i="3"/>
  <c r="AZ39" i="3"/>
  <c r="AZ53" i="3"/>
  <c r="AZ61" i="3"/>
  <c r="AZ69" i="3"/>
  <c r="AZ77" i="3"/>
  <c r="AZ85" i="3"/>
  <c r="AZ93" i="3"/>
  <c r="AZ101" i="3"/>
  <c r="AZ109" i="3"/>
  <c r="AZ117" i="3"/>
  <c r="AZ125" i="3"/>
  <c r="AZ143" i="3"/>
  <c r="AZ151" i="3"/>
  <c r="AZ159" i="3"/>
  <c r="AZ170" i="3"/>
  <c r="AZ179" i="3"/>
  <c r="AZ189" i="3"/>
  <c r="AZ198" i="3"/>
  <c r="AZ209" i="3"/>
  <c r="AZ217" i="3"/>
  <c r="AZ227" i="3"/>
  <c r="AZ235" i="3"/>
  <c r="AZ246" i="3"/>
  <c r="AZ255" i="3"/>
  <c r="AZ264" i="3"/>
  <c r="AZ272" i="3"/>
  <c r="AZ281" i="3"/>
  <c r="AZ8" i="3"/>
  <c r="AZ27" i="3"/>
  <c r="AZ54" i="3"/>
  <c r="AZ62" i="3"/>
  <c r="AZ70" i="3"/>
  <c r="AZ78" i="3"/>
  <c r="AZ86" i="3"/>
  <c r="AZ94" i="3"/>
  <c r="AZ102" i="3"/>
  <c r="AZ110" i="3"/>
  <c r="AZ118" i="3"/>
  <c r="AZ134" i="3"/>
  <c r="AZ144" i="3"/>
  <c r="AZ152" i="3"/>
  <c r="AZ161" i="3"/>
  <c r="AZ171" i="3"/>
  <c r="AZ182" i="3"/>
  <c r="AZ190" i="3"/>
  <c r="AZ200" i="3"/>
  <c r="AZ207" i="3"/>
  <c r="AZ218" i="3"/>
  <c r="AZ228" i="3"/>
  <c r="AZ236" i="3"/>
  <c r="AZ247" i="3"/>
  <c r="AZ256" i="3"/>
  <c r="AZ265" i="3"/>
  <c r="AZ273" i="3"/>
  <c r="AZ283" i="3"/>
  <c r="AZ11" i="3"/>
  <c r="AZ29" i="3"/>
  <c r="AZ43" i="3"/>
  <c r="AZ55" i="3"/>
  <c r="AZ63" i="3"/>
  <c r="AZ71" i="3"/>
  <c r="AZ79" i="3"/>
  <c r="AZ87" i="3"/>
  <c r="AZ95" i="3"/>
  <c r="AZ103" i="3"/>
  <c r="AZ111" i="3"/>
  <c r="AZ119" i="3"/>
  <c r="AZ127" i="3"/>
  <c r="AZ135" i="3"/>
  <c r="AZ145" i="3"/>
  <c r="AZ153" i="3"/>
  <c r="AZ162" i="3"/>
  <c r="AZ172" i="3"/>
  <c r="AZ183" i="3"/>
  <c r="AZ192" i="3"/>
  <c r="AZ201" i="3"/>
  <c r="AZ211" i="3"/>
  <c r="AZ219" i="3"/>
  <c r="AZ229" i="3"/>
  <c r="AZ237" i="3"/>
  <c r="AZ248" i="3"/>
  <c r="AZ257" i="3"/>
  <c r="AZ266" i="3"/>
  <c r="AZ274" i="3"/>
  <c r="AZ285" i="3"/>
  <c r="AZ4" i="3"/>
  <c r="AZ12" i="3"/>
  <c r="AZ30" i="3"/>
  <c r="AZ56" i="3"/>
  <c r="AZ64" i="3"/>
  <c r="AZ72" i="3"/>
  <c r="AZ80" i="3"/>
  <c r="AZ88" i="3"/>
  <c r="AZ96" i="3"/>
  <c r="AZ104" i="3"/>
  <c r="AZ112" i="3"/>
  <c r="AZ120" i="3"/>
  <c r="AZ128" i="3"/>
  <c r="AZ136" i="3"/>
  <c r="AZ146" i="3"/>
  <c r="AZ154" i="3"/>
  <c r="AZ163" i="3"/>
  <c r="AZ184" i="3"/>
  <c r="AZ193" i="3"/>
  <c r="AZ202" i="3"/>
  <c r="AZ212" i="3"/>
  <c r="AZ220" i="3"/>
  <c r="AZ230" i="3"/>
  <c r="AZ238" i="3"/>
  <c r="AZ249" i="3"/>
  <c r="AZ258" i="3"/>
  <c r="AZ267" i="3"/>
  <c r="AZ275" i="3"/>
  <c r="AZ286" i="3"/>
  <c r="AZ5" i="3"/>
  <c r="AZ13" i="3"/>
  <c r="AZ32" i="3"/>
  <c r="AZ47" i="3"/>
  <c r="AZ57" i="3"/>
  <c r="AZ65" i="3"/>
  <c r="AZ73" i="3"/>
  <c r="AZ81" i="3"/>
  <c r="AZ89" i="3"/>
  <c r="AZ97" i="3"/>
  <c r="AZ105" i="3"/>
  <c r="AZ113" i="3"/>
  <c r="AZ121" i="3"/>
  <c r="AZ129" i="3"/>
  <c r="AZ137" i="3"/>
  <c r="AZ147" i="3"/>
  <c r="AZ155" i="3"/>
  <c r="AZ164" i="3"/>
  <c r="AZ175" i="3"/>
  <c r="AZ185" i="3"/>
  <c r="AZ194" i="3"/>
  <c r="AZ203" i="3"/>
  <c r="AZ213" i="3"/>
  <c r="AZ221" i="3"/>
  <c r="AZ231" i="3"/>
  <c r="AZ240" i="3"/>
  <c r="AZ251" i="3"/>
  <c r="AZ259" i="3"/>
  <c r="AZ268" i="3"/>
  <c r="AZ276" i="3"/>
  <c r="AZ287" i="3"/>
  <c r="AZ6" i="3"/>
  <c r="AZ21" i="3"/>
  <c r="AZ35" i="3"/>
  <c r="AZ50" i="3"/>
  <c r="AZ58" i="3"/>
  <c r="AZ66" i="3"/>
  <c r="AZ74" i="3"/>
  <c r="AZ82" i="3"/>
  <c r="AZ90" i="3"/>
  <c r="AZ98" i="3"/>
  <c r="AZ106" i="3"/>
  <c r="AZ114" i="3"/>
  <c r="AZ122" i="3"/>
  <c r="AZ130" i="3"/>
  <c r="AZ148" i="3"/>
  <c r="AZ156" i="3"/>
  <c r="AZ166" i="3"/>
  <c r="AZ176" i="3"/>
  <c r="AZ186" i="3"/>
  <c r="AZ195" i="3"/>
  <c r="AZ204" i="3"/>
  <c r="AZ214" i="3"/>
  <c r="AZ222" i="3"/>
  <c r="AZ232" i="3"/>
  <c r="AZ241" i="3"/>
  <c r="AZ252" i="3"/>
  <c r="AZ260" i="3"/>
  <c r="AZ269" i="3"/>
  <c r="AZ278" i="3"/>
  <c r="AZ289" i="3"/>
  <c r="AZ9" i="3"/>
  <c r="AZ22" i="3"/>
  <c r="AZ36" i="3"/>
  <c r="AZ51" i="3"/>
  <c r="AZ59" i="3"/>
  <c r="AZ67" i="3"/>
  <c r="AZ75" i="3"/>
  <c r="AZ83" i="3"/>
  <c r="AZ91" i="3"/>
  <c r="AZ99" i="3"/>
  <c r="AZ107" i="3"/>
  <c r="AZ115" i="3"/>
  <c r="AZ123" i="3"/>
  <c r="AZ131" i="3"/>
  <c r="AZ139" i="3"/>
  <c r="AZ149" i="3"/>
  <c r="AZ157" i="3"/>
  <c r="AZ167" i="3"/>
  <c r="AZ177" i="3"/>
  <c r="AZ187" i="3"/>
  <c r="AZ196" i="3"/>
  <c r="AZ205" i="3"/>
  <c r="AZ215" i="3"/>
  <c r="AZ223" i="3"/>
  <c r="AZ233" i="3"/>
  <c r="AZ244" i="3"/>
  <c r="AZ253" i="3"/>
  <c r="AZ262" i="3"/>
  <c r="AZ270" i="3"/>
  <c r="AZ279" i="3"/>
  <c r="AZ10" i="3"/>
  <c r="AZ25" i="3"/>
  <c r="AZ38" i="3"/>
  <c r="AZ52" i="3"/>
  <c r="AZ60" i="3"/>
  <c r="AZ68" i="3"/>
  <c r="AZ76" i="3"/>
  <c r="AZ84" i="3"/>
  <c r="AZ92" i="3"/>
  <c r="AZ100" i="3"/>
  <c r="AZ108" i="3"/>
  <c r="AZ116" i="3"/>
  <c r="AZ124" i="3"/>
  <c r="AZ132" i="3"/>
  <c r="AZ142" i="3"/>
  <c r="AZ150" i="3"/>
  <c r="AZ158" i="3"/>
  <c r="AZ169" i="3"/>
  <c r="AZ178" i="3"/>
  <c r="AZ188" i="3"/>
  <c r="AZ197" i="3"/>
  <c r="AZ206" i="3"/>
  <c r="AZ216" i="3"/>
  <c r="AZ226" i="3"/>
  <c r="AZ234" i="3"/>
  <c r="AZ245" i="3"/>
  <c r="AZ254" i="3"/>
  <c r="AZ263" i="3"/>
  <c r="AZ271" i="3"/>
  <c r="AZ280" i="3"/>
  <c r="E871" i="8"/>
  <c r="D871" i="8"/>
  <c r="B871" i="8"/>
  <c r="A871" i="8"/>
  <c r="E870" i="8"/>
  <c r="D870" i="8"/>
  <c r="B870" i="8"/>
  <c r="A870" i="8"/>
  <c r="E869" i="8"/>
  <c r="D869" i="8"/>
  <c r="B869" i="8"/>
  <c r="A869" i="8"/>
  <c r="E868" i="8"/>
  <c r="D868" i="8"/>
  <c r="B868" i="8"/>
  <c r="A868" i="8"/>
  <c r="E867" i="8"/>
  <c r="D867" i="8"/>
  <c r="B867" i="8"/>
  <c r="A867" i="8"/>
  <c r="E866" i="8"/>
  <c r="D866" i="8"/>
  <c r="B866" i="8"/>
  <c r="A866" i="8"/>
  <c r="E865" i="8"/>
  <c r="D865" i="8"/>
  <c r="B865" i="8"/>
  <c r="A865" i="8"/>
  <c r="E864" i="8"/>
  <c r="D864" i="8"/>
  <c r="B864" i="8"/>
  <c r="A864" i="8"/>
  <c r="E863" i="8"/>
  <c r="D863" i="8"/>
  <c r="B863" i="8"/>
  <c r="A863" i="8"/>
  <c r="E862" i="8"/>
  <c r="D862" i="8"/>
  <c r="B862" i="8"/>
  <c r="A862" i="8"/>
  <c r="E861" i="8"/>
  <c r="D861" i="8"/>
  <c r="B861" i="8"/>
  <c r="A861" i="8"/>
  <c r="E860" i="8"/>
  <c r="D860" i="8"/>
  <c r="B860" i="8"/>
  <c r="A860" i="8"/>
  <c r="E859" i="8"/>
  <c r="D859" i="8"/>
  <c r="B859" i="8"/>
  <c r="A859" i="8"/>
  <c r="E858" i="8"/>
  <c r="D858" i="8"/>
  <c r="B858" i="8"/>
  <c r="A858" i="8"/>
  <c r="E857" i="8"/>
  <c r="D857" i="8"/>
  <c r="B857" i="8"/>
  <c r="A857" i="8"/>
  <c r="E856" i="8"/>
  <c r="D856" i="8"/>
  <c r="B856" i="8"/>
  <c r="A856" i="8"/>
  <c r="E855" i="8"/>
  <c r="D855" i="8"/>
  <c r="B855" i="8"/>
  <c r="A855" i="8"/>
  <c r="E854" i="8"/>
  <c r="D854" i="8"/>
  <c r="B854" i="8"/>
  <c r="A854" i="8"/>
  <c r="E853" i="8"/>
  <c r="D853" i="8"/>
  <c r="B853" i="8"/>
  <c r="A853" i="8"/>
  <c r="E852" i="8"/>
  <c r="D852" i="8"/>
  <c r="B852" i="8"/>
  <c r="A852" i="8"/>
  <c r="E851" i="8"/>
  <c r="D851" i="8"/>
  <c r="B851" i="8"/>
  <c r="A851" i="8"/>
  <c r="E850" i="8"/>
  <c r="D850" i="8"/>
  <c r="B850" i="8"/>
  <c r="A850" i="8"/>
  <c r="E849" i="8"/>
  <c r="D849" i="8"/>
  <c r="B849" i="8"/>
  <c r="A849" i="8"/>
  <c r="E848" i="8"/>
  <c r="D848" i="8"/>
  <c r="B848" i="8"/>
  <c r="A848" i="8"/>
  <c r="E847" i="8"/>
  <c r="D847" i="8"/>
  <c r="B847" i="8"/>
  <c r="A847" i="8"/>
  <c r="E846" i="8"/>
  <c r="D846" i="8"/>
  <c r="B846" i="8"/>
  <c r="A846" i="8"/>
  <c r="E845" i="8"/>
  <c r="D845" i="8"/>
  <c r="B845" i="8"/>
  <c r="A845" i="8"/>
  <c r="E844" i="8"/>
  <c r="D844" i="8"/>
  <c r="B844" i="8"/>
  <c r="A844" i="8"/>
  <c r="AY208" i="3" l="1"/>
  <c r="AY294" i="3"/>
  <c r="AY295" i="3"/>
  <c r="AY296" i="3"/>
  <c r="AY293" i="3"/>
  <c r="AY290" i="3"/>
  <c r="AY291" i="3"/>
  <c r="AY292" i="3"/>
  <c r="AY199" i="3"/>
  <c r="AY28" i="3"/>
  <c r="AY133" i="3"/>
  <c r="AY250" i="3"/>
  <c r="AY41" i="3"/>
  <c r="AY126" i="3"/>
  <c r="AY42" i="3"/>
  <c r="AY168" i="3"/>
  <c r="AY165" i="3"/>
  <c r="AY243" i="3"/>
  <c r="AY45" i="3"/>
  <c r="AY44" i="3"/>
  <c r="AY261" i="3"/>
  <c r="AY191" i="3"/>
  <c r="AY46" i="3"/>
  <c r="AY173" i="3"/>
  <c r="AY174" i="3"/>
  <c r="AY140" i="3"/>
  <c r="AY40" i="3"/>
  <c r="AY181" i="3"/>
  <c r="AY24" i="3"/>
  <c r="AY138" i="3"/>
  <c r="AY48" i="3"/>
  <c r="AY224" i="3"/>
  <c r="AY14" i="3"/>
  <c r="AY16" i="3"/>
  <c r="AY277" i="3"/>
  <c r="AY225" i="3"/>
  <c r="AY31" i="3"/>
  <c r="AY17" i="3"/>
  <c r="AY239" i="3"/>
  <c r="AY20" i="3"/>
  <c r="AY33" i="3"/>
  <c r="AY18" i="3"/>
  <c r="AY34" i="3"/>
  <c r="AY282" i="3"/>
  <c r="AY37" i="3"/>
  <c r="AY180" i="3"/>
  <c r="AY23" i="3"/>
  <c r="AY284" i="3"/>
  <c r="AY15" i="3"/>
  <c r="AY160" i="3"/>
  <c r="AY141" i="3"/>
  <c r="AY288" i="3"/>
  <c r="AY210" i="3"/>
  <c r="AY49" i="3"/>
  <c r="AY242" i="3"/>
  <c r="AY19" i="3"/>
  <c r="AY6" i="3"/>
  <c r="AY21" i="3"/>
  <c r="AY35" i="3"/>
  <c r="AY50" i="3"/>
  <c r="AY58" i="3"/>
  <c r="AY66" i="3"/>
  <c r="AY74" i="3"/>
  <c r="AY82" i="3"/>
  <c r="AY90" i="3"/>
  <c r="AY98" i="3"/>
  <c r="AY106" i="3"/>
  <c r="AY114" i="3"/>
  <c r="AY122" i="3"/>
  <c r="AY130" i="3"/>
  <c r="AY148" i="3"/>
  <c r="AY156" i="3"/>
  <c r="AY166" i="3"/>
  <c r="AY176" i="3"/>
  <c r="AY186" i="3"/>
  <c r="AY195" i="3"/>
  <c r="AY204" i="3"/>
  <c r="AY214" i="3"/>
  <c r="AY222" i="3"/>
  <c r="AY232" i="3"/>
  <c r="AY241" i="3"/>
  <c r="AY252" i="3"/>
  <c r="AY260" i="3"/>
  <c r="AY269" i="3"/>
  <c r="AY278" i="3"/>
  <c r="AY289" i="3"/>
  <c r="AY9" i="3"/>
  <c r="AY22" i="3"/>
  <c r="AY36" i="3"/>
  <c r="AY51" i="3"/>
  <c r="AY59" i="3"/>
  <c r="AY67" i="3"/>
  <c r="AY75" i="3"/>
  <c r="AY83" i="3"/>
  <c r="AY91" i="3"/>
  <c r="AY99" i="3"/>
  <c r="AY107" i="3"/>
  <c r="AY115" i="3"/>
  <c r="AY123" i="3"/>
  <c r="AY131" i="3"/>
  <c r="AY139" i="3"/>
  <c r="AY149" i="3"/>
  <c r="AY157" i="3"/>
  <c r="AY167" i="3"/>
  <c r="AY177" i="3"/>
  <c r="AY187" i="3"/>
  <c r="AY196" i="3"/>
  <c r="AY205" i="3"/>
  <c r="AY215" i="3"/>
  <c r="AY223" i="3"/>
  <c r="AY233" i="3"/>
  <c r="AY244" i="3"/>
  <c r="AY253" i="3"/>
  <c r="AY262" i="3"/>
  <c r="AY270" i="3"/>
  <c r="AY279" i="3"/>
  <c r="AY10" i="3"/>
  <c r="AY25" i="3"/>
  <c r="AY38" i="3"/>
  <c r="AY52" i="3"/>
  <c r="AY60" i="3"/>
  <c r="AY68" i="3"/>
  <c r="AY76" i="3"/>
  <c r="AY84" i="3"/>
  <c r="AY92" i="3"/>
  <c r="AY100" i="3"/>
  <c r="AY108" i="3"/>
  <c r="AY116" i="3"/>
  <c r="AY124" i="3"/>
  <c r="AY132" i="3"/>
  <c r="AY142" i="3"/>
  <c r="AY150" i="3"/>
  <c r="AY158" i="3"/>
  <c r="AY7" i="3"/>
  <c r="AY26" i="3"/>
  <c r="AY39" i="3"/>
  <c r="AY53" i="3"/>
  <c r="AY61" i="3"/>
  <c r="AY69" i="3"/>
  <c r="AY77" i="3"/>
  <c r="AY85" i="3"/>
  <c r="AY93" i="3"/>
  <c r="AY101" i="3"/>
  <c r="AY109" i="3"/>
  <c r="AY117" i="3"/>
  <c r="AY125" i="3"/>
  <c r="AY143" i="3"/>
  <c r="AY151" i="3"/>
  <c r="AY159" i="3"/>
  <c r="AY170" i="3"/>
  <c r="AY179" i="3"/>
  <c r="AY189" i="3"/>
  <c r="AY198" i="3"/>
  <c r="AY209" i="3"/>
  <c r="AY217" i="3"/>
  <c r="AY227" i="3"/>
  <c r="AY235" i="3"/>
  <c r="AY246" i="3"/>
  <c r="AY255" i="3"/>
  <c r="AY264" i="3"/>
  <c r="AY272" i="3"/>
  <c r="AY281" i="3"/>
  <c r="AY8" i="3"/>
  <c r="AY27" i="3"/>
  <c r="AY54" i="3"/>
  <c r="AY62" i="3"/>
  <c r="AY70" i="3"/>
  <c r="AY78" i="3"/>
  <c r="AY86" i="3"/>
  <c r="AY94" i="3"/>
  <c r="AY102" i="3"/>
  <c r="AY110" i="3"/>
  <c r="AY118" i="3"/>
  <c r="AY134" i="3"/>
  <c r="AY144" i="3"/>
  <c r="AY152" i="3"/>
  <c r="AY161" i="3"/>
  <c r="AY171" i="3"/>
  <c r="AY182" i="3"/>
  <c r="AY190" i="3"/>
  <c r="AY200" i="3"/>
  <c r="AY207" i="3"/>
  <c r="AY218" i="3"/>
  <c r="AY228" i="3"/>
  <c r="AY236" i="3"/>
  <c r="AY247" i="3"/>
  <c r="AY256" i="3"/>
  <c r="AY265" i="3"/>
  <c r="AY273" i="3"/>
  <c r="AY283" i="3"/>
  <c r="AY11" i="3"/>
  <c r="AY29" i="3"/>
  <c r="AY43" i="3"/>
  <c r="AY55" i="3"/>
  <c r="AY63" i="3"/>
  <c r="AY71" i="3"/>
  <c r="AY79" i="3"/>
  <c r="AY87" i="3"/>
  <c r="AY95" i="3"/>
  <c r="AY103" i="3"/>
  <c r="AY111" i="3"/>
  <c r="AY119" i="3"/>
  <c r="AY127" i="3"/>
  <c r="AY135" i="3"/>
  <c r="AY145" i="3"/>
  <c r="AY153" i="3"/>
  <c r="AY162" i="3"/>
  <c r="AY172" i="3"/>
  <c r="AY183" i="3"/>
  <c r="AY192" i="3"/>
  <c r="AY201" i="3"/>
  <c r="AY211" i="3"/>
  <c r="AY219" i="3"/>
  <c r="AY229" i="3"/>
  <c r="AY237" i="3"/>
  <c r="AY248" i="3"/>
  <c r="AY257" i="3"/>
  <c r="AY266" i="3"/>
  <c r="AY274" i="3"/>
  <c r="AY285" i="3"/>
  <c r="AY4" i="3"/>
  <c r="AY12" i="3"/>
  <c r="AY30" i="3"/>
  <c r="AY56" i="3"/>
  <c r="AY64" i="3"/>
  <c r="AY72" i="3"/>
  <c r="AY80" i="3"/>
  <c r="AY88" i="3"/>
  <c r="AY96" i="3"/>
  <c r="AY104" i="3"/>
  <c r="AY112" i="3"/>
  <c r="AY120" i="3"/>
  <c r="AY128" i="3"/>
  <c r="AY136" i="3"/>
  <c r="AY146" i="3"/>
  <c r="AY154" i="3"/>
  <c r="AY5" i="3"/>
  <c r="AY13" i="3"/>
  <c r="AY32" i="3"/>
  <c r="AY47" i="3"/>
  <c r="AY57" i="3"/>
  <c r="AY65" i="3"/>
  <c r="AY73" i="3"/>
  <c r="AY81" i="3"/>
  <c r="AY89" i="3"/>
  <c r="AY97" i="3"/>
  <c r="AY105" i="3"/>
  <c r="AY113" i="3"/>
  <c r="AY121" i="3"/>
  <c r="AY129" i="3"/>
  <c r="AY137" i="3"/>
  <c r="AY147" i="3"/>
  <c r="AY155" i="3"/>
  <c r="AY164" i="3"/>
  <c r="AY175" i="3"/>
  <c r="AY185" i="3"/>
  <c r="AY194" i="3"/>
  <c r="AY203" i="3"/>
  <c r="AY213" i="3"/>
  <c r="AY221" i="3"/>
  <c r="AY231" i="3"/>
  <c r="AY240" i="3"/>
  <c r="AY251" i="3"/>
  <c r="AY259" i="3"/>
  <c r="AY268" i="3"/>
  <c r="AY276" i="3"/>
  <c r="AY287" i="3"/>
  <c r="AY163" i="3"/>
  <c r="AY202" i="3"/>
  <c r="AY238" i="3"/>
  <c r="AY275" i="3"/>
  <c r="AY169" i="3"/>
  <c r="AY206" i="3"/>
  <c r="AY245" i="3"/>
  <c r="AY280" i="3"/>
  <c r="AY212" i="3"/>
  <c r="AY249" i="3"/>
  <c r="AY286" i="3"/>
  <c r="AY178" i="3"/>
  <c r="AY216" i="3"/>
  <c r="AY254" i="3"/>
  <c r="AY184" i="3"/>
  <c r="AY220" i="3"/>
  <c r="AY258" i="3"/>
  <c r="AY188" i="3"/>
  <c r="AY226" i="3"/>
  <c r="AY263" i="3"/>
  <c r="AY193" i="3"/>
  <c r="AY230" i="3"/>
  <c r="AY267" i="3"/>
  <c r="AY197" i="3"/>
  <c r="AY234" i="3"/>
  <c r="AY271" i="3"/>
  <c r="E841" i="8"/>
  <c r="D841" i="8"/>
  <c r="B841" i="8"/>
  <c r="A841" i="8"/>
  <c r="E840" i="8"/>
  <c r="D840" i="8"/>
  <c r="B840" i="8"/>
  <c r="A840" i="8"/>
  <c r="E839" i="8"/>
  <c r="D839" i="8"/>
  <c r="B839" i="8"/>
  <c r="A839" i="8"/>
  <c r="E838" i="8"/>
  <c r="D838" i="8"/>
  <c r="B838" i="8"/>
  <c r="A838" i="8"/>
  <c r="E837" i="8"/>
  <c r="D837" i="8"/>
  <c r="B837" i="8"/>
  <c r="A837" i="8"/>
  <c r="E836" i="8"/>
  <c r="D836" i="8"/>
  <c r="B836" i="8"/>
  <c r="A836" i="8"/>
  <c r="AX208" i="3" l="1"/>
  <c r="AX293" i="3"/>
  <c r="AX294" i="3"/>
  <c r="AX295" i="3"/>
  <c r="AX296" i="3"/>
  <c r="AX290" i="3"/>
  <c r="AX291" i="3"/>
  <c r="AX292" i="3"/>
  <c r="AX199" i="3"/>
  <c r="AX28" i="3"/>
  <c r="AX42" i="3"/>
  <c r="AX168" i="3"/>
  <c r="AX45" i="3"/>
  <c r="AX191" i="3"/>
  <c r="AX243" i="3"/>
  <c r="AX46" i="3"/>
  <c r="AX44" i="3"/>
  <c r="AX261" i="3"/>
  <c r="AX126" i="3"/>
  <c r="AX41" i="3"/>
  <c r="AX165" i="3"/>
  <c r="AX133" i="3"/>
  <c r="AX250" i="3"/>
  <c r="AX174" i="3"/>
  <c r="AX173" i="3"/>
  <c r="AX140" i="3"/>
  <c r="AX40" i="3"/>
  <c r="AX181" i="3"/>
  <c r="AX24" i="3"/>
  <c r="AX138" i="3"/>
  <c r="AX48" i="3"/>
  <c r="AX224" i="3"/>
  <c r="AX210" i="3"/>
  <c r="AX49" i="3"/>
  <c r="AX242" i="3"/>
  <c r="AX19" i="3"/>
  <c r="AX14" i="3"/>
  <c r="AX16" i="3"/>
  <c r="AX277" i="3"/>
  <c r="AX225" i="3"/>
  <c r="AX31" i="3"/>
  <c r="AX17" i="3"/>
  <c r="AX239" i="3"/>
  <c r="AX20" i="3"/>
  <c r="AX33" i="3"/>
  <c r="AX18" i="3"/>
  <c r="AX34" i="3"/>
  <c r="AX282" i="3"/>
  <c r="AX37" i="3"/>
  <c r="AX180" i="3"/>
  <c r="AX23" i="3"/>
  <c r="AX284" i="3"/>
  <c r="AX15" i="3"/>
  <c r="AX160" i="3"/>
  <c r="AX141" i="3"/>
  <c r="AX288" i="3"/>
  <c r="AX11" i="3"/>
  <c r="AX29" i="3"/>
  <c r="AX43" i="3"/>
  <c r="AX55" i="3"/>
  <c r="AX63" i="3"/>
  <c r="AX71" i="3"/>
  <c r="AX79" i="3"/>
  <c r="AX87" i="3"/>
  <c r="AX95" i="3"/>
  <c r="AX103" i="3"/>
  <c r="AX111" i="3"/>
  <c r="AX4" i="3"/>
  <c r="AX12" i="3"/>
  <c r="AX30" i="3"/>
  <c r="AX56" i="3"/>
  <c r="AX64" i="3"/>
  <c r="AX72" i="3"/>
  <c r="AX80" i="3"/>
  <c r="AX88" i="3"/>
  <c r="AX96" i="3"/>
  <c r="AX104" i="3"/>
  <c r="AX112" i="3"/>
  <c r="AX6" i="3"/>
  <c r="AX21" i="3"/>
  <c r="AX35" i="3"/>
  <c r="AX50" i="3"/>
  <c r="AX58" i="3"/>
  <c r="AX66" i="3"/>
  <c r="AX74" i="3"/>
  <c r="AX82" i="3"/>
  <c r="AX90" i="3"/>
  <c r="AX98" i="3"/>
  <c r="AX106" i="3"/>
  <c r="AX114" i="3"/>
  <c r="AX9" i="3"/>
  <c r="AX22" i="3"/>
  <c r="AX36" i="3"/>
  <c r="AX51" i="3"/>
  <c r="AX59" i="3"/>
  <c r="AX67" i="3"/>
  <c r="AX75" i="3"/>
  <c r="AX83" i="3"/>
  <c r="AX91" i="3"/>
  <c r="AX99" i="3"/>
  <c r="AX107" i="3"/>
  <c r="AX115" i="3"/>
  <c r="AX10" i="3"/>
  <c r="AX25" i="3"/>
  <c r="AX38" i="3"/>
  <c r="AX52" i="3"/>
  <c r="AX60" i="3"/>
  <c r="AX68" i="3"/>
  <c r="AX76" i="3"/>
  <c r="AX84" i="3"/>
  <c r="AX92" i="3"/>
  <c r="AX100" i="3"/>
  <c r="AX108" i="3"/>
  <c r="AX116" i="3"/>
  <c r="AX8" i="3"/>
  <c r="AX27" i="3"/>
  <c r="AX54" i="3"/>
  <c r="AX62" i="3"/>
  <c r="AX70" i="3"/>
  <c r="AX78" i="3"/>
  <c r="AX86" i="3"/>
  <c r="AX94" i="3"/>
  <c r="AX102" i="3"/>
  <c r="AX110" i="3"/>
  <c r="AX118" i="3"/>
  <c r="AX39" i="3"/>
  <c r="AX77" i="3"/>
  <c r="AX109" i="3"/>
  <c r="AX124" i="3"/>
  <c r="AX132" i="3"/>
  <c r="AX142" i="3"/>
  <c r="AX150" i="3"/>
  <c r="AX158" i="3"/>
  <c r="AX169" i="3"/>
  <c r="AX178" i="3"/>
  <c r="AX188" i="3"/>
  <c r="AX197" i="3"/>
  <c r="AX206" i="3"/>
  <c r="AX216" i="3"/>
  <c r="AX226" i="3"/>
  <c r="AX234" i="3"/>
  <c r="AX245" i="3"/>
  <c r="AX254" i="3"/>
  <c r="AX263" i="3"/>
  <c r="AX271" i="3"/>
  <c r="AX280" i="3"/>
  <c r="AX47" i="3"/>
  <c r="AX81" i="3"/>
  <c r="AX113" i="3"/>
  <c r="AX125" i="3"/>
  <c r="AX143" i="3"/>
  <c r="AX151" i="3"/>
  <c r="AX159" i="3"/>
  <c r="AX170" i="3"/>
  <c r="AX179" i="3"/>
  <c r="AX189" i="3"/>
  <c r="AX198" i="3"/>
  <c r="AX209" i="3"/>
  <c r="AX217" i="3"/>
  <c r="AX227" i="3"/>
  <c r="AX235" i="3"/>
  <c r="AX246" i="3"/>
  <c r="AX255" i="3"/>
  <c r="AX264" i="3"/>
  <c r="AX272" i="3"/>
  <c r="AX281" i="3"/>
  <c r="AX53" i="3"/>
  <c r="AX85" i="3"/>
  <c r="AX117" i="3"/>
  <c r="AX134" i="3"/>
  <c r="AX144" i="3"/>
  <c r="AX152" i="3"/>
  <c r="AX161" i="3"/>
  <c r="AX171" i="3"/>
  <c r="AX182" i="3"/>
  <c r="AX190" i="3"/>
  <c r="AX200" i="3"/>
  <c r="AX207" i="3"/>
  <c r="AX218" i="3"/>
  <c r="AX228" i="3"/>
  <c r="AX236" i="3"/>
  <c r="AX247" i="3"/>
  <c r="AX256" i="3"/>
  <c r="AX265" i="3"/>
  <c r="AX273" i="3"/>
  <c r="AX283" i="3"/>
  <c r="AX5" i="3"/>
  <c r="AX57" i="3"/>
  <c r="AX89" i="3"/>
  <c r="AX119" i="3"/>
  <c r="AX127" i="3"/>
  <c r="AX135" i="3"/>
  <c r="AX145" i="3"/>
  <c r="AX153" i="3"/>
  <c r="AX162" i="3"/>
  <c r="AX172" i="3"/>
  <c r="AX183" i="3"/>
  <c r="AX192" i="3"/>
  <c r="AX201" i="3"/>
  <c r="AX211" i="3"/>
  <c r="AX219" i="3"/>
  <c r="AX229" i="3"/>
  <c r="AX237" i="3"/>
  <c r="AX248" i="3"/>
  <c r="AX257" i="3"/>
  <c r="AX266" i="3"/>
  <c r="AX274" i="3"/>
  <c r="AX285" i="3"/>
  <c r="AX7" i="3"/>
  <c r="AX61" i="3"/>
  <c r="AX93" i="3"/>
  <c r="AX120" i="3"/>
  <c r="AX128" i="3"/>
  <c r="AX136" i="3"/>
  <c r="AX146" i="3"/>
  <c r="AX154" i="3"/>
  <c r="AX163" i="3"/>
  <c r="AX184" i="3"/>
  <c r="AX193" i="3"/>
  <c r="AX202" i="3"/>
  <c r="AX212" i="3"/>
  <c r="AX220" i="3"/>
  <c r="AX230" i="3"/>
  <c r="AX238" i="3"/>
  <c r="AX249" i="3"/>
  <c r="AX258" i="3"/>
  <c r="AX267" i="3"/>
  <c r="AX275" i="3"/>
  <c r="AX286" i="3"/>
  <c r="AX13" i="3"/>
  <c r="AX65" i="3"/>
  <c r="AX97" i="3"/>
  <c r="AX121" i="3"/>
  <c r="AX129" i="3"/>
  <c r="AX137" i="3"/>
  <c r="AX147" i="3"/>
  <c r="AX155" i="3"/>
  <c r="AX164" i="3"/>
  <c r="AX175" i="3"/>
  <c r="AX185" i="3"/>
  <c r="AX194" i="3"/>
  <c r="AX203" i="3"/>
  <c r="AX213" i="3"/>
  <c r="AX221" i="3"/>
  <c r="AX231" i="3"/>
  <c r="AX240" i="3"/>
  <c r="AX251" i="3"/>
  <c r="AX259" i="3"/>
  <c r="AX268" i="3"/>
  <c r="AX276" i="3"/>
  <c r="AX287" i="3"/>
  <c r="AX26" i="3"/>
  <c r="AX69" i="3"/>
  <c r="AX101" i="3"/>
  <c r="AX122" i="3"/>
  <c r="AX130" i="3"/>
  <c r="AX148" i="3"/>
  <c r="AX156" i="3"/>
  <c r="AX166" i="3"/>
  <c r="AX176" i="3"/>
  <c r="AX186" i="3"/>
  <c r="AX195" i="3"/>
  <c r="AX204" i="3"/>
  <c r="AX214" i="3"/>
  <c r="AX222" i="3"/>
  <c r="AX232" i="3"/>
  <c r="AX241" i="3"/>
  <c r="AX252" i="3"/>
  <c r="AX260" i="3"/>
  <c r="AX269" i="3"/>
  <c r="AX278" i="3"/>
  <c r="AX289" i="3"/>
  <c r="AX32" i="3"/>
  <c r="AX73" i="3"/>
  <c r="AX105" i="3"/>
  <c r="AX123" i="3"/>
  <c r="AX131" i="3"/>
  <c r="AX139" i="3"/>
  <c r="AX149" i="3"/>
  <c r="AX157" i="3"/>
  <c r="AX167" i="3"/>
  <c r="AX177" i="3"/>
  <c r="AX187" i="3"/>
  <c r="AX196" i="3"/>
  <c r="AX205" i="3"/>
  <c r="AX215" i="3"/>
  <c r="AX223" i="3"/>
  <c r="AX233" i="3"/>
  <c r="AX244" i="3"/>
  <c r="AX253" i="3"/>
  <c r="AX262" i="3"/>
  <c r="AX270" i="3"/>
  <c r="AX279" i="3"/>
  <c r="E831" i="8"/>
  <c r="D831" i="8"/>
  <c r="B831" i="8"/>
  <c r="A831" i="8"/>
  <c r="E830" i="8"/>
  <c r="D830" i="8"/>
  <c r="B830" i="8"/>
  <c r="A830" i="8"/>
  <c r="E829" i="8"/>
  <c r="D829" i="8"/>
  <c r="B829" i="8"/>
  <c r="A829" i="8"/>
  <c r="E828" i="8"/>
  <c r="D828" i="8"/>
  <c r="B828" i="8"/>
  <c r="A828" i="8"/>
  <c r="E827" i="8"/>
  <c r="D827" i="8"/>
  <c r="B827" i="8"/>
  <c r="A827" i="8"/>
  <c r="E826" i="8"/>
  <c r="D826" i="8"/>
  <c r="B826" i="8"/>
  <c r="A826" i="8"/>
  <c r="E825" i="8"/>
  <c r="D825" i="8"/>
  <c r="B825" i="8"/>
  <c r="A825" i="8"/>
  <c r="E824" i="8"/>
  <c r="D824" i="8"/>
  <c r="B824" i="8"/>
  <c r="A824" i="8"/>
  <c r="E823" i="8"/>
  <c r="D823" i="8"/>
  <c r="B823" i="8"/>
  <c r="A823" i="8"/>
  <c r="E822" i="8"/>
  <c r="D822" i="8"/>
  <c r="B822" i="8"/>
  <c r="A822" i="8"/>
  <c r="E821" i="8"/>
  <c r="D821" i="8"/>
  <c r="B821" i="8"/>
  <c r="A821" i="8"/>
  <c r="E820" i="8"/>
  <c r="D820" i="8"/>
  <c r="B820" i="8"/>
  <c r="A820" i="8"/>
  <c r="E819" i="8"/>
  <c r="D819" i="8"/>
  <c r="B819" i="8"/>
  <c r="A819" i="8"/>
  <c r="E818" i="8"/>
  <c r="D818" i="8"/>
  <c r="B818" i="8"/>
  <c r="A818" i="8"/>
  <c r="E817" i="8"/>
  <c r="D817" i="8"/>
  <c r="B817" i="8"/>
  <c r="A817" i="8"/>
  <c r="E816" i="8"/>
  <c r="D816" i="8"/>
  <c r="B816" i="8"/>
  <c r="A816" i="8"/>
  <c r="E815" i="8"/>
  <c r="D815" i="8"/>
  <c r="B815" i="8"/>
  <c r="A815" i="8"/>
  <c r="E814" i="8"/>
  <c r="D814" i="8"/>
  <c r="B814" i="8"/>
  <c r="A814" i="8"/>
  <c r="E813" i="8"/>
  <c r="D813" i="8"/>
  <c r="B813" i="8"/>
  <c r="A813" i="8"/>
  <c r="E812" i="8"/>
  <c r="D812" i="8"/>
  <c r="B812" i="8"/>
  <c r="A812" i="8"/>
  <c r="E811" i="8"/>
  <c r="D811" i="8"/>
  <c r="B811" i="8"/>
  <c r="A811" i="8"/>
  <c r="E810" i="8"/>
  <c r="D810" i="8"/>
  <c r="B810" i="8"/>
  <c r="A810" i="8"/>
  <c r="E809" i="8"/>
  <c r="D809" i="8"/>
  <c r="B809" i="8"/>
  <c r="A809" i="8"/>
  <c r="E808" i="8"/>
  <c r="D808" i="8"/>
  <c r="B808" i="8"/>
  <c r="A808" i="8"/>
  <c r="E807" i="8"/>
  <c r="D807" i="8"/>
  <c r="B807" i="8"/>
  <c r="A807" i="8"/>
  <c r="E806" i="8"/>
  <c r="D806" i="8"/>
  <c r="B806" i="8"/>
  <c r="A806" i="8"/>
  <c r="E805" i="8"/>
  <c r="D805" i="8"/>
  <c r="B805" i="8"/>
  <c r="A805" i="8"/>
  <c r="E804" i="8"/>
  <c r="D804" i="8"/>
  <c r="B804" i="8"/>
  <c r="A804" i="8"/>
  <c r="AW292" i="3" l="1"/>
  <c r="AW293" i="3"/>
  <c r="AW294" i="3"/>
  <c r="AW295" i="3"/>
  <c r="AW296" i="3"/>
  <c r="AW291" i="3"/>
  <c r="AW290" i="3"/>
  <c r="AW208" i="3"/>
  <c r="AW199" i="3"/>
  <c r="AW28" i="3"/>
  <c r="AW45" i="3"/>
  <c r="AW42" i="3"/>
  <c r="AW168" i="3"/>
  <c r="AW250" i="3"/>
  <c r="AW46" i="3"/>
  <c r="AW243" i="3"/>
  <c r="AW44" i="3"/>
  <c r="AW261" i="3"/>
  <c r="AW191" i="3"/>
  <c r="AW126" i="3"/>
  <c r="AW41" i="3"/>
  <c r="AW165" i="3"/>
  <c r="AW133" i="3"/>
  <c r="AW173" i="3"/>
  <c r="AW174" i="3"/>
  <c r="AW140" i="3"/>
  <c r="AW40" i="3"/>
  <c r="AW181" i="3"/>
  <c r="AW24" i="3"/>
  <c r="AW138" i="3"/>
  <c r="AW48" i="3"/>
  <c r="AW224" i="3"/>
  <c r="AW210" i="3"/>
  <c r="AW49" i="3"/>
  <c r="AW242" i="3"/>
  <c r="AW19" i="3"/>
  <c r="AW14" i="3"/>
  <c r="AW16" i="3"/>
  <c r="AW277" i="3"/>
  <c r="AW225" i="3"/>
  <c r="AW31" i="3"/>
  <c r="AW17" i="3"/>
  <c r="AW239" i="3"/>
  <c r="AW20" i="3"/>
  <c r="AW33" i="3"/>
  <c r="AW18" i="3"/>
  <c r="AW34" i="3"/>
  <c r="AW282" i="3"/>
  <c r="AW37" i="3"/>
  <c r="AW180" i="3"/>
  <c r="AW23" i="3"/>
  <c r="AW284" i="3"/>
  <c r="AW15" i="3"/>
  <c r="AW160" i="3"/>
  <c r="AW141" i="3"/>
  <c r="AW288" i="3"/>
  <c r="AW5" i="3"/>
  <c r="AW13" i="3"/>
  <c r="AW32" i="3"/>
  <c r="AW47" i="3"/>
  <c r="AW57" i="3"/>
  <c r="AW65" i="3"/>
  <c r="AW73" i="3"/>
  <c r="AW81" i="3"/>
  <c r="AW89" i="3"/>
  <c r="AW97" i="3"/>
  <c r="AW105" i="3"/>
  <c r="AW113" i="3"/>
  <c r="AW121" i="3"/>
  <c r="AW129" i="3"/>
  <c r="AW137" i="3"/>
  <c r="AW147" i="3"/>
  <c r="AW155" i="3"/>
  <c r="AW164" i="3"/>
  <c r="AW175" i="3"/>
  <c r="AW185" i="3"/>
  <c r="AW194" i="3"/>
  <c r="AW203" i="3"/>
  <c r="AW213" i="3"/>
  <c r="AW221" i="3"/>
  <c r="AW231" i="3"/>
  <c r="AW240" i="3"/>
  <c r="AW251" i="3"/>
  <c r="AW259" i="3"/>
  <c r="AW268" i="3"/>
  <c r="AW276" i="3"/>
  <c r="AW287" i="3"/>
  <c r="AW6" i="3"/>
  <c r="AW21" i="3"/>
  <c r="AW35" i="3"/>
  <c r="AW50" i="3"/>
  <c r="AW58" i="3"/>
  <c r="AW66" i="3"/>
  <c r="AW74" i="3"/>
  <c r="AW82" i="3"/>
  <c r="AW90" i="3"/>
  <c r="AW98" i="3"/>
  <c r="AW106" i="3"/>
  <c r="AW114" i="3"/>
  <c r="AW122" i="3"/>
  <c r="AW130" i="3"/>
  <c r="AW148" i="3"/>
  <c r="AW156" i="3"/>
  <c r="AW166" i="3"/>
  <c r="AW176" i="3"/>
  <c r="AW186" i="3"/>
  <c r="AW195" i="3"/>
  <c r="AW204" i="3"/>
  <c r="AW214" i="3"/>
  <c r="AW222" i="3"/>
  <c r="AW232" i="3"/>
  <c r="AW241" i="3"/>
  <c r="AW252" i="3"/>
  <c r="AW260" i="3"/>
  <c r="AW269" i="3"/>
  <c r="AW278" i="3"/>
  <c r="AW289" i="3"/>
  <c r="AW9" i="3"/>
  <c r="AW22" i="3"/>
  <c r="AW36" i="3"/>
  <c r="AW51" i="3"/>
  <c r="AW59" i="3"/>
  <c r="AW67" i="3"/>
  <c r="AW75" i="3"/>
  <c r="AW83" i="3"/>
  <c r="AW91" i="3"/>
  <c r="AW99" i="3"/>
  <c r="AW107" i="3"/>
  <c r="AW115" i="3"/>
  <c r="AW123" i="3"/>
  <c r="AW131" i="3"/>
  <c r="AW139" i="3"/>
  <c r="AW149" i="3"/>
  <c r="AW157" i="3"/>
  <c r="AW167" i="3"/>
  <c r="AW177" i="3"/>
  <c r="AW187" i="3"/>
  <c r="AW196" i="3"/>
  <c r="AW205" i="3"/>
  <c r="AW215" i="3"/>
  <c r="AW223" i="3"/>
  <c r="AW233" i="3"/>
  <c r="AW244" i="3"/>
  <c r="AW253" i="3"/>
  <c r="AW262" i="3"/>
  <c r="AW270" i="3"/>
  <c r="AW279" i="3"/>
  <c r="AW10" i="3"/>
  <c r="AW25" i="3"/>
  <c r="AW38" i="3"/>
  <c r="AW52" i="3"/>
  <c r="AW60" i="3"/>
  <c r="AW68" i="3"/>
  <c r="AW76" i="3"/>
  <c r="AW84" i="3"/>
  <c r="AW92" i="3"/>
  <c r="AW100" i="3"/>
  <c r="AW108" i="3"/>
  <c r="AW116" i="3"/>
  <c r="AW124" i="3"/>
  <c r="AW132" i="3"/>
  <c r="AW142" i="3"/>
  <c r="AW150" i="3"/>
  <c r="AW158" i="3"/>
  <c r="AW169" i="3"/>
  <c r="AW178" i="3"/>
  <c r="AW188" i="3"/>
  <c r="AW197" i="3"/>
  <c r="AW206" i="3"/>
  <c r="AW216" i="3"/>
  <c r="AW226" i="3"/>
  <c r="AW234" i="3"/>
  <c r="AW245" i="3"/>
  <c r="AW254" i="3"/>
  <c r="AW263" i="3"/>
  <c r="AW271" i="3"/>
  <c r="AW280" i="3"/>
  <c r="AW7" i="3"/>
  <c r="AW26" i="3"/>
  <c r="AW39" i="3"/>
  <c r="AW53" i="3"/>
  <c r="AW61" i="3"/>
  <c r="AW69" i="3"/>
  <c r="AW77" i="3"/>
  <c r="AW85" i="3"/>
  <c r="AW93" i="3"/>
  <c r="AW101" i="3"/>
  <c r="AW109" i="3"/>
  <c r="AW117" i="3"/>
  <c r="AW125" i="3"/>
  <c r="AW143" i="3"/>
  <c r="AW151" i="3"/>
  <c r="AW159" i="3"/>
  <c r="AW170" i="3"/>
  <c r="AW179" i="3"/>
  <c r="AW189" i="3"/>
  <c r="AW198" i="3"/>
  <c r="AW209" i="3"/>
  <c r="AW217" i="3"/>
  <c r="AW227" i="3"/>
  <c r="AW235" i="3"/>
  <c r="AW246" i="3"/>
  <c r="AW255" i="3"/>
  <c r="AW264" i="3"/>
  <c r="AW272" i="3"/>
  <c r="AW281" i="3"/>
  <c r="AW8" i="3"/>
  <c r="AW27" i="3"/>
  <c r="AW54" i="3"/>
  <c r="AW62" i="3"/>
  <c r="AW70" i="3"/>
  <c r="AW78" i="3"/>
  <c r="AW86" i="3"/>
  <c r="AW94" i="3"/>
  <c r="AW102" i="3"/>
  <c r="AW110" i="3"/>
  <c r="AW118" i="3"/>
  <c r="AW134" i="3"/>
  <c r="AW144" i="3"/>
  <c r="AW152" i="3"/>
  <c r="AW161" i="3"/>
  <c r="AW171" i="3"/>
  <c r="AW182" i="3"/>
  <c r="AW190" i="3"/>
  <c r="AW200" i="3"/>
  <c r="AW207" i="3"/>
  <c r="AW218" i="3"/>
  <c r="AW228" i="3"/>
  <c r="AW236" i="3"/>
  <c r="AW247" i="3"/>
  <c r="AW256" i="3"/>
  <c r="AW265" i="3"/>
  <c r="AW273" i="3"/>
  <c r="AW283" i="3"/>
  <c r="AW11" i="3"/>
  <c r="AW29" i="3"/>
  <c r="AW43" i="3"/>
  <c r="AW55" i="3"/>
  <c r="AW63" i="3"/>
  <c r="AW71" i="3"/>
  <c r="AW79" i="3"/>
  <c r="AW87" i="3"/>
  <c r="AW95" i="3"/>
  <c r="AW103" i="3"/>
  <c r="AW111" i="3"/>
  <c r="AW119" i="3"/>
  <c r="AW127" i="3"/>
  <c r="AW135" i="3"/>
  <c r="AW145" i="3"/>
  <c r="AW153" i="3"/>
  <c r="AW162" i="3"/>
  <c r="AW172" i="3"/>
  <c r="AW183" i="3"/>
  <c r="AW192" i="3"/>
  <c r="AW201" i="3"/>
  <c r="AW211" i="3"/>
  <c r="AW219" i="3"/>
  <c r="AW229" i="3"/>
  <c r="AW237" i="3"/>
  <c r="AW248" i="3"/>
  <c r="AW257" i="3"/>
  <c r="AW266" i="3"/>
  <c r="AW274" i="3"/>
  <c r="AW285" i="3"/>
  <c r="AW4" i="3"/>
  <c r="AW12" i="3"/>
  <c r="AW30" i="3"/>
  <c r="AW56" i="3"/>
  <c r="AW64" i="3"/>
  <c r="AW72" i="3"/>
  <c r="AW80" i="3"/>
  <c r="AW88" i="3"/>
  <c r="AW96" i="3"/>
  <c r="AW104" i="3"/>
  <c r="AW112" i="3"/>
  <c r="AW120" i="3"/>
  <c r="AW128" i="3"/>
  <c r="AW136" i="3"/>
  <c r="AW146" i="3"/>
  <c r="AW154" i="3"/>
  <c r="AW163" i="3"/>
  <c r="AW184" i="3"/>
  <c r="AW193" i="3"/>
  <c r="AW202" i="3"/>
  <c r="AW212" i="3"/>
  <c r="AW220" i="3"/>
  <c r="AW230" i="3"/>
  <c r="AW238" i="3"/>
  <c r="AW249" i="3"/>
  <c r="AW258" i="3"/>
  <c r="AW267" i="3"/>
  <c r="AW275" i="3"/>
  <c r="AW286" i="3"/>
  <c r="E799" i="8"/>
  <c r="D799" i="8"/>
  <c r="B799" i="8"/>
  <c r="A799" i="8"/>
  <c r="E798" i="8"/>
  <c r="D798" i="8"/>
  <c r="B798" i="8"/>
  <c r="A798" i="8"/>
  <c r="E797" i="8"/>
  <c r="D797" i="8"/>
  <c r="B797" i="8"/>
  <c r="A797" i="8"/>
  <c r="E796" i="8"/>
  <c r="D796" i="8"/>
  <c r="B796" i="8"/>
  <c r="A796" i="8"/>
  <c r="E795" i="8"/>
  <c r="D795" i="8"/>
  <c r="B795" i="8"/>
  <c r="A795" i="8"/>
  <c r="E794" i="8"/>
  <c r="D794" i="8"/>
  <c r="B794" i="8"/>
  <c r="A794" i="8"/>
  <c r="E793" i="8"/>
  <c r="D793" i="8"/>
  <c r="B793" i="8"/>
  <c r="A793" i="8"/>
  <c r="E792" i="8"/>
  <c r="D792" i="8"/>
  <c r="B792" i="8"/>
  <c r="A792" i="8"/>
  <c r="E791" i="8"/>
  <c r="D791" i="8"/>
  <c r="B791" i="8"/>
  <c r="A791" i="8"/>
  <c r="E790" i="8"/>
  <c r="D790" i="8"/>
  <c r="B790" i="8"/>
  <c r="A790" i="8"/>
  <c r="E789" i="8"/>
  <c r="D789" i="8"/>
  <c r="B789" i="8"/>
  <c r="A789" i="8"/>
  <c r="E788" i="8"/>
  <c r="D788" i="8"/>
  <c r="B788" i="8"/>
  <c r="A788" i="8"/>
  <c r="E787" i="8"/>
  <c r="D787" i="8"/>
  <c r="B787" i="8"/>
  <c r="A787" i="8"/>
  <c r="E786" i="8"/>
  <c r="D786" i="8"/>
  <c r="B786" i="8"/>
  <c r="A786" i="8"/>
  <c r="E785" i="8"/>
  <c r="D785" i="8"/>
  <c r="B785" i="8"/>
  <c r="A785" i="8"/>
  <c r="E784" i="8"/>
  <c r="D784" i="8"/>
  <c r="B784" i="8"/>
  <c r="A784" i="8"/>
  <c r="E783" i="8"/>
  <c r="D783" i="8"/>
  <c r="B783" i="8"/>
  <c r="A783" i="8"/>
  <c r="E782" i="8"/>
  <c r="D782" i="8"/>
  <c r="B782" i="8"/>
  <c r="A782" i="8"/>
  <c r="E781" i="8"/>
  <c r="D781" i="8"/>
  <c r="B781" i="8"/>
  <c r="A781" i="8"/>
  <c r="E780" i="8"/>
  <c r="D780" i="8"/>
  <c r="B780" i="8"/>
  <c r="A780" i="8"/>
  <c r="E779" i="8"/>
  <c r="D779" i="8"/>
  <c r="B779" i="8"/>
  <c r="A779" i="8"/>
  <c r="E778" i="8"/>
  <c r="D778" i="8"/>
  <c r="B778" i="8"/>
  <c r="A778" i="8"/>
  <c r="E777" i="8"/>
  <c r="D777" i="8"/>
  <c r="B777" i="8"/>
  <c r="A777" i="8"/>
  <c r="E776" i="8"/>
  <c r="D776" i="8"/>
  <c r="B776" i="8"/>
  <c r="A776" i="8"/>
  <c r="E775" i="8"/>
  <c r="D775" i="8"/>
  <c r="B775" i="8"/>
  <c r="A775" i="8"/>
  <c r="E774" i="8"/>
  <c r="D774" i="8"/>
  <c r="B774" i="8"/>
  <c r="A774" i="8"/>
  <c r="E773" i="8"/>
  <c r="D773" i="8"/>
  <c r="B773" i="8"/>
  <c r="A773" i="8"/>
  <c r="E772" i="8"/>
  <c r="D772" i="8"/>
  <c r="B772" i="8"/>
  <c r="A772" i="8"/>
  <c r="AV208" i="3" l="1"/>
  <c r="AV291" i="3"/>
  <c r="AV292" i="3"/>
  <c r="AV293" i="3"/>
  <c r="AV294" i="3"/>
  <c r="AV295" i="3"/>
  <c r="AV296" i="3"/>
  <c r="AV290" i="3"/>
  <c r="AV199" i="3"/>
  <c r="AV28" i="3"/>
  <c r="AV243" i="3"/>
  <c r="AV44" i="3"/>
  <c r="AV261" i="3"/>
  <c r="AV191" i="3"/>
  <c r="AV126" i="3"/>
  <c r="AV41" i="3"/>
  <c r="AV165" i="3"/>
  <c r="AV133" i="3"/>
  <c r="AV250" i="3"/>
  <c r="AV45" i="3"/>
  <c r="AV46" i="3"/>
  <c r="AV42" i="3"/>
  <c r="AV168" i="3"/>
  <c r="AV174" i="3"/>
  <c r="AV173" i="3"/>
  <c r="AV140" i="3"/>
  <c r="AV40" i="3"/>
  <c r="AV181" i="3"/>
  <c r="AV24" i="3"/>
  <c r="AV138" i="3"/>
  <c r="AV48" i="3"/>
  <c r="AV224" i="3"/>
  <c r="AV210" i="3"/>
  <c r="AV49" i="3"/>
  <c r="AV242" i="3"/>
  <c r="AV19" i="3"/>
  <c r="AV14" i="3"/>
  <c r="AV16" i="3"/>
  <c r="AV277" i="3"/>
  <c r="AV225" i="3"/>
  <c r="AV31" i="3"/>
  <c r="AV17" i="3"/>
  <c r="AV239" i="3"/>
  <c r="AV20" i="3"/>
  <c r="AV33" i="3"/>
  <c r="AV18" i="3"/>
  <c r="AV34" i="3"/>
  <c r="AV282" i="3"/>
  <c r="AV37" i="3"/>
  <c r="AV180" i="3"/>
  <c r="AV23" i="3"/>
  <c r="AV284" i="3"/>
  <c r="AV15" i="3"/>
  <c r="AV160" i="3"/>
  <c r="AV141" i="3"/>
  <c r="AV288" i="3"/>
  <c r="AV8" i="3"/>
  <c r="AV27" i="3"/>
  <c r="AV54" i="3"/>
  <c r="AV62" i="3"/>
  <c r="AV70" i="3"/>
  <c r="AV78" i="3"/>
  <c r="AV86" i="3"/>
  <c r="AV94" i="3"/>
  <c r="AV102" i="3"/>
  <c r="AV110" i="3"/>
  <c r="AV118" i="3"/>
  <c r="AV134" i="3"/>
  <c r="AV144" i="3"/>
  <c r="AV152" i="3"/>
  <c r="AV161" i="3"/>
  <c r="AV171" i="3"/>
  <c r="AV182" i="3"/>
  <c r="AV190" i="3"/>
  <c r="AV200" i="3"/>
  <c r="AV207" i="3"/>
  <c r="AV218" i="3"/>
  <c r="AV228" i="3"/>
  <c r="AV236" i="3"/>
  <c r="AV247" i="3"/>
  <c r="AV256" i="3"/>
  <c r="AV265" i="3"/>
  <c r="AV273" i="3"/>
  <c r="AV283" i="3"/>
  <c r="AV11" i="3"/>
  <c r="AV29" i="3"/>
  <c r="AV43" i="3"/>
  <c r="AV55" i="3"/>
  <c r="AV63" i="3"/>
  <c r="AV71" i="3"/>
  <c r="AV79" i="3"/>
  <c r="AV87" i="3"/>
  <c r="AV95" i="3"/>
  <c r="AV103" i="3"/>
  <c r="AV111" i="3"/>
  <c r="AV119" i="3"/>
  <c r="AV127" i="3"/>
  <c r="AV135" i="3"/>
  <c r="AV145" i="3"/>
  <c r="AV153" i="3"/>
  <c r="AV162" i="3"/>
  <c r="AV172" i="3"/>
  <c r="AV183" i="3"/>
  <c r="AV192" i="3"/>
  <c r="AV201" i="3"/>
  <c r="AV211" i="3"/>
  <c r="AV219" i="3"/>
  <c r="AV229" i="3"/>
  <c r="AV237" i="3"/>
  <c r="AV248" i="3"/>
  <c r="AV257" i="3"/>
  <c r="AV266" i="3"/>
  <c r="AV274" i="3"/>
  <c r="AV285" i="3"/>
  <c r="AV4" i="3"/>
  <c r="AV12" i="3"/>
  <c r="AV30" i="3"/>
  <c r="AV56" i="3"/>
  <c r="AV64" i="3"/>
  <c r="AV72" i="3"/>
  <c r="AV80" i="3"/>
  <c r="AV88" i="3"/>
  <c r="AV96" i="3"/>
  <c r="AV104" i="3"/>
  <c r="AV112" i="3"/>
  <c r="AV120" i="3"/>
  <c r="AV128" i="3"/>
  <c r="AV136" i="3"/>
  <c r="AV146" i="3"/>
  <c r="AV154" i="3"/>
  <c r="AV163" i="3"/>
  <c r="AV184" i="3"/>
  <c r="AV193" i="3"/>
  <c r="AV202" i="3"/>
  <c r="AV212" i="3"/>
  <c r="AV220" i="3"/>
  <c r="AV230" i="3"/>
  <c r="AV238" i="3"/>
  <c r="AV249" i="3"/>
  <c r="AV258" i="3"/>
  <c r="AV267" i="3"/>
  <c r="AV275" i="3"/>
  <c r="AV286" i="3"/>
  <c r="AV5" i="3"/>
  <c r="AV13" i="3"/>
  <c r="AV32" i="3"/>
  <c r="AV47" i="3"/>
  <c r="AV57" i="3"/>
  <c r="AV65" i="3"/>
  <c r="AV73" i="3"/>
  <c r="AV81" i="3"/>
  <c r="AV89" i="3"/>
  <c r="AV97" i="3"/>
  <c r="AV105" i="3"/>
  <c r="AV113" i="3"/>
  <c r="AV121" i="3"/>
  <c r="AV129" i="3"/>
  <c r="AV137" i="3"/>
  <c r="AV147" i="3"/>
  <c r="AV155" i="3"/>
  <c r="AV164" i="3"/>
  <c r="AV175" i="3"/>
  <c r="AV185" i="3"/>
  <c r="AV194" i="3"/>
  <c r="AV203" i="3"/>
  <c r="AV213" i="3"/>
  <c r="AV221" i="3"/>
  <c r="AV231" i="3"/>
  <c r="AV240" i="3"/>
  <c r="AV251" i="3"/>
  <c r="AV259" i="3"/>
  <c r="AV268" i="3"/>
  <c r="AV276" i="3"/>
  <c r="AV287" i="3"/>
  <c r="AV6" i="3"/>
  <c r="AV21" i="3"/>
  <c r="AV35" i="3"/>
  <c r="AV50" i="3"/>
  <c r="AV58" i="3"/>
  <c r="AV66" i="3"/>
  <c r="AV74" i="3"/>
  <c r="AV82" i="3"/>
  <c r="AV90" i="3"/>
  <c r="AV98" i="3"/>
  <c r="AV106" i="3"/>
  <c r="AV114" i="3"/>
  <c r="AV122" i="3"/>
  <c r="AV130" i="3"/>
  <c r="AV148" i="3"/>
  <c r="AV156" i="3"/>
  <c r="AV166" i="3"/>
  <c r="AV176" i="3"/>
  <c r="AV186" i="3"/>
  <c r="AV195" i="3"/>
  <c r="AV204" i="3"/>
  <c r="AV214" i="3"/>
  <c r="AV222" i="3"/>
  <c r="AV232" i="3"/>
  <c r="AV241" i="3"/>
  <c r="AV252" i="3"/>
  <c r="AV260" i="3"/>
  <c r="AV269" i="3"/>
  <c r="AV278" i="3"/>
  <c r="AV289" i="3"/>
  <c r="AV9" i="3"/>
  <c r="AV22" i="3"/>
  <c r="AV36" i="3"/>
  <c r="AV51" i="3"/>
  <c r="AV59" i="3"/>
  <c r="AV67" i="3"/>
  <c r="AV75" i="3"/>
  <c r="AV83" i="3"/>
  <c r="AV91" i="3"/>
  <c r="AV99" i="3"/>
  <c r="AV107" i="3"/>
  <c r="AV115" i="3"/>
  <c r="AV123" i="3"/>
  <c r="AV131" i="3"/>
  <c r="AV139" i="3"/>
  <c r="AV149" i="3"/>
  <c r="AV157" i="3"/>
  <c r="AV167" i="3"/>
  <c r="AV177" i="3"/>
  <c r="AV187" i="3"/>
  <c r="AV196" i="3"/>
  <c r="AV205" i="3"/>
  <c r="AV215" i="3"/>
  <c r="AV223" i="3"/>
  <c r="AV233" i="3"/>
  <c r="AV244" i="3"/>
  <c r="AV253" i="3"/>
  <c r="AV262" i="3"/>
  <c r="AV270" i="3"/>
  <c r="AV279" i="3"/>
  <c r="AV10" i="3"/>
  <c r="AV25" i="3"/>
  <c r="AV38" i="3"/>
  <c r="AV52" i="3"/>
  <c r="AV60" i="3"/>
  <c r="AV68" i="3"/>
  <c r="AV76" i="3"/>
  <c r="AV84" i="3"/>
  <c r="AV92" i="3"/>
  <c r="AV100" i="3"/>
  <c r="AV108" i="3"/>
  <c r="AV116" i="3"/>
  <c r="AV124" i="3"/>
  <c r="AV132" i="3"/>
  <c r="AV142" i="3"/>
  <c r="AV150" i="3"/>
  <c r="AV158" i="3"/>
  <c r="AV169" i="3"/>
  <c r="AV178" i="3"/>
  <c r="AV188" i="3"/>
  <c r="AV197" i="3"/>
  <c r="AV206" i="3"/>
  <c r="AV216" i="3"/>
  <c r="AV226" i="3"/>
  <c r="AV234" i="3"/>
  <c r="AV245" i="3"/>
  <c r="AV254" i="3"/>
  <c r="AV263" i="3"/>
  <c r="AV271" i="3"/>
  <c r="AV280" i="3"/>
  <c r="AV7" i="3"/>
  <c r="AV26" i="3"/>
  <c r="AV39" i="3"/>
  <c r="AV53" i="3"/>
  <c r="AV61" i="3"/>
  <c r="AV69" i="3"/>
  <c r="AV77" i="3"/>
  <c r="AV85" i="3"/>
  <c r="AV93" i="3"/>
  <c r="AV101" i="3"/>
  <c r="AV109" i="3"/>
  <c r="AV117" i="3"/>
  <c r="AV125" i="3"/>
  <c r="AV143" i="3"/>
  <c r="AV151" i="3"/>
  <c r="AV159" i="3"/>
  <c r="AV170" i="3"/>
  <c r="AV179" i="3"/>
  <c r="AV189" i="3"/>
  <c r="AV198" i="3"/>
  <c r="AV209" i="3"/>
  <c r="AV217" i="3"/>
  <c r="AV227" i="3"/>
  <c r="AV235" i="3"/>
  <c r="AV246" i="3"/>
  <c r="AV255" i="3"/>
  <c r="AV264" i="3"/>
  <c r="AV272" i="3"/>
  <c r="AV281" i="3"/>
  <c r="E767" i="8"/>
  <c r="D767" i="8"/>
  <c r="B767" i="8"/>
  <c r="A767" i="8"/>
  <c r="E766" i="8"/>
  <c r="D766" i="8"/>
  <c r="B766" i="8"/>
  <c r="A766" i="8"/>
  <c r="E765" i="8"/>
  <c r="D765" i="8"/>
  <c r="B765" i="8"/>
  <c r="A765" i="8"/>
  <c r="E764" i="8"/>
  <c r="D764" i="8"/>
  <c r="B764" i="8"/>
  <c r="A764" i="8"/>
  <c r="E763" i="8"/>
  <c r="D763" i="8"/>
  <c r="B763" i="8"/>
  <c r="A763" i="8"/>
  <c r="E762" i="8"/>
  <c r="D762" i="8"/>
  <c r="B762" i="8"/>
  <c r="A762" i="8"/>
  <c r="E761" i="8"/>
  <c r="D761" i="8"/>
  <c r="B761" i="8"/>
  <c r="A761" i="8"/>
  <c r="E760" i="8"/>
  <c r="D760" i="8"/>
  <c r="B760" i="8"/>
  <c r="A760" i="8"/>
  <c r="E759" i="8"/>
  <c r="D759" i="8"/>
  <c r="B759" i="8"/>
  <c r="A759" i="8"/>
  <c r="E758" i="8"/>
  <c r="D758" i="8"/>
  <c r="B758" i="8"/>
  <c r="A758" i="8"/>
  <c r="E757" i="8"/>
  <c r="D757" i="8"/>
  <c r="B757" i="8"/>
  <c r="A757" i="8"/>
  <c r="E756" i="8"/>
  <c r="D756" i="8"/>
  <c r="B756" i="8"/>
  <c r="A756" i="8"/>
  <c r="E755" i="8"/>
  <c r="D755" i="8"/>
  <c r="B755" i="8"/>
  <c r="A755" i="8"/>
  <c r="E754" i="8"/>
  <c r="D754" i="8"/>
  <c r="B754" i="8"/>
  <c r="A754" i="8"/>
  <c r="E753" i="8"/>
  <c r="D753" i="8"/>
  <c r="B753" i="8"/>
  <c r="A753" i="8"/>
  <c r="E752" i="8"/>
  <c r="D752" i="8"/>
  <c r="B752" i="8"/>
  <c r="A752" i="8"/>
  <c r="E751" i="8"/>
  <c r="D751" i="8"/>
  <c r="B751" i="8"/>
  <c r="A751" i="8"/>
  <c r="E750" i="8"/>
  <c r="D750" i="8"/>
  <c r="B750" i="8"/>
  <c r="A750" i="8"/>
  <c r="E749" i="8"/>
  <c r="D749" i="8"/>
  <c r="B749" i="8"/>
  <c r="A749" i="8"/>
  <c r="E748" i="8"/>
  <c r="D748" i="8"/>
  <c r="B748" i="8"/>
  <c r="A748" i="8"/>
  <c r="E747" i="8"/>
  <c r="D747" i="8"/>
  <c r="B747" i="8"/>
  <c r="A747" i="8"/>
  <c r="E746" i="8"/>
  <c r="D746" i="8"/>
  <c r="B746" i="8"/>
  <c r="A746" i="8"/>
  <c r="E745" i="8"/>
  <c r="D745" i="8"/>
  <c r="B745" i="8"/>
  <c r="A745" i="8"/>
  <c r="E744" i="8"/>
  <c r="D744" i="8"/>
  <c r="B744" i="8"/>
  <c r="A744" i="8"/>
  <c r="E743" i="8"/>
  <c r="D743" i="8"/>
  <c r="B743" i="8"/>
  <c r="A743" i="8"/>
  <c r="E742" i="8"/>
  <c r="D742" i="8"/>
  <c r="B742" i="8"/>
  <c r="A742" i="8"/>
  <c r="E741" i="8"/>
  <c r="D741" i="8"/>
  <c r="B741" i="8"/>
  <c r="A741" i="8"/>
  <c r="E740" i="8"/>
  <c r="D740" i="8"/>
  <c r="B740" i="8"/>
  <c r="A740" i="8"/>
  <c r="AU208" i="3" l="1"/>
  <c r="AU290" i="3"/>
  <c r="AU291" i="3"/>
  <c r="AU292" i="3"/>
  <c r="AU293" i="3"/>
  <c r="AU294" i="3"/>
  <c r="AU295" i="3"/>
  <c r="AU296" i="3"/>
  <c r="AU199" i="3"/>
  <c r="AU28" i="3"/>
  <c r="AU243" i="3"/>
  <c r="AU44" i="3"/>
  <c r="AU261" i="3"/>
  <c r="AU191" i="3"/>
  <c r="AU126" i="3"/>
  <c r="AU41" i="3"/>
  <c r="AU165" i="3"/>
  <c r="AU45" i="3"/>
  <c r="AU133" i="3"/>
  <c r="AU250" i="3"/>
  <c r="AU46" i="3"/>
  <c r="AU42" i="3"/>
  <c r="AU168" i="3"/>
  <c r="AU173" i="3"/>
  <c r="AU174" i="3"/>
  <c r="AU140" i="3"/>
  <c r="AU40" i="3"/>
  <c r="AU181" i="3"/>
  <c r="AU24" i="3"/>
  <c r="AU138" i="3"/>
  <c r="AU48" i="3"/>
  <c r="AU224" i="3"/>
  <c r="AU210" i="3"/>
  <c r="AU49" i="3"/>
  <c r="AU242" i="3"/>
  <c r="AU19" i="3"/>
  <c r="AU14" i="3"/>
  <c r="AU16" i="3"/>
  <c r="AU277" i="3"/>
  <c r="AU225" i="3"/>
  <c r="AU31" i="3"/>
  <c r="AU17" i="3"/>
  <c r="AU239" i="3"/>
  <c r="AU20" i="3"/>
  <c r="AU33" i="3"/>
  <c r="AU18" i="3"/>
  <c r="AU34" i="3"/>
  <c r="AU282" i="3"/>
  <c r="AU37" i="3"/>
  <c r="AU180" i="3"/>
  <c r="AU23" i="3"/>
  <c r="AU284" i="3"/>
  <c r="AU15" i="3"/>
  <c r="AU160" i="3"/>
  <c r="AU141" i="3"/>
  <c r="AU288" i="3"/>
  <c r="AU9" i="3"/>
  <c r="AU22" i="3"/>
  <c r="AU36" i="3"/>
  <c r="AU51" i="3"/>
  <c r="AU59" i="3"/>
  <c r="AU67" i="3"/>
  <c r="AU75" i="3"/>
  <c r="AU83" i="3"/>
  <c r="AU91" i="3"/>
  <c r="AU99" i="3"/>
  <c r="AU107" i="3"/>
  <c r="AU115" i="3"/>
  <c r="AU123" i="3"/>
  <c r="AU131" i="3"/>
  <c r="AU139" i="3"/>
  <c r="AU149" i="3"/>
  <c r="AU157" i="3"/>
  <c r="AU167" i="3"/>
  <c r="AU177" i="3"/>
  <c r="AU187" i="3"/>
  <c r="AU196" i="3"/>
  <c r="AU205" i="3"/>
  <c r="AU215" i="3"/>
  <c r="AU223" i="3"/>
  <c r="AU233" i="3"/>
  <c r="AU244" i="3"/>
  <c r="AU253" i="3"/>
  <c r="AU262" i="3"/>
  <c r="AU270" i="3"/>
  <c r="AU279" i="3"/>
  <c r="AU10" i="3"/>
  <c r="AU25" i="3"/>
  <c r="AU38" i="3"/>
  <c r="AU52" i="3"/>
  <c r="AU60" i="3"/>
  <c r="AU68" i="3"/>
  <c r="AU76" i="3"/>
  <c r="AU84" i="3"/>
  <c r="AU92" i="3"/>
  <c r="AU100" i="3"/>
  <c r="AU108" i="3"/>
  <c r="AU116" i="3"/>
  <c r="AU124" i="3"/>
  <c r="AU132" i="3"/>
  <c r="AU142" i="3"/>
  <c r="AU150" i="3"/>
  <c r="AU158" i="3"/>
  <c r="AU169" i="3"/>
  <c r="AU178" i="3"/>
  <c r="AU188" i="3"/>
  <c r="AU197" i="3"/>
  <c r="AU206" i="3"/>
  <c r="AU216" i="3"/>
  <c r="AU226" i="3"/>
  <c r="AU234" i="3"/>
  <c r="AU245" i="3"/>
  <c r="AU254" i="3"/>
  <c r="AU263" i="3"/>
  <c r="AU271" i="3"/>
  <c r="AU280" i="3"/>
  <c r="AU7" i="3"/>
  <c r="AU26" i="3"/>
  <c r="AU39" i="3"/>
  <c r="AU53" i="3"/>
  <c r="AU61" i="3"/>
  <c r="AU69" i="3"/>
  <c r="AU77" i="3"/>
  <c r="AU85" i="3"/>
  <c r="AU93" i="3"/>
  <c r="AU101" i="3"/>
  <c r="AU109" i="3"/>
  <c r="AU117" i="3"/>
  <c r="AU125" i="3"/>
  <c r="AU143" i="3"/>
  <c r="AU151" i="3"/>
  <c r="AU159" i="3"/>
  <c r="AU170" i="3"/>
  <c r="AU179" i="3"/>
  <c r="AU189" i="3"/>
  <c r="AU198" i="3"/>
  <c r="AU209" i="3"/>
  <c r="AU217" i="3"/>
  <c r="AU227" i="3"/>
  <c r="AU235" i="3"/>
  <c r="AU246" i="3"/>
  <c r="AU255" i="3"/>
  <c r="AU264" i="3"/>
  <c r="AU272" i="3"/>
  <c r="AU281" i="3"/>
  <c r="AU8" i="3"/>
  <c r="AU27" i="3"/>
  <c r="AU54" i="3"/>
  <c r="AU62" i="3"/>
  <c r="AU70" i="3"/>
  <c r="AU78" i="3"/>
  <c r="AU86" i="3"/>
  <c r="AU94" i="3"/>
  <c r="AU102" i="3"/>
  <c r="AU110" i="3"/>
  <c r="AU118" i="3"/>
  <c r="AU134" i="3"/>
  <c r="AU144" i="3"/>
  <c r="AU152" i="3"/>
  <c r="AU161" i="3"/>
  <c r="AU171" i="3"/>
  <c r="AU182" i="3"/>
  <c r="AU190" i="3"/>
  <c r="AU200" i="3"/>
  <c r="AU207" i="3"/>
  <c r="AU218" i="3"/>
  <c r="AU228" i="3"/>
  <c r="AU236" i="3"/>
  <c r="AU247" i="3"/>
  <c r="AU256" i="3"/>
  <c r="AU265" i="3"/>
  <c r="AU273" i="3"/>
  <c r="AU283" i="3"/>
  <c r="AU11" i="3"/>
  <c r="AU29" i="3"/>
  <c r="AU43" i="3"/>
  <c r="AU55" i="3"/>
  <c r="AU63" i="3"/>
  <c r="AU71" i="3"/>
  <c r="AU79" i="3"/>
  <c r="AU87" i="3"/>
  <c r="AU95" i="3"/>
  <c r="AU103" i="3"/>
  <c r="AU111" i="3"/>
  <c r="AU119" i="3"/>
  <c r="AU127" i="3"/>
  <c r="AU135" i="3"/>
  <c r="AU145" i="3"/>
  <c r="AU153" i="3"/>
  <c r="AU162" i="3"/>
  <c r="AU172" i="3"/>
  <c r="AU183" i="3"/>
  <c r="AU192" i="3"/>
  <c r="AU201" i="3"/>
  <c r="AU211" i="3"/>
  <c r="AU219" i="3"/>
  <c r="AU229" i="3"/>
  <c r="AU237" i="3"/>
  <c r="AU248" i="3"/>
  <c r="AU257" i="3"/>
  <c r="AU266" i="3"/>
  <c r="AU274" i="3"/>
  <c r="AU285" i="3"/>
  <c r="AU4" i="3"/>
  <c r="AU12" i="3"/>
  <c r="AU30" i="3"/>
  <c r="AU56" i="3"/>
  <c r="AU64" i="3"/>
  <c r="AU72" i="3"/>
  <c r="AU80" i="3"/>
  <c r="AU88" i="3"/>
  <c r="AU96" i="3"/>
  <c r="AU104" i="3"/>
  <c r="AU112" i="3"/>
  <c r="AU120" i="3"/>
  <c r="AU128" i="3"/>
  <c r="AU136" i="3"/>
  <c r="AU146" i="3"/>
  <c r="AU154" i="3"/>
  <c r="AU163" i="3"/>
  <c r="AU184" i="3"/>
  <c r="AU193" i="3"/>
  <c r="AU202" i="3"/>
  <c r="AU212" i="3"/>
  <c r="AU220" i="3"/>
  <c r="AU230" i="3"/>
  <c r="AU238" i="3"/>
  <c r="AU249" i="3"/>
  <c r="AU258" i="3"/>
  <c r="AU267" i="3"/>
  <c r="AU275" i="3"/>
  <c r="AU286" i="3"/>
  <c r="AU5" i="3"/>
  <c r="AU13" i="3"/>
  <c r="AU32" i="3"/>
  <c r="AU47" i="3"/>
  <c r="AU57" i="3"/>
  <c r="AU65" i="3"/>
  <c r="AU73" i="3"/>
  <c r="AU81" i="3"/>
  <c r="AU89" i="3"/>
  <c r="AU97" i="3"/>
  <c r="AU105" i="3"/>
  <c r="AU113" i="3"/>
  <c r="AU121" i="3"/>
  <c r="AU129" i="3"/>
  <c r="AU137" i="3"/>
  <c r="AU147" i="3"/>
  <c r="AU155" i="3"/>
  <c r="AU164" i="3"/>
  <c r="AU175" i="3"/>
  <c r="AU185" i="3"/>
  <c r="AU194" i="3"/>
  <c r="AU203" i="3"/>
  <c r="AU213" i="3"/>
  <c r="AU221" i="3"/>
  <c r="AU231" i="3"/>
  <c r="AU240" i="3"/>
  <c r="AU251" i="3"/>
  <c r="AU259" i="3"/>
  <c r="AU268" i="3"/>
  <c r="AU276" i="3"/>
  <c r="AU287" i="3"/>
  <c r="AU6" i="3"/>
  <c r="AU21" i="3"/>
  <c r="AU35" i="3"/>
  <c r="AU50" i="3"/>
  <c r="AU58" i="3"/>
  <c r="AU66" i="3"/>
  <c r="AU74" i="3"/>
  <c r="AU82" i="3"/>
  <c r="AU90" i="3"/>
  <c r="AU98" i="3"/>
  <c r="AU106" i="3"/>
  <c r="AU114" i="3"/>
  <c r="AU122" i="3"/>
  <c r="AU130" i="3"/>
  <c r="AU148" i="3"/>
  <c r="AU156" i="3"/>
  <c r="AU166" i="3"/>
  <c r="AU176" i="3"/>
  <c r="AU186" i="3"/>
  <c r="AU195" i="3"/>
  <c r="AU204" i="3"/>
  <c r="AU214" i="3"/>
  <c r="AU222" i="3"/>
  <c r="AU232" i="3"/>
  <c r="AU241" i="3"/>
  <c r="AU252" i="3"/>
  <c r="AU260" i="3"/>
  <c r="AU269" i="3"/>
  <c r="AU278" i="3"/>
  <c r="AU289" i="3"/>
  <c r="E735" i="8"/>
  <c r="D735" i="8"/>
  <c r="B735" i="8"/>
  <c r="A735" i="8"/>
  <c r="E734" i="8"/>
  <c r="D734" i="8"/>
  <c r="B734" i="8"/>
  <c r="A734" i="8"/>
  <c r="E733" i="8"/>
  <c r="D733" i="8"/>
  <c r="B733" i="8"/>
  <c r="A733" i="8"/>
  <c r="E732" i="8"/>
  <c r="D732" i="8"/>
  <c r="B732" i="8"/>
  <c r="A732" i="8"/>
  <c r="E731" i="8"/>
  <c r="D731" i="8"/>
  <c r="B731" i="8"/>
  <c r="A731" i="8"/>
  <c r="E730" i="8"/>
  <c r="D730" i="8"/>
  <c r="B730" i="8"/>
  <c r="A730" i="8"/>
  <c r="E729" i="8"/>
  <c r="D729" i="8"/>
  <c r="B729" i="8"/>
  <c r="A729" i="8"/>
  <c r="E728" i="8"/>
  <c r="D728" i="8"/>
  <c r="B728" i="8"/>
  <c r="A728" i="8"/>
  <c r="E727" i="8"/>
  <c r="D727" i="8"/>
  <c r="B727" i="8"/>
  <c r="A727" i="8"/>
  <c r="E726" i="8"/>
  <c r="D726" i="8"/>
  <c r="B726" i="8"/>
  <c r="A726" i="8"/>
  <c r="E725" i="8"/>
  <c r="D725" i="8"/>
  <c r="B725" i="8"/>
  <c r="A725" i="8"/>
  <c r="E724" i="8"/>
  <c r="D724" i="8"/>
  <c r="B724" i="8"/>
  <c r="A724" i="8"/>
  <c r="E723" i="8"/>
  <c r="D723" i="8"/>
  <c r="B723" i="8"/>
  <c r="A723" i="8"/>
  <c r="E722" i="8"/>
  <c r="D722" i="8"/>
  <c r="B722" i="8"/>
  <c r="A722" i="8"/>
  <c r="E721" i="8"/>
  <c r="D721" i="8"/>
  <c r="B721" i="8"/>
  <c r="A721" i="8"/>
  <c r="E720" i="8"/>
  <c r="D720" i="8"/>
  <c r="B720" i="8"/>
  <c r="A720" i="8"/>
  <c r="E719" i="8"/>
  <c r="D719" i="8"/>
  <c r="B719" i="8"/>
  <c r="A719" i="8"/>
  <c r="E718" i="8"/>
  <c r="D718" i="8"/>
  <c r="B718" i="8"/>
  <c r="A718" i="8"/>
  <c r="E717" i="8"/>
  <c r="D717" i="8"/>
  <c r="B717" i="8"/>
  <c r="A717" i="8"/>
  <c r="E716" i="8"/>
  <c r="D716" i="8"/>
  <c r="B716" i="8"/>
  <c r="A716" i="8"/>
  <c r="E715" i="8"/>
  <c r="D715" i="8"/>
  <c r="B715" i="8"/>
  <c r="A715" i="8"/>
  <c r="E714" i="8"/>
  <c r="D714" i="8"/>
  <c r="B714" i="8"/>
  <c r="A714" i="8"/>
  <c r="E713" i="8"/>
  <c r="D713" i="8"/>
  <c r="B713" i="8"/>
  <c r="A713" i="8"/>
  <c r="E712" i="8"/>
  <c r="D712" i="8"/>
  <c r="B712" i="8"/>
  <c r="A712" i="8"/>
  <c r="E711" i="8"/>
  <c r="D711" i="8"/>
  <c r="B711" i="8"/>
  <c r="A711" i="8"/>
  <c r="E710" i="8"/>
  <c r="D710" i="8"/>
  <c r="B710" i="8"/>
  <c r="A710" i="8"/>
  <c r="E709" i="8"/>
  <c r="D709" i="8"/>
  <c r="B709" i="8"/>
  <c r="A709" i="8"/>
  <c r="E708" i="8"/>
  <c r="D708" i="8"/>
  <c r="B708" i="8"/>
  <c r="A708" i="8"/>
  <c r="AT208" i="3" l="1"/>
  <c r="AT290" i="3"/>
  <c r="AT291" i="3"/>
  <c r="AT296" i="3"/>
  <c r="AT292" i="3"/>
  <c r="AT293" i="3"/>
  <c r="AT294" i="3"/>
  <c r="AT295" i="3"/>
  <c r="AT199" i="3"/>
  <c r="AT28" i="3"/>
  <c r="AT126" i="3"/>
  <c r="AT41" i="3"/>
  <c r="AT165" i="3"/>
  <c r="AT45" i="3"/>
  <c r="AT46" i="3"/>
  <c r="AT133" i="3"/>
  <c r="AT250" i="3"/>
  <c r="AT42" i="3"/>
  <c r="AT168" i="3"/>
  <c r="AT243" i="3"/>
  <c r="AT44" i="3"/>
  <c r="AT261" i="3"/>
  <c r="AT191" i="3"/>
  <c r="AT173" i="3"/>
  <c r="AT174" i="3"/>
  <c r="AT140" i="3"/>
  <c r="AT40" i="3"/>
  <c r="AT181" i="3"/>
  <c r="AT24" i="3"/>
  <c r="AT138" i="3"/>
  <c r="AT48" i="3"/>
  <c r="AT224" i="3"/>
  <c r="AT210" i="3"/>
  <c r="AT49" i="3"/>
  <c r="AT242" i="3"/>
  <c r="AT19" i="3"/>
  <c r="AT14" i="3"/>
  <c r="AT16" i="3"/>
  <c r="AT277" i="3"/>
  <c r="AT225" i="3"/>
  <c r="AT31" i="3"/>
  <c r="AT17" i="3"/>
  <c r="AT239" i="3"/>
  <c r="AT20" i="3"/>
  <c r="AT33" i="3"/>
  <c r="AT18" i="3"/>
  <c r="AT34" i="3"/>
  <c r="AT282" i="3"/>
  <c r="AT37" i="3"/>
  <c r="AT180" i="3"/>
  <c r="AT23" i="3"/>
  <c r="AT284" i="3"/>
  <c r="AT15" i="3"/>
  <c r="AT160" i="3"/>
  <c r="AT141" i="3"/>
  <c r="AT288" i="3"/>
  <c r="AT4" i="3"/>
  <c r="AT12" i="3"/>
  <c r="AT30" i="3"/>
  <c r="AT56" i="3"/>
  <c r="AT64" i="3"/>
  <c r="AT72" i="3"/>
  <c r="AT80" i="3"/>
  <c r="AT88" i="3"/>
  <c r="AT96" i="3"/>
  <c r="AT104" i="3"/>
  <c r="AT112" i="3"/>
  <c r="AT120" i="3"/>
  <c r="AT128" i="3"/>
  <c r="AT136" i="3"/>
  <c r="AT146" i="3"/>
  <c r="AT154" i="3"/>
  <c r="AT163" i="3"/>
  <c r="AT184" i="3"/>
  <c r="AT193" i="3"/>
  <c r="AT202" i="3"/>
  <c r="AT212" i="3"/>
  <c r="AT220" i="3"/>
  <c r="AT230" i="3"/>
  <c r="AT238" i="3"/>
  <c r="AT249" i="3"/>
  <c r="AT258" i="3"/>
  <c r="AT267" i="3"/>
  <c r="AT275" i="3"/>
  <c r="AT286" i="3"/>
  <c r="AT5" i="3"/>
  <c r="AT13" i="3"/>
  <c r="AT32" i="3"/>
  <c r="AT47" i="3"/>
  <c r="AT57" i="3"/>
  <c r="AT65" i="3"/>
  <c r="AT73" i="3"/>
  <c r="AT81" i="3"/>
  <c r="AT89" i="3"/>
  <c r="AT97" i="3"/>
  <c r="AT105" i="3"/>
  <c r="AT113" i="3"/>
  <c r="AT121" i="3"/>
  <c r="AT129" i="3"/>
  <c r="AT137" i="3"/>
  <c r="AT147" i="3"/>
  <c r="AT155" i="3"/>
  <c r="AT164" i="3"/>
  <c r="AT175" i="3"/>
  <c r="AT185" i="3"/>
  <c r="AT194" i="3"/>
  <c r="AT203" i="3"/>
  <c r="AT213" i="3"/>
  <c r="AT221" i="3"/>
  <c r="AT231" i="3"/>
  <c r="AT240" i="3"/>
  <c r="AT251" i="3"/>
  <c r="AT259" i="3"/>
  <c r="AT268" i="3"/>
  <c r="AT276" i="3"/>
  <c r="AT287" i="3"/>
  <c r="AT6" i="3"/>
  <c r="AT21" i="3"/>
  <c r="AT35" i="3"/>
  <c r="AT50" i="3"/>
  <c r="AT58" i="3"/>
  <c r="AT66" i="3"/>
  <c r="AT74" i="3"/>
  <c r="AT82" i="3"/>
  <c r="AT90" i="3"/>
  <c r="AT98" i="3"/>
  <c r="AT106" i="3"/>
  <c r="AT114" i="3"/>
  <c r="AT122" i="3"/>
  <c r="AT9" i="3"/>
  <c r="AT22" i="3"/>
  <c r="AT36" i="3"/>
  <c r="AT51" i="3"/>
  <c r="AT59" i="3"/>
  <c r="AT67" i="3"/>
  <c r="AT75" i="3"/>
  <c r="AT83" i="3"/>
  <c r="AT91" i="3"/>
  <c r="AT99" i="3"/>
  <c r="AT107" i="3"/>
  <c r="AT115" i="3"/>
  <c r="AT123" i="3"/>
  <c r="AT131" i="3"/>
  <c r="AT139" i="3"/>
  <c r="AT149" i="3"/>
  <c r="AT157" i="3"/>
  <c r="AT167" i="3"/>
  <c r="AT177" i="3"/>
  <c r="AT187" i="3"/>
  <c r="AT196" i="3"/>
  <c r="AT205" i="3"/>
  <c r="AT215" i="3"/>
  <c r="AT223" i="3"/>
  <c r="AT233" i="3"/>
  <c r="AT244" i="3"/>
  <c r="AT253" i="3"/>
  <c r="AT262" i="3"/>
  <c r="AT270" i="3"/>
  <c r="AT279" i="3"/>
  <c r="AT10" i="3"/>
  <c r="AT25" i="3"/>
  <c r="AT38" i="3"/>
  <c r="AT52" i="3"/>
  <c r="AT60" i="3"/>
  <c r="AT68" i="3"/>
  <c r="AT76" i="3"/>
  <c r="AT84" i="3"/>
  <c r="AT92" i="3"/>
  <c r="AT100" i="3"/>
  <c r="AT108" i="3"/>
  <c r="AT116" i="3"/>
  <c r="AT124" i="3"/>
  <c r="AT132" i="3"/>
  <c r="AT142" i="3"/>
  <c r="AT150" i="3"/>
  <c r="AT158" i="3"/>
  <c r="AT169" i="3"/>
  <c r="AT178" i="3"/>
  <c r="AT188" i="3"/>
  <c r="AT197" i="3"/>
  <c r="AT206" i="3"/>
  <c r="AT216" i="3"/>
  <c r="AT226" i="3"/>
  <c r="AT234" i="3"/>
  <c r="AT245" i="3"/>
  <c r="AT254" i="3"/>
  <c r="AT263" i="3"/>
  <c r="AT271" i="3"/>
  <c r="AT280" i="3"/>
  <c r="AT7" i="3"/>
  <c r="AT26" i="3"/>
  <c r="AT39" i="3"/>
  <c r="AT53" i="3"/>
  <c r="AT61" i="3"/>
  <c r="AT69" i="3"/>
  <c r="AT77" i="3"/>
  <c r="AT85" i="3"/>
  <c r="AT93" i="3"/>
  <c r="AT101" i="3"/>
  <c r="AT109" i="3"/>
  <c r="AT117" i="3"/>
  <c r="AT125" i="3"/>
  <c r="AT143" i="3"/>
  <c r="AT151" i="3"/>
  <c r="AT159" i="3"/>
  <c r="AT170" i="3"/>
  <c r="AT179" i="3"/>
  <c r="AT189" i="3"/>
  <c r="AT198" i="3"/>
  <c r="AT209" i="3"/>
  <c r="AT217" i="3"/>
  <c r="AT227" i="3"/>
  <c r="AT235" i="3"/>
  <c r="AT246" i="3"/>
  <c r="AT255" i="3"/>
  <c r="AT264" i="3"/>
  <c r="AT272" i="3"/>
  <c r="AT281" i="3"/>
  <c r="AT8" i="3"/>
  <c r="AT27" i="3"/>
  <c r="AT54" i="3"/>
  <c r="AT62" i="3"/>
  <c r="AT70" i="3"/>
  <c r="AT78" i="3"/>
  <c r="AT86" i="3"/>
  <c r="AT94" i="3"/>
  <c r="AT102" i="3"/>
  <c r="AT110" i="3"/>
  <c r="AT118" i="3"/>
  <c r="AT11" i="3"/>
  <c r="AT29" i="3"/>
  <c r="AT43" i="3"/>
  <c r="AT55" i="3"/>
  <c r="AT63" i="3"/>
  <c r="AT71" i="3"/>
  <c r="AT79" i="3"/>
  <c r="AT87" i="3"/>
  <c r="AT95" i="3"/>
  <c r="AT103" i="3"/>
  <c r="AT111" i="3"/>
  <c r="AT119" i="3"/>
  <c r="AT127" i="3"/>
  <c r="AT135" i="3"/>
  <c r="AT145" i="3"/>
  <c r="AT153" i="3"/>
  <c r="AT162" i="3"/>
  <c r="AT172" i="3"/>
  <c r="AT183" i="3"/>
  <c r="AT192" i="3"/>
  <c r="AT201" i="3"/>
  <c r="AT211" i="3"/>
  <c r="AT219" i="3"/>
  <c r="AT229" i="3"/>
  <c r="AT237" i="3"/>
  <c r="AT248" i="3"/>
  <c r="AT257" i="3"/>
  <c r="AT266" i="3"/>
  <c r="AT274" i="3"/>
  <c r="AT285" i="3"/>
  <c r="AT161" i="3"/>
  <c r="AT200" i="3"/>
  <c r="AT236" i="3"/>
  <c r="AT273" i="3"/>
  <c r="AT130" i="3"/>
  <c r="AT166" i="3"/>
  <c r="AT204" i="3"/>
  <c r="AT241" i="3"/>
  <c r="AT278" i="3"/>
  <c r="AT134" i="3"/>
  <c r="AT171" i="3"/>
  <c r="AT207" i="3"/>
  <c r="AT247" i="3"/>
  <c r="AT283" i="3"/>
  <c r="AT176" i="3"/>
  <c r="AT214" i="3"/>
  <c r="AT252" i="3"/>
  <c r="AT289" i="3"/>
  <c r="AT144" i="3"/>
  <c r="AT182" i="3"/>
  <c r="AT218" i="3"/>
  <c r="AT256" i="3"/>
  <c r="AT148" i="3"/>
  <c r="AT186" i="3"/>
  <c r="AT222" i="3"/>
  <c r="AT260" i="3"/>
  <c r="AT152" i="3"/>
  <c r="AT190" i="3"/>
  <c r="AT228" i="3"/>
  <c r="AT265" i="3"/>
  <c r="AT156" i="3"/>
  <c r="AT195" i="3"/>
  <c r="AT232" i="3"/>
  <c r="AT269" i="3"/>
  <c r="E705" i="8"/>
  <c r="D705" i="8"/>
  <c r="B705" i="8"/>
  <c r="A705" i="8"/>
  <c r="E704" i="8"/>
  <c r="D704" i="8"/>
  <c r="B704" i="8"/>
  <c r="A704" i="8"/>
  <c r="E703" i="8"/>
  <c r="D703" i="8"/>
  <c r="B703" i="8"/>
  <c r="A703" i="8"/>
  <c r="E702" i="8"/>
  <c r="D702" i="8"/>
  <c r="B702" i="8"/>
  <c r="A702" i="8"/>
  <c r="E701" i="8"/>
  <c r="D701" i="8"/>
  <c r="B701" i="8"/>
  <c r="A701" i="8"/>
  <c r="E700" i="8"/>
  <c r="D700" i="8"/>
  <c r="B700" i="8"/>
  <c r="A700" i="8"/>
  <c r="E699" i="8"/>
  <c r="D699" i="8"/>
  <c r="B699" i="8"/>
  <c r="A699" i="8"/>
  <c r="E698" i="8"/>
  <c r="D698" i="8"/>
  <c r="B698" i="8"/>
  <c r="A698" i="8"/>
  <c r="E697" i="8"/>
  <c r="D697" i="8"/>
  <c r="B697" i="8"/>
  <c r="A697" i="8"/>
  <c r="E696" i="8"/>
  <c r="D696" i="8"/>
  <c r="B696" i="8"/>
  <c r="A696" i="8"/>
  <c r="E695" i="8"/>
  <c r="D695" i="8"/>
  <c r="B695" i="8"/>
  <c r="A695" i="8"/>
  <c r="E694" i="8"/>
  <c r="D694" i="8"/>
  <c r="B694" i="8"/>
  <c r="A694" i="8"/>
  <c r="E693" i="8"/>
  <c r="D693" i="8"/>
  <c r="B693" i="8"/>
  <c r="A693" i="8"/>
  <c r="E692" i="8"/>
  <c r="D692" i="8"/>
  <c r="B692" i="8"/>
  <c r="A692" i="8"/>
  <c r="E691" i="8"/>
  <c r="D691" i="8"/>
  <c r="B691" i="8"/>
  <c r="A691" i="8"/>
  <c r="E690" i="8"/>
  <c r="D690" i="8"/>
  <c r="B690" i="8"/>
  <c r="A690" i="8"/>
  <c r="E689" i="8"/>
  <c r="D689" i="8"/>
  <c r="B689" i="8"/>
  <c r="A689" i="8"/>
  <c r="E688" i="8"/>
  <c r="D688" i="8"/>
  <c r="B688" i="8"/>
  <c r="A688" i="8"/>
  <c r="E687" i="8"/>
  <c r="D687" i="8"/>
  <c r="B687" i="8"/>
  <c r="A687" i="8"/>
  <c r="E686" i="8"/>
  <c r="D686" i="8"/>
  <c r="B686" i="8"/>
  <c r="A686" i="8"/>
  <c r="E685" i="8"/>
  <c r="D685" i="8"/>
  <c r="B685" i="8"/>
  <c r="A685" i="8"/>
  <c r="E684" i="8"/>
  <c r="D684" i="8"/>
  <c r="B684" i="8"/>
  <c r="A684" i="8"/>
  <c r="E683" i="8"/>
  <c r="D683" i="8"/>
  <c r="B683" i="8"/>
  <c r="A683" i="8"/>
  <c r="E682" i="8"/>
  <c r="D682" i="8"/>
  <c r="B682" i="8"/>
  <c r="A682" i="8"/>
  <c r="E681" i="8"/>
  <c r="D681" i="8"/>
  <c r="B681" i="8"/>
  <c r="A681" i="8"/>
  <c r="E680" i="8"/>
  <c r="D680" i="8"/>
  <c r="B680" i="8"/>
  <c r="A680" i="8"/>
  <c r="E679" i="8"/>
  <c r="D679" i="8"/>
  <c r="B679" i="8"/>
  <c r="A679" i="8"/>
  <c r="E678" i="8"/>
  <c r="D678" i="8"/>
  <c r="B678" i="8"/>
  <c r="A678" i="8"/>
  <c r="A640" i="8"/>
  <c r="A641" i="8"/>
  <c r="B640" i="8"/>
  <c r="B641" i="8"/>
  <c r="D640" i="8"/>
  <c r="D641" i="8"/>
  <c r="E640" i="8"/>
  <c r="E641" i="8"/>
  <c r="AS208" i="3" l="1"/>
  <c r="AS296" i="3"/>
  <c r="AS290" i="3"/>
  <c r="AS291" i="3"/>
  <c r="AS295" i="3"/>
  <c r="AS292" i="3"/>
  <c r="AS293" i="3"/>
  <c r="AS294" i="3"/>
  <c r="AS199" i="3"/>
  <c r="AS28" i="3"/>
  <c r="AS126" i="3"/>
  <c r="AS45" i="3"/>
  <c r="AS41" i="3"/>
  <c r="AS165" i="3"/>
  <c r="AS44" i="3"/>
  <c r="AS46" i="3"/>
  <c r="AS133" i="3"/>
  <c r="AS250" i="3"/>
  <c r="AS191" i="3"/>
  <c r="AS243" i="3"/>
  <c r="AS261" i="3"/>
  <c r="AS42" i="3"/>
  <c r="AS168" i="3"/>
  <c r="AS173" i="3"/>
  <c r="AS174" i="3"/>
  <c r="AS140" i="3"/>
  <c r="AS40" i="3"/>
  <c r="AS181" i="3"/>
  <c r="AS24" i="3"/>
  <c r="AS138" i="3"/>
  <c r="AS48" i="3"/>
  <c r="AS224" i="3"/>
  <c r="AS210" i="3"/>
  <c r="AS49" i="3"/>
  <c r="AS242" i="3"/>
  <c r="AS19" i="3"/>
  <c r="AS14" i="3"/>
  <c r="AS16" i="3"/>
  <c r="AS277" i="3"/>
  <c r="AS225" i="3"/>
  <c r="AS31" i="3"/>
  <c r="AS17" i="3"/>
  <c r="AS239" i="3"/>
  <c r="AS20" i="3"/>
  <c r="AS33" i="3"/>
  <c r="AS18" i="3"/>
  <c r="AS34" i="3"/>
  <c r="AS282" i="3"/>
  <c r="AS37" i="3"/>
  <c r="AS180" i="3"/>
  <c r="AS23" i="3"/>
  <c r="AS284" i="3"/>
  <c r="AS15" i="3"/>
  <c r="AS160" i="3"/>
  <c r="AS141" i="3"/>
  <c r="AS288" i="3"/>
  <c r="AS7" i="3"/>
  <c r="AS26" i="3"/>
  <c r="AS39" i="3"/>
  <c r="AS53" i="3"/>
  <c r="AS61" i="3"/>
  <c r="AS69" i="3"/>
  <c r="AS77" i="3"/>
  <c r="AS85" i="3"/>
  <c r="AS93" i="3"/>
  <c r="AS101" i="3"/>
  <c r="AS109" i="3"/>
  <c r="AS117" i="3"/>
  <c r="AS125" i="3"/>
  <c r="AS143" i="3"/>
  <c r="AS151" i="3"/>
  <c r="AS159" i="3"/>
  <c r="AS170" i="3"/>
  <c r="AS179" i="3"/>
  <c r="AS189" i="3"/>
  <c r="AS198" i="3"/>
  <c r="AS209" i="3"/>
  <c r="AS217" i="3"/>
  <c r="AS227" i="3"/>
  <c r="AS8" i="3"/>
  <c r="AS27" i="3"/>
  <c r="AS54" i="3"/>
  <c r="AS62" i="3"/>
  <c r="AS70" i="3"/>
  <c r="AS78" i="3"/>
  <c r="AS86" i="3"/>
  <c r="AS94" i="3"/>
  <c r="AS102" i="3"/>
  <c r="AS110" i="3"/>
  <c r="AS118" i="3"/>
  <c r="AS134" i="3"/>
  <c r="AS144" i="3"/>
  <c r="AS152" i="3"/>
  <c r="AS161" i="3"/>
  <c r="AS171" i="3"/>
  <c r="AS182" i="3"/>
  <c r="AS190" i="3"/>
  <c r="AS200" i="3"/>
  <c r="AS207" i="3"/>
  <c r="AS218" i="3"/>
  <c r="AS4" i="3"/>
  <c r="AS12" i="3"/>
  <c r="AS30" i="3"/>
  <c r="AS56" i="3"/>
  <c r="AS64" i="3"/>
  <c r="AS72" i="3"/>
  <c r="AS80" i="3"/>
  <c r="AS88" i="3"/>
  <c r="AS96" i="3"/>
  <c r="AS104" i="3"/>
  <c r="AS112" i="3"/>
  <c r="AS120" i="3"/>
  <c r="AS128" i="3"/>
  <c r="AS136" i="3"/>
  <c r="AS146" i="3"/>
  <c r="AS154" i="3"/>
  <c r="AS163" i="3"/>
  <c r="AS184" i="3"/>
  <c r="AS193" i="3"/>
  <c r="AS202" i="3"/>
  <c r="AS212" i="3"/>
  <c r="AS220" i="3"/>
  <c r="AS5" i="3"/>
  <c r="AS13" i="3"/>
  <c r="AS32" i="3"/>
  <c r="AS47" i="3"/>
  <c r="AS57" i="3"/>
  <c r="AS65" i="3"/>
  <c r="AS73" i="3"/>
  <c r="AS81" i="3"/>
  <c r="AS89" i="3"/>
  <c r="AS97" i="3"/>
  <c r="AS105" i="3"/>
  <c r="AS113" i="3"/>
  <c r="AS121" i="3"/>
  <c r="AS129" i="3"/>
  <c r="AS137" i="3"/>
  <c r="AS147" i="3"/>
  <c r="AS155" i="3"/>
  <c r="AS164" i="3"/>
  <c r="AS175" i="3"/>
  <c r="AS185" i="3"/>
  <c r="AS194" i="3"/>
  <c r="AS203" i="3"/>
  <c r="AS213" i="3"/>
  <c r="AS221" i="3"/>
  <c r="AS6" i="3"/>
  <c r="AS21" i="3"/>
  <c r="AS35" i="3"/>
  <c r="AS50" i="3"/>
  <c r="AS58" i="3"/>
  <c r="AS66" i="3"/>
  <c r="AS74" i="3"/>
  <c r="AS82" i="3"/>
  <c r="AS90" i="3"/>
  <c r="AS98" i="3"/>
  <c r="AS106" i="3"/>
  <c r="AS114" i="3"/>
  <c r="AS122" i="3"/>
  <c r="AS130" i="3"/>
  <c r="AS148" i="3"/>
  <c r="AS156" i="3"/>
  <c r="AS166" i="3"/>
  <c r="AS176" i="3"/>
  <c r="AS186" i="3"/>
  <c r="AS195" i="3"/>
  <c r="AS204" i="3"/>
  <c r="AS214" i="3"/>
  <c r="AS222" i="3"/>
  <c r="AS10" i="3"/>
  <c r="AS25" i="3"/>
  <c r="AS38" i="3"/>
  <c r="AS52" i="3"/>
  <c r="AS60" i="3"/>
  <c r="AS68" i="3"/>
  <c r="AS76" i="3"/>
  <c r="AS84" i="3"/>
  <c r="AS92" i="3"/>
  <c r="AS100" i="3"/>
  <c r="AS108" i="3"/>
  <c r="AS116" i="3"/>
  <c r="AS124" i="3"/>
  <c r="AS132" i="3"/>
  <c r="AS142" i="3"/>
  <c r="AS150" i="3"/>
  <c r="AS158" i="3"/>
  <c r="AS169" i="3"/>
  <c r="AS178" i="3"/>
  <c r="AS188" i="3"/>
  <c r="AS197" i="3"/>
  <c r="AS206" i="3"/>
  <c r="AS216" i="3"/>
  <c r="AS226" i="3"/>
  <c r="AS36" i="3"/>
  <c r="AS75" i="3"/>
  <c r="AS107" i="3"/>
  <c r="AS139" i="3"/>
  <c r="AS177" i="3"/>
  <c r="AS215" i="3"/>
  <c r="AS233" i="3"/>
  <c r="AS244" i="3"/>
  <c r="AS253" i="3"/>
  <c r="AS262" i="3"/>
  <c r="AS270" i="3"/>
  <c r="AS279" i="3"/>
  <c r="AS43" i="3"/>
  <c r="AS79" i="3"/>
  <c r="AS111" i="3"/>
  <c r="AS145" i="3"/>
  <c r="AS183" i="3"/>
  <c r="AS219" i="3"/>
  <c r="AS234" i="3"/>
  <c r="AS245" i="3"/>
  <c r="AS254" i="3"/>
  <c r="AS263" i="3"/>
  <c r="AS271" i="3"/>
  <c r="AS280" i="3"/>
  <c r="AS51" i="3"/>
  <c r="AS83" i="3"/>
  <c r="AS115" i="3"/>
  <c r="AS149" i="3"/>
  <c r="AS187" i="3"/>
  <c r="AS223" i="3"/>
  <c r="AS235" i="3"/>
  <c r="AS246" i="3"/>
  <c r="AS255" i="3"/>
  <c r="AS264" i="3"/>
  <c r="AS272" i="3"/>
  <c r="AS281" i="3"/>
  <c r="AS55" i="3"/>
  <c r="AS87" i="3"/>
  <c r="AS119" i="3"/>
  <c r="AS153" i="3"/>
  <c r="AS192" i="3"/>
  <c r="AS228" i="3"/>
  <c r="AS236" i="3"/>
  <c r="AS247" i="3"/>
  <c r="AS256" i="3"/>
  <c r="AS265" i="3"/>
  <c r="AS273" i="3"/>
  <c r="AS283" i="3"/>
  <c r="AS9" i="3"/>
  <c r="AS59" i="3"/>
  <c r="AS91" i="3"/>
  <c r="AS123" i="3"/>
  <c r="AS157" i="3"/>
  <c r="AS196" i="3"/>
  <c r="AS229" i="3"/>
  <c r="AS237" i="3"/>
  <c r="AS248" i="3"/>
  <c r="AS257" i="3"/>
  <c r="AS266" i="3"/>
  <c r="AS274" i="3"/>
  <c r="AS285" i="3"/>
  <c r="AS11" i="3"/>
  <c r="AS63" i="3"/>
  <c r="AS95" i="3"/>
  <c r="AS127" i="3"/>
  <c r="AS162" i="3"/>
  <c r="AS201" i="3"/>
  <c r="AS230" i="3"/>
  <c r="AS238" i="3"/>
  <c r="AS249" i="3"/>
  <c r="AS258" i="3"/>
  <c r="AS267" i="3"/>
  <c r="AS275" i="3"/>
  <c r="AS286" i="3"/>
  <c r="AS22" i="3"/>
  <c r="AS67" i="3"/>
  <c r="AS99" i="3"/>
  <c r="AS131" i="3"/>
  <c r="AS167" i="3"/>
  <c r="AS205" i="3"/>
  <c r="AS231" i="3"/>
  <c r="AS240" i="3"/>
  <c r="AS251" i="3"/>
  <c r="AS259" i="3"/>
  <c r="AS268" i="3"/>
  <c r="AS276" i="3"/>
  <c r="AS287" i="3"/>
  <c r="AS29" i="3"/>
  <c r="AS71" i="3"/>
  <c r="AS103" i="3"/>
  <c r="AS135" i="3"/>
  <c r="AS172" i="3"/>
  <c r="AS211" i="3"/>
  <c r="AS232" i="3"/>
  <c r="AS241" i="3"/>
  <c r="AS252" i="3"/>
  <c r="AS260" i="3"/>
  <c r="AS269" i="3"/>
  <c r="AS278" i="3"/>
  <c r="AS289" i="3"/>
  <c r="E673" i="8"/>
  <c r="D673" i="8"/>
  <c r="B673" i="8"/>
  <c r="A673" i="8"/>
  <c r="E672" i="8"/>
  <c r="D672" i="8"/>
  <c r="B672" i="8"/>
  <c r="A672" i="8"/>
  <c r="E671" i="8"/>
  <c r="D671" i="8"/>
  <c r="B671" i="8"/>
  <c r="A671" i="8"/>
  <c r="E670" i="8"/>
  <c r="D670" i="8"/>
  <c r="B670" i="8"/>
  <c r="A670" i="8"/>
  <c r="E669" i="8"/>
  <c r="D669" i="8"/>
  <c r="B669" i="8"/>
  <c r="A669" i="8"/>
  <c r="E668" i="8"/>
  <c r="D668" i="8"/>
  <c r="B668" i="8"/>
  <c r="A668" i="8"/>
  <c r="E667" i="8"/>
  <c r="D667" i="8"/>
  <c r="B667" i="8"/>
  <c r="A667" i="8"/>
  <c r="E666" i="8"/>
  <c r="D666" i="8"/>
  <c r="B666" i="8"/>
  <c r="A666" i="8"/>
  <c r="E665" i="8"/>
  <c r="D665" i="8"/>
  <c r="B665" i="8"/>
  <c r="A665" i="8"/>
  <c r="E664" i="8"/>
  <c r="D664" i="8"/>
  <c r="B664" i="8"/>
  <c r="A664" i="8"/>
  <c r="E663" i="8"/>
  <c r="D663" i="8"/>
  <c r="B663" i="8"/>
  <c r="A663" i="8"/>
  <c r="E662" i="8"/>
  <c r="D662" i="8"/>
  <c r="B662" i="8"/>
  <c r="A662" i="8"/>
  <c r="E661" i="8"/>
  <c r="D661" i="8"/>
  <c r="B661" i="8"/>
  <c r="A661" i="8"/>
  <c r="E660" i="8"/>
  <c r="D660" i="8"/>
  <c r="B660" i="8"/>
  <c r="A660" i="8"/>
  <c r="E659" i="8"/>
  <c r="D659" i="8"/>
  <c r="B659" i="8"/>
  <c r="A659" i="8"/>
  <c r="E658" i="8"/>
  <c r="D658" i="8"/>
  <c r="B658" i="8"/>
  <c r="A658" i="8"/>
  <c r="E657" i="8"/>
  <c r="D657" i="8"/>
  <c r="B657" i="8"/>
  <c r="A657" i="8"/>
  <c r="E656" i="8"/>
  <c r="D656" i="8"/>
  <c r="B656" i="8"/>
  <c r="A656" i="8"/>
  <c r="E655" i="8"/>
  <c r="D655" i="8"/>
  <c r="B655" i="8"/>
  <c r="A655" i="8"/>
  <c r="E654" i="8"/>
  <c r="D654" i="8"/>
  <c r="B654" i="8"/>
  <c r="A654" i="8"/>
  <c r="E653" i="8"/>
  <c r="D653" i="8"/>
  <c r="B653" i="8"/>
  <c r="A653" i="8"/>
  <c r="E652" i="8"/>
  <c r="D652" i="8"/>
  <c r="B652" i="8"/>
  <c r="A652" i="8"/>
  <c r="E651" i="8"/>
  <c r="D651" i="8"/>
  <c r="B651" i="8"/>
  <c r="A651" i="8"/>
  <c r="E650" i="8"/>
  <c r="D650" i="8"/>
  <c r="B650" i="8"/>
  <c r="A650" i="8"/>
  <c r="E649" i="8"/>
  <c r="D649" i="8"/>
  <c r="B649" i="8"/>
  <c r="A649" i="8"/>
  <c r="E648" i="8"/>
  <c r="D648" i="8"/>
  <c r="B648" i="8"/>
  <c r="A648" i="8"/>
  <c r="E647" i="8"/>
  <c r="D647" i="8"/>
  <c r="B647" i="8"/>
  <c r="A647" i="8"/>
  <c r="E646" i="8"/>
  <c r="D646" i="8"/>
  <c r="B646" i="8"/>
  <c r="A646" i="8"/>
  <c r="A607" i="8"/>
  <c r="B607" i="8"/>
  <c r="D607" i="8"/>
  <c r="E607" i="8"/>
  <c r="A632" i="8"/>
  <c r="B632" i="8"/>
  <c r="D632" i="8"/>
  <c r="E632" i="8"/>
  <c r="AR208" i="3" l="1"/>
  <c r="AR295" i="3"/>
  <c r="AR296" i="3"/>
  <c r="AR290" i="3"/>
  <c r="AR291" i="3"/>
  <c r="AR292" i="3"/>
  <c r="AR293" i="3"/>
  <c r="AR294" i="3"/>
  <c r="AR199" i="3"/>
  <c r="AR28" i="3"/>
  <c r="AR133" i="3"/>
  <c r="AR250" i="3"/>
  <c r="AR42" i="3"/>
  <c r="AR168" i="3"/>
  <c r="AR45" i="3"/>
  <c r="AR243" i="3"/>
  <c r="AR44" i="3"/>
  <c r="AR261" i="3"/>
  <c r="AR191" i="3"/>
  <c r="AR126" i="3"/>
  <c r="AR46" i="3"/>
  <c r="AR41" i="3"/>
  <c r="AR165" i="3"/>
  <c r="AR174" i="3"/>
  <c r="AR173" i="3"/>
  <c r="AR140" i="3"/>
  <c r="AR40" i="3"/>
  <c r="AR181" i="3"/>
  <c r="AR24" i="3"/>
  <c r="AR138" i="3"/>
  <c r="AR48" i="3"/>
  <c r="AR224" i="3"/>
  <c r="AR210" i="3"/>
  <c r="AR49" i="3"/>
  <c r="AR242" i="3"/>
  <c r="AR19" i="3"/>
  <c r="AR14" i="3"/>
  <c r="AR16" i="3"/>
  <c r="AR277" i="3"/>
  <c r="AR225" i="3"/>
  <c r="AR31" i="3"/>
  <c r="AR17" i="3"/>
  <c r="AR239" i="3"/>
  <c r="AR20" i="3"/>
  <c r="AR33" i="3"/>
  <c r="AR18" i="3"/>
  <c r="AR34" i="3"/>
  <c r="AR282" i="3"/>
  <c r="AR37" i="3"/>
  <c r="AR180" i="3"/>
  <c r="AR23" i="3"/>
  <c r="AR284" i="3"/>
  <c r="AR15" i="3"/>
  <c r="AR160" i="3"/>
  <c r="AR141" i="3"/>
  <c r="AR288" i="3"/>
  <c r="AR4" i="3"/>
  <c r="AR12" i="3"/>
  <c r="AR30" i="3"/>
  <c r="AR56" i="3"/>
  <c r="AR64" i="3"/>
  <c r="AR72" i="3"/>
  <c r="AR80" i="3"/>
  <c r="AR88" i="3"/>
  <c r="AR96" i="3"/>
  <c r="AR104" i="3"/>
  <c r="AR112" i="3"/>
  <c r="AR120" i="3"/>
  <c r="AR128" i="3"/>
  <c r="AR136" i="3"/>
  <c r="AR146" i="3"/>
  <c r="AR154" i="3"/>
  <c r="AR163" i="3"/>
  <c r="AR184" i="3"/>
  <c r="AR193" i="3"/>
  <c r="AR202" i="3"/>
  <c r="AR212" i="3"/>
  <c r="AR220" i="3"/>
  <c r="AR230" i="3"/>
  <c r="AR238" i="3"/>
  <c r="AR249" i="3"/>
  <c r="AR258" i="3"/>
  <c r="AR267" i="3"/>
  <c r="AR275" i="3"/>
  <c r="AR286" i="3"/>
  <c r="AR5" i="3"/>
  <c r="AR13" i="3"/>
  <c r="AR32" i="3"/>
  <c r="AR47" i="3"/>
  <c r="AR57" i="3"/>
  <c r="AR65" i="3"/>
  <c r="AR73" i="3"/>
  <c r="AR81" i="3"/>
  <c r="AR89" i="3"/>
  <c r="AR97" i="3"/>
  <c r="AR105" i="3"/>
  <c r="AR113" i="3"/>
  <c r="AR121" i="3"/>
  <c r="AR129" i="3"/>
  <c r="AR137" i="3"/>
  <c r="AR147" i="3"/>
  <c r="AR155" i="3"/>
  <c r="AR164" i="3"/>
  <c r="AR175" i="3"/>
  <c r="AR185" i="3"/>
  <c r="AR194" i="3"/>
  <c r="AR203" i="3"/>
  <c r="AR213" i="3"/>
  <c r="AR221" i="3"/>
  <c r="AR231" i="3"/>
  <c r="AR240" i="3"/>
  <c r="AR251" i="3"/>
  <c r="AR259" i="3"/>
  <c r="AR268" i="3"/>
  <c r="AR276" i="3"/>
  <c r="AR287" i="3"/>
  <c r="AR6" i="3"/>
  <c r="AR21" i="3"/>
  <c r="AR35" i="3"/>
  <c r="AR50" i="3"/>
  <c r="AR58" i="3"/>
  <c r="AR66" i="3"/>
  <c r="AR74" i="3"/>
  <c r="AR82" i="3"/>
  <c r="AR90" i="3"/>
  <c r="AR98" i="3"/>
  <c r="AR106" i="3"/>
  <c r="AR114" i="3"/>
  <c r="AR122" i="3"/>
  <c r="AR130" i="3"/>
  <c r="AR148" i="3"/>
  <c r="AR156" i="3"/>
  <c r="AR166" i="3"/>
  <c r="AR176" i="3"/>
  <c r="AR186" i="3"/>
  <c r="AR195" i="3"/>
  <c r="AR204" i="3"/>
  <c r="AR214" i="3"/>
  <c r="AR222" i="3"/>
  <c r="AR232" i="3"/>
  <c r="AR241" i="3"/>
  <c r="AR252" i="3"/>
  <c r="AR260" i="3"/>
  <c r="AR269" i="3"/>
  <c r="AR278" i="3"/>
  <c r="AR289" i="3"/>
  <c r="AR9" i="3"/>
  <c r="AR22" i="3"/>
  <c r="AR36" i="3"/>
  <c r="AR51" i="3"/>
  <c r="AR59" i="3"/>
  <c r="AR67" i="3"/>
  <c r="AR75" i="3"/>
  <c r="AR83" i="3"/>
  <c r="AR91" i="3"/>
  <c r="AR99" i="3"/>
  <c r="AR107" i="3"/>
  <c r="AR115" i="3"/>
  <c r="AR123" i="3"/>
  <c r="AR131" i="3"/>
  <c r="AR139" i="3"/>
  <c r="AR149" i="3"/>
  <c r="AR157" i="3"/>
  <c r="AR167" i="3"/>
  <c r="AR177" i="3"/>
  <c r="AR187" i="3"/>
  <c r="AR196" i="3"/>
  <c r="AR205" i="3"/>
  <c r="AR215" i="3"/>
  <c r="AR223" i="3"/>
  <c r="AR233" i="3"/>
  <c r="AR244" i="3"/>
  <c r="AR253" i="3"/>
  <c r="AR262" i="3"/>
  <c r="AR270" i="3"/>
  <c r="AR279" i="3"/>
  <c r="AR10" i="3"/>
  <c r="AR25" i="3"/>
  <c r="AR38" i="3"/>
  <c r="AR52" i="3"/>
  <c r="AR60" i="3"/>
  <c r="AR68" i="3"/>
  <c r="AR76" i="3"/>
  <c r="AR84" i="3"/>
  <c r="AR92" i="3"/>
  <c r="AR100" i="3"/>
  <c r="AR108" i="3"/>
  <c r="AR116" i="3"/>
  <c r="AR124" i="3"/>
  <c r="AR132" i="3"/>
  <c r="AR142" i="3"/>
  <c r="AR150" i="3"/>
  <c r="AR158" i="3"/>
  <c r="AR169" i="3"/>
  <c r="AR178" i="3"/>
  <c r="AR188" i="3"/>
  <c r="AR197" i="3"/>
  <c r="AR206" i="3"/>
  <c r="AR216" i="3"/>
  <c r="AR226" i="3"/>
  <c r="AR234" i="3"/>
  <c r="AR245" i="3"/>
  <c r="AR254" i="3"/>
  <c r="AR263" i="3"/>
  <c r="AR271" i="3"/>
  <c r="AR280" i="3"/>
  <c r="AR7" i="3"/>
  <c r="AR26" i="3"/>
  <c r="AR39" i="3"/>
  <c r="AR53" i="3"/>
  <c r="AR61" i="3"/>
  <c r="AR69" i="3"/>
  <c r="AR77" i="3"/>
  <c r="AR85" i="3"/>
  <c r="AR93" i="3"/>
  <c r="AR101" i="3"/>
  <c r="AR109" i="3"/>
  <c r="AR117" i="3"/>
  <c r="AR125" i="3"/>
  <c r="AR143" i="3"/>
  <c r="AR151" i="3"/>
  <c r="AR159" i="3"/>
  <c r="AR170" i="3"/>
  <c r="AR179" i="3"/>
  <c r="AR189" i="3"/>
  <c r="AR198" i="3"/>
  <c r="AR209" i="3"/>
  <c r="AR217" i="3"/>
  <c r="AR227" i="3"/>
  <c r="AR235" i="3"/>
  <c r="AR246" i="3"/>
  <c r="AR255" i="3"/>
  <c r="AR264" i="3"/>
  <c r="AR272" i="3"/>
  <c r="AR281" i="3"/>
  <c r="AR8" i="3"/>
  <c r="AR27" i="3"/>
  <c r="AR54" i="3"/>
  <c r="AR62" i="3"/>
  <c r="AR70" i="3"/>
  <c r="AR78" i="3"/>
  <c r="AR86" i="3"/>
  <c r="AR94" i="3"/>
  <c r="AR102" i="3"/>
  <c r="AR110" i="3"/>
  <c r="AR118" i="3"/>
  <c r="AR134" i="3"/>
  <c r="AR144" i="3"/>
  <c r="AR152" i="3"/>
  <c r="AR161" i="3"/>
  <c r="AR171" i="3"/>
  <c r="AR182" i="3"/>
  <c r="AR190" i="3"/>
  <c r="AR200" i="3"/>
  <c r="AR207" i="3"/>
  <c r="AR218" i="3"/>
  <c r="AR228" i="3"/>
  <c r="AR236" i="3"/>
  <c r="AR247" i="3"/>
  <c r="AR256" i="3"/>
  <c r="AR265" i="3"/>
  <c r="AR273" i="3"/>
  <c r="AR283" i="3"/>
  <c r="AR11" i="3"/>
  <c r="AR29" i="3"/>
  <c r="AR43" i="3"/>
  <c r="AR55" i="3"/>
  <c r="AR63" i="3"/>
  <c r="AR71" i="3"/>
  <c r="AR79" i="3"/>
  <c r="AR87" i="3"/>
  <c r="AR95" i="3"/>
  <c r="AR103" i="3"/>
  <c r="AR111" i="3"/>
  <c r="AR119" i="3"/>
  <c r="AR127" i="3"/>
  <c r="AR135" i="3"/>
  <c r="AR145" i="3"/>
  <c r="AR153" i="3"/>
  <c r="AR162" i="3"/>
  <c r="AR172" i="3"/>
  <c r="AR183" i="3"/>
  <c r="AR192" i="3"/>
  <c r="AR201" i="3"/>
  <c r="AR211" i="3"/>
  <c r="AR219" i="3"/>
  <c r="AR229" i="3"/>
  <c r="AR237" i="3"/>
  <c r="AR248" i="3"/>
  <c r="AR257" i="3"/>
  <c r="AR266" i="3"/>
  <c r="AR274" i="3"/>
  <c r="AR285" i="3"/>
  <c r="E639" i="8"/>
  <c r="D639" i="8"/>
  <c r="B639" i="8"/>
  <c r="A639" i="8"/>
  <c r="E638" i="8"/>
  <c r="D638" i="8"/>
  <c r="B638" i="8"/>
  <c r="A638" i="8"/>
  <c r="E637" i="8"/>
  <c r="D637" i="8"/>
  <c r="B637" i="8"/>
  <c r="A637" i="8"/>
  <c r="E636" i="8"/>
  <c r="D636" i="8"/>
  <c r="B636" i="8"/>
  <c r="A636" i="8"/>
  <c r="E635" i="8"/>
  <c r="D635" i="8"/>
  <c r="B635" i="8"/>
  <c r="A635" i="8"/>
  <c r="E634" i="8"/>
  <c r="D634" i="8"/>
  <c r="B634" i="8"/>
  <c r="A634" i="8"/>
  <c r="E633" i="8"/>
  <c r="D633" i="8"/>
  <c r="B633" i="8"/>
  <c r="A633" i="8"/>
  <c r="E631" i="8"/>
  <c r="D631" i="8"/>
  <c r="B631" i="8"/>
  <c r="A631" i="8"/>
  <c r="E630" i="8"/>
  <c r="D630" i="8"/>
  <c r="B630" i="8"/>
  <c r="A630" i="8"/>
  <c r="E629" i="8"/>
  <c r="D629" i="8"/>
  <c r="B629" i="8"/>
  <c r="A629" i="8"/>
  <c r="E628" i="8"/>
  <c r="D628" i="8"/>
  <c r="B628" i="8"/>
  <c r="A628" i="8"/>
  <c r="E627" i="8"/>
  <c r="D627" i="8"/>
  <c r="B627" i="8"/>
  <c r="A627" i="8"/>
  <c r="E626" i="8"/>
  <c r="D626" i="8"/>
  <c r="B626" i="8"/>
  <c r="A626" i="8"/>
  <c r="E625" i="8"/>
  <c r="D625" i="8"/>
  <c r="B625" i="8"/>
  <c r="A625" i="8"/>
  <c r="E624" i="8"/>
  <c r="D624" i="8"/>
  <c r="B624" i="8"/>
  <c r="A624" i="8"/>
  <c r="E623" i="8"/>
  <c r="D623" i="8"/>
  <c r="B623" i="8"/>
  <c r="A623" i="8"/>
  <c r="E622" i="8"/>
  <c r="D622" i="8"/>
  <c r="B622" i="8"/>
  <c r="A622" i="8"/>
  <c r="E621" i="8"/>
  <c r="D621" i="8"/>
  <c r="B621" i="8"/>
  <c r="A621" i="8"/>
  <c r="E620" i="8"/>
  <c r="D620" i="8"/>
  <c r="B620" i="8"/>
  <c r="A620" i="8"/>
  <c r="E619" i="8"/>
  <c r="D619" i="8"/>
  <c r="B619" i="8"/>
  <c r="A619" i="8"/>
  <c r="E618" i="8"/>
  <c r="D618" i="8"/>
  <c r="B618" i="8"/>
  <c r="A618" i="8"/>
  <c r="E617" i="8"/>
  <c r="D617" i="8"/>
  <c r="B617" i="8"/>
  <c r="A617" i="8"/>
  <c r="E616" i="8"/>
  <c r="D616" i="8"/>
  <c r="B616" i="8"/>
  <c r="A616" i="8"/>
  <c r="E615" i="8"/>
  <c r="D615" i="8"/>
  <c r="B615" i="8"/>
  <c r="A615" i="8"/>
  <c r="E614" i="8"/>
  <c r="D614" i="8"/>
  <c r="B614" i="8"/>
  <c r="A614" i="8"/>
  <c r="E613" i="8"/>
  <c r="D613" i="8"/>
  <c r="B613" i="8"/>
  <c r="A613" i="8"/>
  <c r="E612" i="8"/>
  <c r="D612" i="8"/>
  <c r="B612" i="8"/>
  <c r="A612" i="8"/>
  <c r="AQ294" i="3" l="1"/>
  <c r="AQ295" i="3"/>
  <c r="AQ296" i="3"/>
  <c r="AQ290" i="3"/>
  <c r="AQ291" i="3"/>
  <c r="AQ293" i="3"/>
  <c r="AQ292" i="3"/>
  <c r="AQ208" i="3"/>
  <c r="AQ199" i="3"/>
  <c r="AQ28" i="3"/>
  <c r="AQ133" i="3"/>
  <c r="AQ250" i="3"/>
  <c r="AQ41" i="3"/>
  <c r="AQ165" i="3"/>
  <c r="AQ42" i="3"/>
  <c r="AQ168" i="3"/>
  <c r="AQ243" i="3"/>
  <c r="AQ45" i="3"/>
  <c r="AQ44" i="3"/>
  <c r="AQ261" i="3"/>
  <c r="AQ191" i="3"/>
  <c r="AQ46" i="3"/>
  <c r="AQ126" i="3"/>
  <c r="AQ173" i="3"/>
  <c r="AQ174" i="3"/>
  <c r="AQ140" i="3"/>
  <c r="AQ40" i="3"/>
  <c r="AQ181" i="3"/>
  <c r="AQ24" i="3"/>
  <c r="AQ138" i="3"/>
  <c r="AQ48" i="3"/>
  <c r="AQ224" i="3"/>
  <c r="AQ210" i="3"/>
  <c r="AQ49" i="3"/>
  <c r="AQ242" i="3"/>
  <c r="AQ19" i="3"/>
  <c r="AQ14" i="3"/>
  <c r="AQ16" i="3"/>
  <c r="AQ277" i="3"/>
  <c r="AQ225" i="3"/>
  <c r="AQ31" i="3"/>
  <c r="AQ17" i="3"/>
  <c r="AQ239" i="3"/>
  <c r="AQ20" i="3"/>
  <c r="AQ33" i="3"/>
  <c r="AQ18" i="3"/>
  <c r="AQ34" i="3"/>
  <c r="AQ282" i="3"/>
  <c r="AQ37" i="3"/>
  <c r="AQ180" i="3"/>
  <c r="AQ23" i="3"/>
  <c r="AQ284" i="3"/>
  <c r="AQ15" i="3"/>
  <c r="AQ160" i="3"/>
  <c r="AQ141" i="3"/>
  <c r="AQ288" i="3"/>
  <c r="AQ7" i="3"/>
  <c r="AQ26" i="3"/>
  <c r="AQ39" i="3"/>
  <c r="AQ53" i="3"/>
  <c r="AQ61" i="3"/>
  <c r="AQ69" i="3"/>
  <c r="AQ77" i="3"/>
  <c r="AQ85" i="3"/>
  <c r="AQ93" i="3"/>
  <c r="AQ101" i="3"/>
  <c r="AQ109" i="3"/>
  <c r="AQ117" i="3"/>
  <c r="AQ125" i="3"/>
  <c r="AQ143" i="3"/>
  <c r="AQ151" i="3"/>
  <c r="AQ159" i="3"/>
  <c r="AQ170" i="3"/>
  <c r="AQ179" i="3"/>
  <c r="AQ189" i="3"/>
  <c r="AQ198" i="3"/>
  <c r="AQ209" i="3"/>
  <c r="AQ217" i="3"/>
  <c r="AQ227" i="3"/>
  <c r="AQ235" i="3"/>
  <c r="AQ246" i="3"/>
  <c r="AQ255" i="3"/>
  <c r="AQ264" i="3"/>
  <c r="AQ272" i="3"/>
  <c r="AQ281" i="3"/>
  <c r="AQ8" i="3"/>
  <c r="AQ27" i="3"/>
  <c r="AQ54" i="3"/>
  <c r="AQ62" i="3"/>
  <c r="AQ70" i="3"/>
  <c r="AQ78" i="3"/>
  <c r="AQ86" i="3"/>
  <c r="AQ94" i="3"/>
  <c r="AQ102" i="3"/>
  <c r="AQ110" i="3"/>
  <c r="AQ118" i="3"/>
  <c r="AQ134" i="3"/>
  <c r="AQ144" i="3"/>
  <c r="AQ152" i="3"/>
  <c r="AQ161" i="3"/>
  <c r="AQ171" i="3"/>
  <c r="AQ182" i="3"/>
  <c r="AQ190" i="3"/>
  <c r="AQ200" i="3"/>
  <c r="AQ207" i="3"/>
  <c r="AQ218" i="3"/>
  <c r="AQ228" i="3"/>
  <c r="AQ236" i="3"/>
  <c r="AQ247" i="3"/>
  <c r="AQ256" i="3"/>
  <c r="AQ265" i="3"/>
  <c r="AQ273" i="3"/>
  <c r="AQ283" i="3"/>
  <c r="AQ11" i="3"/>
  <c r="AQ29" i="3"/>
  <c r="AQ43" i="3"/>
  <c r="AQ55" i="3"/>
  <c r="AQ63" i="3"/>
  <c r="AQ71" i="3"/>
  <c r="AQ79" i="3"/>
  <c r="AQ87" i="3"/>
  <c r="AQ95" i="3"/>
  <c r="AQ103" i="3"/>
  <c r="AQ111" i="3"/>
  <c r="AQ119" i="3"/>
  <c r="AQ127" i="3"/>
  <c r="AQ135" i="3"/>
  <c r="AQ145" i="3"/>
  <c r="AQ153" i="3"/>
  <c r="AQ162" i="3"/>
  <c r="AQ172" i="3"/>
  <c r="AQ183" i="3"/>
  <c r="AQ192" i="3"/>
  <c r="AQ201" i="3"/>
  <c r="AQ211" i="3"/>
  <c r="AQ219" i="3"/>
  <c r="AQ229" i="3"/>
  <c r="AQ237" i="3"/>
  <c r="AQ248" i="3"/>
  <c r="AQ257" i="3"/>
  <c r="AQ266" i="3"/>
  <c r="AQ274" i="3"/>
  <c r="AQ285" i="3"/>
  <c r="AQ4" i="3"/>
  <c r="AQ12" i="3"/>
  <c r="AQ30" i="3"/>
  <c r="AQ56" i="3"/>
  <c r="AQ64" i="3"/>
  <c r="AQ72" i="3"/>
  <c r="AQ80" i="3"/>
  <c r="AQ88" i="3"/>
  <c r="AQ96" i="3"/>
  <c r="AQ104" i="3"/>
  <c r="AQ112" i="3"/>
  <c r="AQ120" i="3"/>
  <c r="AQ128" i="3"/>
  <c r="AQ136" i="3"/>
  <c r="AQ146" i="3"/>
  <c r="AQ154" i="3"/>
  <c r="AQ163" i="3"/>
  <c r="AQ184" i="3"/>
  <c r="AQ193" i="3"/>
  <c r="AQ202" i="3"/>
  <c r="AQ212" i="3"/>
  <c r="AQ220" i="3"/>
  <c r="AQ230" i="3"/>
  <c r="AQ238" i="3"/>
  <c r="AQ249" i="3"/>
  <c r="AQ258" i="3"/>
  <c r="AQ267" i="3"/>
  <c r="AQ275" i="3"/>
  <c r="AQ286" i="3"/>
  <c r="AQ5" i="3"/>
  <c r="AQ13" i="3"/>
  <c r="AQ32" i="3"/>
  <c r="AQ47" i="3"/>
  <c r="AQ57" i="3"/>
  <c r="AQ65" i="3"/>
  <c r="AQ73" i="3"/>
  <c r="AQ81" i="3"/>
  <c r="AQ89" i="3"/>
  <c r="AQ97" i="3"/>
  <c r="AQ105" i="3"/>
  <c r="AQ113" i="3"/>
  <c r="AQ121" i="3"/>
  <c r="AQ129" i="3"/>
  <c r="AQ137" i="3"/>
  <c r="AQ147" i="3"/>
  <c r="AQ155" i="3"/>
  <c r="AQ164" i="3"/>
  <c r="AQ175" i="3"/>
  <c r="AQ185" i="3"/>
  <c r="AQ194" i="3"/>
  <c r="AQ203" i="3"/>
  <c r="AQ213" i="3"/>
  <c r="AQ221" i="3"/>
  <c r="AQ231" i="3"/>
  <c r="AQ240" i="3"/>
  <c r="AQ251" i="3"/>
  <c r="AQ259" i="3"/>
  <c r="AQ268" i="3"/>
  <c r="AQ276" i="3"/>
  <c r="AQ287" i="3"/>
  <c r="AQ6" i="3"/>
  <c r="AQ21" i="3"/>
  <c r="AQ35" i="3"/>
  <c r="AQ50" i="3"/>
  <c r="AQ58" i="3"/>
  <c r="AQ66" i="3"/>
  <c r="AQ74" i="3"/>
  <c r="AQ82" i="3"/>
  <c r="AQ90" i="3"/>
  <c r="AQ98" i="3"/>
  <c r="AQ106" i="3"/>
  <c r="AQ114" i="3"/>
  <c r="AQ122" i="3"/>
  <c r="AQ130" i="3"/>
  <c r="AQ148" i="3"/>
  <c r="AQ156" i="3"/>
  <c r="AQ166" i="3"/>
  <c r="AQ176" i="3"/>
  <c r="AQ186" i="3"/>
  <c r="AQ195" i="3"/>
  <c r="AQ204" i="3"/>
  <c r="AQ214" i="3"/>
  <c r="AQ222" i="3"/>
  <c r="AQ232" i="3"/>
  <c r="AQ241" i="3"/>
  <c r="AQ252" i="3"/>
  <c r="AQ260" i="3"/>
  <c r="AQ269" i="3"/>
  <c r="AQ278" i="3"/>
  <c r="AQ289" i="3"/>
  <c r="AQ9" i="3"/>
  <c r="AQ22" i="3"/>
  <c r="AQ36" i="3"/>
  <c r="AQ51" i="3"/>
  <c r="AQ59" i="3"/>
  <c r="AQ67" i="3"/>
  <c r="AQ75" i="3"/>
  <c r="AQ83" i="3"/>
  <c r="AQ91" i="3"/>
  <c r="AQ99" i="3"/>
  <c r="AQ107" i="3"/>
  <c r="AQ115" i="3"/>
  <c r="AQ123" i="3"/>
  <c r="AQ131" i="3"/>
  <c r="AQ139" i="3"/>
  <c r="AQ149" i="3"/>
  <c r="AQ157" i="3"/>
  <c r="AQ167" i="3"/>
  <c r="AQ177" i="3"/>
  <c r="AQ187" i="3"/>
  <c r="AQ196" i="3"/>
  <c r="AQ205" i="3"/>
  <c r="AQ215" i="3"/>
  <c r="AQ223" i="3"/>
  <c r="AQ233" i="3"/>
  <c r="AQ244" i="3"/>
  <c r="AQ253" i="3"/>
  <c r="AQ262" i="3"/>
  <c r="AQ270" i="3"/>
  <c r="AQ279" i="3"/>
  <c r="AQ10" i="3"/>
  <c r="AQ25" i="3"/>
  <c r="AQ38" i="3"/>
  <c r="AQ52" i="3"/>
  <c r="AQ60" i="3"/>
  <c r="AQ68" i="3"/>
  <c r="AQ76" i="3"/>
  <c r="AQ84" i="3"/>
  <c r="AQ92" i="3"/>
  <c r="AQ100" i="3"/>
  <c r="AQ108" i="3"/>
  <c r="AQ116" i="3"/>
  <c r="AQ124" i="3"/>
  <c r="AQ132" i="3"/>
  <c r="AQ142" i="3"/>
  <c r="AQ150" i="3"/>
  <c r="AQ158" i="3"/>
  <c r="AQ169" i="3"/>
  <c r="AQ178" i="3"/>
  <c r="AQ188" i="3"/>
  <c r="AQ197" i="3"/>
  <c r="AQ206" i="3"/>
  <c r="AQ216" i="3"/>
  <c r="AQ226" i="3"/>
  <c r="AQ234" i="3"/>
  <c r="AQ245" i="3"/>
  <c r="AQ254" i="3"/>
  <c r="AQ263" i="3"/>
  <c r="AQ271" i="3"/>
  <c r="AQ280" i="3"/>
  <c r="E606" i="8"/>
  <c r="D606" i="8"/>
  <c r="B606" i="8"/>
  <c r="A606" i="8"/>
  <c r="E605" i="8"/>
  <c r="D605" i="8"/>
  <c r="B605" i="8"/>
  <c r="A605" i="8"/>
  <c r="E604" i="8"/>
  <c r="D604" i="8"/>
  <c r="B604" i="8"/>
  <c r="A604" i="8"/>
  <c r="E603" i="8"/>
  <c r="D603" i="8"/>
  <c r="B603" i="8"/>
  <c r="A603" i="8"/>
  <c r="E602" i="8"/>
  <c r="D602" i="8"/>
  <c r="B602" i="8"/>
  <c r="A602" i="8"/>
  <c r="E601" i="8"/>
  <c r="D601" i="8"/>
  <c r="B601" i="8"/>
  <c r="A601" i="8"/>
  <c r="E600" i="8"/>
  <c r="D600" i="8"/>
  <c r="B600" i="8"/>
  <c r="A600" i="8"/>
  <c r="E599" i="8"/>
  <c r="D599" i="8"/>
  <c r="B599" i="8"/>
  <c r="A599" i="8"/>
  <c r="E598" i="8"/>
  <c r="D598" i="8"/>
  <c r="B598" i="8"/>
  <c r="A598" i="8"/>
  <c r="E597" i="8"/>
  <c r="D597" i="8"/>
  <c r="B597" i="8"/>
  <c r="A597" i="8"/>
  <c r="E596" i="8"/>
  <c r="D596" i="8"/>
  <c r="B596" i="8"/>
  <c r="A596" i="8"/>
  <c r="E595" i="8"/>
  <c r="D595" i="8"/>
  <c r="B595" i="8"/>
  <c r="A595" i="8"/>
  <c r="E594" i="8"/>
  <c r="D594" i="8"/>
  <c r="B594" i="8"/>
  <c r="A594" i="8"/>
  <c r="E593" i="8"/>
  <c r="D593" i="8"/>
  <c r="B593" i="8"/>
  <c r="A593" i="8"/>
  <c r="E592" i="8"/>
  <c r="D592" i="8"/>
  <c r="B592" i="8"/>
  <c r="A592" i="8"/>
  <c r="E591" i="8"/>
  <c r="D591" i="8"/>
  <c r="B591" i="8"/>
  <c r="A591" i="8"/>
  <c r="E590" i="8"/>
  <c r="D590" i="8"/>
  <c r="B590" i="8"/>
  <c r="A590" i="8"/>
  <c r="E589" i="8"/>
  <c r="D589" i="8"/>
  <c r="B589" i="8"/>
  <c r="A589" i="8"/>
  <c r="E588" i="8"/>
  <c r="D588" i="8"/>
  <c r="B588" i="8"/>
  <c r="A588" i="8"/>
  <c r="E587" i="8"/>
  <c r="D587" i="8"/>
  <c r="B587" i="8"/>
  <c r="A587" i="8"/>
  <c r="E586" i="8"/>
  <c r="D586" i="8"/>
  <c r="B586" i="8"/>
  <c r="A586" i="8"/>
  <c r="E585" i="8"/>
  <c r="D585" i="8"/>
  <c r="B585" i="8"/>
  <c r="A585" i="8"/>
  <c r="E584" i="8"/>
  <c r="D584" i="8"/>
  <c r="B584" i="8"/>
  <c r="A584" i="8"/>
  <c r="E583" i="8"/>
  <c r="D583" i="8"/>
  <c r="B583" i="8"/>
  <c r="A583" i="8"/>
  <c r="E582" i="8"/>
  <c r="D582" i="8"/>
  <c r="B582" i="8"/>
  <c r="A582" i="8"/>
  <c r="E581" i="8"/>
  <c r="D581" i="8"/>
  <c r="B581" i="8"/>
  <c r="A581" i="8"/>
  <c r="E580" i="8"/>
  <c r="D580" i="8"/>
  <c r="B580" i="8"/>
  <c r="A580" i="8"/>
  <c r="E577" i="8"/>
  <c r="D577" i="8"/>
  <c r="B577" i="8"/>
  <c r="A577" i="8"/>
  <c r="E576" i="8"/>
  <c r="D576" i="8"/>
  <c r="B576" i="8"/>
  <c r="A576" i="8"/>
  <c r="E575" i="8"/>
  <c r="D575" i="8"/>
  <c r="B575" i="8"/>
  <c r="A575" i="8"/>
  <c r="E574" i="8"/>
  <c r="D574" i="8"/>
  <c r="B574" i="8"/>
  <c r="A574" i="8"/>
  <c r="E573" i="8"/>
  <c r="D573" i="8"/>
  <c r="B573" i="8"/>
  <c r="A573" i="8"/>
  <c r="E572" i="8"/>
  <c r="D572" i="8"/>
  <c r="B572" i="8"/>
  <c r="A572" i="8"/>
  <c r="E571" i="8"/>
  <c r="D571" i="8"/>
  <c r="B571" i="8"/>
  <c r="A571" i="8"/>
  <c r="E570" i="8"/>
  <c r="D570" i="8"/>
  <c r="B570" i="8"/>
  <c r="A570" i="8"/>
  <c r="A546" i="8"/>
  <c r="A547" i="8"/>
  <c r="A548" i="8"/>
  <c r="A549" i="8"/>
  <c r="A550" i="8"/>
  <c r="A551" i="8"/>
  <c r="A552" i="8"/>
  <c r="A553" i="8"/>
  <c r="A554" i="8"/>
  <c r="A555" i="8"/>
  <c r="A556" i="8"/>
  <c r="A557" i="8"/>
  <c r="A558" i="8"/>
  <c r="A559" i="8"/>
  <c r="A560" i="8"/>
  <c r="A561" i="8"/>
  <c r="A562" i="8"/>
  <c r="A563" i="8"/>
  <c r="A564" i="8"/>
  <c r="A565" i="8"/>
  <c r="B546" i="8"/>
  <c r="B547" i="8"/>
  <c r="B548" i="8"/>
  <c r="B549" i="8"/>
  <c r="B550" i="8"/>
  <c r="B551" i="8"/>
  <c r="B552" i="8"/>
  <c r="B553" i="8"/>
  <c r="B554" i="8"/>
  <c r="B555" i="8"/>
  <c r="B556" i="8"/>
  <c r="B557" i="8"/>
  <c r="B558" i="8"/>
  <c r="B559" i="8"/>
  <c r="B560" i="8"/>
  <c r="B561" i="8"/>
  <c r="B562" i="8"/>
  <c r="B563" i="8"/>
  <c r="B564" i="8"/>
  <c r="B565" i="8"/>
  <c r="D546" i="8"/>
  <c r="D547" i="8"/>
  <c r="D548" i="8"/>
  <c r="D549" i="8"/>
  <c r="D550" i="8"/>
  <c r="D551" i="8"/>
  <c r="D552" i="8"/>
  <c r="D553" i="8"/>
  <c r="D554" i="8"/>
  <c r="D555" i="8"/>
  <c r="D556" i="8"/>
  <c r="D557" i="8"/>
  <c r="D558" i="8"/>
  <c r="D559" i="8"/>
  <c r="D560" i="8"/>
  <c r="D561" i="8"/>
  <c r="D562" i="8"/>
  <c r="D563" i="8"/>
  <c r="D564" i="8"/>
  <c r="D565" i="8"/>
  <c r="E546" i="8"/>
  <c r="E547" i="8"/>
  <c r="E548" i="8"/>
  <c r="E549" i="8"/>
  <c r="E550" i="8"/>
  <c r="E551" i="8"/>
  <c r="E552" i="8"/>
  <c r="E553" i="8"/>
  <c r="E554" i="8"/>
  <c r="E555" i="8"/>
  <c r="E556" i="8"/>
  <c r="E557" i="8"/>
  <c r="E558" i="8"/>
  <c r="E559" i="8"/>
  <c r="E560" i="8"/>
  <c r="E561" i="8"/>
  <c r="E562" i="8"/>
  <c r="E563" i="8"/>
  <c r="E564" i="8"/>
  <c r="E565" i="8"/>
  <c r="AO292" i="3" l="1"/>
  <c r="AO293" i="3"/>
  <c r="AO294" i="3"/>
  <c r="AO295" i="3"/>
  <c r="AO296" i="3"/>
  <c r="AO290" i="3"/>
  <c r="AO291" i="3"/>
  <c r="AP293" i="3"/>
  <c r="AP294" i="3"/>
  <c r="AP295" i="3"/>
  <c r="AP296" i="3"/>
  <c r="AP292" i="3"/>
  <c r="AP290" i="3"/>
  <c r="AP291" i="3"/>
  <c r="AO208" i="3"/>
  <c r="AP208" i="3"/>
  <c r="AO199" i="3"/>
  <c r="AP199" i="3"/>
  <c r="AO28" i="3"/>
  <c r="AO45" i="3"/>
  <c r="AO42" i="3"/>
  <c r="AO168" i="3"/>
  <c r="AO46" i="3"/>
  <c r="AO243" i="3"/>
  <c r="AO44" i="3"/>
  <c r="AO261" i="3"/>
  <c r="AO191" i="3"/>
  <c r="AO126" i="3"/>
  <c r="AO41" i="3"/>
  <c r="AO165" i="3"/>
  <c r="AO133" i="3"/>
  <c r="AO250" i="3"/>
  <c r="AP28" i="3"/>
  <c r="AP42" i="3"/>
  <c r="AP168" i="3"/>
  <c r="AP45" i="3"/>
  <c r="AP243" i="3"/>
  <c r="AP46" i="3"/>
  <c r="AP44" i="3"/>
  <c r="AP261" i="3"/>
  <c r="AP191" i="3"/>
  <c r="AP126" i="3"/>
  <c r="AP41" i="3"/>
  <c r="AP165" i="3"/>
  <c r="AP133" i="3"/>
  <c r="AP250" i="3"/>
  <c r="AO174" i="3"/>
  <c r="AO173" i="3"/>
  <c r="AP173" i="3"/>
  <c r="AP174" i="3"/>
  <c r="AO140" i="3"/>
  <c r="AO40" i="3"/>
  <c r="AO181" i="3"/>
  <c r="AO24" i="3"/>
  <c r="AO138" i="3"/>
  <c r="AO48" i="3"/>
  <c r="AO224" i="3"/>
  <c r="AO210" i="3"/>
  <c r="AO49" i="3"/>
  <c r="AO242" i="3"/>
  <c r="AO19" i="3"/>
  <c r="AO14" i="3"/>
  <c r="AO16" i="3"/>
  <c r="AO277" i="3"/>
  <c r="AO225" i="3"/>
  <c r="AO31" i="3"/>
  <c r="AO17" i="3"/>
  <c r="AO239" i="3"/>
  <c r="AO20" i="3"/>
  <c r="AO33" i="3"/>
  <c r="AO18" i="3"/>
  <c r="AO34" i="3"/>
  <c r="AO282" i="3"/>
  <c r="AO37" i="3"/>
  <c r="AO180" i="3"/>
  <c r="AO23" i="3"/>
  <c r="AO284" i="3"/>
  <c r="AO15" i="3"/>
  <c r="AO160" i="3"/>
  <c r="AO141" i="3"/>
  <c r="AO288" i="3"/>
  <c r="AO11" i="3"/>
  <c r="AO29" i="3"/>
  <c r="AO43" i="3"/>
  <c r="AO55" i="3"/>
  <c r="AO63" i="3"/>
  <c r="AO71" i="3"/>
  <c r="AO79" i="3"/>
  <c r="AO87" i="3"/>
  <c r="AO95" i="3"/>
  <c r="AO103" i="3"/>
  <c r="AO111" i="3"/>
  <c r="AO119" i="3"/>
  <c r="AO127" i="3"/>
  <c r="AO135" i="3"/>
  <c r="AO145" i="3"/>
  <c r="AO153" i="3"/>
  <c r="AO162" i="3"/>
  <c r="AO172" i="3"/>
  <c r="AO183" i="3"/>
  <c r="AO192" i="3"/>
  <c r="AO201" i="3"/>
  <c r="AO211" i="3"/>
  <c r="AO219" i="3"/>
  <c r="AO229" i="3"/>
  <c r="AO237" i="3"/>
  <c r="AO248" i="3"/>
  <c r="AO257" i="3"/>
  <c r="AO266" i="3"/>
  <c r="AO274" i="3"/>
  <c r="AO285" i="3"/>
  <c r="AO4" i="3"/>
  <c r="AO12" i="3"/>
  <c r="AO30" i="3"/>
  <c r="AO56" i="3"/>
  <c r="AO64" i="3"/>
  <c r="AO72" i="3"/>
  <c r="AO80" i="3"/>
  <c r="AO88" i="3"/>
  <c r="AO96" i="3"/>
  <c r="AO104" i="3"/>
  <c r="AO112" i="3"/>
  <c r="AO120" i="3"/>
  <c r="AO128" i="3"/>
  <c r="AO136" i="3"/>
  <c r="AO146" i="3"/>
  <c r="AO154" i="3"/>
  <c r="AO163" i="3"/>
  <c r="AO184" i="3"/>
  <c r="AO193" i="3"/>
  <c r="AO202" i="3"/>
  <c r="AO212" i="3"/>
  <c r="AO220" i="3"/>
  <c r="AO230" i="3"/>
  <c r="AO238" i="3"/>
  <c r="AO249" i="3"/>
  <c r="AO258" i="3"/>
  <c r="AO267" i="3"/>
  <c r="AO275" i="3"/>
  <c r="AO286" i="3"/>
  <c r="AO5" i="3"/>
  <c r="AO13" i="3"/>
  <c r="AO32" i="3"/>
  <c r="AO47" i="3"/>
  <c r="AO57" i="3"/>
  <c r="AO65" i="3"/>
  <c r="AO73" i="3"/>
  <c r="AO81" i="3"/>
  <c r="AO89" i="3"/>
  <c r="AO97" i="3"/>
  <c r="AO105" i="3"/>
  <c r="AO113" i="3"/>
  <c r="AO121" i="3"/>
  <c r="AO129" i="3"/>
  <c r="AO137" i="3"/>
  <c r="AO147" i="3"/>
  <c r="AO155" i="3"/>
  <c r="AO164" i="3"/>
  <c r="AO175" i="3"/>
  <c r="AO185" i="3"/>
  <c r="AO194" i="3"/>
  <c r="AO203" i="3"/>
  <c r="AO213" i="3"/>
  <c r="AO221" i="3"/>
  <c r="AO231" i="3"/>
  <c r="AO240" i="3"/>
  <c r="AO251" i="3"/>
  <c r="AO259" i="3"/>
  <c r="AO268" i="3"/>
  <c r="AO276" i="3"/>
  <c r="AO287" i="3"/>
  <c r="AO6" i="3"/>
  <c r="AO21" i="3"/>
  <c r="AO35" i="3"/>
  <c r="AO50" i="3"/>
  <c r="AO58" i="3"/>
  <c r="AO66" i="3"/>
  <c r="AO74" i="3"/>
  <c r="AO82" i="3"/>
  <c r="AO90" i="3"/>
  <c r="AO98" i="3"/>
  <c r="AO106" i="3"/>
  <c r="AO114" i="3"/>
  <c r="AO122" i="3"/>
  <c r="AO130" i="3"/>
  <c r="AO148" i="3"/>
  <c r="AO156" i="3"/>
  <c r="AO166" i="3"/>
  <c r="AO176" i="3"/>
  <c r="AO186" i="3"/>
  <c r="AO195" i="3"/>
  <c r="AO204" i="3"/>
  <c r="AO214" i="3"/>
  <c r="AO222" i="3"/>
  <c r="AO232" i="3"/>
  <c r="AO241" i="3"/>
  <c r="AO252" i="3"/>
  <c r="AO260" i="3"/>
  <c r="AO269" i="3"/>
  <c r="AO278" i="3"/>
  <c r="AO289" i="3"/>
  <c r="AO9" i="3"/>
  <c r="AO22" i="3"/>
  <c r="AO36" i="3"/>
  <c r="AO51" i="3"/>
  <c r="AO59" i="3"/>
  <c r="AO67" i="3"/>
  <c r="AO75" i="3"/>
  <c r="AO83" i="3"/>
  <c r="AO91" i="3"/>
  <c r="AO99" i="3"/>
  <c r="AO107" i="3"/>
  <c r="AO115" i="3"/>
  <c r="AO123" i="3"/>
  <c r="AO131" i="3"/>
  <c r="AO139" i="3"/>
  <c r="AO149" i="3"/>
  <c r="AO157" i="3"/>
  <c r="AO167" i="3"/>
  <c r="AO177" i="3"/>
  <c r="AO187" i="3"/>
  <c r="AO196" i="3"/>
  <c r="AO205" i="3"/>
  <c r="AO215" i="3"/>
  <c r="AO223" i="3"/>
  <c r="AO233" i="3"/>
  <c r="AO244" i="3"/>
  <c r="AO253" i="3"/>
  <c r="AO262" i="3"/>
  <c r="AO270" i="3"/>
  <c r="AO279" i="3"/>
  <c r="AO10" i="3"/>
  <c r="AO25" i="3"/>
  <c r="AO38" i="3"/>
  <c r="AO52" i="3"/>
  <c r="AO60" i="3"/>
  <c r="AO68" i="3"/>
  <c r="AO76" i="3"/>
  <c r="AO84" i="3"/>
  <c r="AO92" i="3"/>
  <c r="AO100" i="3"/>
  <c r="AO108" i="3"/>
  <c r="AO116" i="3"/>
  <c r="AO124" i="3"/>
  <c r="AO132" i="3"/>
  <c r="AO142" i="3"/>
  <c r="AO150" i="3"/>
  <c r="AO158" i="3"/>
  <c r="AO169" i="3"/>
  <c r="AO178" i="3"/>
  <c r="AO188" i="3"/>
  <c r="AO197" i="3"/>
  <c r="AO206" i="3"/>
  <c r="AO216" i="3"/>
  <c r="AO226" i="3"/>
  <c r="AO234" i="3"/>
  <c r="AO245" i="3"/>
  <c r="AO254" i="3"/>
  <c r="AO263" i="3"/>
  <c r="AO271" i="3"/>
  <c r="AO280" i="3"/>
  <c r="AO7" i="3"/>
  <c r="AO26" i="3"/>
  <c r="AO39" i="3"/>
  <c r="AO53" i="3"/>
  <c r="AO61" i="3"/>
  <c r="AO69" i="3"/>
  <c r="AO77" i="3"/>
  <c r="AO85" i="3"/>
  <c r="AO93" i="3"/>
  <c r="AO101" i="3"/>
  <c r="AO109" i="3"/>
  <c r="AO117" i="3"/>
  <c r="AO125" i="3"/>
  <c r="AO143" i="3"/>
  <c r="AO151" i="3"/>
  <c r="AO159" i="3"/>
  <c r="AO170" i="3"/>
  <c r="AO179" i="3"/>
  <c r="AO189" i="3"/>
  <c r="AO198" i="3"/>
  <c r="AO209" i="3"/>
  <c r="AO217" i="3"/>
  <c r="AO227" i="3"/>
  <c r="AO235" i="3"/>
  <c r="AO246" i="3"/>
  <c r="AO255" i="3"/>
  <c r="AO264" i="3"/>
  <c r="AO272" i="3"/>
  <c r="AO281" i="3"/>
  <c r="AO8" i="3"/>
  <c r="AO27" i="3"/>
  <c r="AO54" i="3"/>
  <c r="AO62" i="3"/>
  <c r="AO70" i="3"/>
  <c r="AO78" i="3"/>
  <c r="AO86" i="3"/>
  <c r="AO94" i="3"/>
  <c r="AO102" i="3"/>
  <c r="AO110" i="3"/>
  <c r="AO118" i="3"/>
  <c r="AO134" i="3"/>
  <c r="AO144" i="3"/>
  <c r="AO152" i="3"/>
  <c r="AO161" i="3"/>
  <c r="AO171" i="3"/>
  <c r="AO182" i="3"/>
  <c r="AO190" i="3"/>
  <c r="AO200" i="3"/>
  <c r="AO207" i="3"/>
  <c r="AO218" i="3"/>
  <c r="AO228" i="3"/>
  <c r="AO236" i="3"/>
  <c r="AO247" i="3"/>
  <c r="AO256" i="3"/>
  <c r="AO265" i="3"/>
  <c r="AO273" i="3"/>
  <c r="AO283" i="3"/>
  <c r="AP140" i="3"/>
  <c r="AP138" i="3"/>
  <c r="AP210" i="3"/>
  <c r="AP14" i="3"/>
  <c r="AP31" i="3"/>
  <c r="AP33" i="3"/>
  <c r="AP37" i="3"/>
  <c r="AP15" i="3"/>
  <c r="AP40" i="3"/>
  <c r="AP181" i="3"/>
  <c r="AP24" i="3"/>
  <c r="AP48" i="3"/>
  <c r="AP224" i="3"/>
  <c r="AP49" i="3"/>
  <c r="AP242" i="3"/>
  <c r="AP19" i="3"/>
  <c r="AP16" i="3"/>
  <c r="AP277" i="3"/>
  <c r="AP225" i="3"/>
  <c r="AP17" i="3"/>
  <c r="AP239" i="3"/>
  <c r="AP20" i="3"/>
  <c r="AP18" i="3"/>
  <c r="AP34" i="3"/>
  <c r="AP282" i="3"/>
  <c r="AP180" i="3"/>
  <c r="AP23" i="3"/>
  <c r="AP284" i="3"/>
  <c r="AP160" i="3"/>
  <c r="AP141" i="3"/>
  <c r="AP288" i="3"/>
  <c r="AP6" i="3"/>
  <c r="AP21" i="3"/>
  <c r="AP35" i="3"/>
  <c r="AP50" i="3"/>
  <c r="AP58" i="3"/>
  <c r="AP66" i="3"/>
  <c r="AP74" i="3"/>
  <c r="AP82" i="3"/>
  <c r="AP90" i="3"/>
  <c r="AP98" i="3"/>
  <c r="AP106" i="3"/>
  <c r="AP114" i="3"/>
  <c r="AP122" i="3"/>
  <c r="AP130" i="3"/>
  <c r="AP148" i="3"/>
  <c r="AP156" i="3"/>
  <c r="AP166" i="3"/>
  <c r="AP176" i="3"/>
  <c r="AP186" i="3"/>
  <c r="AP195" i="3"/>
  <c r="AP204" i="3"/>
  <c r="AP214" i="3"/>
  <c r="AP222" i="3"/>
  <c r="AP232" i="3"/>
  <c r="AP241" i="3"/>
  <c r="AP252" i="3"/>
  <c r="AP260" i="3"/>
  <c r="AP269" i="3"/>
  <c r="AP278" i="3"/>
  <c r="AP289" i="3"/>
  <c r="AP9" i="3"/>
  <c r="AP22" i="3"/>
  <c r="AP36" i="3"/>
  <c r="AP51" i="3"/>
  <c r="AP59" i="3"/>
  <c r="AP67" i="3"/>
  <c r="AP75" i="3"/>
  <c r="AP83" i="3"/>
  <c r="AP91" i="3"/>
  <c r="AP99" i="3"/>
  <c r="AP107" i="3"/>
  <c r="AP115" i="3"/>
  <c r="AP123" i="3"/>
  <c r="AP131" i="3"/>
  <c r="AP139" i="3"/>
  <c r="AP149" i="3"/>
  <c r="AP157" i="3"/>
  <c r="AP167" i="3"/>
  <c r="AP177" i="3"/>
  <c r="AP187" i="3"/>
  <c r="AP196" i="3"/>
  <c r="AP205" i="3"/>
  <c r="AP215" i="3"/>
  <c r="AP223" i="3"/>
  <c r="AP233" i="3"/>
  <c r="AP244" i="3"/>
  <c r="AP253" i="3"/>
  <c r="AP262" i="3"/>
  <c r="AP270" i="3"/>
  <c r="AP279" i="3"/>
  <c r="AP10" i="3"/>
  <c r="AP25" i="3"/>
  <c r="AP38" i="3"/>
  <c r="AP52" i="3"/>
  <c r="AP60" i="3"/>
  <c r="AP68" i="3"/>
  <c r="AP76" i="3"/>
  <c r="AP84" i="3"/>
  <c r="AP92" i="3"/>
  <c r="AP100" i="3"/>
  <c r="AP108" i="3"/>
  <c r="AP116" i="3"/>
  <c r="AP124" i="3"/>
  <c r="AP132" i="3"/>
  <c r="AP142" i="3"/>
  <c r="AP150" i="3"/>
  <c r="AP158" i="3"/>
  <c r="AP169" i="3"/>
  <c r="AP178" i="3"/>
  <c r="AP188" i="3"/>
  <c r="AP197" i="3"/>
  <c r="AP206" i="3"/>
  <c r="AP216" i="3"/>
  <c r="AP226" i="3"/>
  <c r="AP234" i="3"/>
  <c r="AP245" i="3"/>
  <c r="AP254" i="3"/>
  <c r="AP263" i="3"/>
  <c r="AP271" i="3"/>
  <c r="AP280" i="3"/>
  <c r="AP7" i="3"/>
  <c r="AP26" i="3"/>
  <c r="AP39" i="3"/>
  <c r="AP53" i="3"/>
  <c r="AP61" i="3"/>
  <c r="AP69" i="3"/>
  <c r="AP77" i="3"/>
  <c r="AP85" i="3"/>
  <c r="AP93" i="3"/>
  <c r="AP101" i="3"/>
  <c r="AP109" i="3"/>
  <c r="AP117" i="3"/>
  <c r="AP125" i="3"/>
  <c r="AP143" i="3"/>
  <c r="AP151" i="3"/>
  <c r="AP159" i="3"/>
  <c r="AP170" i="3"/>
  <c r="AP179" i="3"/>
  <c r="AP189" i="3"/>
  <c r="AP198" i="3"/>
  <c r="AP209" i="3"/>
  <c r="AP217" i="3"/>
  <c r="AP227" i="3"/>
  <c r="AP235" i="3"/>
  <c r="AP246" i="3"/>
  <c r="AP255" i="3"/>
  <c r="AP264" i="3"/>
  <c r="AP272" i="3"/>
  <c r="AP281" i="3"/>
  <c r="AP8" i="3"/>
  <c r="AP27" i="3"/>
  <c r="AP54" i="3"/>
  <c r="AP62" i="3"/>
  <c r="AP70" i="3"/>
  <c r="AP78" i="3"/>
  <c r="AP86" i="3"/>
  <c r="AP94" i="3"/>
  <c r="AP102" i="3"/>
  <c r="AP110" i="3"/>
  <c r="AP118" i="3"/>
  <c r="AP134" i="3"/>
  <c r="AP144" i="3"/>
  <c r="AP152" i="3"/>
  <c r="AP161" i="3"/>
  <c r="AP171" i="3"/>
  <c r="AP182" i="3"/>
  <c r="AP190" i="3"/>
  <c r="AP200" i="3"/>
  <c r="AP207" i="3"/>
  <c r="AP218" i="3"/>
  <c r="AP228" i="3"/>
  <c r="AP236" i="3"/>
  <c r="AP247" i="3"/>
  <c r="AP256" i="3"/>
  <c r="AP265" i="3"/>
  <c r="AP273" i="3"/>
  <c r="AP283" i="3"/>
  <c r="AP11" i="3"/>
  <c r="AP29" i="3"/>
  <c r="AP43" i="3"/>
  <c r="AP55" i="3"/>
  <c r="AP63" i="3"/>
  <c r="AP71" i="3"/>
  <c r="AP79" i="3"/>
  <c r="AP87" i="3"/>
  <c r="AP95" i="3"/>
  <c r="AP103" i="3"/>
  <c r="AP111" i="3"/>
  <c r="AP119" i="3"/>
  <c r="AP127" i="3"/>
  <c r="AP135" i="3"/>
  <c r="AP145" i="3"/>
  <c r="AP153" i="3"/>
  <c r="AP162" i="3"/>
  <c r="AP172" i="3"/>
  <c r="AP183" i="3"/>
  <c r="AP192" i="3"/>
  <c r="AP201" i="3"/>
  <c r="AP211" i="3"/>
  <c r="AP219" i="3"/>
  <c r="AP229" i="3"/>
  <c r="AP237" i="3"/>
  <c r="AP248" i="3"/>
  <c r="AP257" i="3"/>
  <c r="AP266" i="3"/>
  <c r="AP274" i="3"/>
  <c r="AP285" i="3"/>
  <c r="AP4" i="3"/>
  <c r="AP12" i="3"/>
  <c r="AP30" i="3"/>
  <c r="AP56" i="3"/>
  <c r="AP64" i="3"/>
  <c r="AP72" i="3"/>
  <c r="AP80" i="3"/>
  <c r="AP88" i="3"/>
  <c r="AP96" i="3"/>
  <c r="AP104" i="3"/>
  <c r="AP112" i="3"/>
  <c r="AP120" i="3"/>
  <c r="AP128" i="3"/>
  <c r="AP136" i="3"/>
  <c r="AP146" i="3"/>
  <c r="AP154" i="3"/>
  <c r="AP163" i="3"/>
  <c r="AP184" i="3"/>
  <c r="AP193" i="3"/>
  <c r="AP202" i="3"/>
  <c r="AP212" i="3"/>
  <c r="AP220" i="3"/>
  <c r="AP230" i="3"/>
  <c r="AP238" i="3"/>
  <c r="AP249" i="3"/>
  <c r="AP258" i="3"/>
  <c r="AP267" i="3"/>
  <c r="AP275" i="3"/>
  <c r="AP286" i="3"/>
  <c r="AP5" i="3"/>
  <c r="AP13" i="3"/>
  <c r="AP32" i="3"/>
  <c r="AP47" i="3"/>
  <c r="AP57" i="3"/>
  <c r="AP65" i="3"/>
  <c r="AP73" i="3"/>
  <c r="AP81" i="3"/>
  <c r="AP89" i="3"/>
  <c r="AP97" i="3"/>
  <c r="AP105" i="3"/>
  <c r="AP113" i="3"/>
  <c r="AP121" i="3"/>
  <c r="AP129" i="3"/>
  <c r="AP137" i="3"/>
  <c r="AP147" i="3"/>
  <c r="AP155" i="3"/>
  <c r="AP164" i="3"/>
  <c r="AP175" i="3"/>
  <c r="AP185" i="3"/>
  <c r="AP194" i="3"/>
  <c r="AP203" i="3"/>
  <c r="AP213" i="3"/>
  <c r="AP221" i="3"/>
  <c r="AP231" i="3"/>
  <c r="AP240" i="3"/>
  <c r="AP251" i="3"/>
  <c r="AP259" i="3"/>
  <c r="AP268" i="3"/>
  <c r="AP276" i="3"/>
  <c r="AP287" i="3"/>
  <c r="A545" i="8"/>
  <c r="B545" i="8"/>
  <c r="D545" i="8"/>
  <c r="E545" i="8"/>
  <c r="E544" i="8" l="1"/>
  <c r="D544" i="8"/>
  <c r="B544" i="8"/>
  <c r="A544" i="8"/>
  <c r="E543" i="8"/>
  <c r="D543" i="8"/>
  <c r="B543" i="8"/>
  <c r="A543" i="8"/>
  <c r="E542" i="8"/>
  <c r="D542" i="8"/>
  <c r="B542" i="8"/>
  <c r="A542" i="8"/>
  <c r="E541" i="8"/>
  <c r="D541" i="8"/>
  <c r="B541" i="8"/>
  <c r="A541" i="8"/>
  <c r="E540" i="8"/>
  <c r="D540" i="8"/>
  <c r="B540" i="8"/>
  <c r="A540" i="8"/>
  <c r="E539" i="8"/>
  <c r="D539" i="8"/>
  <c r="B539" i="8"/>
  <c r="A539" i="8"/>
  <c r="AN208" i="3" l="1"/>
  <c r="AN291" i="3"/>
  <c r="AN292" i="3"/>
  <c r="AN293" i="3"/>
  <c r="AN294" i="3"/>
  <c r="AN295" i="3"/>
  <c r="AN296" i="3"/>
  <c r="AN290" i="3"/>
  <c r="AN199" i="3"/>
  <c r="AN28" i="3"/>
  <c r="AN243" i="3"/>
  <c r="AN44" i="3"/>
  <c r="AN261" i="3"/>
  <c r="AN191" i="3"/>
  <c r="AN45" i="3"/>
  <c r="AN126" i="3"/>
  <c r="AN41" i="3"/>
  <c r="AN165" i="3"/>
  <c r="AN133" i="3"/>
  <c r="AN250" i="3"/>
  <c r="AN46" i="3"/>
  <c r="AN42" i="3"/>
  <c r="AN168" i="3"/>
  <c r="AN173" i="3"/>
  <c r="AN174" i="3"/>
  <c r="AN140" i="3"/>
  <c r="AN40" i="3"/>
  <c r="AN181" i="3"/>
  <c r="AN24" i="3"/>
  <c r="AN138" i="3"/>
  <c r="AN48" i="3"/>
  <c r="AN224" i="3"/>
  <c r="AN210" i="3"/>
  <c r="AN49" i="3"/>
  <c r="AN242" i="3"/>
  <c r="AN19" i="3"/>
  <c r="AN14" i="3"/>
  <c r="AN16" i="3"/>
  <c r="AN277" i="3"/>
  <c r="AN225" i="3"/>
  <c r="AN31" i="3"/>
  <c r="AN17" i="3"/>
  <c r="AN239" i="3"/>
  <c r="AN20" i="3"/>
  <c r="AN33" i="3"/>
  <c r="AN18" i="3"/>
  <c r="AN34" i="3"/>
  <c r="AN282" i="3"/>
  <c r="AN37" i="3"/>
  <c r="AN180" i="3"/>
  <c r="AN23" i="3"/>
  <c r="AN284" i="3"/>
  <c r="AN15" i="3"/>
  <c r="AN160" i="3"/>
  <c r="AN141" i="3"/>
  <c r="AN288" i="3"/>
  <c r="AN10" i="3"/>
  <c r="AN25" i="3"/>
  <c r="AN38" i="3"/>
  <c r="AN52" i="3"/>
  <c r="AN60" i="3"/>
  <c r="AN68" i="3"/>
  <c r="AN76" i="3"/>
  <c r="AN84" i="3"/>
  <c r="AN92" i="3"/>
  <c r="AN100" i="3"/>
  <c r="AN108" i="3"/>
  <c r="AN116" i="3"/>
  <c r="AN124" i="3"/>
  <c r="AN132" i="3"/>
  <c r="AN142" i="3"/>
  <c r="AN150" i="3"/>
  <c r="AN158" i="3"/>
  <c r="AN169" i="3"/>
  <c r="AN178" i="3"/>
  <c r="AN188" i="3"/>
  <c r="AN197" i="3"/>
  <c r="AN206" i="3"/>
  <c r="AN216" i="3"/>
  <c r="AN226" i="3"/>
  <c r="AN234" i="3"/>
  <c r="AN245" i="3"/>
  <c r="AN254" i="3"/>
  <c r="AN263" i="3"/>
  <c r="AN271" i="3"/>
  <c r="AN280" i="3"/>
  <c r="AN78" i="3"/>
  <c r="AN7" i="3"/>
  <c r="AN26" i="3"/>
  <c r="AN39" i="3"/>
  <c r="AN53" i="3"/>
  <c r="AN61" i="3"/>
  <c r="AN69" i="3"/>
  <c r="AN77" i="3"/>
  <c r="AN85" i="3"/>
  <c r="AN93" i="3"/>
  <c r="AN101" i="3"/>
  <c r="AN109" i="3"/>
  <c r="AN117" i="3"/>
  <c r="AN125" i="3"/>
  <c r="AN143" i="3"/>
  <c r="AN151" i="3"/>
  <c r="AN159" i="3"/>
  <c r="AN170" i="3"/>
  <c r="AN179" i="3"/>
  <c r="AN189" i="3"/>
  <c r="AN198" i="3"/>
  <c r="AN209" i="3"/>
  <c r="AN217" i="3"/>
  <c r="AN227" i="3"/>
  <c r="AN235" i="3"/>
  <c r="AN246" i="3"/>
  <c r="AN255" i="3"/>
  <c r="AN264" i="3"/>
  <c r="AN272" i="3"/>
  <c r="AN281" i="3"/>
  <c r="AN86" i="3"/>
  <c r="AN8" i="3"/>
  <c r="AN27" i="3"/>
  <c r="AN54" i="3"/>
  <c r="AN62" i="3"/>
  <c r="AN70" i="3"/>
  <c r="AN102" i="3"/>
  <c r="AN110" i="3"/>
  <c r="AN11" i="3"/>
  <c r="AN29" i="3"/>
  <c r="AN43" i="3"/>
  <c r="AN55" i="3"/>
  <c r="AN63" i="3"/>
  <c r="AN71" i="3"/>
  <c r="AN79" i="3"/>
  <c r="AN87" i="3"/>
  <c r="AN95" i="3"/>
  <c r="AN103" i="3"/>
  <c r="AN111" i="3"/>
  <c r="AN119" i="3"/>
  <c r="AN127" i="3"/>
  <c r="AN135" i="3"/>
  <c r="AN145" i="3"/>
  <c r="AN153" i="3"/>
  <c r="AN162" i="3"/>
  <c r="AN172" i="3"/>
  <c r="AN183" i="3"/>
  <c r="AN192" i="3"/>
  <c r="AN201" i="3"/>
  <c r="AN211" i="3"/>
  <c r="AN219" i="3"/>
  <c r="AN229" i="3"/>
  <c r="AN237" i="3"/>
  <c r="AN248" i="3"/>
  <c r="AN257" i="3"/>
  <c r="AN266" i="3"/>
  <c r="AN274" i="3"/>
  <c r="AN285" i="3"/>
  <c r="AN74" i="3"/>
  <c r="AN4" i="3"/>
  <c r="AN12" i="3"/>
  <c r="AN30" i="3"/>
  <c r="AN56" i="3"/>
  <c r="AN64" i="3"/>
  <c r="AN72" i="3"/>
  <c r="AN80" i="3"/>
  <c r="AN88" i="3"/>
  <c r="AN96" i="3"/>
  <c r="AN104" i="3"/>
  <c r="AN112" i="3"/>
  <c r="AN120" i="3"/>
  <c r="AN128" i="3"/>
  <c r="AN136" i="3"/>
  <c r="AN146" i="3"/>
  <c r="AN154" i="3"/>
  <c r="AN163" i="3"/>
  <c r="AN184" i="3"/>
  <c r="AN193" i="3"/>
  <c r="AN202" i="3"/>
  <c r="AN212" i="3"/>
  <c r="AN220" i="3"/>
  <c r="AN230" i="3"/>
  <c r="AN238" i="3"/>
  <c r="AN249" i="3"/>
  <c r="AN258" i="3"/>
  <c r="AN267" i="3"/>
  <c r="AN275" i="3"/>
  <c r="AN286" i="3"/>
  <c r="AN82" i="3"/>
  <c r="AN5" i="3"/>
  <c r="AN13" i="3"/>
  <c r="AN32" i="3"/>
  <c r="AN47" i="3"/>
  <c r="AN57" i="3"/>
  <c r="AN65" i="3"/>
  <c r="AN73" i="3"/>
  <c r="AN81" i="3"/>
  <c r="AN89" i="3"/>
  <c r="AN97" i="3"/>
  <c r="AN105" i="3"/>
  <c r="AN113" i="3"/>
  <c r="AN121" i="3"/>
  <c r="AN129" i="3"/>
  <c r="AN137" i="3"/>
  <c r="AN147" i="3"/>
  <c r="AN155" i="3"/>
  <c r="AN164" i="3"/>
  <c r="AN175" i="3"/>
  <c r="AN185" i="3"/>
  <c r="AN194" i="3"/>
  <c r="AN203" i="3"/>
  <c r="AN213" i="3"/>
  <c r="AN221" i="3"/>
  <c r="AN231" i="3"/>
  <c r="AN240" i="3"/>
  <c r="AN251" i="3"/>
  <c r="AN259" i="3"/>
  <c r="AN268" i="3"/>
  <c r="AN276" i="3"/>
  <c r="AN287" i="3"/>
  <c r="AN98" i="3"/>
  <c r="AN6" i="3"/>
  <c r="AN21" i="3"/>
  <c r="AN35" i="3"/>
  <c r="AN50" i="3"/>
  <c r="AN58" i="3"/>
  <c r="AN66" i="3"/>
  <c r="AN90" i="3"/>
  <c r="AN106" i="3"/>
  <c r="AN9" i="3"/>
  <c r="AN22" i="3"/>
  <c r="AN36" i="3"/>
  <c r="AN51" i="3"/>
  <c r="AN59" i="3"/>
  <c r="AN67" i="3"/>
  <c r="AN75" i="3"/>
  <c r="AN83" i="3"/>
  <c r="AN91" i="3"/>
  <c r="AN99" i="3"/>
  <c r="AN107" i="3"/>
  <c r="AN115" i="3"/>
  <c r="AN123" i="3"/>
  <c r="AN131" i="3"/>
  <c r="AN139" i="3"/>
  <c r="AN149" i="3"/>
  <c r="AN157" i="3"/>
  <c r="AN167" i="3"/>
  <c r="AN177" i="3"/>
  <c r="AN187" i="3"/>
  <c r="AN196" i="3"/>
  <c r="AN205" i="3"/>
  <c r="AN215" i="3"/>
  <c r="AN223" i="3"/>
  <c r="AN233" i="3"/>
  <c r="AN244" i="3"/>
  <c r="AN253" i="3"/>
  <c r="AN262" i="3"/>
  <c r="AN270" i="3"/>
  <c r="AN279" i="3"/>
  <c r="AN94" i="3"/>
  <c r="AN118" i="3"/>
  <c r="AN114" i="3"/>
  <c r="AN152" i="3"/>
  <c r="AN190" i="3"/>
  <c r="AN228" i="3"/>
  <c r="AN265" i="3"/>
  <c r="AN241" i="3"/>
  <c r="AN252" i="3"/>
  <c r="AN122" i="3"/>
  <c r="AN156" i="3"/>
  <c r="AN195" i="3"/>
  <c r="AN232" i="3"/>
  <c r="AN269" i="3"/>
  <c r="AN283" i="3"/>
  <c r="AN161" i="3"/>
  <c r="AN200" i="3"/>
  <c r="AN236" i="3"/>
  <c r="AN273" i="3"/>
  <c r="AN289" i="3"/>
  <c r="AN130" i="3"/>
  <c r="AN166" i="3"/>
  <c r="AN204" i="3"/>
  <c r="AN278" i="3"/>
  <c r="AN134" i="3"/>
  <c r="AN171" i="3"/>
  <c r="AN207" i="3"/>
  <c r="AN247" i="3"/>
  <c r="AN218" i="3"/>
  <c r="AN176" i="3"/>
  <c r="AN214" i="3"/>
  <c r="AN144" i="3"/>
  <c r="AN182" i="3"/>
  <c r="AN256" i="3"/>
  <c r="AN148" i="3"/>
  <c r="AN186" i="3"/>
  <c r="AN222" i="3"/>
  <c r="AN260" i="3"/>
  <c r="E536" i="8"/>
  <c r="D536" i="8"/>
  <c r="B536" i="8"/>
  <c r="A536" i="8"/>
  <c r="E535" i="8"/>
  <c r="D535" i="8"/>
  <c r="B535" i="8"/>
  <c r="A535" i="8"/>
  <c r="E534" i="8"/>
  <c r="D534" i="8"/>
  <c r="B534" i="8"/>
  <c r="A534" i="8"/>
  <c r="E533" i="8"/>
  <c r="D533" i="8"/>
  <c r="B533" i="8"/>
  <c r="A533" i="8"/>
  <c r="E532" i="8"/>
  <c r="D532" i="8"/>
  <c r="B532" i="8"/>
  <c r="A532" i="8"/>
  <c r="E531" i="8"/>
  <c r="D531" i="8"/>
  <c r="B531" i="8"/>
  <c r="A531" i="8"/>
  <c r="E530" i="8"/>
  <c r="D530" i="8"/>
  <c r="B530" i="8"/>
  <c r="A530" i="8"/>
  <c r="E529" i="8"/>
  <c r="D529" i="8"/>
  <c r="B529" i="8"/>
  <c r="A529" i="8"/>
  <c r="E528" i="8"/>
  <c r="D528" i="8"/>
  <c r="B528" i="8"/>
  <c r="A528" i="8"/>
  <c r="E527" i="8"/>
  <c r="D527" i="8"/>
  <c r="B527" i="8"/>
  <c r="A527" i="8"/>
  <c r="E526" i="8"/>
  <c r="D526" i="8"/>
  <c r="B526" i="8"/>
  <c r="A526" i="8"/>
  <c r="E525" i="8"/>
  <c r="D525" i="8"/>
  <c r="B525" i="8"/>
  <c r="A525" i="8"/>
  <c r="E524" i="8"/>
  <c r="D524" i="8"/>
  <c r="B524" i="8"/>
  <c r="A524" i="8"/>
  <c r="E523" i="8"/>
  <c r="D523" i="8"/>
  <c r="B523" i="8"/>
  <c r="A523" i="8"/>
  <c r="E522" i="8"/>
  <c r="D522" i="8"/>
  <c r="B522" i="8"/>
  <c r="A522" i="8"/>
  <c r="E521" i="8"/>
  <c r="D521" i="8"/>
  <c r="B521" i="8"/>
  <c r="A521" i="8"/>
  <c r="E520" i="8"/>
  <c r="D520" i="8"/>
  <c r="B520" i="8"/>
  <c r="A520" i="8"/>
  <c r="E519" i="8"/>
  <c r="D519" i="8"/>
  <c r="B519" i="8"/>
  <c r="A519" i="8"/>
  <c r="AL290" i="3" l="1"/>
  <c r="AL291" i="3"/>
  <c r="AL292" i="3"/>
  <c r="AL293" i="3"/>
  <c r="AL294" i="3"/>
  <c r="AL295" i="3"/>
  <c r="AL296" i="3"/>
  <c r="AL208" i="3"/>
  <c r="AL199" i="3"/>
  <c r="AL28" i="3"/>
  <c r="AL243" i="3"/>
  <c r="AL44" i="3"/>
  <c r="AL261" i="3"/>
  <c r="AL191" i="3"/>
  <c r="AL126" i="3"/>
  <c r="AL41" i="3"/>
  <c r="AL165" i="3"/>
  <c r="AL42" i="3"/>
  <c r="AL168" i="3"/>
  <c r="AL45" i="3"/>
  <c r="AL133" i="3"/>
  <c r="AL250" i="3"/>
  <c r="AL46" i="3"/>
  <c r="AL173" i="3"/>
  <c r="AL174" i="3"/>
  <c r="AL140" i="3"/>
  <c r="AL40" i="3"/>
  <c r="AL181" i="3"/>
  <c r="AL24" i="3"/>
  <c r="AL138" i="3"/>
  <c r="AL48" i="3"/>
  <c r="AL224" i="3"/>
  <c r="AL210" i="3"/>
  <c r="AL49" i="3"/>
  <c r="AL242" i="3"/>
  <c r="AL19" i="3"/>
  <c r="AL14" i="3"/>
  <c r="AL16" i="3"/>
  <c r="AL277" i="3"/>
  <c r="AL225" i="3"/>
  <c r="AL31" i="3"/>
  <c r="AL17" i="3"/>
  <c r="AL239" i="3"/>
  <c r="AL20" i="3"/>
  <c r="AL33" i="3"/>
  <c r="AL18" i="3"/>
  <c r="AL34" i="3"/>
  <c r="AL282" i="3"/>
  <c r="AL37" i="3"/>
  <c r="AL180" i="3"/>
  <c r="AL23" i="3"/>
  <c r="AL284" i="3"/>
  <c r="AL15" i="3"/>
  <c r="AL160" i="3"/>
  <c r="AL141" i="3"/>
  <c r="AL288" i="3"/>
  <c r="AL4" i="3"/>
  <c r="AL12" i="3"/>
  <c r="AL30" i="3"/>
  <c r="AL56" i="3"/>
  <c r="AL64" i="3"/>
  <c r="AL72" i="3"/>
  <c r="AL80" i="3"/>
  <c r="AL88" i="3"/>
  <c r="AL96" i="3"/>
  <c r="AL104" i="3"/>
  <c r="AL112" i="3"/>
  <c r="AL120" i="3"/>
  <c r="AL128" i="3"/>
  <c r="AL136" i="3"/>
  <c r="AL146" i="3"/>
  <c r="AL154" i="3"/>
  <c r="AL163" i="3"/>
  <c r="AL184" i="3"/>
  <c r="AL193" i="3"/>
  <c r="AL202" i="3"/>
  <c r="AL212" i="3"/>
  <c r="AL220" i="3"/>
  <c r="AL230" i="3"/>
  <c r="AL238" i="3"/>
  <c r="AL249" i="3"/>
  <c r="AL258" i="3"/>
  <c r="AL267" i="3"/>
  <c r="AL275" i="3"/>
  <c r="AL286" i="3"/>
  <c r="AL85" i="3"/>
  <c r="AL109" i="3"/>
  <c r="AL117" i="3"/>
  <c r="AL143" i="3"/>
  <c r="AL170" i="3"/>
  <c r="AL198" i="3"/>
  <c r="AL217" i="3"/>
  <c r="AL255" i="3"/>
  <c r="AL27" i="3"/>
  <c r="AL78" i="3"/>
  <c r="AL102" i="3"/>
  <c r="AL110" i="3"/>
  <c r="AL144" i="3"/>
  <c r="AL161" i="3"/>
  <c r="AL200" i="3"/>
  <c r="AL228" i="3"/>
  <c r="AL273" i="3"/>
  <c r="AL5" i="3"/>
  <c r="AL13" i="3"/>
  <c r="AL32" i="3"/>
  <c r="AL47" i="3"/>
  <c r="AL57" i="3"/>
  <c r="AL65" i="3"/>
  <c r="AL73" i="3"/>
  <c r="AL81" i="3"/>
  <c r="AL89" i="3"/>
  <c r="AL97" i="3"/>
  <c r="AL105" i="3"/>
  <c r="AL113" i="3"/>
  <c r="AL121" i="3"/>
  <c r="AL129" i="3"/>
  <c r="AL137" i="3"/>
  <c r="AL147" i="3"/>
  <c r="AL155" i="3"/>
  <c r="AL164" i="3"/>
  <c r="AL175" i="3"/>
  <c r="AL185" i="3"/>
  <c r="AL194" i="3"/>
  <c r="AL203" i="3"/>
  <c r="AL213" i="3"/>
  <c r="AL221" i="3"/>
  <c r="AL231" i="3"/>
  <c r="AL240" i="3"/>
  <c r="AL251" i="3"/>
  <c r="AL259" i="3"/>
  <c r="AL268" i="3"/>
  <c r="AL276" i="3"/>
  <c r="AL287" i="3"/>
  <c r="AL93" i="3"/>
  <c r="AL272" i="3"/>
  <c r="AL171" i="3"/>
  <c r="AL218" i="3"/>
  <c r="AL247" i="3"/>
  <c r="AL283" i="3"/>
  <c r="AL6" i="3"/>
  <c r="AL21" i="3"/>
  <c r="AL35" i="3"/>
  <c r="AL50" i="3"/>
  <c r="AL58" i="3"/>
  <c r="AL66" i="3"/>
  <c r="AL74" i="3"/>
  <c r="AL82" i="3"/>
  <c r="AL90" i="3"/>
  <c r="AL98" i="3"/>
  <c r="AL106" i="3"/>
  <c r="AL114" i="3"/>
  <c r="AL122" i="3"/>
  <c r="AL130" i="3"/>
  <c r="AL148" i="3"/>
  <c r="AL156" i="3"/>
  <c r="AL166" i="3"/>
  <c r="AL176" i="3"/>
  <c r="AL186" i="3"/>
  <c r="AL195" i="3"/>
  <c r="AL204" i="3"/>
  <c r="AL214" i="3"/>
  <c r="AL222" i="3"/>
  <c r="AL232" i="3"/>
  <c r="AL241" i="3"/>
  <c r="AL252" i="3"/>
  <c r="AL260" i="3"/>
  <c r="AL269" i="3"/>
  <c r="AL278" i="3"/>
  <c r="AL289" i="3"/>
  <c r="AL77" i="3"/>
  <c r="AL101" i="3"/>
  <c r="AL125" i="3"/>
  <c r="AL151" i="3"/>
  <c r="AL179" i="3"/>
  <c r="AL209" i="3"/>
  <c r="AL246" i="3"/>
  <c r="AL281" i="3"/>
  <c r="AL8" i="3"/>
  <c r="AL86" i="3"/>
  <c r="AL94" i="3"/>
  <c r="AL118" i="3"/>
  <c r="AL134" i="3"/>
  <c r="AL152" i="3"/>
  <c r="AL182" i="3"/>
  <c r="AL207" i="3"/>
  <c r="AL236" i="3"/>
  <c r="AL9" i="3"/>
  <c r="AL22" i="3"/>
  <c r="AL36" i="3"/>
  <c r="AL51" i="3"/>
  <c r="AL59" i="3"/>
  <c r="AL67" i="3"/>
  <c r="AL75" i="3"/>
  <c r="AL83" i="3"/>
  <c r="AL91" i="3"/>
  <c r="AL99" i="3"/>
  <c r="AL107" i="3"/>
  <c r="AL115" i="3"/>
  <c r="AL123" i="3"/>
  <c r="AL131" i="3"/>
  <c r="AL139" i="3"/>
  <c r="AL149" i="3"/>
  <c r="AL157" i="3"/>
  <c r="AL167" i="3"/>
  <c r="AL177" i="3"/>
  <c r="AL187" i="3"/>
  <c r="AL196" i="3"/>
  <c r="AL205" i="3"/>
  <c r="AL215" i="3"/>
  <c r="AL223" i="3"/>
  <c r="AL233" i="3"/>
  <c r="AL244" i="3"/>
  <c r="AL253" i="3"/>
  <c r="AL262" i="3"/>
  <c r="AL270" i="3"/>
  <c r="AL279" i="3"/>
  <c r="AL69" i="3"/>
  <c r="AL62" i="3"/>
  <c r="AL190" i="3"/>
  <c r="AL256" i="3"/>
  <c r="AL10" i="3"/>
  <c r="AL25" i="3"/>
  <c r="AL38" i="3"/>
  <c r="AL52" i="3"/>
  <c r="AL60" i="3"/>
  <c r="AL68" i="3"/>
  <c r="AL76" i="3"/>
  <c r="AL84" i="3"/>
  <c r="AL92" i="3"/>
  <c r="AL100" i="3"/>
  <c r="AL108" i="3"/>
  <c r="AL116" i="3"/>
  <c r="AL124" i="3"/>
  <c r="AL132" i="3"/>
  <c r="AL142" i="3"/>
  <c r="AL150" i="3"/>
  <c r="AL158" i="3"/>
  <c r="AL169" i="3"/>
  <c r="AL178" i="3"/>
  <c r="AL188" i="3"/>
  <c r="AL197" i="3"/>
  <c r="AL206" i="3"/>
  <c r="AL216" i="3"/>
  <c r="AL226" i="3"/>
  <c r="AL234" i="3"/>
  <c r="AL245" i="3"/>
  <c r="AL254" i="3"/>
  <c r="AL263" i="3"/>
  <c r="AL271" i="3"/>
  <c r="AL280" i="3"/>
  <c r="AL61" i="3"/>
  <c r="AL189" i="3"/>
  <c r="AL235" i="3"/>
  <c r="AL264" i="3"/>
  <c r="AL54" i="3"/>
  <c r="AL265" i="3"/>
  <c r="AL7" i="3"/>
  <c r="AL26" i="3"/>
  <c r="AL39" i="3"/>
  <c r="AL53" i="3"/>
  <c r="AL227" i="3"/>
  <c r="AL70" i="3"/>
  <c r="AL11" i="3"/>
  <c r="AL29" i="3"/>
  <c r="AL43" i="3"/>
  <c r="AL55" i="3"/>
  <c r="AL63" i="3"/>
  <c r="AL71" i="3"/>
  <c r="AL79" i="3"/>
  <c r="AL87" i="3"/>
  <c r="AL95" i="3"/>
  <c r="AL103" i="3"/>
  <c r="AL111" i="3"/>
  <c r="AL119" i="3"/>
  <c r="AL127" i="3"/>
  <c r="AL135" i="3"/>
  <c r="AL145" i="3"/>
  <c r="AL153" i="3"/>
  <c r="AL162" i="3"/>
  <c r="AL172" i="3"/>
  <c r="AL183" i="3"/>
  <c r="AL192" i="3"/>
  <c r="AL201" i="3"/>
  <c r="AL211" i="3"/>
  <c r="AL219" i="3"/>
  <c r="AL229" i="3"/>
  <c r="AL237" i="3"/>
  <c r="AL248" i="3"/>
  <c r="AL257" i="3"/>
  <c r="AL266" i="3"/>
  <c r="AL274" i="3"/>
  <c r="AL285" i="3"/>
  <c r="AL159" i="3"/>
  <c r="A497" i="8"/>
  <c r="A498" i="8"/>
  <c r="B497" i="8"/>
  <c r="B498" i="8"/>
  <c r="D497" i="8"/>
  <c r="D498" i="8"/>
  <c r="E497" i="8"/>
  <c r="E498" i="8"/>
  <c r="E516" i="8" l="1"/>
  <c r="D516" i="8"/>
  <c r="B516" i="8"/>
  <c r="A516" i="8"/>
  <c r="E515" i="8"/>
  <c r="D515" i="8"/>
  <c r="B515" i="8"/>
  <c r="A515" i="8"/>
  <c r="E514" i="8"/>
  <c r="D514" i="8"/>
  <c r="B514" i="8"/>
  <c r="A514" i="8"/>
  <c r="E513" i="8"/>
  <c r="D513" i="8"/>
  <c r="B513" i="8"/>
  <c r="A513" i="8"/>
  <c r="E512" i="8"/>
  <c r="D512" i="8"/>
  <c r="B512" i="8"/>
  <c r="A512" i="8"/>
  <c r="E511" i="8"/>
  <c r="D511" i="8"/>
  <c r="B511" i="8"/>
  <c r="A511" i="8"/>
  <c r="E510" i="8"/>
  <c r="D510" i="8"/>
  <c r="B510" i="8"/>
  <c r="A510" i="8"/>
  <c r="E509" i="8"/>
  <c r="D509" i="8"/>
  <c r="B509" i="8"/>
  <c r="A509" i="8"/>
  <c r="E508" i="8"/>
  <c r="D508" i="8"/>
  <c r="B508" i="8"/>
  <c r="A508" i="8"/>
  <c r="E507" i="8"/>
  <c r="D507" i="8"/>
  <c r="B507" i="8"/>
  <c r="A507" i="8"/>
  <c r="E506" i="8"/>
  <c r="D506" i="8"/>
  <c r="B506" i="8"/>
  <c r="A506" i="8"/>
  <c r="E505" i="8"/>
  <c r="D505" i="8"/>
  <c r="B505" i="8"/>
  <c r="A505" i="8"/>
  <c r="E504" i="8"/>
  <c r="D504" i="8"/>
  <c r="B504" i="8"/>
  <c r="A504" i="8"/>
  <c r="E503" i="8"/>
  <c r="D503" i="8"/>
  <c r="B503" i="8"/>
  <c r="A503" i="8"/>
  <c r="E502" i="8"/>
  <c r="D502" i="8"/>
  <c r="B502" i="8"/>
  <c r="A502" i="8"/>
  <c r="E501" i="8"/>
  <c r="D501" i="8"/>
  <c r="B501" i="8"/>
  <c r="A501" i="8"/>
  <c r="AK208" i="3" l="1"/>
  <c r="AK290" i="3"/>
  <c r="AK291" i="3"/>
  <c r="AK292" i="3"/>
  <c r="AK293" i="3"/>
  <c r="AK296" i="3"/>
  <c r="AK294" i="3"/>
  <c r="AK295" i="3"/>
  <c r="AK199" i="3"/>
  <c r="AK28" i="3"/>
  <c r="AK126" i="3"/>
  <c r="AK41" i="3"/>
  <c r="AK165" i="3"/>
  <c r="AK45" i="3"/>
  <c r="AK46" i="3"/>
  <c r="AK133" i="3"/>
  <c r="AK250" i="3"/>
  <c r="AK42" i="3"/>
  <c r="AK168" i="3"/>
  <c r="AK243" i="3"/>
  <c r="AK44" i="3"/>
  <c r="AK261" i="3"/>
  <c r="AK191" i="3"/>
  <c r="AK173" i="3"/>
  <c r="AK174" i="3"/>
  <c r="AK140" i="3"/>
  <c r="AK40" i="3"/>
  <c r="AK181" i="3"/>
  <c r="AK24" i="3"/>
  <c r="AK138" i="3"/>
  <c r="AK48" i="3"/>
  <c r="AK224" i="3"/>
  <c r="AK210" i="3"/>
  <c r="AK49" i="3"/>
  <c r="AK242" i="3"/>
  <c r="AK19" i="3"/>
  <c r="AK14" i="3"/>
  <c r="AK16" i="3"/>
  <c r="AK277" i="3"/>
  <c r="AK225" i="3"/>
  <c r="AK31" i="3"/>
  <c r="AK17" i="3"/>
  <c r="AK239" i="3"/>
  <c r="AK20" i="3"/>
  <c r="AK33" i="3"/>
  <c r="AK18" i="3"/>
  <c r="AK34" i="3"/>
  <c r="AK282" i="3"/>
  <c r="AK37" i="3"/>
  <c r="AK180" i="3"/>
  <c r="AK23" i="3"/>
  <c r="AK284" i="3"/>
  <c r="AK15" i="3"/>
  <c r="AK160" i="3"/>
  <c r="AK141" i="3"/>
  <c r="AK288" i="3"/>
  <c r="AK9" i="3"/>
  <c r="AK22" i="3"/>
  <c r="AK36" i="3"/>
  <c r="AK51" i="3"/>
  <c r="AK59" i="3"/>
  <c r="AK67" i="3"/>
  <c r="AK75" i="3"/>
  <c r="AK83" i="3"/>
  <c r="AK91" i="3"/>
  <c r="AK99" i="3"/>
  <c r="AK107" i="3"/>
  <c r="AK115" i="3"/>
  <c r="AK123" i="3"/>
  <c r="AK131" i="3"/>
  <c r="AK139" i="3"/>
  <c r="AK149" i="3"/>
  <c r="AK157" i="3"/>
  <c r="AK167" i="3"/>
  <c r="AK177" i="3"/>
  <c r="AK187" i="3"/>
  <c r="AK196" i="3"/>
  <c r="AK205" i="3"/>
  <c r="AK215" i="3"/>
  <c r="AK223" i="3"/>
  <c r="AK233" i="3"/>
  <c r="AK244" i="3"/>
  <c r="AK253" i="3"/>
  <c r="AK262" i="3"/>
  <c r="AK270" i="3"/>
  <c r="AK279" i="3"/>
  <c r="AK10" i="3"/>
  <c r="AK25" i="3"/>
  <c r="AK38" i="3"/>
  <c r="AK52" i="3"/>
  <c r="AK60" i="3"/>
  <c r="AK68" i="3"/>
  <c r="AK76" i="3"/>
  <c r="AK84" i="3"/>
  <c r="AK92" i="3"/>
  <c r="AK7" i="3"/>
  <c r="AK26" i="3"/>
  <c r="AK39" i="3"/>
  <c r="AK53" i="3"/>
  <c r="AK61" i="3"/>
  <c r="AK69" i="3"/>
  <c r="AK77" i="3"/>
  <c r="AK85" i="3"/>
  <c r="AK93" i="3"/>
  <c r="AK101" i="3"/>
  <c r="AK109" i="3"/>
  <c r="AK117" i="3"/>
  <c r="AK125" i="3"/>
  <c r="AK143" i="3"/>
  <c r="AK151" i="3"/>
  <c r="AK159" i="3"/>
  <c r="AK170" i="3"/>
  <c r="AK179" i="3"/>
  <c r="AK189" i="3"/>
  <c r="AK198" i="3"/>
  <c r="AK209" i="3"/>
  <c r="AK217" i="3"/>
  <c r="AK227" i="3"/>
  <c r="AK235" i="3"/>
  <c r="AK246" i="3"/>
  <c r="AK255" i="3"/>
  <c r="AK264" i="3"/>
  <c r="AK272" i="3"/>
  <c r="AK281" i="3"/>
  <c r="AK8" i="3"/>
  <c r="AK27" i="3"/>
  <c r="AK54" i="3"/>
  <c r="AK62" i="3"/>
  <c r="AK70" i="3"/>
  <c r="AK78" i="3"/>
  <c r="AK86" i="3"/>
  <c r="AK94" i="3"/>
  <c r="AK102" i="3"/>
  <c r="AK110" i="3"/>
  <c r="AK118" i="3"/>
  <c r="AK134" i="3"/>
  <c r="AK144" i="3"/>
  <c r="AK152" i="3"/>
  <c r="AK161" i="3"/>
  <c r="AK171" i="3"/>
  <c r="AK182" i="3"/>
  <c r="AK190" i="3"/>
  <c r="AK200" i="3"/>
  <c r="AK207" i="3"/>
  <c r="AK218" i="3"/>
  <c r="AK228" i="3"/>
  <c r="AK236" i="3"/>
  <c r="AK247" i="3"/>
  <c r="AK256" i="3"/>
  <c r="AK265" i="3"/>
  <c r="AK273" i="3"/>
  <c r="AK283" i="3"/>
  <c r="AK11" i="3"/>
  <c r="AK29" i="3"/>
  <c r="AK43" i="3"/>
  <c r="AK55" i="3"/>
  <c r="AK63" i="3"/>
  <c r="AK71" i="3"/>
  <c r="AK79" i="3"/>
  <c r="AK87" i="3"/>
  <c r="AK95" i="3"/>
  <c r="AK103" i="3"/>
  <c r="AK111" i="3"/>
  <c r="AK119" i="3"/>
  <c r="AK127" i="3"/>
  <c r="AK135" i="3"/>
  <c r="AK145" i="3"/>
  <c r="AK153" i="3"/>
  <c r="AK162" i="3"/>
  <c r="AK172" i="3"/>
  <c r="AK183" i="3"/>
  <c r="AK192" i="3"/>
  <c r="AK201" i="3"/>
  <c r="AK211" i="3"/>
  <c r="AK219" i="3"/>
  <c r="AK229" i="3"/>
  <c r="AK237" i="3"/>
  <c r="AK248" i="3"/>
  <c r="AK257" i="3"/>
  <c r="AK266" i="3"/>
  <c r="AK274" i="3"/>
  <c r="AK285" i="3"/>
  <c r="AK4" i="3"/>
  <c r="AK12" i="3"/>
  <c r="AK30" i="3"/>
  <c r="AK56" i="3"/>
  <c r="AK64" i="3"/>
  <c r="AK72" i="3"/>
  <c r="AK80" i="3"/>
  <c r="AK88" i="3"/>
  <c r="AK96" i="3"/>
  <c r="AK104" i="3"/>
  <c r="AK112" i="3"/>
  <c r="AK120" i="3"/>
  <c r="AK128" i="3"/>
  <c r="AK136" i="3"/>
  <c r="AK146" i="3"/>
  <c r="AK154" i="3"/>
  <c r="AK163" i="3"/>
  <c r="AK184" i="3"/>
  <c r="AK193" i="3"/>
  <c r="AK202" i="3"/>
  <c r="AK212" i="3"/>
  <c r="AK220" i="3"/>
  <c r="AK230" i="3"/>
  <c r="AK238" i="3"/>
  <c r="AK249" i="3"/>
  <c r="AK258" i="3"/>
  <c r="AK267" i="3"/>
  <c r="AK275" i="3"/>
  <c r="AK286" i="3"/>
  <c r="AK5" i="3"/>
  <c r="AK13" i="3"/>
  <c r="AK32" i="3"/>
  <c r="AK47" i="3"/>
  <c r="AK57" i="3"/>
  <c r="AK65" i="3"/>
  <c r="AK73" i="3"/>
  <c r="AK81" i="3"/>
  <c r="AK89" i="3"/>
  <c r="AK97" i="3"/>
  <c r="AK105" i="3"/>
  <c r="AK113" i="3"/>
  <c r="AK121" i="3"/>
  <c r="AK129" i="3"/>
  <c r="AK137" i="3"/>
  <c r="AK147" i="3"/>
  <c r="AK155" i="3"/>
  <c r="AK164" i="3"/>
  <c r="AK175" i="3"/>
  <c r="AK185" i="3"/>
  <c r="AK194" i="3"/>
  <c r="AK203" i="3"/>
  <c r="AK213" i="3"/>
  <c r="AK221" i="3"/>
  <c r="AK231" i="3"/>
  <c r="AK240" i="3"/>
  <c r="AK251" i="3"/>
  <c r="AK259" i="3"/>
  <c r="AK268" i="3"/>
  <c r="AK276" i="3"/>
  <c r="AK287" i="3"/>
  <c r="AK58" i="3"/>
  <c r="AK108" i="3"/>
  <c r="AK142" i="3"/>
  <c r="AK178" i="3"/>
  <c r="AK216" i="3"/>
  <c r="AK254" i="3"/>
  <c r="AK66" i="3"/>
  <c r="AK114" i="3"/>
  <c r="AK148" i="3"/>
  <c r="AK186" i="3"/>
  <c r="AK222" i="3"/>
  <c r="AK260" i="3"/>
  <c r="AK74" i="3"/>
  <c r="AK116" i="3"/>
  <c r="AK150" i="3"/>
  <c r="AK188" i="3"/>
  <c r="AK226" i="3"/>
  <c r="AK263" i="3"/>
  <c r="AK82" i="3"/>
  <c r="AK122" i="3"/>
  <c r="AK156" i="3"/>
  <c r="AK195" i="3"/>
  <c r="AK232" i="3"/>
  <c r="AK269" i="3"/>
  <c r="AK6" i="3"/>
  <c r="AK90" i="3"/>
  <c r="AK124" i="3"/>
  <c r="AK158" i="3"/>
  <c r="AK197" i="3"/>
  <c r="AK234" i="3"/>
  <c r="AK271" i="3"/>
  <c r="AK35" i="3"/>
  <c r="AK100" i="3"/>
  <c r="AK132" i="3"/>
  <c r="AK169" i="3"/>
  <c r="AK206" i="3"/>
  <c r="AK245" i="3"/>
  <c r="AK280" i="3"/>
  <c r="AK106" i="3"/>
  <c r="AK252" i="3"/>
  <c r="AK130" i="3"/>
  <c r="AK278" i="3"/>
  <c r="AK289" i="3"/>
  <c r="AK166" i="3"/>
  <c r="AK176" i="3"/>
  <c r="AK98" i="3"/>
  <c r="AK241" i="3"/>
  <c r="AK214" i="3"/>
  <c r="AK204" i="3"/>
  <c r="AK21" i="3"/>
  <c r="AK50" i="3"/>
  <c r="E496" i="8"/>
  <c r="D496" i="8"/>
  <c r="B496" i="8"/>
  <c r="A496" i="8"/>
  <c r="E495" i="8"/>
  <c r="D495" i="8"/>
  <c r="B495" i="8"/>
  <c r="A495" i="8"/>
  <c r="E494" i="8"/>
  <c r="D494" i="8"/>
  <c r="B494" i="8"/>
  <c r="A494" i="8"/>
  <c r="E493" i="8"/>
  <c r="D493" i="8"/>
  <c r="B493" i="8"/>
  <c r="A493" i="8"/>
  <c r="E492" i="8"/>
  <c r="D492" i="8"/>
  <c r="B492" i="8"/>
  <c r="A492" i="8"/>
  <c r="E491" i="8"/>
  <c r="D491" i="8"/>
  <c r="B491" i="8"/>
  <c r="A491" i="8"/>
  <c r="E490" i="8"/>
  <c r="D490" i="8"/>
  <c r="B490" i="8"/>
  <c r="A490" i="8"/>
  <c r="E489" i="8"/>
  <c r="D489" i="8"/>
  <c r="B489" i="8"/>
  <c r="A489" i="8"/>
  <c r="E488" i="8"/>
  <c r="D488" i="8"/>
  <c r="B488" i="8"/>
  <c r="A488" i="8"/>
  <c r="E487" i="8"/>
  <c r="D487" i="8"/>
  <c r="B487" i="8"/>
  <c r="A487" i="8"/>
  <c r="E486" i="8"/>
  <c r="D486" i="8"/>
  <c r="B486" i="8"/>
  <c r="A486" i="8"/>
  <c r="E485" i="8"/>
  <c r="D485" i="8"/>
  <c r="B485" i="8"/>
  <c r="A485" i="8"/>
  <c r="E484" i="8"/>
  <c r="D484" i="8"/>
  <c r="B484" i="8"/>
  <c r="A484" i="8"/>
  <c r="E483" i="8"/>
  <c r="D483" i="8"/>
  <c r="B483" i="8"/>
  <c r="A483" i="8"/>
  <c r="E482" i="8"/>
  <c r="D482" i="8"/>
  <c r="B482" i="8"/>
  <c r="A482" i="8"/>
  <c r="E481" i="8"/>
  <c r="D481" i="8"/>
  <c r="B481" i="8"/>
  <c r="A481" i="8"/>
  <c r="E480" i="8"/>
  <c r="D480" i="8"/>
  <c r="B480" i="8"/>
  <c r="A480" i="8"/>
  <c r="E479" i="8"/>
  <c r="D479" i="8"/>
  <c r="B479" i="8"/>
  <c r="A479" i="8"/>
  <c r="E478" i="8"/>
  <c r="D478" i="8"/>
  <c r="B478" i="8"/>
  <c r="A478" i="8"/>
  <c r="AJ296" i="3" l="1"/>
  <c r="AJ290" i="3"/>
  <c r="AJ291" i="3"/>
  <c r="AJ292" i="3"/>
  <c r="AJ293" i="3"/>
  <c r="AJ294" i="3"/>
  <c r="AJ295" i="3"/>
  <c r="AJ208" i="3"/>
  <c r="AJ199" i="3"/>
  <c r="AJ28" i="3"/>
  <c r="AJ126" i="3"/>
  <c r="AJ45" i="3"/>
  <c r="AJ41" i="3"/>
  <c r="AJ165" i="3"/>
  <c r="AJ46" i="3"/>
  <c r="AJ243" i="3"/>
  <c r="AJ133" i="3"/>
  <c r="AJ250" i="3"/>
  <c r="AJ44" i="3"/>
  <c r="AJ261" i="3"/>
  <c r="AJ42" i="3"/>
  <c r="AJ168" i="3"/>
  <c r="AJ191" i="3"/>
  <c r="AJ174" i="3"/>
  <c r="AJ173" i="3"/>
  <c r="AJ140" i="3"/>
  <c r="AJ40" i="3"/>
  <c r="AJ181" i="3"/>
  <c r="AJ24" i="3"/>
  <c r="AJ138" i="3"/>
  <c r="AJ48" i="3"/>
  <c r="AJ224" i="3"/>
  <c r="AJ210" i="3"/>
  <c r="AJ49" i="3"/>
  <c r="AJ242" i="3"/>
  <c r="AJ19" i="3"/>
  <c r="AJ14" i="3"/>
  <c r="AJ16" i="3"/>
  <c r="AJ277" i="3"/>
  <c r="AJ225" i="3"/>
  <c r="AJ31" i="3"/>
  <c r="AJ17" i="3"/>
  <c r="AJ239" i="3"/>
  <c r="AJ20" i="3"/>
  <c r="AJ33" i="3"/>
  <c r="AJ18" i="3"/>
  <c r="AJ34" i="3"/>
  <c r="AJ282" i="3"/>
  <c r="AJ37" i="3"/>
  <c r="AJ180" i="3"/>
  <c r="AJ23" i="3"/>
  <c r="AJ284" i="3"/>
  <c r="AJ15" i="3"/>
  <c r="AJ160" i="3"/>
  <c r="AJ141" i="3"/>
  <c r="AJ288" i="3"/>
  <c r="AJ4" i="3"/>
  <c r="AJ12" i="3"/>
  <c r="AJ30" i="3"/>
  <c r="AJ56" i="3"/>
  <c r="AJ64" i="3"/>
  <c r="AJ72" i="3"/>
  <c r="AJ80" i="3"/>
  <c r="AJ88" i="3"/>
  <c r="AJ96" i="3"/>
  <c r="AJ104" i="3"/>
  <c r="AJ112" i="3"/>
  <c r="AJ120" i="3"/>
  <c r="AJ128" i="3"/>
  <c r="AJ136" i="3"/>
  <c r="AJ146" i="3"/>
  <c r="AJ154" i="3"/>
  <c r="AJ163" i="3"/>
  <c r="AJ184" i="3"/>
  <c r="AJ193" i="3"/>
  <c r="AJ202" i="3"/>
  <c r="AJ212" i="3"/>
  <c r="AJ220" i="3"/>
  <c r="AJ230" i="3"/>
  <c r="AJ238" i="3"/>
  <c r="AJ249" i="3"/>
  <c r="AJ258" i="3"/>
  <c r="AJ267" i="3"/>
  <c r="AJ275" i="3"/>
  <c r="AJ286" i="3"/>
  <c r="AJ6" i="3"/>
  <c r="AJ21" i="3"/>
  <c r="AJ35" i="3"/>
  <c r="AJ50" i="3"/>
  <c r="AJ58" i="3"/>
  <c r="AJ66" i="3"/>
  <c r="AJ74" i="3"/>
  <c r="AJ82" i="3"/>
  <c r="AJ90" i="3"/>
  <c r="AJ98" i="3"/>
  <c r="AJ106" i="3"/>
  <c r="AJ114" i="3"/>
  <c r="AJ122" i="3"/>
  <c r="AJ130" i="3"/>
  <c r="AJ148" i="3"/>
  <c r="AJ156" i="3"/>
  <c r="AJ166" i="3"/>
  <c r="AJ176" i="3"/>
  <c r="AJ186" i="3"/>
  <c r="AJ195" i="3"/>
  <c r="AJ204" i="3"/>
  <c r="AJ214" i="3"/>
  <c r="AJ222" i="3"/>
  <c r="AJ232" i="3"/>
  <c r="AJ241" i="3"/>
  <c r="AJ252" i="3"/>
  <c r="AJ260" i="3"/>
  <c r="AJ269" i="3"/>
  <c r="AJ278" i="3"/>
  <c r="AJ289" i="3"/>
  <c r="AJ9" i="3"/>
  <c r="AJ22" i="3"/>
  <c r="AJ36" i="3"/>
  <c r="AJ51" i="3"/>
  <c r="AJ59" i="3"/>
  <c r="AJ67" i="3"/>
  <c r="AJ75" i="3"/>
  <c r="AJ83" i="3"/>
  <c r="AJ91" i="3"/>
  <c r="AJ99" i="3"/>
  <c r="AJ107" i="3"/>
  <c r="AJ115" i="3"/>
  <c r="AJ123" i="3"/>
  <c r="AJ131" i="3"/>
  <c r="AJ139" i="3"/>
  <c r="AJ149" i="3"/>
  <c r="AJ157" i="3"/>
  <c r="AJ167" i="3"/>
  <c r="AJ177" i="3"/>
  <c r="AJ187" i="3"/>
  <c r="AJ196" i="3"/>
  <c r="AJ205" i="3"/>
  <c r="AJ215" i="3"/>
  <c r="AJ223" i="3"/>
  <c r="AJ233" i="3"/>
  <c r="AJ244" i="3"/>
  <c r="AJ253" i="3"/>
  <c r="AJ262" i="3"/>
  <c r="AJ270" i="3"/>
  <c r="AJ279" i="3"/>
  <c r="AJ10" i="3"/>
  <c r="AJ25" i="3"/>
  <c r="AJ38" i="3"/>
  <c r="AJ52" i="3"/>
  <c r="AJ60" i="3"/>
  <c r="AJ68" i="3"/>
  <c r="AJ76" i="3"/>
  <c r="AJ84" i="3"/>
  <c r="AJ92" i="3"/>
  <c r="AJ100" i="3"/>
  <c r="AJ108" i="3"/>
  <c r="AJ116" i="3"/>
  <c r="AJ124" i="3"/>
  <c r="AJ132" i="3"/>
  <c r="AJ142" i="3"/>
  <c r="AJ150" i="3"/>
  <c r="AJ158" i="3"/>
  <c r="AJ169" i="3"/>
  <c r="AJ178" i="3"/>
  <c r="AJ188" i="3"/>
  <c r="AJ197" i="3"/>
  <c r="AJ206" i="3"/>
  <c r="AJ216" i="3"/>
  <c r="AJ226" i="3"/>
  <c r="AJ234" i="3"/>
  <c r="AJ245" i="3"/>
  <c r="AJ254" i="3"/>
  <c r="AJ263" i="3"/>
  <c r="AJ271" i="3"/>
  <c r="AJ280" i="3"/>
  <c r="AJ7" i="3"/>
  <c r="AJ26" i="3"/>
  <c r="AJ39" i="3"/>
  <c r="AJ53" i="3"/>
  <c r="AJ61" i="3"/>
  <c r="AJ69" i="3"/>
  <c r="AJ77" i="3"/>
  <c r="AJ85" i="3"/>
  <c r="AJ93" i="3"/>
  <c r="AJ101" i="3"/>
  <c r="AJ109" i="3"/>
  <c r="AJ117" i="3"/>
  <c r="AJ8" i="3"/>
  <c r="AJ27" i="3"/>
  <c r="AJ54" i="3"/>
  <c r="AJ62" i="3"/>
  <c r="AJ70" i="3"/>
  <c r="AJ78" i="3"/>
  <c r="AJ86" i="3"/>
  <c r="AJ94" i="3"/>
  <c r="AJ102" i="3"/>
  <c r="AJ110" i="3"/>
  <c r="AJ118" i="3"/>
  <c r="AJ134" i="3"/>
  <c r="AJ144" i="3"/>
  <c r="AJ152" i="3"/>
  <c r="AJ161" i="3"/>
  <c r="AJ171" i="3"/>
  <c r="AJ182" i="3"/>
  <c r="AJ190" i="3"/>
  <c r="AJ200" i="3"/>
  <c r="AJ207" i="3"/>
  <c r="AJ218" i="3"/>
  <c r="AJ228" i="3"/>
  <c r="AJ236" i="3"/>
  <c r="AJ247" i="3"/>
  <c r="AJ256" i="3"/>
  <c r="AJ265" i="3"/>
  <c r="AJ273" i="3"/>
  <c r="AJ283" i="3"/>
  <c r="AJ5" i="3"/>
  <c r="AJ57" i="3"/>
  <c r="AJ89" i="3"/>
  <c r="AJ121" i="3"/>
  <c r="AJ145" i="3"/>
  <c r="AJ170" i="3"/>
  <c r="AJ194" i="3"/>
  <c r="AJ219" i="3"/>
  <c r="AJ246" i="3"/>
  <c r="AJ268" i="3"/>
  <c r="AJ11" i="3"/>
  <c r="AJ63" i="3"/>
  <c r="AJ95" i="3"/>
  <c r="AJ125" i="3"/>
  <c r="AJ147" i="3"/>
  <c r="AJ172" i="3"/>
  <c r="AJ198" i="3"/>
  <c r="AJ221" i="3"/>
  <c r="AJ248" i="3"/>
  <c r="AJ272" i="3"/>
  <c r="AJ13" i="3"/>
  <c r="AJ65" i="3"/>
  <c r="AJ97" i="3"/>
  <c r="AJ127" i="3"/>
  <c r="AJ151" i="3"/>
  <c r="AJ175" i="3"/>
  <c r="AJ201" i="3"/>
  <c r="AJ227" i="3"/>
  <c r="AJ251" i="3"/>
  <c r="AJ274" i="3"/>
  <c r="AJ29" i="3"/>
  <c r="AJ71" i="3"/>
  <c r="AJ103" i="3"/>
  <c r="AJ129" i="3"/>
  <c r="AJ153" i="3"/>
  <c r="AJ179" i="3"/>
  <c r="AJ203" i="3"/>
  <c r="AJ229" i="3"/>
  <c r="AJ255" i="3"/>
  <c r="AJ276" i="3"/>
  <c r="AJ32" i="3"/>
  <c r="AJ73" i="3"/>
  <c r="AJ105" i="3"/>
  <c r="AJ155" i="3"/>
  <c r="AJ183" i="3"/>
  <c r="AJ209" i="3"/>
  <c r="AJ231" i="3"/>
  <c r="AJ257" i="3"/>
  <c r="AJ281" i="3"/>
  <c r="AJ47" i="3"/>
  <c r="AJ81" i="3"/>
  <c r="AJ113" i="3"/>
  <c r="AJ137" i="3"/>
  <c r="AJ162" i="3"/>
  <c r="AJ189" i="3"/>
  <c r="AJ213" i="3"/>
  <c r="AJ237" i="3"/>
  <c r="AJ264" i="3"/>
  <c r="AJ287" i="3"/>
  <c r="AJ119" i="3"/>
  <c r="AJ217" i="3"/>
  <c r="AJ135" i="3"/>
  <c r="AJ235" i="3"/>
  <c r="AJ143" i="3"/>
  <c r="AJ240" i="3"/>
  <c r="AJ43" i="3"/>
  <c r="AJ159" i="3"/>
  <c r="AJ259" i="3"/>
  <c r="AJ55" i="3"/>
  <c r="AJ164" i="3"/>
  <c r="AJ266" i="3"/>
  <c r="AJ111" i="3"/>
  <c r="AJ211" i="3"/>
  <c r="AJ79" i="3"/>
  <c r="AJ87" i="3"/>
  <c r="AJ185" i="3"/>
  <c r="AJ192" i="3"/>
  <c r="AJ285" i="3"/>
  <c r="A453" i="8"/>
  <c r="A454" i="8"/>
  <c r="B453" i="8"/>
  <c r="B454" i="8"/>
  <c r="D453" i="8"/>
  <c r="D454" i="8"/>
  <c r="E453" i="8"/>
  <c r="E454" i="8"/>
  <c r="E475" i="8" l="1"/>
  <c r="D475" i="8"/>
  <c r="B475" i="8"/>
  <c r="A475" i="8"/>
  <c r="E474" i="8"/>
  <c r="D474" i="8"/>
  <c r="B474" i="8"/>
  <c r="A474" i="8"/>
  <c r="E473" i="8"/>
  <c r="D473" i="8"/>
  <c r="B473" i="8"/>
  <c r="A473" i="8"/>
  <c r="E472" i="8"/>
  <c r="D472" i="8"/>
  <c r="B472" i="8"/>
  <c r="A472" i="8"/>
  <c r="E471" i="8"/>
  <c r="D471" i="8"/>
  <c r="B471" i="8"/>
  <c r="A471" i="8"/>
  <c r="E470" i="8"/>
  <c r="D470" i="8"/>
  <c r="B470" i="8"/>
  <c r="A470" i="8"/>
  <c r="E469" i="8"/>
  <c r="D469" i="8"/>
  <c r="B469" i="8"/>
  <c r="A469" i="8"/>
  <c r="E468" i="8"/>
  <c r="D468" i="8"/>
  <c r="B468" i="8"/>
  <c r="A468" i="8"/>
  <c r="E467" i="8"/>
  <c r="D467" i="8"/>
  <c r="B467" i="8"/>
  <c r="A467" i="8"/>
  <c r="E466" i="8"/>
  <c r="D466" i="8"/>
  <c r="B466" i="8"/>
  <c r="A466" i="8"/>
  <c r="E465" i="8"/>
  <c r="D465" i="8"/>
  <c r="B465" i="8"/>
  <c r="A465" i="8"/>
  <c r="E464" i="8"/>
  <c r="D464" i="8"/>
  <c r="B464" i="8"/>
  <c r="A464" i="8"/>
  <c r="E463" i="8"/>
  <c r="D463" i="8"/>
  <c r="B463" i="8"/>
  <c r="A463" i="8"/>
  <c r="E462" i="8"/>
  <c r="D462" i="8"/>
  <c r="B462" i="8"/>
  <c r="A462" i="8"/>
  <c r="E461" i="8"/>
  <c r="D461" i="8"/>
  <c r="B461" i="8"/>
  <c r="A461" i="8"/>
  <c r="E460" i="8"/>
  <c r="D460" i="8"/>
  <c r="B460" i="8"/>
  <c r="A460" i="8"/>
  <c r="E459" i="8"/>
  <c r="D459" i="8"/>
  <c r="B459" i="8"/>
  <c r="A459" i="8"/>
  <c r="E458" i="8"/>
  <c r="D458" i="8"/>
  <c r="B458" i="8"/>
  <c r="A458" i="8"/>
  <c r="E457" i="8"/>
  <c r="D457" i="8"/>
  <c r="B457" i="8"/>
  <c r="A457" i="8"/>
  <c r="AI295" i="3" l="1"/>
  <c r="AI296" i="3"/>
  <c r="AI290" i="3"/>
  <c r="AI291" i="3"/>
  <c r="AI292" i="3"/>
  <c r="AI294" i="3"/>
  <c r="AI293" i="3"/>
  <c r="AI208" i="3"/>
  <c r="AI199" i="3"/>
  <c r="AI28" i="3"/>
  <c r="AI133" i="3"/>
  <c r="AI250" i="3"/>
  <c r="AI45" i="3"/>
  <c r="AI42" i="3"/>
  <c r="AI168" i="3"/>
  <c r="AI243" i="3"/>
  <c r="AI44" i="3"/>
  <c r="AI261" i="3"/>
  <c r="AI191" i="3"/>
  <c r="AI126" i="3"/>
  <c r="AI46" i="3"/>
  <c r="AI41" i="3"/>
  <c r="AI165" i="3"/>
  <c r="AI173" i="3"/>
  <c r="AI174" i="3"/>
  <c r="AI140" i="3"/>
  <c r="AI40" i="3"/>
  <c r="AI181" i="3"/>
  <c r="AI24" i="3"/>
  <c r="AI138" i="3"/>
  <c r="AI48" i="3"/>
  <c r="AI224" i="3"/>
  <c r="AI210" i="3"/>
  <c r="AI49" i="3"/>
  <c r="AI242" i="3"/>
  <c r="AI19" i="3"/>
  <c r="AI14" i="3"/>
  <c r="AI16" i="3"/>
  <c r="AI277" i="3"/>
  <c r="AI225" i="3"/>
  <c r="AI31" i="3"/>
  <c r="AI17" i="3"/>
  <c r="AI239" i="3"/>
  <c r="AI20" i="3"/>
  <c r="AI33" i="3"/>
  <c r="AI18" i="3"/>
  <c r="AI34" i="3"/>
  <c r="AI282" i="3"/>
  <c r="AI37" i="3"/>
  <c r="AI180" i="3"/>
  <c r="AI23" i="3"/>
  <c r="AI284" i="3"/>
  <c r="AI15" i="3"/>
  <c r="AI160" i="3"/>
  <c r="AI141" i="3"/>
  <c r="AI288" i="3"/>
  <c r="AI7" i="3"/>
  <c r="AI26" i="3"/>
  <c r="AI39" i="3"/>
  <c r="AI53" i="3"/>
  <c r="AI61" i="3"/>
  <c r="AI11" i="3"/>
  <c r="AI29" i="3"/>
  <c r="AI43" i="3"/>
  <c r="AI55" i="3"/>
  <c r="AI63" i="3"/>
  <c r="AI71" i="3"/>
  <c r="AI79" i="3"/>
  <c r="AI87" i="3"/>
  <c r="AI95" i="3"/>
  <c r="AI103" i="3"/>
  <c r="AI111" i="3"/>
  <c r="AI119" i="3"/>
  <c r="AI127" i="3"/>
  <c r="AI135" i="3"/>
  <c r="AI145" i="3"/>
  <c r="AI153" i="3"/>
  <c r="AI162" i="3"/>
  <c r="AI172" i="3"/>
  <c r="AI183" i="3"/>
  <c r="AI192" i="3"/>
  <c r="AI201" i="3"/>
  <c r="AI211" i="3"/>
  <c r="AI219" i="3"/>
  <c r="AI4" i="3"/>
  <c r="AI12" i="3"/>
  <c r="AI30" i="3"/>
  <c r="AI56" i="3"/>
  <c r="AI64" i="3"/>
  <c r="AI72" i="3"/>
  <c r="AI80" i="3"/>
  <c r="AI88" i="3"/>
  <c r="AI96" i="3"/>
  <c r="AI104" i="3"/>
  <c r="AI112" i="3"/>
  <c r="AI120" i="3"/>
  <c r="AI128" i="3"/>
  <c r="AI136" i="3"/>
  <c r="AI146" i="3"/>
  <c r="AI154" i="3"/>
  <c r="AI163" i="3"/>
  <c r="AI184" i="3"/>
  <c r="AI193" i="3"/>
  <c r="AI202" i="3"/>
  <c r="AI212" i="3"/>
  <c r="AI220" i="3"/>
  <c r="AI5" i="3"/>
  <c r="AI13" i="3"/>
  <c r="AI32" i="3"/>
  <c r="AI47" i="3"/>
  <c r="AI9" i="3"/>
  <c r="AI22" i="3"/>
  <c r="AI36" i="3"/>
  <c r="AI51" i="3"/>
  <c r="AI59" i="3"/>
  <c r="AI67" i="3"/>
  <c r="AI75" i="3"/>
  <c r="AI83" i="3"/>
  <c r="AI91" i="3"/>
  <c r="AI99" i="3"/>
  <c r="AI107" i="3"/>
  <c r="AI115" i="3"/>
  <c r="AI123" i="3"/>
  <c r="AI131" i="3"/>
  <c r="AI139" i="3"/>
  <c r="AI149" i="3"/>
  <c r="AI157" i="3"/>
  <c r="AI167" i="3"/>
  <c r="AI177" i="3"/>
  <c r="AI187" i="3"/>
  <c r="AI196" i="3"/>
  <c r="AI205" i="3"/>
  <c r="AI215" i="3"/>
  <c r="AI223" i="3"/>
  <c r="AI10" i="3"/>
  <c r="AI50" i="3"/>
  <c r="AI66" i="3"/>
  <c r="AI78" i="3"/>
  <c r="AI92" i="3"/>
  <c r="AI105" i="3"/>
  <c r="AI117" i="3"/>
  <c r="AI130" i="3"/>
  <c r="AI144" i="3"/>
  <c r="AI158" i="3"/>
  <c r="AI175" i="3"/>
  <c r="AI189" i="3"/>
  <c r="AI204" i="3"/>
  <c r="AI218" i="3"/>
  <c r="AI231" i="3"/>
  <c r="AI240" i="3"/>
  <c r="AI251" i="3"/>
  <c r="AI259" i="3"/>
  <c r="AI268" i="3"/>
  <c r="AI276" i="3"/>
  <c r="AI287" i="3"/>
  <c r="AI8" i="3"/>
  <c r="AI52" i="3"/>
  <c r="AI68" i="3"/>
  <c r="AI81" i="3"/>
  <c r="AI93" i="3"/>
  <c r="AI106" i="3"/>
  <c r="AI118" i="3"/>
  <c r="AI132" i="3"/>
  <c r="AI147" i="3"/>
  <c r="AI159" i="3"/>
  <c r="AI176" i="3"/>
  <c r="AI190" i="3"/>
  <c r="AI206" i="3"/>
  <c r="AI221" i="3"/>
  <c r="AI232" i="3"/>
  <c r="AI241" i="3"/>
  <c r="AI252" i="3"/>
  <c r="AI260" i="3"/>
  <c r="AI269" i="3"/>
  <c r="AI278" i="3"/>
  <c r="AI289" i="3"/>
  <c r="AI21" i="3"/>
  <c r="AI54" i="3"/>
  <c r="AI69" i="3"/>
  <c r="AI82" i="3"/>
  <c r="AI94" i="3"/>
  <c r="AI108" i="3"/>
  <c r="AI121" i="3"/>
  <c r="AI148" i="3"/>
  <c r="AI161" i="3"/>
  <c r="AI178" i="3"/>
  <c r="AI194" i="3"/>
  <c r="AI209" i="3"/>
  <c r="AI222" i="3"/>
  <c r="AI233" i="3"/>
  <c r="AI244" i="3"/>
  <c r="AI253" i="3"/>
  <c r="AI262" i="3"/>
  <c r="AI270" i="3"/>
  <c r="AI279" i="3"/>
  <c r="AI25" i="3"/>
  <c r="AI57" i="3"/>
  <c r="AI70" i="3"/>
  <c r="AI84" i="3"/>
  <c r="AI97" i="3"/>
  <c r="AI109" i="3"/>
  <c r="AI122" i="3"/>
  <c r="AI134" i="3"/>
  <c r="AI150" i="3"/>
  <c r="AI164" i="3"/>
  <c r="AI179" i="3"/>
  <c r="AI195" i="3"/>
  <c r="AI207" i="3"/>
  <c r="AI226" i="3"/>
  <c r="AI234" i="3"/>
  <c r="AI245" i="3"/>
  <c r="AI254" i="3"/>
  <c r="AI263" i="3"/>
  <c r="AI271" i="3"/>
  <c r="AI280" i="3"/>
  <c r="AI27" i="3"/>
  <c r="AI58" i="3"/>
  <c r="AI73" i="3"/>
  <c r="AI85" i="3"/>
  <c r="AI98" i="3"/>
  <c r="AI110" i="3"/>
  <c r="AI124" i="3"/>
  <c r="AI137" i="3"/>
  <c r="AI151" i="3"/>
  <c r="AI166" i="3"/>
  <c r="AI182" i="3"/>
  <c r="AI197" i="3"/>
  <c r="AI213" i="3"/>
  <c r="AI227" i="3"/>
  <c r="AI235" i="3"/>
  <c r="AI246" i="3"/>
  <c r="AI255" i="3"/>
  <c r="AI264" i="3"/>
  <c r="AI272" i="3"/>
  <c r="AI281" i="3"/>
  <c r="AI38" i="3"/>
  <c r="AI62" i="3"/>
  <c r="AI76" i="3"/>
  <c r="AI89" i="3"/>
  <c r="AI101" i="3"/>
  <c r="AI114" i="3"/>
  <c r="AI142" i="3"/>
  <c r="AI155" i="3"/>
  <c r="AI170" i="3"/>
  <c r="AI186" i="3"/>
  <c r="AI200" i="3"/>
  <c r="AI216" i="3"/>
  <c r="AI229" i="3"/>
  <c r="AI237" i="3"/>
  <c r="AI248" i="3"/>
  <c r="AI257" i="3"/>
  <c r="AI266" i="3"/>
  <c r="AI274" i="3"/>
  <c r="AI285" i="3"/>
  <c r="AI102" i="3"/>
  <c r="AI156" i="3"/>
  <c r="AI217" i="3"/>
  <c r="AI258" i="3"/>
  <c r="AI60" i="3"/>
  <c r="AI113" i="3"/>
  <c r="AI169" i="3"/>
  <c r="AI228" i="3"/>
  <c r="AI265" i="3"/>
  <c r="AI65" i="3"/>
  <c r="AI116" i="3"/>
  <c r="AI171" i="3"/>
  <c r="AI230" i="3"/>
  <c r="AI267" i="3"/>
  <c r="AI74" i="3"/>
  <c r="AI125" i="3"/>
  <c r="AI185" i="3"/>
  <c r="AI236" i="3"/>
  <c r="AI273" i="3"/>
  <c r="AI77" i="3"/>
  <c r="AI129" i="3"/>
  <c r="AI188" i="3"/>
  <c r="AI238" i="3"/>
  <c r="AI275" i="3"/>
  <c r="AI35" i="3"/>
  <c r="AI100" i="3"/>
  <c r="AI152" i="3"/>
  <c r="AI214" i="3"/>
  <c r="AI256" i="3"/>
  <c r="AI90" i="3"/>
  <c r="AI286" i="3"/>
  <c r="AI143" i="3"/>
  <c r="AI198" i="3"/>
  <c r="AI203" i="3"/>
  <c r="AI86" i="3"/>
  <c r="AI283" i="3"/>
  <c r="AI6" i="3"/>
  <c r="AI247" i="3"/>
  <c r="AI249" i="3"/>
  <c r="E431" i="8"/>
  <c r="D431" i="8"/>
  <c r="B431" i="8"/>
  <c r="A431" i="8"/>
  <c r="E452" i="8" l="1"/>
  <c r="D452" i="8"/>
  <c r="B452" i="8"/>
  <c r="A452" i="8"/>
  <c r="E451" i="8"/>
  <c r="D451" i="8"/>
  <c r="B451" i="8"/>
  <c r="A451" i="8"/>
  <c r="E450" i="8"/>
  <c r="D450" i="8"/>
  <c r="B450" i="8"/>
  <c r="A450" i="8"/>
  <c r="E449" i="8"/>
  <c r="D449" i="8"/>
  <c r="B449" i="8"/>
  <c r="A449" i="8"/>
  <c r="E448" i="8"/>
  <c r="D448" i="8"/>
  <c r="B448" i="8"/>
  <c r="A448" i="8"/>
  <c r="E447" i="8"/>
  <c r="D447" i="8"/>
  <c r="B447" i="8"/>
  <c r="A447" i="8"/>
  <c r="E446" i="8"/>
  <c r="D446" i="8"/>
  <c r="B446" i="8"/>
  <c r="A446" i="8"/>
  <c r="E445" i="8"/>
  <c r="D445" i="8"/>
  <c r="B445" i="8"/>
  <c r="A445" i="8"/>
  <c r="E444" i="8"/>
  <c r="D444" i="8"/>
  <c r="B444" i="8"/>
  <c r="A444" i="8"/>
  <c r="E443" i="8"/>
  <c r="D443" i="8"/>
  <c r="B443" i="8"/>
  <c r="A443" i="8"/>
  <c r="E442" i="8"/>
  <c r="D442" i="8"/>
  <c r="B442" i="8"/>
  <c r="A442" i="8"/>
  <c r="E441" i="8"/>
  <c r="D441" i="8"/>
  <c r="B441" i="8"/>
  <c r="A441" i="8"/>
  <c r="E440" i="8"/>
  <c r="D440" i="8"/>
  <c r="B440" i="8"/>
  <c r="A440" i="8"/>
  <c r="E439" i="8"/>
  <c r="D439" i="8"/>
  <c r="B439" i="8"/>
  <c r="A439" i="8"/>
  <c r="E438" i="8"/>
  <c r="D438" i="8"/>
  <c r="B438" i="8"/>
  <c r="A438" i="8"/>
  <c r="E437" i="8"/>
  <c r="D437" i="8"/>
  <c r="B437" i="8"/>
  <c r="A437" i="8"/>
  <c r="E436" i="8"/>
  <c r="D436" i="8"/>
  <c r="B436" i="8"/>
  <c r="A436" i="8"/>
  <c r="E435" i="8"/>
  <c r="D435" i="8"/>
  <c r="B435" i="8"/>
  <c r="A435" i="8"/>
  <c r="E434" i="8"/>
  <c r="D434" i="8"/>
  <c r="B434" i="8"/>
  <c r="A434" i="8"/>
  <c r="AH294" i="3" l="1"/>
  <c r="AH295" i="3"/>
  <c r="AH296" i="3"/>
  <c r="AH290" i="3"/>
  <c r="AH293" i="3"/>
  <c r="AH291" i="3"/>
  <c r="AH292" i="3"/>
  <c r="AH208" i="3"/>
  <c r="AH199" i="3"/>
  <c r="AH28" i="3"/>
  <c r="AH133" i="3"/>
  <c r="AH250" i="3"/>
  <c r="AH165" i="3"/>
  <c r="AH42" i="3"/>
  <c r="AH168" i="3"/>
  <c r="AH243" i="3"/>
  <c r="AH45" i="3"/>
  <c r="AH44" i="3"/>
  <c r="AH261" i="3"/>
  <c r="AH191" i="3"/>
  <c r="AH126" i="3"/>
  <c r="AH41" i="3"/>
  <c r="AH46" i="3"/>
  <c r="AH173" i="3"/>
  <c r="AH174" i="3"/>
  <c r="AH140" i="3"/>
  <c r="AH40" i="3"/>
  <c r="AH181" i="3"/>
  <c r="AH24" i="3"/>
  <c r="AH138" i="3"/>
  <c r="AH48" i="3"/>
  <c r="AH224" i="3"/>
  <c r="AH210" i="3"/>
  <c r="AH49" i="3"/>
  <c r="AH242" i="3"/>
  <c r="AH19" i="3"/>
  <c r="AH14" i="3"/>
  <c r="AH16" i="3"/>
  <c r="AH277" i="3"/>
  <c r="AH225" i="3"/>
  <c r="AH31" i="3"/>
  <c r="AH17" i="3"/>
  <c r="AH239" i="3"/>
  <c r="AH20" i="3"/>
  <c r="AH33" i="3"/>
  <c r="AH18" i="3"/>
  <c r="AH34" i="3"/>
  <c r="AH282" i="3"/>
  <c r="AH37" i="3"/>
  <c r="AH180" i="3"/>
  <c r="AH23" i="3"/>
  <c r="AH284" i="3"/>
  <c r="AH15" i="3"/>
  <c r="AH160" i="3"/>
  <c r="AH141" i="3"/>
  <c r="AH288" i="3"/>
  <c r="AH8" i="3"/>
  <c r="AH27" i="3"/>
  <c r="AH54" i="3"/>
  <c r="AH62" i="3"/>
  <c r="AH70" i="3"/>
  <c r="AH78" i="3"/>
  <c r="AH11" i="3"/>
  <c r="AH29" i="3"/>
  <c r="AH43" i="3"/>
  <c r="AH55" i="3"/>
  <c r="AH63" i="3"/>
  <c r="AH71" i="3"/>
  <c r="AH79" i="3"/>
  <c r="AH87" i="3"/>
  <c r="AH95" i="3"/>
  <c r="AH103" i="3"/>
  <c r="AH111" i="3"/>
  <c r="AH119" i="3"/>
  <c r="AH127" i="3"/>
  <c r="AH135" i="3"/>
  <c r="AH145" i="3"/>
  <c r="AH153" i="3"/>
  <c r="AH162" i="3"/>
  <c r="AH172" i="3"/>
  <c r="AH183" i="3"/>
  <c r="AH192" i="3"/>
  <c r="AH201" i="3"/>
  <c r="AH211" i="3"/>
  <c r="AH219" i="3"/>
  <c r="AH229" i="3"/>
  <c r="AH237" i="3"/>
  <c r="AH248" i="3"/>
  <c r="AH257" i="3"/>
  <c r="AH266" i="3"/>
  <c r="AH274" i="3"/>
  <c r="AH285" i="3"/>
  <c r="AH4" i="3"/>
  <c r="AH12" i="3"/>
  <c r="AH30" i="3"/>
  <c r="AH56" i="3"/>
  <c r="AH64" i="3"/>
  <c r="AH72" i="3"/>
  <c r="AH80" i="3"/>
  <c r="AH88" i="3"/>
  <c r="AH96" i="3"/>
  <c r="AH104" i="3"/>
  <c r="AH112" i="3"/>
  <c r="AH120" i="3"/>
  <c r="AH128" i="3"/>
  <c r="AH136" i="3"/>
  <c r="AH146" i="3"/>
  <c r="AH154" i="3"/>
  <c r="AH163" i="3"/>
  <c r="AH184" i="3"/>
  <c r="AH193" i="3"/>
  <c r="AH202" i="3"/>
  <c r="AH212" i="3"/>
  <c r="AH220" i="3"/>
  <c r="AH230" i="3"/>
  <c r="AH5" i="3"/>
  <c r="AH13" i="3"/>
  <c r="AH32" i="3"/>
  <c r="AH47" i="3"/>
  <c r="AH57" i="3"/>
  <c r="AH65" i="3"/>
  <c r="AH73" i="3"/>
  <c r="AH81" i="3"/>
  <c r="AH89" i="3"/>
  <c r="AH97" i="3"/>
  <c r="AH105" i="3"/>
  <c r="AH113" i="3"/>
  <c r="AH121" i="3"/>
  <c r="AH129" i="3"/>
  <c r="AH137" i="3"/>
  <c r="AH147" i="3"/>
  <c r="AH155" i="3"/>
  <c r="AH164" i="3"/>
  <c r="AH175" i="3"/>
  <c r="AH185" i="3"/>
  <c r="AH194" i="3"/>
  <c r="AH203" i="3"/>
  <c r="AH213" i="3"/>
  <c r="AH221" i="3"/>
  <c r="AH231" i="3"/>
  <c r="AH240" i="3"/>
  <c r="AH251" i="3"/>
  <c r="AH259" i="3"/>
  <c r="AH268" i="3"/>
  <c r="AH276" i="3"/>
  <c r="AH287" i="3"/>
  <c r="AH6" i="3"/>
  <c r="AH21" i="3"/>
  <c r="AH35" i="3"/>
  <c r="AH50" i="3"/>
  <c r="AH58" i="3"/>
  <c r="AH66" i="3"/>
  <c r="AH74" i="3"/>
  <c r="AH82" i="3"/>
  <c r="AH90" i="3"/>
  <c r="AH98" i="3"/>
  <c r="AH106" i="3"/>
  <c r="AH114" i="3"/>
  <c r="AH122" i="3"/>
  <c r="AH130" i="3"/>
  <c r="AH148" i="3"/>
  <c r="AH156" i="3"/>
  <c r="AH166" i="3"/>
  <c r="AH176" i="3"/>
  <c r="AH186" i="3"/>
  <c r="AH195" i="3"/>
  <c r="AH204" i="3"/>
  <c r="AH214" i="3"/>
  <c r="AH222" i="3"/>
  <c r="AH232" i="3"/>
  <c r="AH241" i="3"/>
  <c r="AH252" i="3"/>
  <c r="AH260" i="3"/>
  <c r="AH269" i="3"/>
  <c r="AH278" i="3"/>
  <c r="AH289" i="3"/>
  <c r="AH10" i="3"/>
  <c r="AH25" i="3"/>
  <c r="AH38" i="3"/>
  <c r="AH52" i="3"/>
  <c r="AH60" i="3"/>
  <c r="AH68" i="3"/>
  <c r="AH76" i="3"/>
  <c r="AH84" i="3"/>
  <c r="AH92" i="3"/>
  <c r="AH100" i="3"/>
  <c r="AH108" i="3"/>
  <c r="AH116" i="3"/>
  <c r="AH124" i="3"/>
  <c r="AH132" i="3"/>
  <c r="AH142" i="3"/>
  <c r="AH150" i="3"/>
  <c r="AH158" i="3"/>
  <c r="AH169" i="3"/>
  <c r="AH178" i="3"/>
  <c r="AH188" i="3"/>
  <c r="AH197" i="3"/>
  <c r="AH206" i="3"/>
  <c r="AH216" i="3"/>
  <c r="AH226" i="3"/>
  <c r="AH234" i="3"/>
  <c r="AH245" i="3"/>
  <c r="AH254" i="3"/>
  <c r="AH263" i="3"/>
  <c r="AH271" i="3"/>
  <c r="AH280" i="3"/>
  <c r="AH7" i="3"/>
  <c r="AH61" i="3"/>
  <c r="AH91" i="3"/>
  <c r="AH110" i="3"/>
  <c r="AH157" i="3"/>
  <c r="AH182" i="3"/>
  <c r="AH209" i="3"/>
  <c r="AH233" i="3"/>
  <c r="AH253" i="3"/>
  <c r="AH270" i="3"/>
  <c r="AH22" i="3"/>
  <c r="AH67" i="3"/>
  <c r="AH93" i="3"/>
  <c r="AH115" i="3"/>
  <c r="AH134" i="3"/>
  <c r="AH159" i="3"/>
  <c r="AH187" i="3"/>
  <c r="AH207" i="3"/>
  <c r="AH235" i="3"/>
  <c r="AH255" i="3"/>
  <c r="AH272" i="3"/>
  <c r="AH26" i="3"/>
  <c r="AH69" i="3"/>
  <c r="AH94" i="3"/>
  <c r="AH117" i="3"/>
  <c r="AH139" i="3"/>
  <c r="AH161" i="3"/>
  <c r="AH189" i="3"/>
  <c r="AH215" i="3"/>
  <c r="AH236" i="3"/>
  <c r="AH256" i="3"/>
  <c r="AH273" i="3"/>
  <c r="AH36" i="3"/>
  <c r="AH75" i="3"/>
  <c r="AH99" i="3"/>
  <c r="AH118" i="3"/>
  <c r="AH143" i="3"/>
  <c r="AH167" i="3"/>
  <c r="AH190" i="3"/>
  <c r="AH217" i="3"/>
  <c r="AH238" i="3"/>
  <c r="AH258" i="3"/>
  <c r="AH275" i="3"/>
  <c r="AH39" i="3"/>
  <c r="AH77" i="3"/>
  <c r="AH101" i="3"/>
  <c r="AH123" i="3"/>
  <c r="AH144" i="3"/>
  <c r="AH170" i="3"/>
  <c r="AH196" i="3"/>
  <c r="AH218" i="3"/>
  <c r="AH244" i="3"/>
  <c r="AH262" i="3"/>
  <c r="AH279" i="3"/>
  <c r="AH102" i="3"/>
  <c r="AH152" i="3"/>
  <c r="AH227" i="3"/>
  <c r="AH281" i="3"/>
  <c r="AH9" i="3"/>
  <c r="AH107" i="3"/>
  <c r="AH171" i="3"/>
  <c r="AH228" i="3"/>
  <c r="AH283" i="3"/>
  <c r="AH51" i="3"/>
  <c r="AH109" i="3"/>
  <c r="AH177" i="3"/>
  <c r="AH246" i="3"/>
  <c r="AH286" i="3"/>
  <c r="AH53" i="3"/>
  <c r="AH125" i="3"/>
  <c r="AH179" i="3"/>
  <c r="AH247" i="3"/>
  <c r="AH59" i="3"/>
  <c r="AH198" i="3"/>
  <c r="AH249" i="3"/>
  <c r="AH86" i="3"/>
  <c r="AH151" i="3"/>
  <c r="AH223" i="3"/>
  <c r="AH267" i="3"/>
  <c r="AH205" i="3"/>
  <c r="AH264" i="3"/>
  <c r="AH265" i="3"/>
  <c r="AH83" i="3"/>
  <c r="AH85" i="3"/>
  <c r="AH200" i="3"/>
  <c r="AH149" i="3"/>
  <c r="AH131" i="3"/>
  <c r="A398" i="8"/>
  <c r="A399" i="8"/>
  <c r="B398" i="8"/>
  <c r="B399" i="8"/>
  <c r="D398" i="8"/>
  <c r="D399" i="8"/>
  <c r="E398" i="8"/>
  <c r="E399" i="8"/>
  <c r="E430" i="8" l="1"/>
  <c r="D430" i="8"/>
  <c r="B430" i="8"/>
  <c r="A430" i="8"/>
  <c r="E429" i="8"/>
  <c r="D429" i="8"/>
  <c r="B429" i="8"/>
  <c r="A429" i="8"/>
  <c r="E428" i="8"/>
  <c r="D428" i="8"/>
  <c r="B428" i="8"/>
  <c r="A428" i="8"/>
  <c r="E427" i="8"/>
  <c r="D427" i="8"/>
  <c r="B427" i="8"/>
  <c r="A427" i="8"/>
  <c r="E426" i="8"/>
  <c r="D426" i="8"/>
  <c r="B426" i="8"/>
  <c r="A426" i="8"/>
  <c r="E425" i="8"/>
  <c r="D425" i="8"/>
  <c r="B425" i="8"/>
  <c r="A425" i="8"/>
  <c r="E424" i="8"/>
  <c r="D424" i="8"/>
  <c r="B424" i="8"/>
  <c r="A424" i="8"/>
  <c r="E423" i="8"/>
  <c r="D423" i="8"/>
  <c r="B423" i="8"/>
  <c r="A423" i="8"/>
  <c r="E422" i="8"/>
  <c r="D422" i="8"/>
  <c r="B422" i="8"/>
  <c r="A422" i="8"/>
  <c r="E421" i="8"/>
  <c r="D421" i="8"/>
  <c r="B421" i="8"/>
  <c r="A421" i="8"/>
  <c r="E420" i="8"/>
  <c r="D420" i="8"/>
  <c r="B420" i="8"/>
  <c r="A420" i="8"/>
  <c r="E419" i="8"/>
  <c r="D419" i="8"/>
  <c r="B419" i="8"/>
  <c r="A419" i="8"/>
  <c r="E418" i="8"/>
  <c r="D418" i="8"/>
  <c r="B418" i="8"/>
  <c r="A418" i="8"/>
  <c r="E417" i="8"/>
  <c r="D417" i="8"/>
  <c r="B417" i="8"/>
  <c r="A417" i="8"/>
  <c r="E416" i="8"/>
  <c r="D416" i="8"/>
  <c r="B416" i="8"/>
  <c r="A416" i="8"/>
  <c r="E415" i="8"/>
  <c r="D415" i="8"/>
  <c r="B415" i="8"/>
  <c r="A415" i="8"/>
  <c r="E414" i="8"/>
  <c r="D414" i="8"/>
  <c r="B414" i="8"/>
  <c r="A414" i="8"/>
  <c r="E413" i="8"/>
  <c r="D413" i="8"/>
  <c r="B413" i="8"/>
  <c r="A413" i="8"/>
  <c r="E412" i="8"/>
  <c r="D412" i="8"/>
  <c r="B412" i="8"/>
  <c r="A412" i="8"/>
  <c r="E411" i="8"/>
  <c r="D411" i="8"/>
  <c r="B411" i="8"/>
  <c r="A411" i="8"/>
  <c r="AG293" i="3" l="1"/>
  <c r="AG294" i="3"/>
  <c r="AG295" i="3"/>
  <c r="AG296" i="3"/>
  <c r="AG290" i="3"/>
  <c r="AG291" i="3"/>
  <c r="AG292" i="3"/>
  <c r="AG208" i="3"/>
  <c r="AG199" i="3"/>
  <c r="AG28" i="3"/>
  <c r="AG42" i="3"/>
  <c r="AG168" i="3"/>
  <c r="AG45" i="3"/>
  <c r="AG243" i="3"/>
  <c r="AG46" i="3"/>
  <c r="AG44" i="3"/>
  <c r="AG261" i="3"/>
  <c r="AG191" i="3"/>
  <c r="AG126" i="3"/>
  <c r="AG41" i="3"/>
  <c r="AG165" i="3"/>
  <c r="AG133" i="3"/>
  <c r="AG250" i="3"/>
  <c r="AG174" i="3"/>
  <c r="AG173" i="3"/>
  <c r="AG140" i="3"/>
  <c r="AG40" i="3"/>
  <c r="AG181" i="3"/>
  <c r="AG24" i="3"/>
  <c r="AG138" i="3"/>
  <c r="AG48" i="3"/>
  <c r="AG224" i="3"/>
  <c r="AG210" i="3"/>
  <c r="AG49" i="3"/>
  <c r="AG242" i="3"/>
  <c r="AG19" i="3"/>
  <c r="AG14" i="3"/>
  <c r="AG16" i="3"/>
  <c r="AG277" i="3"/>
  <c r="AG225" i="3"/>
  <c r="AG31" i="3"/>
  <c r="AG17" i="3"/>
  <c r="AG239" i="3"/>
  <c r="AG20" i="3"/>
  <c r="AG33" i="3"/>
  <c r="AG18" i="3"/>
  <c r="AG34" i="3"/>
  <c r="AG282" i="3"/>
  <c r="AG37" i="3"/>
  <c r="AG180" i="3"/>
  <c r="AG23" i="3"/>
  <c r="AG284" i="3"/>
  <c r="AG15" i="3"/>
  <c r="AG160" i="3"/>
  <c r="AG141" i="3"/>
  <c r="AG288" i="3"/>
  <c r="AG10" i="3"/>
  <c r="AG25" i="3"/>
  <c r="AG38" i="3"/>
  <c r="AG52" i="3"/>
  <c r="AG60" i="3"/>
  <c r="AG68" i="3"/>
  <c r="AG76" i="3"/>
  <c r="AG84" i="3"/>
  <c r="AG92" i="3"/>
  <c r="AG100" i="3"/>
  <c r="AG108" i="3"/>
  <c r="AG116" i="3"/>
  <c r="AG124" i="3"/>
  <c r="AG132" i="3"/>
  <c r="AG142" i="3"/>
  <c r="AG150" i="3"/>
  <c r="AG158" i="3"/>
  <c r="AG169" i="3"/>
  <c r="AG8" i="3"/>
  <c r="AG27" i="3"/>
  <c r="AG54" i="3"/>
  <c r="AG62" i="3"/>
  <c r="AG70" i="3"/>
  <c r="AG78" i="3"/>
  <c r="AG86" i="3"/>
  <c r="AG94" i="3"/>
  <c r="AG102" i="3"/>
  <c r="AG110" i="3"/>
  <c r="AG118" i="3"/>
  <c r="AG134" i="3"/>
  <c r="AG144" i="3"/>
  <c r="AG152" i="3"/>
  <c r="AG161" i="3"/>
  <c r="AG171" i="3"/>
  <c r="AG11" i="3"/>
  <c r="AG29" i="3"/>
  <c r="AG43" i="3"/>
  <c r="AG55" i="3"/>
  <c r="AG63" i="3"/>
  <c r="AG71" i="3"/>
  <c r="AG79" i="3"/>
  <c r="AG87" i="3"/>
  <c r="AG95" i="3"/>
  <c r="AG103" i="3"/>
  <c r="AG111" i="3"/>
  <c r="AG119" i="3"/>
  <c r="AG127" i="3"/>
  <c r="AG135" i="3"/>
  <c r="AG145" i="3"/>
  <c r="AG153" i="3"/>
  <c r="AG162" i="3"/>
  <c r="AG5" i="3"/>
  <c r="AG13" i="3"/>
  <c r="AG32" i="3"/>
  <c r="AG47" i="3"/>
  <c r="AG57" i="3"/>
  <c r="AG65" i="3"/>
  <c r="AG73" i="3"/>
  <c r="AG81" i="3"/>
  <c r="AG89" i="3"/>
  <c r="AG97" i="3"/>
  <c r="AG105" i="3"/>
  <c r="AG113" i="3"/>
  <c r="AG121" i="3"/>
  <c r="AG129" i="3"/>
  <c r="AG137" i="3"/>
  <c r="AG147" i="3"/>
  <c r="AG155" i="3"/>
  <c r="AG164" i="3"/>
  <c r="AG4" i="3"/>
  <c r="AG30" i="3"/>
  <c r="AG56" i="3"/>
  <c r="AG72" i="3"/>
  <c r="AG88" i="3"/>
  <c r="AG104" i="3"/>
  <c r="AG120" i="3"/>
  <c r="AG136" i="3"/>
  <c r="AG154" i="3"/>
  <c r="AG172" i="3"/>
  <c r="AG183" i="3"/>
  <c r="AG192" i="3"/>
  <c r="AG201" i="3"/>
  <c r="AG211" i="3"/>
  <c r="AG219" i="3"/>
  <c r="AG229" i="3"/>
  <c r="AG237" i="3"/>
  <c r="AG248" i="3"/>
  <c r="AG257" i="3"/>
  <c r="AG266" i="3"/>
  <c r="AG274" i="3"/>
  <c r="AG285" i="3"/>
  <c r="AG6" i="3"/>
  <c r="AG35" i="3"/>
  <c r="AG58" i="3"/>
  <c r="AG74" i="3"/>
  <c r="AG90" i="3"/>
  <c r="AG106" i="3"/>
  <c r="AG122" i="3"/>
  <c r="AG156" i="3"/>
  <c r="AG184" i="3"/>
  <c r="AG193" i="3"/>
  <c r="AG202" i="3"/>
  <c r="AG212" i="3"/>
  <c r="AG220" i="3"/>
  <c r="AG230" i="3"/>
  <c r="AG238" i="3"/>
  <c r="AG249" i="3"/>
  <c r="AG258" i="3"/>
  <c r="AG267" i="3"/>
  <c r="AG275" i="3"/>
  <c r="AG286" i="3"/>
  <c r="AG9" i="3"/>
  <c r="AG36" i="3"/>
  <c r="AG59" i="3"/>
  <c r="AG75" i="3"/>
  <c r="AG91" i="3"/>
  <c r="AG107" i="3"/>
  <c r="AG123" i="3"/>
  <c r="AG139" i="3"/>
  <c r="AG157" i="3"/>
  <c r="AG175" i="3"/>
  <c r="AG185" i="3"/>
  <c r="AG194" i="3"/>
  <c r="AG203" i="3"/>
  <c r="AG213" i="3"/>
  <c r="AG221" i="3"/>
  <c r="AG231" i="3"/>
  <c r="AG240" i="3"/>
  <c r="AG251" i="3"/>
  <c r="AG259" i="3"/>
  <c r="AG268" i="3"/>
  <c r="AG276" i="3"/>
  <c r="AG287" i="3"/>
  <c r="AG7" i="3"/>
  <c r="AG39" i="3"/>
  <c r="AG61" i="3"/>
  <c r="AG77" i="3"/>
  <c r="AG93" i="3"/>
  <c r="AG109" i="3"/>
  <c r="AG125" i="3"/>
  <c r="AG143" i="3"/>
  <c r="AG159" i="3"/>
  <c r="AG176" i="3"/>
  <c r="AG186" i="3"/>
  <c r="AG195" i="3"/>
  <c r="AG204" i="3"/>
  <c r="AG214" i="3"/>
  <c r="AG222" i="3"/>
  <c r="AG232" i="3"/>
  <c r="AG241" i="3"/>
  <c r="AG252" i="3"/>
  <c r="AG260" i="3"/>
  <c r="AG269" i="3"/>
  <c r="AG12" i="3"/>
  <c r="AG64" i="3"/>
  <c r="AG80" i="3"/>
  <c r="AG96" i="3"/>
  <c r="AG112" i="3"/>
  <c r="AG128" i="3"/>
  <c r="AG146" i="3"/>
  <c r="AG163" i="3"/>
  <c r="AG177" i="3"/>
  <c r="AG187" i="3"/>
  <c r="AG196" i="3"/>
  <c r="AG205" i="3"/>
  <c r="AG215" i="3"/>
  <c r="AG223" i="3"/>
  <c r="AG233" i="3"/>
  <c r="AG244" i="3"/>
  <c r="AG253" i="3"/>
  <c r="AG262" i="3"/>
  <c r="AG270" i="3"/>
  <c r="AG279" i="3"/>
  <c r="AG53" i="3"/>
  <c r="AG99" i="3"/>
  <c r="AG148" i="3"/>
  <c r="AG182" i="3"/>
  <c r="AG209" i="3"/>
  <c r="AG234" i="3"/>
  <c r="AG256" i="3"/>
  <c r="AG280" i="3"/>
  <c r="AG66" i="3"/>
  <c r="AG101" i="3"/>
  <c r="AG149" i="3"/>
  <c r="AG188" i="3"/>
  <c r="AG207" i="3"/>
  <c r="AG235" i="3"/>
  <c r="AG263" i="3"/>
  <c r="AG281" i="3"/>
  <c r="AG67" i="3"/>
  <c r="AG114" i="3"/>
  <c r="AG151" i="3"/>
  <c r="AG189" i="3"/>
  <c r="AG216" i="3"/>
  <c r="AG236" i="3"/>
  <c r="AG264" i="3"/>
  <c r="AG283" i="3"/>
  <c r="AG21" i="3"/>
  <c r="AG69" i="3"/>
  <c r="AG115" i="3"/>
  <c r="AG166" i="3"/>
  <c r="AG190" i="3"/>
  <c r="AG217" i="3"/>
  <c r="AG245" i="3"/>
  <c r="AG265" i="3"/>
  <c r="AG289" i="3"/>
  <c r="AG22" i="3"/>
  <c r="AG82" i="3"/>
  <c r="AG117" i="3"/>
  <c r="AG167" i="3"/>
  <c r="AG197" i="3"/>
  <c r="AG218" i="3"/>
  <c r="AG246" i="3"/>
  <c r="AG271" i="3"/>
  <c r="AG51" i="3"/>
  <c r="AG98" i="3"/>
  <c r="AG179" i="3"/>
  <c r="AG206" i="3"/>
  <c r="AG228" i="3"/>
  <c r="AG255" i="3"/>
  <c r="AG278" i="3"/>
  <c r="AG131" i="3"/>
  <c r="AG254" i="3"/>
  <c r="AG170" i="3"/>
  <c r="AG272" i="3"/>
  <c r="AG178" i="3"/>
  <c r="AG273" i="3"/>
  <c r="AG26" i="3"/>
  <c r="AG198" i="3"/>
  <c r="AG50" i="3"/>
  <c r="AG200" i="3"/>
  <c r="AG130" i="3"/>
  <c r="AG247" i="3"/>
  <c r="AG83" i="3"/>
  <c r="AG85" i="3"/>
  <c r="AG226" i="3"/>
  <c r="AG227" i="3"/>
  <c r="E408" i="8"/>
  <c r="D408" i="8"/>
  <c r="B408" i="8"/>
  <c r="A408" i="8"/>
  <c r="E407" i="8"/>
  <c r="D407" i="8"/>
  <c r="B407" i="8"/>
  <c r="A407" i="8"/>
  <c r="E406" i="8"/>
  <c r="D406" i="8"/>
  <c r="B406" i="8"/>
  <c r="A406" i="8"/>
  <c r="E405" i="8"/>
  <c r="D405" i="8"/>
  <c r="B405" i="8"/>
  <c r="A405" i="8"/>
  <c r="E404" i="8"/>
  <c r="D404" i="8"/>
  <c r="B404" i="8"/>
  <c r="A404" i="8"/>
  <c r="E403" i="8"/>
  <c r="D403" i="8"/>
  <c r="B403" i="8"/>
  <c r="A403" i="8"/>
  <c r="E402" i="8"/>
  <c r="D402" i="8"/>
  <c r="B402" i="8"/>
  <c r="A402" i="8"/>
  <c r="E401" i="8"/>
  <c r="D401" i="8"/>
  <c r="B401" i="8"/>
  <c r="A401" i="8"/>
  <c r="E400" i="8"/>
  <c r="D400" i="8"/>
  <c r="B400" i="8"/>
  <c r="A400" i="8"/>
  <c r="E397" i="8"/>
  <c r="D397" i="8"/>
  <c r="B397" i="8"/>
  <c r="A397" i="8"/>
  <c r="E396" i="8"/>
  <c r="D396" i="8"/>
  <c r="B396" i="8"/>
  <c r="A396" i="8"/>
  <c r="E395" i="8"/>
  <c r="D395" i="8"/>
  <c r="B395" i="8"/>
  <c r="A395" i="8"/>
  <c r="E394" i="8"/>
  <c r="D394" i="8"/>
  <c r="B394" i="8"/>
  <c r="A394" i="8"/>
  <c r="E393" i="8"/>
  <c r="D393" i="8"/>
  <c r="B393" i="8"/>
  <c r="A393" i="8"/>
  <c r="E392" i="8"/>
  <c r="D392" i="8"/>
  <c r="B392" i="8"/>
  <c r="A392" i="8"/>
  <c r="E391" i="8"/>
  <c r="D391" i="8"/>
  <c r="B391" i="8"/>
  <c r="A391" i="8"/>
  <c r="E390" i="8"/>
  <c r="D390" i="8"/>
  <c r="B390" i="8"/>
  <c r="A390" i="8"/>
  <c r="E389" i="8"/>
  <c r="D389" i="8"/>
  <c r="B389" i="8"/>
  <c r="A389" i="8"/>
  <c r="E388" i="8"/>
  <c r="D388" i="8"/>
  <c r="B388" i="8"/>
  <c r="A388" i="8"/>
  <c r="E387" i="8"/>
  <c r="D387" i="8"/>
  <c r="B387" i="8"/>
  <c r="A387" i="8"/>
  <c r="AF208" i="3" l="1"/>
  <c r="AF292" i="3"/>
  <c r="AF293" i="3"/>
  <c r="AF294" i="3"/>
  <c r="AF295" i="3"/>
  <c r="AF296" i="3"/>
  <c r="AF291" i="3"/>
  <c r="AF290" i="3"/>
  <c r="AF199" i="3"/>
  <c r="AF28" i="3"/>
  <c r="AF45" i="3"/>
  <c r="AF42" i="3"/>
  <c r="AF168" i="3"/>
  <c r="AF46" i="3"/>
  <c r="AF243" i="3"/>
  <c r="AF44" i="3"/>
  <c r="AF261" i="3"/>
  <c r="AF191" i="3"/>
  <c r="AF133" i="3"/>
  <c r="AF126" i="3"/>
  <c r="AF41" i="3"/>
  <c r="AF165" i="3"/>
  <c r="AF250" i="3"/>
  <c r="AF173" i="3"/>
  <c r="AF174" i="3"/>
  <c r="AF140" i="3"/>
  <c r="AF40" i="3"/>
  <c r="AF181" i="3"/>
  <c r="AF24" i="3"/>
  <c r="AF138" i="3"/>
  <c r="AF48" i="3"/>
  <c r="AF224" i="3"/>
  <c r="AF210" i="3"/>
  <c r="AF49" i="3"/>
  <c r="AF242" i="3"/>
  <c r="AF19" i="3"/>
  <c r="AF14" i="3"/>
  <c r="AF16" i="3"/>
  <c r="AF277" i="3"/>
  <c r="AF225" i="3"/>
  <c r="AF31" i="3"/>
  <c r="AF17" i="3"/>
  <c r="AF239" i="3"/>
  <c r="AF20" i="3"/>
  <c r="AF33" i="3"/>
  <c r="AF18" i="3"/>
  <c r="AF34" i="3"/>
  <c r="AF282" i="3"/>
  <c r="AF37" i="3"/>
  <c r="AF180" i="3"/>
  <c r="AF23" i="3"/>
  <c r="AF284" i="3"/>
  <c r="AF15" i="3"/>
  <c r="AF160" i="3"/>
  <c r="AF141" i="3"/>
  <c r="AF288" i="3"/>
  <c r="AF10" i="3"/>
  <c r="AF25" i="3"/>
  <c r="AF38" i="3"/>
  <c r="AF52" i="3"/>
  <c r="AF60" i="3"/>
  <c r="AF68" i="3"/>
  <c r="AF76" i="3"/>
  <c r="AF84" i="3"/>
  <c r="AF92" i="3"/>
  <c r="AF100" i="3"/>
  <c r="AF108" i="3"/>
  <c r="AF116" i="3"/>
  <c r="AF124" i="3"/>
  <c r="AF132" i="3"/>
  <c r="AF142" i="3"/>
  <c r="AF150" i="3"/>
  <c r="AF158" i="3"/>
  <c r="AF169" i="3"/>
  <c r="AF178" i="3"/>
  <c r="AF188" i="3"/>
  <c r="AF197" i="3"/>
  <c r="AF206" i="3"/>
  <c r="AF216" i="3"/>
  <c r="AF226" i="3"/>
  <c r="AF234" i="3"/>
  <c r="AF245" i="3"/>
  <c r="AF254" i="3"/>
  <c r="AF263" i="3"/>
  <c r="AF271" i="3"/>
  <c r="AF280" i="3"/>
  <c r="AF7" i="3"/>
  <c r="AF26" i="3"/>
  <c r="AF39" i="3"/>
  <c r="AF53" i="3"/>
  <c r="AF61" i="3"/>
  <c r="AF69" i="3"/>
  <c r="AF77" i="3"/>
  <c r="AF85" i="3"/>
  <c r="AF93" i="3"/>
  <c r="AF101" i="3"/>
  <c r="AF109" i="3"/>
  <c r="AF117" i="3"/>
  <c r="AF125" i="3"/>
  <c r="AF143" i="3"/>
  <c r="AF151" i="3"/>
  <c r="AF159" i="3"/>
  <c r="AF170" i="3"/>
  <c r="AF179" i="3"/>
  <c r="AF189" i="3"/>
  <c r="AF198" i="3"/>
  <c r="AF209" i="3"/>
  <c r="AF217" i="3"/>
  <c r="AF227" i="3"/>
  <c r="AF235" i="3"/>
  <c r="AF246" i="3"/>
  <c r="AF255" i="3"/>
  <c r="AF264" i="3"/>
  <c r="AF272" i="3"/>
  <c r="AF281" i="3"/>
  <c r="AF8" i="3"/>
  <c r="AF27" i="3"/>
  <c r="AF54" i="3"/>
  <c r="AF62" i="3"/>
  <c r="AF70" i="3"/>
  <c r="AF78" i="3"/>
  <c r="AF86" i="3"/>
  <c r="AF94" i="3"/>
  <c r="AF102" i="3"/>
  <c r="AF110" i="3"/>
  <c r="AF118" i="3"/>
  <c r="AF134" i="3"/>
  <c r="AF144" i="3"/>
  <c r="AF152" i="3"/>
  <c r="AF161" i="3"/>
  <c r="AF171" i="3"/>
  <c r="AF182" i="3"/>
  <c r="AF190" i="3"/>
  <c r="AF200" i="3"/>
  <c r="AF207" i="3"/>
  <c r="AF218" i="3"/>
  <c r="AF228" i="3"/>
  <c r="AF236" i="3"/>
  <c r="AF247" i="3"/>
  <c r="AF256" i="3"/>
  <c r="AF265" i="3"/>
  <c r="AF273" i="3"/>
  <c r="AF283" i="3"/>
  <c r="AF4" i="3"/>
  <c r="AF12" i="3"/>
  <c r="AF30" i="3"/>
  <c r="AF56" i="3"/>
  <c r="AF64" i="3"/>
  <c r="AF72" i="3"/>
  <c r="AF80" i="3"/>
  <c r="AF88" i="3"/>
  <c r="AF96" i="3"/>
  <c r="AF104" i="3"/>
  <c r="AF112" i="3"/>
  <c r="AF120" i="3"/>
  <c r="AF128" i="3"/>
  <c r="AF136" i="3"/>
  <c r="AF146" i="3"/>
  <c r="AF154" i="3"/>
  <c r="AF163" i="3"/>
  <c r="AF184" i="3"/>
  <c r="AF193" i="3"/>
  <c r="AF202" i="3"/>
  <c r="AF212" i="3"/>
  <c r="AF220" i="3"/>
  <c r="AF230" i="3"/>
  <c r="AF238" i="3"/>
  <c r="AF249" i="3"/>
  <c r="AF258" i="3"/>
  <c r="AF267" i="3"/>
  <c r="AF275" i="3"/>
  <c r="AF286" i="3"/>
  <c r="AF13" i="3"/>
  <c r="AF47" i="3"/>
  <c r="AF65" i="3"/>
  <c r="AF81" i="3"/>
  <c r="AF97" i="3"/>
  <c r="AF113" i="3"/>
  <c r="AF129" i="3"/>
  <c r="AF147" i="3"/>
  <c r="AF164" i="3"/>
  <c r="AF185" i="3"/>
  <c r="AF203" i="3"/>
  <c r="AF221" i="3"/>
  <c r="AF240" i="3"/>
  <c r="AF259" i="3"/>
  <c r="AF276" i="3"/>
  <c r="AF21" i="3"/>
  <c r="AF50" i="3"/>
  <c r="AF66" i="3"/>
  <c r="AF82" i="3"/>
  <c r="AF98" i="3"/>
  <c r="AF114" i="3"/>
  <c r="AF130" i="3"/>
  <c r="AF148" i="3"/>
  <c r="AF166" i="3"/>
  <c r="AF186" i="3"/>
  <c r="AF204" i="3"/>
  <c r="AF222" i="3"/>
  <c r="AF241" i="3"/>
  <c r="AF260" i="3"/>
  <c r="AF278" i="3"/>
  <c r="AF22" i="3"/>
  <c r="AF51" i="3"/>
  <c r="AF67" i="3"/>
  <c r="AF83" i="3"/>
  <c r="AF99" i="3"/>
  <c r="AF115" i="3"/>
  <c r="AF131" i="3"/>
  <c r="AF149" i="3"/>
  <c r="AF167" i="3"/>
  <c r="AF187" i="3"/>
  <c r="AF205" i="3"/>
  <c r="AF223" i="3"/>
  <c r="AF244" i="3"/>
  <c r="AF262" i="3"/>
  <c r="AF279" i="3"/>
  <c r="AF29" i="3"/>
  <c r="AF55" i="3"/>
  <c r="AF71" i="3"/>
  <c r="AF87" i="3"/>
  <c r="AF103" i="3"/>
  <c r="AF119" i="3"/>
  <c r="AF135" i="3"/>
  <c r="AF153" i="3"/>
  <c r="AF172" i="3"/>
  <c r="AF192" i="3"/>
  <c r="AF211" i="3"/>
  <c r="AF229" i="3"/>
  <c r="AF248" i="3"/>
  <c r="AF266" i="3"/>
  <c r="AF285" i="3"/>
  <c r="AF5" i="3"/>
  <c r="AF32" i="3"/>
  <c r="AF57" i="3"/>
  <c r="AF73" i="3"/>
  <c r="AF89" i="3"/>
  <c r="AF105" i="3"/>
  <c r="AF121" i="3"/>
  <c r="AF137" i="3"/>
  <c r="AF155" i="3"/>
  <c r="AF175" i="3"/>
  <c r="AF194" i="3"/>
  <c r="AF213" i="3"/>
  <c r="AF231" i="3"/>
  <c r="AF251" i="3"/>
  <c r="AF268" i="3"/>
  <c r="AF287" i="3"/>
  <c r="AF11" i="3"/>
  <c r="AF43" i="3"/>
  <c r="AF63" i="3"/>
  <c r="AF79" i="3"/>
  <c r="AF95" i="3"/>
  <c r="AF111" i="3"/>
  <c r="AF127" i="3"/>
  <c r="AF145" i="3"/>
  <c r="AF162" i="3"/>
  <c r="AF183" i="3"/>
  <c r="AF201" i="3"/>
  <c r="AF219" i="3"/>
  <c r="AF237" i="3"/>
  <c r="AF257" i="3"/>
  <c r="AF274" i="3"/>
  <c r="AF59" i="3"/>
  <c r="AF123" i="3"/>
  <c r="AF196" i="3"/>
  <c r="AF270" i="3"/>
  <c r="AF74" i="3"/>
  <c r="AF214" i="3"/>
  <c r="AF289" i="3"/>
  <c r="AF75" i="3"/>
  <c r="AF139" i="3"/>
  <c r="AF215" i="3"/>
  <c r="AF6" i="3"/>
  <c r="AF90" i="3"/>
  <c r="AF156" i="3"/>
  <c r="AF232" i="3"/>
  <c r="AF9" i="3"/>
  <c r="AF91" i="3"/>
  <c r="AF157" i="3"/>
  <c r="AF233" i="3"/>
  <c r="AF58" i="3"/>
  <c r="AF122" i="3"/>
  <c r="AF195" i="3"/>
  <c r="AF269" i="3"/>
  <c r="AF107" i="3"/>
  <c r="AF176" i="3"/>
  <c r="AF177" i="3"/>
  <c r="AF252" i="3"/>
  <c r="AF253" i="3"/>
  <c r="AF35" i="3"/>
  <c r="AF106" i="3"/>
  <c r="AF36" i="3"/>
  <c r="E384" i="8"/>
  <c r="D384" i="8"/>
  <c r="B384" i="8"/>
  <c r="A384" i="8"/>
  <c r="E383" i="8"/>
  <c r="D383" i="8"/>
  <c r="B383" i="8"/>
  <c r="A383" i="8"/>
  <c r="E382" i="8"/>
  <c r="D382" i="8"/>
  <c r="B382" i="8"/>
  <c r="A382" i="8"/>
  <c r="E381" i="8"/>
  <c r="D381" i="8"/>
  <c r="B381" i="8"/>
  <c r="A381" i="8"/>
  <c r="E380" i="8"/>
  <c r="D380" i="8"/>
  <c r="B380" i="8"/>
  <c r="A380" i="8"/>
  <c r="E379" i="8"/>
  <c r="D379" i="8"/>
  <c r="B379" i="8"/>
  <c r="A379" i="8"/>
  <c r="E378" i="8"/>
  <c r="D378" i="8"/>
  <c r="B378" i="8"/>
  <c r="A378" i="8"/>
  <c r="E377" i="8"/>
  <c r="D377" i="8"/>
  <c r="B377" i="8"/>
  <c r="A377" i="8"/>
  <c r="E376" i="8"/>
  <c r="D376" i="8"/>
  <c r="B376" i="8"/>
  <c r="A376" i="8"/>
  <c r="E375" i="8"/>
  <c r="D375" i="8"/>
  <c r="B375" i="8"/>
  <c r="A375" i="8"/>
  <c r="E374" i="8"/>
  <c r="D374" i="8"/>
  <c r="B374" i="8"/>
  <c r="A374" i="8"/>
  <c r="E373" i="8"/>
  <c r="D373" i="8"/>
  <c r="B373" i="8"/>
  <c r="A373" i="8"/>
  <c r="E372" i="8"/>
  <c r="D372" i="8"/>
  <c r="B372" i="8"/>
  <c r="A372" i="8"/>
  <c r="E371" i="8"/>
  <c r="D371" i="8"/>
  <c r="B371" i="8"/>
  <c r="A371" i="8"/>
  <c r="E370" i="8"/>
  <c r="D370" i="8"/>
  <c r="B370" i="8"/>
  <c r="A370" i="8"/>
  <c r="E369" i="8"/>
  <c r="D369" i="8"/>
  <c r="B369" i="8"/>
  <c r="A369" i="8"/>
  <c r="E368" i="8"/>
  <c r="D368" i="8"/>
  <c r="B368" i="8"/>
  <c r="A368" i="8"/>
  <c r="E367" i="8"/>
  <c r="D367" i="8"/>
  <c r="B367" i="8"/>
  <c r="A367" i="8"/>
  <c r="E366" i="8"/>
  <c r="D366" i="8"/>
  <c r="B366" i="8"/>
  <c r="A366" i="8"/>
  <c r="E365" i="8"/>
  <c r="D365" i="8"/>
  <c r="B365" i="8"/>
  <c r="A365" i="8"/>
  <c r="AE208" i="3" l="1"/>
  <c r="AE291" i="3"/>
  <c r="AE292" i="3"/>
  <c r="AE293" i="3"/>
  <c r="AE294" i="3"/>
  <c r="AE295" i="3"/>
  <c r="AE296" i="3"/>
  <c r="AE290" i="3"/>
  <c r="AE199" i="3"/>
  <c r="AE28" i="3"/>
  <c r="AE45" i="3"/>
  <c r="AE243" i="3"/>
  <c r="AE44" i="3"/>
  <c r="AE261" i="3"/>
  <c r="AE191" i="3"/>
  <c r="AE126" i="3"/>
  <c r="AE41" i="3"/>
  <c r="AE165" i="3"/>
  <c r="AE133" i="3"/>
  <c r="AE250" i="3"/>
  <c r="AE46" i="3"/>
  <c r="AE42" i="3"/>
  <c r="AE168" i="3"/>
  <c r="AE173" i="3"/>
  <c r="AE174" i="3"/>
  <c r="AE140" i="3"/>
  <c r="AE40" i="3"/>
  <c r="AE181" i="3"/>
  <c r="AE24" i="3"/>
  <c r="AE138" i="3"/>
  <c r="AE48" i="3"/>
  <c r="AE224" i="3"/>
  <c r="AE210" i="3"/>
  <c r="AE49" i="3"/>
  <c r="AE242" i="3"/>
  <c r="AE19" i="3"/>
  <c r="AE14" i="3"/>
  <c r="AE16" i="3"/>
  <c r="AE277" i="3"/>
  <c r="AE225" i="3"/>
  <c r="AE31" i="3"/>
  <c r="AE17" i="3"/>
  <c r="AE239" i="3"/>
  <c r="AE20" i="3"/>
  <c r="AE33" i="3"/>
  <c r="AE18" i="3"/>
  <c r="AE34" i="3"/>
  <c r="AE282" i="3"/>
  <c r="AE37" i="3"/>
  <c r="AE180" i="3"/>
  <c r="AE23" i="3"/>
  <c r="AE284" i="3"/>
  <c r="AE15" i="3"/>
  <c r="AE160" i="3"/>
  <c r="AE141" i="3"/>
  <c r="AE288" i="3"/>
  <c r="AE5" i="3"/>
  <c r="AE13" i="3"/>
  <c r="AE32" i="3"/>
  <c r="AE47" i="3"/>
  <c r="AE57" i="3"/>
  <c r="AE65" i="3"/>
  <c r="AE73" i="3"/>
  <c r="AE81" i="3"/>
  <c r="AE89" i="3"/>
  <c r="AE97" i="3"/>
  <c r="AE105" i="3"/>
  <c r="AE113" i="3"/>
  <c r="AE121" i="3"/>
  <c r="AE6" i="3"/>
  <c r="AE21" i="3"/>
  <c r="AE35" i="3"/>
  <c r="AE50" i="3"/>
  <c r="AE58" i="3"/>
  <c r="AE66" i="3"/>
  <c r="AE74" i="3"/>
  <c r="AE82" i="3"/>
  <c r="AE90" i="3"/>
  <c r="AE98" i="3"/>
  <c r="AE106" i="3"/>
  <c r="AE114" i="3"/>
  <c r="AE122" i="3"/>
  <c r="AE9" i="3"/>
  <c r="AE22" i="3"/>
  <c r="AE36" i="3"/>
  <c r="AE51" i="3"/>
  <c r="AE59" i="3"/>
  <c r="AE67" i="3"/>
  <c r="AE75" i="3"/>
  <c r="AE83" i="3"/>
  <c r="AE91" i="3"/>
  <c r="AE99" i="3"/>
  <c r="AE7" i="3"/>
  <c r="AE26" i="3"/>
  <c r="AE39" i="3"/>
  <c r="AE53" i="3"/>
  <c r="AE61" i="3"/>
  <c r="AE69" i="3"/>
  <c r="AE77" i="3"/>
  <c r="AE85" i="3"/>
  <c r="AE93" i="3"/>
  <c r="AE101" i="3"/>
  <c r="AE109" i="3"/>
  <c r="AE117" i="3"/>
  <c r="AE125" i="3"/>
  <c r="AE8" i="3"/>
  <c r="AE62" i="3"/>
  <c r="AE78" i="3"/>
  <c r="AE94" i="3"/>
  <c r="AE108" i="3"/>
  <c r="AE120" i="3"/>
  <c r="AE131" i="3"/>
  <c r="AE139" i="3"/>
  <c r="AE149" i="3"/>
  <c r="AE157" i="3"/>
  <c r="AE167" i="3"/>
  <c r="AE177" i="3"/>
  <c r="AE187" i="3"/>
  <c r="AE196" i="3"/>
  <c r="AE205" i="3"/>
  <c r="AE215" i="3"/>
  <c r="AE223" i="3"/>
  <c r="AE233" i="3"/>
  <c r="AE244" i="3"/>
  <c r="AE253" i="3"/>
  <c r="AE262" i="3"/>
  <c r="AE270" i="3"/>
  <c r="AE279" i="3"/>
  <c r="AE11" i="3"/>
  <c r="AE43" i="3"/>
  <c r="AE63" i="3"/>
  <c r="AE79" i="3"/>
  <c r="AE95" i="3"/>
  <c r="AE110" i="3"/>
  <c r="AE123" i="3"/>
  <c r="AE132" i="3"/>
  <c r="AE142" i="3"/>
  <c r="AE150" i="3"/>
  <c r="AE158" i="3"/>
  <c r="AE169" i="3"/>
  <c r="AE178" i="3"/>
  <c r="AE188" i="3"/>
  <c r="AE197" i="3"/>
  <c r="AE206" i="3"/>
  <c r="AE216" i="3"/>
  <c r="AE226" i="3"/>
  <c r="AE234" i="3"/>
  <c r="AE245" i="3"/>
  <c r="AE254" i="3"/>
  <c r="AE263" i="3"/>
  <c r="AE271" i="3"/>
  <c r="AE280" i="3"/>
  <c r="AE12" i="3"/>
  <c r="AE64" i="3"/>
  <c r="AE80" i="3"/>
  <c r="AE96" i="3"/>
  <c r="AE111" i="3"/>
  <c r="AE124" i="3"/>
  <c r="AE143" i="3"/>
  <c r="AE151" i="3"/>
  <c r="AE159" i="3"/>
  <c r="AE170" i="3"/>
  <c r="AE179" i="3"/>
  <c r="AE189" i="3"/>
  <c r="AE198" i="3"/>
  <c r="AE209" i="3"/>
  <c r="AE217" i="3"/>
  <c r="AE227" i="3"/>
  <c r="AE235" i="3"/>
  <c r="AE246" i="3"/>
  <c r="AE255" i="3"/>
  <c r="AE264" i="3"/>
  <c r="AE272" i="3"/>
  <c r="AE281" i="3"/>
  <c r="AE25" i="3"/>
  <c r="AE52" i="3"/>
  <c r="AE68" i="3"/>
  <c r="AE84" i="3"/>
  <c r="AE100" i="3"/>
  <c r="AE112" i="3"/>
  <c r="AE134" i="3"/>
  <c r="AE144" i="3"/>
  <c r="AE152" i="3"/>
  <c r="AE161" i="3"/>
  <c r="AE171" i="3"/>
  <c r="AE182" i="3"/>
  <c r="AE190" i="3"/>
  <c r="AE200" i="3"/>
  <c r="AE207" i="3"/>
  <c r="AE218" i="3"/>
  <c r="AE228" i="3"/>
  <c r="AE236" i="3"/>
  <c r="AE247" i="3"/>
  <c r="AE256" i="3"/>
  <c r="AE265" i="3"/>
  <c r="AE273" i="3"/>
  <c r="AE283" i="3"/>
  <c r="AE27" i="3"/>
  <c r="AE54" i="3"/>
  <c r="AE70" i="3"/>
  <c r="AE86" i="3"/>
  <c r="AE102" i="3"/>
  <c r="AE115" i="3"/>
  <c r="AE127" i="3"/>
  <c r="AE135" i="3"/>
  <c r="AE145" i="3"/>
  <c r="AE153" i="3"/>
  <c r="AE162" i="3"/>
  <c r="AE172" i="3"/>
  <c r="AE183" i="3"/>
  <c r="AE192" i="3"/>
  <c r="AE201" i="3"/>
  <c r="AE211" i="3"/>
  <c r="AE219" i="3"/>
  <c r="AE229" i="3"/>
  <c r="AE237" i="3"/>
  <c r="AE248" i="3"/>
  <c r="AE257" i="3"/>
  <c r="AE266" i="3"/>
  <c r="AE274" i="3"/>
  <c r="AE285" i="3"/>
  <c r="AE10" i="3"/>
  <c r="AE38" i="3"/>
  <c r="AE60" i="3"/>
  <c r="AE76" i="3"/>
  <c r="AE92" i="3"/>
  <c r="AE107" i="3"/>
  <c r="AE119" i="3"/>
  <c r="AE130" i="3"/>
  <c r="AE148" i="3"/>
  <c r="AE156" i="3"/>
  <c r="AE166" i="3"/>
  <c r="AE176" i="3"/>
  <c r="AE186" i="3"/>
  <c r="AE195" i="3"/>
  <c r="AE204" i="3"/>
  <c r="AE214" i="3"/>
  <c r="AE222" i="3"/>
  <c r="AE232" i="3"/>
  <c r="AE241" i="3"/>
  <c r="AE252" i="3"/>
  <c r="AE260" i="3"/>
  <c r="AE269" i="3"/>
  <c r="AE278" i="3"/>
  <c r="AE289" i="3"/>
  <c r="AE72" i="3"/>
  <c r="AE129" i="3"/>
  <c r="AE164" i="3"/>
  <c r="AE203" i="3"/>
  <c r="AE240" i="3"/>
  <c r="AE276" i="3"/>
  <c r="AE87" i="3"/>
  <c r="AE136" i="3"/>
  <c r="AE212" i="3"/>
  <c r="AE249" i="3"/>
  <c r="AE286" i="3"/>
  <c r="AE4" i="3"/>
  <c r="AE88" i="3"/>
  <c r="AE137" i="3"/>
  <c r="AE175" i="3"/>
  <c r="AE213" i="3"/>
  <c r="AE251" i="3"/>
  <c r="AE287" i="3"/>
  <c r="AE29" i="3"/>
  <c r="AE103" i="3"/>
  <c r="AE146" i="3"/>
  <c r="AE184" i="3"/>
  <c r="AE220" i="3"/>
  <c r="AE258" i="3"/>
  <c r="AE30" i="3"/>
  <c r="AE104" i="3"/>
  <c r="AE147" i="3"/>
  <c r="AE185" i="3"/>
  <c r="AE221" i="3"/>
  <c r="AE259" i="3"/>
  <c r="AE71" i="3"/>
  <c r="AE128" i="3"/>
  <c r="AE163" i="3"/>
  <c r="AE202" i="3"/>
  <c r="AE238" i="3"/>
  <c r="AE275" i="3"/>
  <c r="AE118" i="3"/>
  <c r="AE268" i="3"/>
  <c r="AE154" i="3"/>
  <c r="AE155" i="3"/>
  <c r="AE193" i="3"/>
  <c r="AE194" i="3"/>
  <c r="AE55" i="3"/>
  <c r="AE230" i="3"/>
  <c r="AE116" i="3"/>
  <c r="AE267" i="3"/>
  <c r="AE231" i="3"/>
  <c r="AE56" i="3"/>
  <c r="E362" i="8"/>
  <c r="D362" i="8"/>
  <c r="B362" i="8"/>
  <c r="A362" i="8"/>
  <c r="E361" i="8"/>
  <c r="D361" i="8"/>
  <c r="B361" i="8"/>
  <c r="A361" i="8"/>
  <c r="E360" i="8"/>
  <c r="D360" i="8"/>
  <c r="B360" i="8"/>
  <c r="A360" i="8"/>
  <c r="E359" i="8"/>
  <c r="D359" i="8"/>
  <c r="B359" i="8"/>
  <c r="A359" i="8"/>
  <c r="E358" i="8"/>
  <c r="D358" i="8"/>
  <c r="B358" i="8"/>
  <c r="A358" i="8"/>
  <c r="E357" i="8"/>
  <c r="D357" i="8"/>
  <c r="B357" i="8"/>
  <c r="A357" i="8"/>
  <c r="E356" i="8"/>
  <c r="D356" i="8"/>
  <c r="B356" i="8"/>
  <c r="A356" i="8"/>
  <c r="E355" i="8"/>
  <c r="D355" i="8"/>
  <c r="B355" i="8"/>
  <c r="A355" i="8"/>
  <c r="E354" i="8"/>
  <c r="D354" i="8"/>
  <c r="B354" i="8"/>
  <c r="A354" i="8"/>
  <c r="E353" i="8"/>
  <c r="D353" i="8"/>
  <c r="B353" i="8"/>
  <c r="A353" i="8"/>
  <c r="E352" i="8"/>
  <c r="D352" i="8"/>
  <c r="B352" i="8"/>
  <c r="A352" i="8"/>
  <c r="E351" i="8"/>
  <c r="D351" i="8"/>
  <c r="B351" i="8"/>
  <c r="A351" i="8"/>
  <c r="E350" i="8"/>
  <c r="D350" i="8"/>
  <c r="B350" i="8"/>
  <c r="A350" i="8"/>
  <c r="E349" i="8"/>
  <c r="D349" i="8"/>
  <c r="B349" i="8"/>
  <c r="A349" i="8"/>
  <c r="E348" i="8"/>
  <c r="D348" i="8"/>
  <c r="B348" i="8"/>
  <c r="A348" i="8"/>
  <c r="E347" i="8"/>
  <c r="D347" i="8"/>
  <c r="B347" i="8"/>
  <c r="A347" i="8"/>
  <c r="E346" i="8"/>
  <c r="D346" i="8"/>
  <c r="B346" i="8"/>
  <c r="A346" i="8"/>
  <c r="E345" i="8"/>
  <c r="D345" i="8"/>
  <c r="B345" i="8"/>
  <c r="A345" i="8"/>
  <c r="E344" i="8"/>
  <c r="D344" i="8"/>
  <c r="B344" i="8"/>
  <c r="A344" i="8"/>
  <c r="E343" i="8"/>
  <c r="D343" i="8"/>
  <c r="B343" i="8"/>
  <c r="A343" i="8"/>
  <c r="AD208" i="3" l="1"/>
  <c r="AD290" i="3"/>
  <c r="AD291" i="3"/>
  <c r="AD292" i="3"/>
  <c r="AD293" i="3"/>
  <c r="AD294" i="3"/>
  <c r="AD295" i="3"/>
  <c r="AD296" i="3"/>
  <c r="AD199" i="3"/>
  <c r="AD28" i="3"/>
  <c r="AD243" i="3"/>
  <c r="AD44" i="3"/>
  <c r="AD261" i="3"/>
  <c r="AD191" i="3"/>
  <c r="AD42" i="3"/>
  <c r="AD126" i="3"/>
  <c r="AD41" i="3"/>
  <c r="AD165" i="3"/>
  <c r="AD168" i="3"/>
  <c r="AD45" i="3"/>
  <c r="AD133" i="3"/>
  <c r="AD250" i="3"/>
  <c r="AD46" i="3"/>
  <c r="AD173" i="3"/>
  <c r="AD174" i="3"/>
  <c r="AD140" i="3"/>
  <c r="AD40" i="3"/>
  <c r="AD181" i="3"/>
  <c r="AD24" i="3"/>
  <c r="AD138" i="3"/>
  <c r="AD48" i="3"/>
  <c r="AD224" i="3"/>
  <c r="AD210" i="3"/>
  <c r="AD49" i="3"/>
  <c r="AD242" i="3"/>
  <c r="AD19" i="3"/>
  <c r="AD14" i="3"/>
  <c r="AD16" i="3"/>
  <c r="AD277" i="3"/>
  <c r="AD225" i="3"/>
  <c r="AD31" i="3"/>
  <c r="AD17" i="3"/>
  <c r="AD239" i="3"/>
  <c r="AD20" i="3"/>
  <c r="AD33" i="3"/>
  <c r="AD18" i="3"/>
  <c r="AD34" i="3"/>
  <c r="AD282" i="3"/>
  <c r="AD37" i="3"/>
  <c r="AD180" i="3"/>
  <c r="AD23" i="3"/>
  <c r="AD284" i="3"/>
  <c r="AD15" i="3"/>
  <c r="AD160" i="3"/>
  <c r="AD141" i="3"/>
  <c r="AD288" i="3"/>
  <c r="AD4" i="3"/>
  <c r="AD12" i="3"/>
  <c r="AD30" i="3"/>
  <c r="AD56" i="3"/>
  <c r="AD64" i="3"/>
  <c r="AD72" i="3"/>
  <c r="AD80" i="3"/>
  <c r="AD88" i="3"/>
  <c r="AD96" i="3"/>
  <c r="AD104" i="3"/>
  <c r="AD112" i="3"/>
  <c r="AD120" i="3"/>
  <c r="AD128" i="3"/>
  <c r="AD136" i="3"/>
  <c r="AD146" i="3"/>
  <c r="AD154" i="3"/>
  <c r="AD163" i="3"/>
  <c r="AD184" i="3"/>
  <c r="AD193" i="3"/>
  <c r="AD202" i="3"/>
  <c r="AD212" i="3"/>
  <c r="AD220" i="3"/>
  <c r="AD230" i="3"/>
  <c r="AD238" i="3"/>
  <c r="AD249" i="3"/>
  <c r="AD258" i="3"/>
  <c r="AD267" i="3"/>
  <c r="AD275" i="3"/>
  <c r="AD286" i="3"/>
  <c r="AD5" i="3"/>
  <c r="AD13" i="3"/>
  <c r="AD32" i="3"/>
  <c r="AD47" i="3"/>
  <c r="AD57" i="3"/>
  <c r="AD65" i="3"/>
  <c r="AD73" i="3"/>
  <c r="AD81" i="3"/>
  <c r="AD89" i="3"/>
  <c r="AD97" i="3"/>
  <c r="AD105" i="3"/>
  <c r="AD113" i="3"/>
  <c r="AD121" i="3"/>
  <c r="AD129" i="3"/>
  <c r="AD137" i="3"/>
  <c r="AD147" i="3"/>
  <c r="AD155" i="3"/>
  <c r="AD164" i="3"/>
  <c r="AD175" i="3"/>
  <c r="AD185" i="3"/>
  <c r="AD194" i="3"/>
  <c r="AD203" i="3"/>
  <c r="AD213" i="3"/>
  <c r="AD221" i="3"/>
  <c r="AD231" i="3"/>
  <c r="AD240" i="3"/>
  <c r="AD251" i="3"/>
  <c r="AD259" i="3"/>
  <c r="AD268" i="3"/>
  <c r="AD276" i="3"/>
  <c r="AD287" i="3"/>
  <c r="AD6" i="3"/>
  <c r="AD21" i="3"/>
  <c r="AD35" i="3"/>
  <c r="AD50" i="3"/>
  <c r="AD58" i="3"/>
  <c r="AD66" i="3"/>
  <c r="AD74" i="3"/>
  <c r="AD82" i="3"/>
  <c r="AD90" i="3"/>
  <c r="AD98" i="3"/>
  <c r="AD106" i="3"/>
  <c r="AD114" i="3"/>
  <c r="AD122" i="3"/>
  <c r="AD130" i="3"/>
  <c r="AD148" i="3"/>
  <c r="AD156" i="3"/>
  <c r="AD166" i="3"/>
  <c r="AD176" i="3"/>
  <c r="AD186" i="3"/>
  <c r="AD195" i="3"/>
  <c r="AD204" i="3"/>
  <c r="AD214" i="3"/>
  <c r="AD222" i="3"/>
  <c r="AD232" i="3"/>
  <c r="AD241" i="3"/>
  <c r="AD252" i="3"/>
  <c r="AD260" i="3"/>
  <c r="AD269" i="3"/>
  <c r="AD278" i="3"/>
  <c r="AD289" i="3"/>
  <c r="AD9" i="3"/>
  <c r="AD22" i="3"/>
  <c r="AD36" i="3"/>
  <c r="AD51" i="3"/>
  <c r="AD59" i="3"/>
  <c r="AD67" i="3"/>
  <c r="AD75" i="3"/>
  <c r="AD83" i="3"/>
  <c r="AD91" i="3"/>
  <c r="AD99" i="3"/>
  <c r="AD107" i="3"/>
  <c r="AD115" i="3"/>
  <c r="AD123" i="3"/>
  <c r="AD131" i="3"/>
  <c r="AD139" i="3"/>
  <c r="AD149" i="3"/>
  <c r="AD157" i="3"/>
  <c r="AD167" i="3"/>
  <c r="AD177" i="3"/>
  <c r="AD187" i="3"/>
  <c r="AD196" i="3"/>
  <c r="AD205" i="3"/>
  <c r="AD215" i="3"/>
  <c r="AD223" i="3"/>
  <c r="AD233" i="3"/>
  <c r="AD244" i="3"/>
  <c r="AD253" i="3"/>
  <c r="AD262" i="3"/>
  <c r="AD270" i="3"/>
  <c r="AD279" i="3"/>
  <c r="AD10" i="3"/>
  <c r="AD25" i="3"/>
  <c r="AD38" i="3"/>
  <c r="AD52" i="3"/>
  <c r="AD60" i="3"/>
  <c r="AD68" i="3"/>
  <c r="AD76" i="3"/>
  <c r="AD84" i="3"/>
  <c r="AD92" i="3"/>
  <c r="AD100" i="3"/>
  <c r="AD108" i="3"/>
  <c r="AD116" i="3"/>
  <c r="AD124" i="3"/>
  <c r="AD132" i="3"/>
  <c r="AD142" i="3"/>
  <c r="AD150" i="3"/>
  <c r="AD158" i="3"/>
  <c r="AD169" i="3"/>
  <c r="AD178" i="3"/>
  <c r="AD188" i="3"/>
  <c r="AD197" i="3"/>
  <c r="AD206" i="3"/>
  <c r="AD216" i="3"/>
  <c r="AD226" i="3"/>
  <c r="AD234" i="3"/>
  <c r="AD245" i="3"/>
  <c r="AD254" i="3"/>
  <c r="AD263" i="3"/>
  <c r="AD271" i="3"/>
  <c r="AD280" i="3"/>
  <c r="AD11" i="3"/>
  <c r="AD29" i="3"/>
  <c r="AD43" i="3"/>
  <c r="AD55" i="3"/>
  <c r="AD63" i="3"/>
  <c r="AD71" i="3"/>
  <c r="AD79" i="3"/>
  <c r="AD87" i="3"/>
  <c r="AD95" i="3"/>
  <c r="AD103" i="3"/>
  <c r="AD111" i="3"/>
  <c r="AD119" i="3"/>
  <c r="AD127" i="3"/>
  <c r="AD135" i="3"/>
  <c r="AD145" i="3"/>
  <c r="AD153" i="3"/>
  <c r="AD162" i="3"/>
  <c r="AD172" i="3"/>
  <c r="AD183" i="3"/>
  <c r="AD192" i="3"/>
  <c r="AD201" i="3"/>
  <c r="AD211" i="3"/>
  <c r="AD219" i="3"/>
  <c r="AD229" i="3"/>
  <c r="AD237" i="3"/>
  <c r="AD248" i="3"/>
  <c r="AD257" i="3"/>
  <c r="AD78" i="3"/>
  <c r="AD110" i="3"/>
  <c r="AD144" i="3"/>
  <c r="AD182" i="3"/>
  <c r="AD218" i="3"/>
  <c r="AD256" i="3"/>
  <c r="AD283" i="3"/>
  <c r="AD53" i="3"/>
  <c r="AD85" i="3"/>
  <c r="AD117" i="3"/>
  <c r="AD151" i="3"/>
  <c r="AD189" i="3"/>
  <c r="AD227" i="3"/>
  <c r="AD264" i="3"/>
  <c r="AD285" i="3"/>
  <c r="AD54" i="3"/>
  <c r="AD86" i="3"/>
  <c r="AD118" i="3"/>
  <c r="AD152" i="3"/>
  <c r="AD190" i="3"/>
  <c r="AD228" i="3"/>
  <c r="AD265" i="3"/>
  <c r="AD7" i="3"/>
  <c r="AD61" i="3"/>
  <c r="AD93" i="3"/>
  <c r="AD125" i="3"/>
  <c r="AD159" i="3"/>
  <c r="AD198" i="3"/>
  <c r="AD235" i="3"/>
  <c r="AD266" i="3"/>
  <c r="AD8" i="3"/>
  <c r="AD62" i="3"/>
  <c r="AD94" i="3"/>
  <c r="AD161" i="3"/>
  <c r="AD200" i="3"/>
  <c r="AD236" i="3"/>
  <c r="AD272" i="3"/>
  <c r="AD39" i="3"/>
  <c r="AD77" i="3"/>
  <c r="AD109" i="3"/>
  <c r="AD143" i="3"/>
  <c r="AD179" i="3"/>
  <c r="AD217" i="3"/>
  <c r="AD255" i="3"/>
  <c r="AD281" i="3"/>
  <c r="AD134" i="3"/>
  <c r="AD274" i="3"/>
  <c r="AD26" i="3"/>
  <c r="AD170" i="3"/>
  <c r="AD27" i="3"/>
  <c r="AD171" i="3"/>
  <c r="AD69" i="3"/>
  <c r="AD209" i="3"/>
  <c r="AD70" i="3"/>
  <c r="AD207" i="3"/>
  <c r="AD101" i="3"/>
  <c r="AD246" i="3"/>
  <c r="AD273" i="3"/>
  <c r="AD102" i="3"/>
  <c r="AD247" i="3"/>
  <c r="E340" i="8"/>
  <c r="D340" i="8"/>
  <c r="B340" i="8"/>
  <c r="A340" i="8"/>
  <c r="E339" i="8"/>
  <c r="D339" i="8"/>
  <c r="B339" i="8"/>
  <c r="A339" i="8"/>
  <c r="E338" i="8"/>
  <c r="D338" i="8"/>
  <c r="B338" i="8"/>
  <c r="A338" i="8"/>
  <c r="E337" i="8"/>
  <c r="D337" i="8"/>
  <c r="B337" i="8"/>
  <c r="A337" i="8"/>
  <c r="E336" i="8"/>
  <c r="D336" i="8"/>
  <c r="B336" i="8"/>
  <c r="A336" i="8"/>
  <c r="E335" i="8"/>
  <c r="D335" i="8"/>
  <c r="B335" i="8"/>
  <c r="A335" i="8"/>
  <c r="E334" i="8"/>
  <c r="D334" i="8"/>
  <c r="B334" i="8"/>
  <c r="A334" i="8"/>
  <c r="E333" i="8"/>
  <c r="D333" i="8"/>
  <c r="B333" i="8"/>
  <c r="A333" i="8"/>
  <c r="E332" i="8"/>
  <c r="D332" i="8"/>
  <c r="B332" i="8"/>
  <c r="A332" i="8"/>
  <c r="E331" i="8"/>
  <c r="D331" i="8"/>
  <c r="B331" i="8"/>
  <c r="A331" i="8"/>
  <c r="E330" i="8"/>
  <c r="D330" i="8"/>
  <c r="B330" i="8"/>
  <c r="A330" i="8"/>
  <c r="E329" i="8"/>
  <c r="D329" i="8"/>
  <c r="B329" i="8"/>
  <c r="A329" i="8"/>
  <c r="E328" i="8"/>
  <c r="D328" i="8"/>
  <c r="B328" i="8"/>
  <c r="A328" i="8"/>
  <c r="E327" i="8"/>
  <c r="D327" i="8"/>
  <c r="B327" i="8"/>
  <c r="A327" i="8"/>
  <c r="E326" i="8"/>
  <c r="D326" i="8"/>
  <c r="B326" i="8"/>
  <c r="A326" i="8"/>
  <c r="E325" i="8"/>
  <c r="D325" i="8"/>
  <c r="B325" i="8"/>
  <c r="A325" i="8"/>
  <c r="E324" i="8"/>
  <c r="D324" i="8"/>
  <c r="B324" i="8"/>
  <c r="A324" i="8"/>
  <c r="E323" i="8"/>
  <c r="D323" i="8"/>
  <c r="B323" i="8"/>
  <c r="A323" i="8"/>
  <c r="E322" i="8"/>
  <c r="D322" i="8"/>
  <c r="B322" i="8"/>
  <c r="A322" i="8"/>
  <c r="E321" i="8"/>
  <c r="D321" i="8"/>
  <c r="B321" i="8"/>
  <c r="A321" i="8"/>
  <c r="A299" i="8"/>
  <c r="B299" i="8"/>
  <c r="D299" i="8"/>
  <c r="E299" i="8"/>
  <c r="AC208" i="3" l="1"/>
  <c r="AC290" i="3"/>
  <c r="AC291" i="3"/>
  <c r="AC292" i="3"/>
  <c r="AC293" i="3"/>
  <c r="AC296" i="3"/>
  <c r="AC294" i="3"/>
  <c r="AC295" i="3"/>
  <c r="AC199" i="3"/>
  <c r="AC28" i="3"/>
  <c r="AC126" i="3"/>
  <c r="AC41" i="3"/>
  <c r="AC165" i="3"/>
  <c r="AC45" i="3"/>
  <c r="AC46" i="3"/>
  <c r="AC133" i="3"/>
  <c r="AC250" i="3"/>
  <c r="AC42" i="3"/>
  <c r="AC168" i="3"/>
  <c r="AC243" i="3"/>
  <c r="AC44" i="3"/>
  <c r="AC261" i="3"/>
  <c r="AC191" i="3"/>
  <c r="AC173" i="3"/>
  <c r="AC174" i="3"/>
  <c r="AC140" i="3"/>
  <c r="AC40" i="3"/>
  <c r="AC181" i="3"/>
  <c r="AC24" i="3"/>
  <c r="AC138" i="3"/>
  <c r="AC48" i="3"/>
  <c r="AC224" i="3"/>
  <c r="AC210" i="3"/>
  <c r="AC49" i="3"/>
  <c r="AC242" i="3"/>
  <c r="AC19" i="3"/>
  <c r="AC14" i="3"/>
  <c r="AC16" i="3"/>
  <c r="AC277" i="3"/>
  <c r="AC225" i="3"/>
  <c r="AC31" i="3"/>
  <c r="AC17" i="3"/>
  <c r="AC239" i="3"/>
  <c r="AC20" i="3"/>
  <c r="AC33" i="3"/>
  <c r="AC18" i="3"/>
  <c r="AC34" i="3"/>
  <c r="AC282" i="3"/>
  <c r="AC37" i="3"/>
  <c r="AC180" i="3"/>
  <c r="AC23" i="3"/>
  <c r="AC284" i="3"/>
  <c r="AC15" i="3"/>
  <c r="AC160" i="3"/>
  <c r="AC141" i="3"/>
  <c r="AC288" i="3"/>
  <c r="AC4" i="3"/>
  <c r="AC5" i="3"/>
  <c r="AC12" i="3"/>
  <c r="AC30" i="3"/>
  <c r="AC56" i="3"/>
  <c r="AC64" i="3"/>
  <c r="AC72" i="3"/>
  <c r="AC80" i="3"/>
  <c r="AC88" i="3"/>
  <c r="AC96" i="3"/>
  <c r="AC104" i="3"/>
  <c r="AC112" i="3"/>
  <c r="AC120" i="3"/>
  <c r="AC128" i="3"/>
  <c r="AC136" i="3"/>
  <c r="AC146" i="3"/>
  <c r="AC154" i="3"/>
  <c r="AC163" i="3"/>
  <c r="AC184" i="3"/>
  <c r="AC193" i="3"/>
  <c r="AC202" i="3"/>
  <c r="AC212" i="3"/>
  <c r="AC220" i="3"/>
  <c r="AC230" i="3"/>
  <c r="AC238" i="3"/>
  <c r="AC249" i="3"/>
  <c r="AC258" i="3"/>
  <c r="AC267" i="3"/>
  <c r="AC275" i="3"/>
  <c r="AC286" i="3"/>
  <c r="AC13" i="3"/>
  <c r="AC32" i="3"/>
  <c r="AC47" i="3"/>
  <c r="AC57" i="3"/>
  <c r="AC65" i="3"/>
  <c r="AC73" i="3"/>
  <c r="AC81" i="3"/>
  <c r="AC89" i="3"/>
  <c r="AC97" i="3"/>
  <c r="AC105" i="3"/>
  <c r="AC113" i="3"/>
  <c r="AC121" i="3"/>
  <c r="AC129" i="3"/>
  <c r="AC137" i="3"/>
  <c r="AC147" i="3"/>
  <c r="AC155" i="3"/>
  <c r="AC164" i="3"/>
  <c r="AC175" i="3"/>
  <c r="AC185" i="3"/>
  <c r="AC194" i="3"/>
  <c r="AC203" i="3"/>
  <c r="AC213" i="3"/>
  <c r="AC221" i="3"/>
  <c r="AC231" i="3"/>
  <c r="AC240" i="3"/>
  <c r="AC251" i="3"/>
  <c r="AC259" i="3"/>
  <c r="AC268" i="3"/>
  <c r="AC276" i="3"/>
  <c r="AC287" i="3"/>
  <c r="AC6" i="3"/>
  <c r="AC21" i="3"/>
  <c r="AC35" i="3"/>
  <c r="AC50" i="3"/>
  <c r="AC58" i="3"/>
  <c r="AC66" i="3"/>
  <c r="AC74" i="3"/>
  <c r="AC82" i="3"/>
  <c r="AC90" i="3"/>
  <c r="AC98" i="3"/>
  <c r="AC106" i="3"/>
  <c r="AC114" i="3"/>
  <c r="AC122" i="3"/>
  <c r="AC130" i="3"/>
  <c r="AC148" i="3"/>
  <c r="AC156" i="3"/>
  <c r="AC166" i="3"/>
  <c r="AC176" i="3"/>
  <c r="AC186" i="3"/>
  <c r="AC195" i="3"/>
  <c r="AC204" i="3"/>
  <c r="AC214" i="3"/>
  <c r="AC222" i="3"/>
  <c r="AC232" i="3"/>
  <c r="AC241" i="3"/>
  <c r="AC252" i="3"/>
  <c r="AC260" i="3"/>
  <c r="AC269" i="3"/>
  <c r="AC278" i="3"/>
  <c r="AC289" i="3"/>
  <c r="AC9" i="3"/>
  <c r="AC22" i="3"/>
  <c r="AC36" i="3"/>
  <c r="AC51" i="3"/>
  <c r="AC59" i="3"/>
  <c r="AC67" i="3"/>
  <c r="AC75" i="3"/>
  <c r="AC83" i="3"/>
  <c r="AC91" i="3"/>
  <c r="AC99" i="3"/>
  <c r="AC107" i="3"/>
  <c r="AC115" i="3"/>
  <c r="AC123" i="3"/>
  <c r="AC131" i="3"/>
  <c r="AC139" i="3"/>
  <c r="AC149" i="3"/>
  <c r="AC157" i="3"/>
  <c r="AC167" i="3"/>
  <c r="AC177" i="3"/>
  <c r="AC187" i="3"/>
  <c r="AC196" i="3"/>
  <c r="AC205" i="3"/>
  <c r="AC215" i="3"/>
  <c r="AC223" i="3"/>
  <c r="AC233" i="3"/>
  <c r="AC244" i="3"/>
  <c r="AC253" i="3"/>
  <c r="AC262" i="3"/>
  <c r="AC270" i="3"/>
  <c r="AC279" i="3"/>
  <c r="AC10" i="3"/>
  <c r="AC25" i="3"/>
  <c r="AC38" i="3"/>
  <c r="AC52" i="3"/>
  <c r="AC60" i="3"/>
  <c r="AC68" i="3"/>
  <c r="AC76" i="3"/>
  <c r="AC84" i="3"/>
  <c r="AC92" i="3"/>
  <c r="AC100" i="3"/>
  <c r="AC108" i="3"/>
  <c r="AC116" i="3"/>
  <c r="AC124" i="3"/>
  <c r="AC132" i="3"/>
  <c r="AC142" i="3"/>
  <c r="AC150" i="3"/>
  <c r="AC158" i="3"/>
  <c r="AC169" i="3"/>
  <c r="AC178" i="3"/>
  <c r="AC188" i="3"/>
  <c r="AC197" i="3"/>
  <c r="AC206" i="3"/>
  <c r="AC216" i="3"/>
  <c r="AC226" i="3"/>
  <c r="AC234" i="3"/>
  <c r="AC245" i="3"/>
  <c r="AC254" i="3"/>
  <c r="AC263" i="3"/>
  <c r="AC271" i="3"/>
  <c r="AC280" i="3"/>
  <c r="AC11" i="3"/>
  <c r="AC29" i="3"/>
  <c r="AC43" i="3"/>
  <c r="AC55" i="3"/>
  <c r="AC63" i="3"/>
  <c r="AC71" i="3"/>
  <c r="AC79" i="3"/>
  <c r="AC87" i="3"/>
  <c r="AC95" i="3"/>
  <c r="AC103" i="3"/>
  <c r="AC111" i="3"/>
  <c r="AC119" i="3"/>
  <c r="AC127" i="3"/>
  <c r="AC135" i="3"/>
  <c r="AC145" i="3"/>
  <c r="AC153" i="3"/>
  <c r="AC162" i="3"/>
  <c r="AC172" i="3"/>
  <c r="AC183" i="3"/>
  <c r="AC192" i="3"/>
  <c r="AC201" i="3"/>
  <c r="AC211" i="3"/>
  <c r="AC219" i="3"/>
  <c r="AC229" i="3"/>
  <c r="AC237" i="3"/>
  <c r="AC248" i="3"/>
  <c r="AC257" i="3"/>
  <c r="AC266" i="3"/>
  <c r="AC274" i="3"/>
  <c r="AC285" i="3"/>
  <c r="AC54" i="3"/>
  <c r="AC86" i="3"/>
  <c r="AC118" i="3"/>
  <c r="AC152" i="3"/>
  <c r="AC190" i="3"/>
  <c r="AC228" i="3"/>
  <c r="AC265" i="3"/>
  <c r="AC7" i="3"/>
  <c r="AC61" i="3"/>
  <c r="AC93" i="3"/>
  <c r="AC125" i="3"/>
  <c r="AC159" i="3"/>
  <c r="AC198" i="3"/>
  <c r="AC235" i="3"/>
  <c r="AC272" i="3"/>
  <c r="AC8" i="3"/>
  <c r="AC62" i="3"/>
  <c r="AC94" i="3"/>
  <c r="AC161" i="3"/>
  <c r="AC200" i="3"/>
  <c r="AC236" i="3"/>
  <c r="AC273" i="3"/>
  <c r="AC26" i="3"/>
  <c r="AC69" i="3"/>
  <c r="AC101" i="3"/>
  <c r="AC170" i="3"/>
  <c r="AC209" i="3"/>
  <c r="AC246" i="3"/>
  <c r="AC281" i="3"/>
  <c r="AC27" i="3"/>
  <c r="AC70" i="3"/>
  <c r="AC102" i="3"/>
  <c r="AC134" i="3"/>
  <c r="AC171" i="3"/>
  <c r="AC207" i="3"/>
  <c r="AC247" i="3"/>
  <c r="AC283" i="3"/>
  <c r="AC39" i="3"/>
  <c r="AC77" i="3"/>
  <c r="AC109" i="3"/>
  <c r="AC143" i="3"/>
  <c r="AC179" i="3"/>
  <c r="AC217" i="3"/>
  <c r="AC255" i="3"/>
  <c r="AC53" i="3"/>
  <c r="AC85" i="3"/>
  <c r="AC117" i="3"/>
  <c r="AC151" i="3"/>
  <c r="AC189" i="3"/>
  <c r="AC227" i="3"/>
  <c r="AC264" i="3"/>
  <c r="AC218" i="3"/>
  <c r="AC256" i="3"/>
  <c r="AC78" i="3"/>
  <c r="AC110" i="3"/>
  <c r="AC182" i="3"/>
  <c r="AC144" i="3"/>
  <c r="A210" i="8"/>
  <c r="B210" i="8"/>
  <c r="D210" i="8"/>
  <c r="E210" i="8"/>
  <c r="E318" i="8"/>
  <c r="D318" i="8"/>
  <c r="B318" i="8"/>
  <c r="A318" i="8"/>
  <c r="E317" i="8"/>
  <c r="D317" i="8"/>
  <c r="B317" i="8"/>
  <c r="A317" i="8"/>
  <c r="E316" i="8"/>
  <c r="D316" i="8"/>
  <c r="B316" i="8"/>
  <c r="A316" i="8"/>
  <c r="E315" i="8"/>
  <c r="D315" i="8"/>
  <c r="B315" i="8"/>
  <c r="A315" i="8"/>
  <c r="E314" i="8"/>
  <c r="D314" i="8"/>
  <c r="B314" i="8"/>
  <c r="A314" i="8"/>
  <c r="E313" i="8"/>
  <c r="D313" i="8"/>
  <c r="B313" i="8"/>
  <c r="A313" i="8"/>
  <c r="E312" i="8"/>
  <c r="D312" i="8"/>
  <c r="B312" i="8"/>
  <c r="A312" i="8"/>
  <c r="E311" i="8"/>
  <c r="D311" i="8"/>
  <c r="B311" i="8"/>
  <c r="A311" i="8"/>
  <c r="E310" i="8"/>
  <c r="D310" i="8"/>
  <c r="B310" i="8"/>
  <c r="A310" i="8"/>
  <c r="E309" i="8"/>
  <c r="D309" i="8"/>
  <c r="B309" i="8"/>
  <c r="A309" i="8"/>
  <c r="E308" i="8"/>
  <c r="D308" i="8"/>
  <c r="B308" i="8"/>
  <c r="A308" i="8"/>
  <c r="E307" i="8"/>
  <c r="D307" i="8"/>
  <c r="B307" i="8"/>
  <c r="A307" i="8"/>
  <c r="E306" i="8"/>
  <c r="D306" i="8"/>
  <c r="B306" i="8"/>
  <c r="A306" i="8"/>
  <c r="E305" i="8"/>
  <c r="D305" i="8"/>
  <c r="B305" i="8"/>
  <c r="A305" i="8"/>
  <c r="E304" i="8"/>
  <c r="D304" i="8"/>
  <c r="B304" i="8"/>
  <c r="A304" i="8"/>
  <c r="E303" i="8"/>
  <c r="D303" i="8"/>
  <c r="B303" i="8"/>
  <c r="A303" i="8"/>
  <c r="AB208" i="3" l="1"/>
  <c r="AB296" i="3"/>
  <c r="AB290" i="3"/>
  <c r="AB291" i="3"/>
  <c r="AB292" i="3"/>
  <c r="AB293" i="3"/>
  <c r="AB295" i="3"/>
  <c r="AB294" i="3"/>
  <c r="AB199" i="3"/>
  <c r="AB28" i="3"/>
  <c r="AB126" i="3"/>
  <c r="AB45" i="3"/>
  <c r="AB41" i="3"/>
  <c r="AB165" i="3"/>
  <c r="AB261" i="3"/>
  <c r="AB46" i="3"/>
  <c r="AB133" i="3"/>
  <c r="AB250" i="3"/>
  <c r="AB42" i="3"/>
  <c r="AB168" i="3"/>
  <c r="AB243" i="3"/>
  <c r="AB44" i="3"/>
  <c r="AB191" i="3"/>
  <c r="AB173" i="3"/>
  <c r="AB174" i="3"/>
  <c r="AB140" i="3"/>
  <c r="AB40" i="3"/>
  <c r="AB181" i="3"/>
  <c r="AB24" i="3"/>
  <c r="AB138" i="3"/>
  <c r="AB48" i="3"/>
  <c r="AB224" i="3"/>
  <c r="AB210" i="3"/>
  <c r="AB49" i="3"/>
  <c r="AB242" i="3"/>
  <c r="AB19" i="3"/>
  <c r="AB14" i="3"/>
  <c r="AB16" i="3"/>
  <c r="AB277" i="3"/>
  <c r="AB225" i="3"/>
  <c r="AB31" i="3"/>
  <c r="AB17" i="3"/>
  <c r="AB239" i="3"/>
  <c r="AB20" i="3"/>
  <c r="AB33" i="3"/>
  <c r="AB18" i="3"/>
  <c r="AB34" i="3"/>
  <c r="AB282" i="3"/>
  <c r="AB37" i="3"/>
  <c r="AB180" i="3"/>
  <c r="AB23" i="3"/>
  <c r="AB284" i="3"/>
  <c r="AB15" i="3"/>
  <c r="AB160" i="3"/>
  <c r="AB141" i="3"/>
  <c r="AB288" i="3"/>
  <c r="AB7" i="3"/>
  <c r="AB26" i="3"/>
  <c r="AB39" i="3"/>
  <c r="AB53" i="3"/>
  <c r="AB61" i="3"/>
  <c r="AB69" i="3"/>
  <c r="AB77" i="3"/>
  <c r="AB85" i="3"/>
  <c r="AB93" i="3"/>
  <c r="AB101" i="3"/>
  <c r="AB109" i="3"/>
  <c r="AB117" i="3"/>
  <c r="AB125" i="3"/>
  <c r="AB143" i="3"/>
  <c r="AB151" i="3"/>
  <c r="AB159" i="3"/>
  <c r="AB170" i="3"/>
  <c r="AB179" i="3"/>
  <c r="AB189" i="3"/>
  <c r="AB198" i="3"/>
  <c r="AB209" i="3"/>
  <c r="AB217" i="3"/>
  <c r="AB227" i="3"/>
  <c r="AB235" i="3"/>
  <c r="AB246" i="3"/>
  <c r="AB255" i="3"/>
  <c r="AB264" i="3"/>
  <c r="AB272" i="3"/>
  <c r="AB281" i="3"/>
  <c r="AB8" i="3"/>
  <c r="AB27" i="3"/>
  <c r="AB54" i="3"/>
  <c r="AB62" i="3"/>
  <c r="AB70" i="3"/>
  <c r="AB78" i="3"/>
  <c r="AB86" i="3"/>
  <c r="AB94" i="3"/>
  <c r="AB102" i="3"/>
  <c r="AB110" i="3"/>
  <c r="AB118" i="3"/>
  <c r="AB134" i="3"/>
  <c r="AB144" i="3"/>
  <c r="AB152" i="3"/>
  <c r="AB161" i="3"/>
  <c r="AB171" i="3"/>
  <c r="AB182" i="3"/>
  <c r="AB190" i="3"/>
  <c r="AB200" i="3"/>
  <c r="AB207" i="3"/>
  <c r="AB218" i="3"/>
  <c r="AB228" i="3"/>
  <c r="AB236" i="3"/>
  <c r="AB247" i="3"/>
  <c r="AB256" i="3"/>
  <c r="AB265" i="3"/>
  <c r="AB273" i="3"/>
  <c r="AB283" i="3"/>
  <c r="AB11" i="3"/>
  <c r="AB29" i="3"/>
  <c r="AB43" i="3"/>
  <c r="AB55" i="3"/>
  <c r="AB63" i="3"/>
  <c r="AB71" i="3"/>
  <c r="AB79" i="3"/>
  <c r="AB87" i="3"/>
  <c r="AB95" i="3"/>
  <c r="AB103" i="3"/>
  <c r="AB111" i="3"/>
  <c r="AB119" i="3"/>
  <c r="AB127" i="3"/>
  <c r="AB135" i="3"/>
  <c r="AB145" i="3"/>
  <c r="AB153" i="3"/>
  <c r="AB162" i="3"/>
  <c r="AB172" i="3"/>
  <c r="AB183" i="3"/>
  <c r="AB192" i="3"/>
  <c r="AB201" i="3"/>
  <c r="AB211" i="3"/>
  <c r="AB219" i="3"/>
  <c r="AB229" i="3"/>
  <c r="AB237" i="3"/>
  <c r="AB248" i="3"/>
  <c r="AB257" i="3"/>
  <c r="AB266" i="3"/>
  <c r="AB274" i="3"/>
  <c r="AB285" i="3"/>
  <c r="AB4" i="3"/>
  <c r="AB12" i="3"/>
  <c r="AB30" i="3"/>
  <c r="AB56" i="3"/>
  <c r="AB64" i="3"/>
  <c r="AB72" i="3"/>
  <c r="AB80" i="3"/>
  <c r="AB88" i="3"/>
  <c r="AB96" i="3"/>
  <c r="AB104" i="3"/>
  <c r="AB112" i="3"/>
  <c r="AB120" i="3"/>
  <c r="AB128" i="3"/>
  <c r="AB136" i="3"/>
  <c r="AB146" i="3"/>
  <c r="AB154" i="3"/>
  <c r="AB163" i="3"/>
  <c r="AB184" i="3"/>
  <c r="AB193" i="3"/>
  <c r="AB202" i="3"/>
  <c r="AB212" i="3"/>
  <c r="AB220" i="3"/>
  <c r="AB230" i="3"/>
  <c r="AB238" i="3"/>
  <c r="AB249" i="3"/>
  <c r="AB258" i="3"/>
  <c r="AB267" i="3"/>
  <c r="AB275" i="3"/>
  <c r="AB286" i="3"/>
  <c r="AB5" i="3"/>
  <c r="AB13" i="3"/>
  <c r="AB32" i="3"/>
  <c r="AB47" i="3"/>
  <c r="AB57" i="3"/>
  <c r="AB65" i="3"/>
  <c r="AB73" i="3"/>
  <c r="AB81" i="3"/>
  <c r="AB89" i="3"/>
  <c r="AB97" i="3"/>
  <c r="AB105" i="3"/>
  <c r="AB113" i="3"/>
  <c r="AB121" i="3"/>
  <c r="AB129" i="3"/>
  <c r="AB137" i="3"/>
  <c r="AB147" i="3"/>
  <c r="AB155" i="3"/>
  <c r="AB164" i="3"/>
  <c r="AB175" i="3"/>
  <c r="AB185" i="3"/>
  <c r="AB194" i="3"/>
  <c r="AB203" i="3"/>
  <c r="AB213" i="3"/>
  <c r="AB221" i="3"/>
  <c r="AB231" i="3"/>
  <c r="AB240" i="3"/>
  <c r="AB251" i="3"/>
  <c r="AB259" i="3"/>
  <c r="AB268" i="3"/>
  <c r="AB276" i="3"/>
  <c r="AB287" i="3"/>
  <c r="AB10" i="3"/>
  <c r="AB25" i="3"/>
  <c r="AB38" i="3"/>
  <c r="AB22" i="3"/>
  <c r="AB60" i="3"/>
  <c r="AB83" i="3"/>
  <c r="AB106" i="3"/>
  <c r="AB124" i="3"/>
  <c r="AB149" i="3"/>
  <c r="AB176" i="3"/>
  <c r="AB197" i="3"/>
  <c r="AB223" i="3"/>
  <c r="AB252" i="3"/>
  <c r="AB271" i="3"/>
  <c r="AB35" i="3"/>
  <c r="AB66" i="3"/>
  <c r="AB84" i="3"/>
  <c r="AB107" i="3"/>
  <c r="AB130" i="3"/>
  <c r="AB150" i="3"/>
  <c r="AB177" i="3"/>
  <c r="AB204" i="3"/>
  <c r="AB226" i="3"/>
  <c r="AB253" i="3"/>
  <c r="AB278" i="3"/>
  <c r="AB36" i="3"/>
  <c r="AB67" i="3"/>
  <c r="AB90" i="3"/>
  <c r="AB108" i="3"/>
  <c r="AB131" i="3"/>
  <c r="AB156" i="3"/>
  <c r="AB178" i="3"/>
  <c r="AB205" i="3"/>
  <c r="AB232" i="3"/>
  <c r="AB254" i="3"/>
  <c r="AB279" i="3"/>
  <c r="AB50" i="3"/>
  <c r="AB68" i="3"/>
  <c r="AB91" i="3"/>
  <c r="AB114" i="3"/>
  <c r="AB132" i="3"/>
  <c r="AB157" i="3"/>
  <c r="AB186" i="3"/>
  <c r="AB206" i="3"/>
  <c r="AB233" i="3"/>
  <c r="AB260" i="3"/>
  <c r="AB280" i="3"/>
  <c r="AB51" i="3"/>
  <c r="AB74" i="3"/>
  <c r="AB92" i="3"/>
  <c r="AB115" i="3"/>
  <c r="AB158" i="3"/>
  <c r="AB187" i="3"/>
  <c r="AB214" i="3"/>
  <c r="AB234" i="3"/>
  <c r="AB262" i="3"/>
  <c r="AB289" i="3"/>
  <c r="AB6" i="3"/>
  <c r="AB52" i="3"/>
  <c r="AB75" i="3"/>
  <c r="AB98" i="3"/>
  <c r="AB116" i="3"/>
  <c r="AB139" i="3"/>
  <c r="AB166" i="3"/>
  <c r="AB188" i="3"/>
  <c r="AB215" i="3"/>
  <c r="AB241" i="3"/>
  <c r="AB263" i="3"/>
  <c r="AB21" i="3"/>
  <c r="AB59" i="3"/>
  <c r="AB82" i="3"/>
  <c r="AB100" i="3"/>
  <c r="AB123" i="3"/>
  <c r="AB148" i="3"/>
  <c r="AB169" i="3"/>
  <c r="AB196" i="3"/>
  <c r="AB222" i="3"/>
  <c r="AB245" i="3"/>
  <c r="AB270" i="3"/>
  <c r="AB167" i="3"/>
  <c r="AB195" i="3"/>
  <c r="AB9" i="3"/>
  <c r="AB216" i="3"/>
  <c r="AB58" i="3"/>
  <c r="AB244" i="3"/>
  <c r="AB76" i="3"/>
  <c r="AB269" i="3"/>
  <c r="AB99" i="3"/>
  <c r="AB142" i="3"/>
  <c r="AB122" i="3"/>
  <c r="E298" i="8"/>
  <c r="D298" i="8"/>
  <c r="B298" i="8"/>
  <c r="A298" i="8"/>
  <c r="E297" i="8"/>
  <c r="D297" i="8"/>
  <c r="B297" i="8"/>
  <c r="A297" i="8"/>
  <c r="E296" i="8"/>
  <c r="D296" i="8"/>
  <c r="B296" i="8"/>
  <c r="A296" i="8"/>
  <c r="E295" i="8"/>
  <c r="D295" i="8"/>
  <c r="B295" i="8"/>
  <c r="A295" i="8"/>
  <c r="E294" i="8"/>
  <c r="D294" i="8"/>
  <c r="B294" i="8"/>
  <c r="A294" i="8"/>
  <c r="E293" i="8"/>
  <c r="D293" i="8"/>
  <c r="B293" i="8"/>
  <c r="A293" i="8"/>
  <c r="E292" i="8"/>
  <c r="D292" i="8"/>
  <c r="B292" i="8"/>
  <c r="A292" i="8"/>
  <c r="E291" i="8"/>
  <c r="D291" i="8"/>
  <c r="B291" i="8"/>
  <c r="A291" i="8"/>
  <c r="E290" i="8"/>
  <c r="D290" i="8"/>
  <c r="B290" i="8"/>
  <c r="A290" i="8"/>
  <c r="E289" i="8"/>
  <c r="D289" i="8"/>
  <c r="B289" i="8"/>
  <c r="A289" i="8"/>
  <c r="E288" i="8"/>
  <c r="D288" i="8"/>
  <c r="B288" i="8"/>
  <c r="A288" i="8"/>
  <c r="E287" i="8"/>
  <c r="D287" i="8"/>
  <c r="B287" i="8"/>
  <c r="A287" i="8"/>
  <c r="E286" i="8"/>
  <c r="D286" i="8"/>
  <c r="B286" i="8"/>
  <c r="A286" i="8"/>
  <c r="E285" i="8"/>
  <c r="D285" i="8"/>
  <c r="B285" i="8"/>
  <c r="A285" i="8"/>
  <c r="E284" i="8"/>
  <c r="D284" i="8"/>
  <c r="B284" i="8"/>
  <c r="A284" i="8"/>
  <c r="E283" i="8"/>
  <c r="D283" i="8"/>
  <c r="B283" i="8"/>
  <c r="A283" i="8"/>
  <c r="E282" i="8"/>
  <c r="D282" i="8"/>
  <c r="B282" i="8"/>
  <c r="A282" i="8"/>
  <c r="E281" i="8"/>
  <c r="D281" i="8"/>
  <c r="B281" i="8"/>
  <c r="A281" i="8"/>
  <c r="E280" i="8"/>
  <c r="D280" i="8"/>
  <c r="B280" i="8"/>
  <c r="A280" i="8"/>
  <c r="E279" i="8"/>
  <c r="D279" i="8"/>
  <c r="B279" i="8"/>
  <c r="A279" i="8"/>
  <c r="AA295" i="3" l="1"/>
  <c r="AA296" i="3"/>
  <c r="AA290" i="3"/>
  <c r="AA291" i="3"/>
  <c r="AA292" i="3"/>
  <c r="AA293" i="3"/>
  <c r="AA294" i="3"/>
  <c r="AA208" i="3"/>
  <c r="AA199" i="3"/>
  <c r="AA28" i="3"/>
  <c r="AA133" i="3"/>
  <c r="AA250" i="3"/>
  <c r="AA42" i="3"/>
  <c r="AA168" i="3"/>
  <c r="AA243" i="3"/>
  <c r="AA44" i="3"/>
  <c r="AA261" i="3"/>
  <c r="AA191" i="3"/>
  <c r="AA45" i="3"/>
  <c r="AA126" i="3"/>
  <c r="AA46" i="3"/>
  <c r="AA41" i="3"/>
  <c r="AA165" i="3"/>
  <c r="AA174" i="3"/>
  <c r="AA173" i="3"/>
  <c r="AA140" i="3"/>
  <c r="AA40" i="3"/>
  <c r="AA181" i="3"/>
  <c r="AA24" i="3"/>
  <c r="AA138" i="3"/>
  <c r="AA48" i="3"/>
  <c r="AA224" i="3"/>
  <c r="AA210" i="3"/>
  <c r="AA49" i="3"/>
  <c r="AA242" i="3"/>
  <c r="AA19" i="3"/>
  <c r="AA14" i="3"/>
  <c r="AA16" i="3"/>
  <c r="AA277" i="3"/>
  <c r="AA225" i="3"/>
  <c r="AA31" i="3"/>
  <c r="AA17" i="3"/>
  <c r="AA239" i="3"/>
  <c r="AA20" i="3"/>
  <c r="AA33" i="3"/>
  <c r="AA18" i="3"/>
  <c r="AA34" i="3"/>
  <c r="AA282" i="3"/>
  <c r="AA37" i="3"/>
  <c r="AA180" i="3"/>
  <c r="AA23" i="3"/>
  <c r="AA284" i="3"/>
  <c r="AA15" i="3"/>
  <c r="AA160" i="3"/>
  <c r="AA141" i="3"/>
  <c r="AA288" i="3"/>
  <c r="AA6" i="3"/>
  <c r="AA21" i="3"/>
  <c r="AA35" i="3"/>
  <c r="AA50" i="3"/>
  <c r="AA9" i="3"/>
  <c r="AA22" i="3"/>
  <c r="AA36" i="3"/>
  <c r="AA51" i="3"/>
  <c r="AA10" i="3"/>
  <c r="AA25" i="3"/>
  <c r="AA38" i="3"/>
  <c r="AA7" i="3"/>
  <c r="AA26" i="3"/>
  <c r="AA39" i="3"/>
  <c r="AA8" i="3"/>
  <c r="AA27" i="3"/>
  <c r="AA12" i="3"/>
  <c r="AA52" i="3"/>
  <c r="AA60" i="3"/>
  <c r="AA68" i="3"/>
  <c r="AA76" i="3"/>
  <c r="AA84" i="3"/>
  <c r="AA92" i="3"/>
  <c r="AA100" i="3"/>
  <c r="AA108" i="3"/>
  <c r="AA116" i="3"/>
  <c r="AA124" i="3"/>
  <c r="AA132" i="3"/>
  <c r="AA142" i="3"/>
  <c r="AA150" i="3"/>
  <c r="AA158" i="3"/>
  <c r="AA169" i="3"/>
  <c r="AA178" i="3"/>
  <c r="AA188" i="3"/>
  <c r="AA197" i="3"/>
  <c r="AA206" i="3"/>
  <c r="AA216" i="3"/>
  <c r="AA226" i="3"/>
  <c r="AA234" i="3"/>
  <c r="AA245" i="3"/>
  <c r="AA254" i="3"/>
  <c r="AA263" i="3"/>
  <c r="AA271" i="3"/>
  <c r="AA280" i="3"/>
  <c r="AA13" i="3"/>
  <c r="AA53" i="3"/>
  <c r="AA61" i="3"/>
  <c r="AA69" i="3"/>
  <c r="AA77" i="3"/>
  <c r="AA85" i="3"/>
  <c r="AA93" i="3"/>
  <c r="AA101" i="3"/>
  <c r="AA109" i="3"/>
  <c r="AA117" i="3"/>
  <c r="AA125" i="3"/>
  <c r="AA143" i="3"/>
  <c r="AA151" i="3"/>
  <c r="AA159" i="3"/>
  <c r="AA170" i="3"/>
  <c r="AA179" i="3"/>
  <c r="AA189" i="3"/>
  <c r="AA198" i="3"/>
  <c r="AA209" i="3"/>
  <c r="AA217" i="3"/>
  <c r="AA227" i="3"/>
  <c r="AA235" i="3"/>
  <c r="AA246" i="3"/>
  <c r="AA255" i="3"/>
  <c r="AA264" i="3"/>
  <c r="AA272" i="3"/>
  <c r="AA281" i="3"/>
  <c r="AA29" i="3"/>
  <c r="AA54" i="3"/>
  <c r="AA62" i="3"/>
  <c r="AA70" i="3"/>
  <c r="AA78" i="3"/>
  <c r="AA86" i="3"/>
  <c r="AA94" i="3"/>
  <c r="AA102" i="3"/>
  <c r="AA110" i="3"/>
  <c r="AA118" i="3"/>
  <c r="AA134" i="3"/>
  <c r="AA144" i="3"/>
  <c r="AA152" i="3"/>
  <c r="AA161" i="3"/>
  <c r="AA171" i="3"/>
  <c r="AA182" i="3"/>
  <c r="AA190" i="3"/>
  <c r="AA200" i="3"/>
  <c r="AA207" i="3"/>
  <c r="AA218" i="3"/>
  <c r="AA228" i="3"/>
  <c r="AA236" i="3"/>
  <c r="AA247" i="3"/>
  <c r="AA256" i="3"/>
  <c r="AA265" i="3"/>
  <c r="AA273" i="3"/>
  <c r="AA283" i="3"/>
  <c r="AA30" i="3"/>
  <c r="AA55" i="3"/>
  <c r="AA63" i="3"/>
  <c r="AA71" i="3"/>
  <c r="AA79" i="3"/>
  <c r="AA87" i="3"/>
  <c r="AA95" i="3"/>
  <c r="AA103" i="3"/>
  <c r="AA111" i="3"/>
  <c r="AA119" i="3"/>
  <c r="AA127" i="3"/>
  <c r="AA135" i="3"/>
  <c r="AA145" i="3"/>
  <c r="AA153" i="3"/>
  <c r="AA162" i="3"/>
  <c r="AA172" i="3"/>
  <c r="AA183" i="3"/>
  <c r="AA192" i="3"/>
  <c r="AA201" i="3"/>
  <c r="AA211" i="3"/>
  <c r="AA219" i="3"/>
  <c r="AA229" i="3"/>
  <c r="AA237" i="3"/>
  <c r="AA248" i="3"/>
  <c r="AA257" i="3"/>
  <c r="AA266" i="3"/>
  <c r="AA274" i="3"/>
  <c r="AA285" i="3"/>
  <c r="AA32" i="3"/>
  <c r="AA56" i="3"/>
  <c r="AA64" i="3"/>
  <c r="AA72" i="3"/>
  <c r="AA80" i="3"/>
  <c r="AA88" i="3"/>
  <c r="AA96" i="3"/>
  <c r="AA104" i="3"/>
  <c r="AA112" i="3"/>
  <c r="AA120" i="3"/>
  <c r="AA128" i="3"/>
  <c r="AA136" i="3"/>
  <c r="AA146" i="3"/>
  <c r="AA154" i="3"/>
  <c r="AA163" i="3"/>
  <c r="AA184" i="3"/>
  <c r="AA193" i="3"/>
  <c r="AA202" i="3"/>
  <c r="AA212" i="3"/>
  <c r="AA220" i="3"/>
  <c r="AA230" i="3"/>
  <c r="AA238" i="3"/>
  <c r="AA249" i="3"/>
  <c r="AA258" i="3"/>
  <c r="AA267" i="3"/>
  <c r="AA275" i="3"/>
  <c r="AA286" i="3"/>
  <c r="AA4" i="3"/>
  <c r="AA43" i="3"/>
  <c r="AA57" i="3"/>
  <c r="AA65" i="3"/>
  <c r="AA73" i="3"/>
  <c r="AA81" i="3"/>
  <c r="AA89" i="3"/>
  <c r="AA97" i="3"/>
  <c r="AA105" i="3"/>
  <c r="AA113" i="3"/>
  <c r="AA121" i="3"/>
  <c r="AA129" i="3"/>
  <c r="AA137" i="3"/>
  <c r="AA147" i="3"/>
  <c r="AA155" i="3"/>
  <c r="AA164" i="3"/>
  <c r="AA175" i="3"/>
  <c r="AA185" i="3"/>
  <c r="AA194" i="3"/>
  <c r="AA203" i="3"/>
  <c r="AA213" i="3"/>
  <c r="AA221" i="3"/>
  <c r="AA231" i="3"/>
  <c r="AA240" i="3"/>
  <c r="AA251" i="3"/>
  <c r="AA259" i="3"/>
  <c r="AA268" i="3"/>
  <c r="AA276" i="3"/>
  <c r="AA287" i="3"/>
  <c r="AA47" i="3"/>
  <c r="AA83" i="3"/>
  <c r="AA115" i="3"/>
  <c r="AA149" i="3"/>
  <c r="AA187" i="3"/>
  <c r="AA223" i="3"/>
  <c r="AA262" i="3"/>
  <c r="AA58" i="3"/>
  <c r="AA90" i="3"/>
  <c r="AA122" i="3"/>
  <c r="AA156" i="3"/>
  <c r="AA195" i="3"/>
  <c r="AA232" i="3"/>
  <c r="AA269" i="3"/>
  <c r="AA59" i="3"/>
  <c r="AA91" i="3"/>
  <c r="AA123" i="3"/>
  <c r="AA157" i="3"/>
  <c r="AA196" i="3"/>
  <c r="AA233" i="3"/>
  <c r="AA270" i="3"/>
  <c r="AA66" i="3"/>
  <c r="AA98" i="3"/>
  <c r="AA130" i="3"/>
  <c r="AA166" i="3"/>
  <c r="AA204" i="3"/>
  <c r="AA241" i="3"/>
  <c r="AA278" i="3"/>
  <c r="AA67" i="3"/>
  <c r="AA99" i="3"/>
  <c r="AA131" i="3"/>
  <c r="AA167" i="3"/>
  <c r="AA205" i="3"/>
  <c r="AA244" i="3"/>
  <c r="AA279" i="3"/>
  <c r="AA5" i="3"/>
  <c r="AA74" i="3"/>
  <c r="AA106" i="3"/>
  <c r="AA176" i="3"/>
  <c r="AA214" i="3"/>
  <c r="AA252" i="3"/>
  <c r="AA289" i="3"/>
  <c r="AA82" i="3"/>
  <c r="AA114" i="3"/>
  <c r="AA148" i="3"/>
  <c r="AA186" i="3"/>
  <c r="AA222" i="3"/>
  <c r="AA260" i="3"/>
  <c r="AA11" i="3"/>
  <c r="AA75" i="3"/>
  <c r="AA107" i="3"/>
  <c r="AA139" i="3"/>
  <c r="AA177" i="3"/>
  <c r="AA215" i="3"/>
  <c r="AA253" i="3"/>
  <c r="E276" i="8"/>
  <c r="D276" i="8"/>
  <c r="B276" i="8"/>
  <c r="A276" i="8"/>
  <c r="E275" i="8"/>
  <c r="D275" i="8"/>
  <c r="B275" i="8"/>
  <c r="A275" i="8"/>
  <c r="E274" i="8"/>
  <c r="D274" i="8"/>
  <c r="B274" i="8"/>
  <c r="A274" i="8"/>
  <c r="E273" i="8"/>
  <c r="D273" i="8"/>
  <c r="B273" i="8"/>
  <c r="A273" i="8"/>
  <c r="E272" i="8"/>
  <c r="D272" i="8"/>
  <c r="B272" i="8"/>
  <c r="A272" i="8"/>
  <c r="E271" i="8"/>
  <c r="D271" i="8"/>
  <c r="B271" i="8"/>
  <c r="A271" i="8"/>
  <c r="E270" i="8"/>
  <c r="D270" i="8"/>
  <c r="B270" i="8"/>
  <c r="A270" i="8"/>
  <c r="E269" i="8"/>
  <c r="D269" i="8"/>
  <c r="B269" i="8"/>
  <c r="A269" i="8"/>
  <c r="E268" i="8"/>
  <c r="D268" i="8"/>
  <c r="B268" i="8"/>
  <c r="A268" i="8"/>
  <c r="E267" i="8"/>
  <c r="D267" i="8"/>
  <c r="B267" i="8"/>
  <c r="A267" i="8"/>
  <c r="E266" i="8"/>
  <c r="D266" i="8"/>
  <c r="B266" i="8"/>
  <c r="A266" i="8"/>
  <c r="E265" i="8"/>
  <c r="D265" i="8"/>
  <c r="B265" i="8"/>
  <c r="A265" i="8"/>
  <c r="E264" i="8"/>
  <c r="D264" i="8"/>
  <c r="B264" i="8"/>
  <c r="A264" i="8"/>
  <c r="E263" i="8"/>
  <c r="D263" i="8"/>
  <c r="B263" i="8"/>
  <c r="A263" i="8"/>
  <c r="E262" i="8"/>
  <c r="D262" i="8"/>
  <c r="B262" i="8"/>
  <c r="A262" i="8"/>
  <c r="E261" i="8"/>
  <c r="D261" i="8"/>
  <c r="B261" i="8"/>
  <c r="A261" i="8"/>
  <c r="E260" i="8"/>
  <c r="D260" i="8"/>
  <c r="B260" i="8"/>
  <c r="A260" i="8"/>
  <c r="E259" i="8"/>
  <c r="D259" i="8"/>
  <c r="B259" i="8"/>
  <c r="A259" i="8"/>
  <c r="E258" i="8"/>
  <c r="D258" i="8"/>
  <c r="B258" i="8"/>
  <c r="A258" i="8"/>
  <c r="E257" i="8"/>
  <c r="D257" i="8"/>
  <c r="B257" i="8"/>
  <c r="A257" i="8"/>
  <c r="E254" i="8"/>
  <c r="D254" i="8"/>
  <c r="B254" i="8"/>
  <c r="A254" i="8"/>
  <c r="E253" i="8"/>
  <c r="D253" i="8"/>
  <c r="B253" i="8"/>
  <c r="A253" i="8"/>
  <c r="E252" i="8"/>
  <c r="D252" i="8"/>
  <c r="B252" i="8"/>
  <c r="A252" i="8"/>
  <c r="E251" i="8"/>
  <c r="D251" i="8"/>
  <c r="B251" i="8"/>
  <c r="A251" i="8"/>
  <c r="E250" i="8"/>
  <c r="D250" i="8"/>
  <c r="B250" i="8"/>
  <c r="A250" i="8"/>
  <c r="E249" i="8"/>
  <c r="D249" i="8"/>
  <c r="B249" i="8"/>
  <c r="A249" i="8"/>
  <c r="E248" i="8"/>
  <c r="D248" i="8"/>
  <c r="B248" i="8"/>
  <c r="A248" i="8"/>
  <c r="E247" i="8"/>
  <c r="D247" i="8"/>
  <c r="B247" i="8"/>
  <c r="A247" i="8"/>
  <c r="E246" i="8"/>
  <c r="D246" i="8"/>
  <c r="B246" i="8"/>
  <c r="A246" i="8"/>
  <c r="E245" i="8"/>
  <c r="D245" i="8"/>
  <c r="B245" i="8"/>
  <c r="A245" i="8"/>
  <c r="E244" i="8"/>
  <c r="D244" i="8"/>
  <c r="B244" i="8"/>
  <c r="A244" i="8"/>
  <c r="E243" i="8"/>
  <c r="D243" i="8"/>
  <c r="B243" i="8"/>
  <c r="A243" i="8"/>
  <c r="E242" i="8"/>
  <c r="D242" i="8"/>
  <c r="B242" i="8"/>
  <c r="A242" i="8"/>
  <c r="E241" i="8"/>
  <c r="D241" i="8"/>
  <c r="B241" i="8"/>
  <c r="A241" i="8"/>
  <c r="E240" i="8"/>
  <c r="D240" i="8"/>
  <c r="B240" i="8"/>
  <c r="A240" i="8"/>
  <c r="E239" i="8"/>
  <c r="D239" i="8"/>
  <c r="B239" i="8"/>
  <c r="A239" i="8"/>
  <c r="E238" i="8"/>
  <c r="D238" i="8"/>
  <c r="B238" i="8"/>
  <c r="A238" i="8"/>
  <c r="E237" i="8"/>
  <c r="D237" i="8"/>
  <c r="B237" i="8"/>
  <c r="A237" i="8"/>
  <c r="E236" i="8"/>
  <c r="D236" i="8"/>
  <c r="B236" i="8"/>
  <c r="A236" i="8"/>
  <c r="E235" i="8"/>
  <c r="D235" i="8"/>
  <c r="B235" i="8"/>
  <c r="A235" i="8"/>
  <c r="Z294" i="3" l="1"/>
  <c r="Z295" i="3"/>
  <c r="Z296" i="3"/>
  <c r="Z290" i="3"/>
  <c r="Z291" i="3"/>
  <c r="Z293" i="3"/>
  <c r="Z292" i="3"/>
  <c r="Y293" i="3"/>
  <c r="Y294" i="3"/>
  <c r="Y295" i="3"/>
  <c r="Y296" i="3"/>
  <c r="Y290" i="3"/>
  <c r="Y292" i="3"/>
  <c r="Y291" i="3"/>
  <c r="Z208" i="3"/>
  <c r="Y208" i="3"/>
  <c r="Y199" i="3"/>
  <c r="Z199" i="3"/>
  <c r="Y28" i="3"/>
  <c r="Y42" i="3"/>
  <c r="Y168" i="3"/>
  <c r="Y45" i="3"/>
  <c r="Y243" i="3"/>
  <c r="Y46" i="3"/>
  <c r="Y44" i="3"/>
  <c r="Y261" i="3"/>
  <c r="Y191" i="3"/>
  <c r="Y126" i="3"/>
  <c r="Y41" i="3"/>
  <c r="Y165" i="3"/>
  <c r="Y133" i="3"/>
  <c r="Y250" i="3"/>
  <c r="Z28" i="3"/>
  <c r="Z133" i="3"/>
  <c r="Z250" i="3"/>
  <c r="Z42" i="3"/>
  <c r="Z168" i="3"/>
  <c r="Z243" i="3"/>
  <c r="Z45" i="3"/>
  <c r="Z44" i="3"/>
  <c r="Z261" i="3"/>
  <c r="Z191" i="3"/>
  <c r="Z165" i="3"/>
  <c r="Z46" i="3"/>
  <c r="Z41" i="3"/>
  <c r="Z126" i="3"/>
  <c r="Z173" i="3"/>
  <c r="Z174" i="3"/>
  <c r="Y173" i="3"/>
  <c r="Y174" i="3"/>
  <c r="Y140" i="3"/>
  <c r="Y40" i="3"/>
  <c r="Y181" i="3"/>
  <c r="Y24" i="3"/>
  <c r="Y138" i="3"/>
  <c r="Y48" i="3"/>
  <c r="Y224" i="3"/>
  <c r="Y210" i="3"/>
  <c r="Y49" i="3"/>
  <c r="Y242" i="3"/>
  <c r="Y19" i="3"/>
  <c r="Y14" i="3"/>
  <c r="Y16" i="3"/>
  <c r="Y277" i="3"/>
  <c r="Y225" i="3"/>
  <c r="Y31" i="3"/>
  <c r="Y17" i="3"/>
  <c r="Y239" i="3"/>
  <c r="Y20" i="3"/>
  <c r="Y33" i="3"/>
  <c r="Y18" i="3"/>
  <c r="Y34" i="3"/>
  <c r="Y282" i="3"/>
  <c r="Y37" i="3"/>
  <c r="Y180" i="3"/>
  <c r="Y23" i="3"/>
  <c r="Y284" i="3"/>
  <c r="Y15" i="3"/>
  <c r="Y160" i="3"/>
  <c r="Y141" i="3"/>
  <c r="Y288" i="3"/>
  <c r="Z140" i="3"/>
  <c r="Z40" i="3"/>
  <c r="Z181" i="3"/>
  <c r="Z24" i="3"/>
  <c r="Z138" i="3"/>
  <c r="Z48" i="3"/>
  <c r="Z224" i="3"/>
  <c r="Z210" i="3"/>
  <c r="Z49" i="3"/>
  <c r="Z242" i="3"/>
  <c r="Z19" i="3"/>
  <c r="Z14" i="3"/>
  <c r="Z16" i="3"/>
  <c r="Z277" i="3"/>
  <c r="Z225" i="3"/>
  <c r="Z31" i="3"/>
  <c r="Z17" i="3"/>
  <c r="Z239" i="3"/>
  <c r="Z20" i="3"/>
  <c r="Z33" i="3"/>
  <c r="Z18" i="3"/>
  <c r="Z34" i="3"/>
  <c r="Z282" i="3"/>
  <c r="Z37" i="3"/>
  <c r="Z180" i="3"/>
  <c r="Z23" i="3"/>
  <c r="Z284" i="3"/>
  <c r="Z15" i="3"/>
  <c r="Z160" i="3"/>
  <c r="Z141" i="3"/>
  <c r="Z288" i="3"/>
  <c r="Y6" i="3"/>
  <c r="Y21" i="3"/>
  <c r="Y35" i="3"/>
  <c r="Y9" i="3"/>
  <c r="Y22" i="3"/>
  <c r="Y36" i="3"/>
  <c r="Y5" i="3"/>
  <c r="Y26" i="3"/>
  <c r="Y43" i="3"/>
  <c r="Y55" i="3"/>
  <c r="Y63" i="3"/>
  <c r="Y71" i="3"/>
  <c r="Y79" i="3"/>
  <c r="Y87" i="3"/>
  <c r="Y95" i="3"/>
  <c r="Y103" i="3"/>
  <c r="Y111" i="3"/>
  <c r="Y119" i="3"/>
  <c r="Y127" i="3"/>
  <c r="Y135" i="3"/>
  <c r="Y145" i="3"/>
  <c r="Y153" i="3"/>
  <c r="Y162" i="3"/>
  <c r="Y172" i="3"/>
  <c r="Y183" i="3"/>
  <c r="Y192" i="3"/>
  <c r="Y201" i="3"/>
  <c r="Y211" i="3"/>
  <c r="Y219" i="3"/>
  <c r="Y229" i="3"/>
  <c r="Y237" i="3"/>
  <c r="Y248" i="3"/>
  <c r="Y257" i="3"/>
  <c r="Y266" i="3"/>
  <c r="Y274" i="3"/>
  <c r="Y285" i="3"/>
  <c r="Y10" i="3"/>
  <c r="Y27" i="3"/>
  <c r="Y56" i="3"/>
  <c r="Y64" i="3"/>
  <c r="Y72" i="3"/>
  <c r="Y80" i="3"/>
  <c r="Y88" i="3"/>
  <c r="Y96" i="3"/>
  <c r="Y104" i="3"/>
  <c r="Y112" i="3"/>
  <c r="Y120" i="3"/>
  <c r="Y128" i="3"/>
  <c r="Y136" i="3"/>
  <c r="Y146" i="3"/>
  <c r="Y154" i="3"/>
  <c r="Y163" i="3"/>
  <c r="Y184" i="3"/>
  <c r="Y193" i="3"/>
  <c r="Y202" i="3"/>
  <c r="Y212" i="3"/>
  <c r="Y220" i="3"/>
  <c r="Y230" i="3"/>
  <c r="Y238" i="3"/>
  <c r="Y249" i="3"/>
  <c r="Y258" i="3"/>
  <c r="Y267" i="3"/>
  <c r="Y275" i="3"/>
  <c r="Y286" i="3"/>
  <c r="Y7" i="3"/>
  <c r="Y29" i="3"/>
  <c r="Y47" i="3"/>
  <c r="Y57" i="3"/>
  <c r="Y65" i="3"/>
  <c r="Y73" i="3"/>
  <c r="Y81" i="3"/>
  <c r="Y89" i="3"/>
  <c r="Y97" i="3"/>
  <c r="Y105" i="3"/>
  <c r="Y113" i="3"/>
  <c r="Y121" i="3"/>
  <c r="Y129" i="3"/>
  <c r="Y137" i="3"/>
  <c r="Y147" i="3"/>
  <c r="Y155" i="3"/>
  <c r="Y164" i="3"/>
  <c r="Y175" i="3"/>
  <c r="Y185" i="3"/>
  <c r="Y194" i="3"/>
  <c r="Y203" i="3"/>
  <c r="Y213" i="3"/>
  <c r="Y221" i="3"/>
  <c r="Y231" i="3"/>
  <c r="Y240" i="3"/>
  <c r="Y251" i="3"/>
  <c r="Y259" i="3"/>
  <c r="Y268" i="3"/>
  <c r="Y276" i="3"/>
  <c r="Y287" i="3"/>
  <c r="Y8" i="3"/>
  <c r="Y30" i="3"/>
  <c r="Y50" i="3"/>
  <c r="Y58" i="3"/>
  <c r="Y66" i="3"/>
  <c r="Y74" i="3"/>
  <c r="Y82" i="3"/>
  <c r="Y90" i="3"/>
  <c r="Y98" i="3"/>
  <c r="Y106" i="3"/>
  <c r="Y114" i="3"/>
  <c r="Y122" i="3"/>
  <c r="Y11" i="3"/>
  <c r="Y32" i="3"/>
  <c r="Y51" i="3"/>
  <c r="Y59" i="3"/>
  <c r="Y67" i="3"/>
  <c r="Y75" i="3"/>
  <c r="Y83" i="3"/>
  <c r="Y91" i="3"/>
  <c r="Y99" i="3"/>
  <c r="Y107" i="3"/>
  <c r="Y115" i="3"/>
  <c r="Y123" i="3"/>
  <c r="Y131" i="3"/>
  <c r="Y139" i="3"/>
  <c r="Y149" i="3"/>
  <c r="Y157" i="3"/>
  <c r="Y167" i="3"/>
  <c r="Y177" i="3"/>
  <c r="Y187" i="3"/>
  <c r="Y196" i="3"/>
  <c r="Y205" i="3"/>
  <c r="Y215" i="3"/>
  <c r="Y223" i="3"/>
  <c r="Y233" i="3"/>
  <c r="Y244" i="3"/>
  <c r="Y253" i="3"/>
  <c r="Y262" i="3"/>
  <c r="Y270" i="3"/>
  <c r="Y279" i="3"/>
  <c r="Y13" i="3"/>
  <c r="Y39" i="3"/>
  <c r="Y53" i="3"/>
  <c r="Y61" i="3"/>
  <c r="Y69" i="3"/>
  <c r="Y77" i="3"/>
  <c r="Y85" i="3"/>
  <c r="Y93" i="3"/>
  <c r="Y101" i="3"/>
  <c r="Y109" i="3"/>
  <c r="Y117" i="3"/>
  <c r="Y125" i="3"/>
  <c r="Y143" i="3"/>
  <c r="Y151" i="3"/>
  <c r="Y159" i="3"/>
  <c r="Y170" i="3"/>
  <c r="Y179" i="3"/>
  <c r="Y189" i="3"/>
  <c r="Y198" i="3"/>
  <c r="Y209" i="3"/>
  <c r="Y217" i="3"/>
  <c r="Y227" i="3"/>
  <c r="Y235" i="3"/>
  <c r="Y246" i="3"/>
  <c r="Y255" i="3"/>
  <c r="Y264" i="3"/>
  <c r="Y272" i="3"/>
  <c r="Y281" i="3"/>
  <c r="Y52" i="3"/>
  <c r="Y84" i="3"/>
  <c r="Y116" i="3"/>
  <c r="Y142" i="3"/>
  <c r="Y166" i="3"/>
  <c r="Y190" i="3"/>
  <c r="Y216" i="3"/>
  <c r="Y241" i="3"/>
  <c r="Y265" i="3"/>
  <c r="Y54" i="3"/>
  <c r="Y86" i="3"/>
  <c r="Y60" i="3"/>
  <c r="Y92" i="3"/>
  <c r="Y124" i="3"/>
  <c r="Y148" i="3"/>
  <c r="Y171" i="3"/>
  <c r="Y197" i="3"/>
  <c r="Y222" i="3"/>
  <c r="Y247" i="3"/>
  <c r="Y271" i="3"/>
  <c r="Y4" i="3"/>
  <c r="Y62" i="3"/>
  <c r="Y94" i="3"/>
  <c r="Y150" i="3"/>
  <c r="Y176" i="3"/>
  <c r="Y200" i="3"/>
  <c r="Y226" i="3"/>
  <c r="Y252" i="3"/>
  <c r="Y273" i="3"/>
  <c r="Y12" i="3"/>
  <c r="Y68" i="3"/>
  <c r="Y100" i="3"/>
  <c r="Y130" i="3"/>
  <c r="Y152" i="3"/>
  <c r="Y178" i="3"/>
  <c r="Y204" i="3"/>
  <c r="Y228" i="3"/>
  <c r="Y254" i="3"/>
  <c r="Y278" i="3"/>
  <c r="Y25" i="3"/>
  <c r="Y70" i="3"/>
  <c r="Y102" i="3"/>
  <c r="Y132" i="3"/>
  <c r="Y156" i="3"/>
  <c r="Y182" i="3"/>
  <c r="Y206" i="3"/>
  <c r="Y232" i="3"/>
  <c r="Y256" i="3"/>
  <c r="Y280" i="3"/>
  <c r="Y78" i="3"/>
  <c r="Y110" i="3"/>
  <c r="Y161" i="3"/>
  <c r="Y188" i="3"/>
  <c r="Y214" i="3"/>
  <c r="Y236" i="3"/>
  <c r="Y263" i="3"/>
  <c r="Y289" i="3"/>
  <c r="Y169" i="3"/>
  <c r="Y269" i="3"/>
  <c r="Y38" i="3"/>
  <c r="Y186" i="3"/>
  <c r="Y283" i="3"/>
  <c r="Y76" i="3"/>
  <c r="Y195" i="3"/>
  <c r="Y108" i="3"/>
  <c r="Y207" i="3"/>
  <c r="Y118" i="3"/>
  <c r="Y218" i="3"/>
  <c r="Y134" i="3"/>
  <c r="Y234" i="3"/>
  <c r="Y144" i="3"/>
  <c r="Y245" i="3"/>
  <c r="Y158" i="3"/>
  <c r="Y260" i="3"/>
  <c r="Z5" i="3"/>
  <c r="Z13" i="3"/>
  <c r="Z32" i="3"/>
  <c r="Z47" i="3"/>
  <c r="Z57" i="3"/>
  <c r="Z65" i="3"/>
  <c r="Z73" i="3"/>
  <c r="Z6" i="3"/>
  <c r="Z21" i="3"/>
  <c r="Z35" i="3"/>
  <c r="Z50" i="3"/>
  <c r="Z58" i="3"/>
  <c r="Z66" i="3"/>
  <c r="Z74" i="3"/>
  <c r="Z82" i="3"/>
  <c r="Z90" i="3"/>
  <c r="Z98" i="3"/>
  <c r="Z106" i="3"/>
  <c r="Z114" i="3"/>
  <c r="Z122" i="3"/>
  <c r="Z130" i="3"/>
  <c r="Z148" i="3"/>
  <c r="Z156" i="3"/>
  <c r="Z166" i="3"/>
  <c r="Z176" i="3"/>
  <c r="Z186" i="3"/>
  <c r="Z195" i="3"/>
  <c r="Z204" i="3"/>
  <c r="Z214" i="3"/>
  <c r="Z222" i="3"/>
  <c r="Z232" i="3"/>
  <c r="Z241" i="3"/>
  <c r="Z252" i="3"/>
  <c r="Z9" i="3"/>
  <c r="Z22" i="3"/>
  <c r="Z36" i="3"/>
  <c r="Z51" i="3"/>
  <c r="Z59" i="3"/>
  <c r="Z67" i="3"/>
  <c r="Z75" i="3"/>
  <c r="Z83" i="3"/>
  <c r="Z91" i="3"/>
  <c r="Z99" i="3"/>
  <c r="Z107" i="3"/>
  <c r="Z115" i="3"/>
  <c r="Z123" i="3"/>
  <c r="Z131" i="3"/>
  <c r="Z10" i="3"/>
  <c r="Z25" i="3"/>
  <c r="Z38" i="3"/>
  <c r="Z52" i="3"/>
  <c r="Z60" i="3"/>
  <c r="Z7" i="3"/>
  <c r="Z26" i="3"/>
  <c r="Z39" i="3"/>
  <c r="Z53" i="3"/>
  <c r="Z61" i="3"/>
  <c r="Z69" i="3"/>
  <c r="Z77" i="3"/>
  <c r="Z85" i="3"/>
  <c r="Z93" i="3"/>
  <c r="Z101" i="3"/>
  <c r="Z109" i="3"/>
  <c r="Z117" i="3"/>
  <c r="Z125" i="3"/>
  <c r="Z143" i="3"/>
  <c r="Z151" i="3"/>
  <c r="Z159" i="3"/>
  <c r="Z170" i="3"/>
  <c r="Z179" i="3"/>
  <c r="Z189" i="3"/>
  <c r="Z198" i="3"/>
  <c r="Z209" i="3"/>
  <c r="Z217" i="3"/>
  <c r="Z227" i="3"/>
  <c r="Z235" i="3"/>
  <c r="Z246" i="3"/>
  <c r="Z255" i="3"/>
  <c r="Z264" i="3"/>
  <c r="Z272" i="3"/>
  <c r="Z281" i="3"/>
  <c r="Z8" i="3"/>
  <c r="Z27" i="3"/>
  <c r="Z54" i="3"/>
  <c r="Z62" i="3"/>
  <c r="Z70" i="3"/>
  <c r="Z78" i="3"/>
  <c r="Z86" i="3"/>
  <c r="Z94" i="3"/>
  <c r="Z102" i="3"/>
  <c r="Z110" i="3"/>
  <c r="Z118" i="3"/>
  <c r="Z134" i="3"/>
  <c r="Z144" i="3"/>
  <c r="Z152" i="3"/>
  <c r="Z161" i="3"/>
  <c r="Z171" i="3"/>
  <c r="Z182" i="3"/>
  <c r="Z190" i="3"/>
  <c r="Z200" i="3"/>
  <c r="Z207" i="3"/>
  <c r="Z218" i="3"/>
  <c r="Z228" i="3"/>
  <c r="Z236" i="3"/>
  <c r="Z247" i="3"/>
  <c r="Z256" i="3"/>
  <c r="Z265" i="3"/>
  <c r="Z273" i="3"/>
  <c r="Z283" i="3"/>
  <c r="Z12" i="3"/>
  <c r="Z64" i="3"/>
  <c r="Z84" i="3"/>
  <c r="Z100" i="3"/>
  <c r="Z116" i="3"/>
  <c r="Z132" i="3"/>
  <c r="Z147" i="3"/>
  <c r="Z162" i="3"/>
  <c r="Z177" i="3"/>
  <c r="Z193" i="3"/>
  <c r="Z206" i="3"/>
  <c r="Z221" i="3"/>
  <c r="Z237" i="3"/>
  <c r="Z29" i="3"/>
  <c r="Z68" i="3"/>
  <c r="Z87" i="3"/>
  <c r="Z103" i="3"/>
  <c r="Z119" i="3"/>
  <c r="Z135" i="3"/>
  <c r="Z149" i="3"/>
  <c r="Z163" i="3"/>
  <c r="Z178" i="3"/>
  <c r="Z194" i="3"/>
  <c r="Z211" i="3"/>
  <c r="Z223" i="3"/>
  <c r="Z238" i="3"/>
  <c r="Z254" i="3"/>
  <c r="Z267" i="3"/>
  <c r="Z278" i="3"/>
  <c r="Z30" i="3"/>
  <c r="Z71" i="3"/>
  <c r="Z88" i="3"/>
  <c r="Z104" i="3"/>
  <c r="Z120" i="3"/>
  <c r="Z136" i="3"/>
  <c r="Z150" i="3"/>
  <c r="Z164" i="3"/>
  <c r="Z183" i="3"/>
  <c r="Z196" i="3"/>
  <c r="Z212" i="3"/>
  <c r="Z226" i="3"/>
  <c r="Z240" i="3"/>
  <c r="Z257" i="3"/>
  <c r="Z268" i="3"/>
  <c r="Z279" i="3"/>
  <c r="Z43" i="3"/>
  <c r="Z72" i="3"/>
  <c r="Z89" i="3"/>
  <c r="Z105" i="3"/>
  <c r="Z121" i="3"/>
  <c r="Z137" i="3"/>
  <c r="Z153" i="3"/>
  <c r="Z167" i="3"/>
  <c r="Z184" i="3"/>
  <c r="Z197" i="3"/>
  <c r="Z213" i="3"/>
  <c r="Z229" i="3"/>
  <c r="Z244" i="3"/>
  <c r="Z258" i="3"/>
  <c r="Z269" i="3"/>
  <c r="Z280" i="3"/>
  <c r="Z76" i="3"/>
  <c r="Z92" i="3"/>
  <c r="Z108" i="3"/>
  <c r="Z124" i="3"/>
  <c r="Z139" i="3"/>
  <c r="Z154" i="3"/>
  <c r="Z169" i="3"/>
  <c r="Z185" i="3"/>
  <c r="Z201" i="3"/>
  <c r="Z215" i="3"/>
  <c r="Z230" i="3"/>
  <c r="Z245" i="3"/>
  <c r="Z259" i="3"/>
  <c r="Z270" i="3"/>
  <c r="Z285" i="3"/>
  <c r="Z55" i="3"/>
  <c r="Z79" i="3"/>
  <c r="Z95" i="3"/>
  <c r="Z111" i="3"/>
  <c r="Z127" i="3"/>
  <c r="Z142" i="3"/>
  <c r="Z155" i="3"/>
  <c r="Z172" i="3"/>
  <c r="Z187" i="3"/>
  <c r="Z202" i="3"/>
  <c r="Z216" i="3"/>
  <c r="Z231" i="3"/>
  <c r="Z248" i="3"/>
  <c r="Z260" i="3"/>
  <c r="Z271" i="3"/>
  <c r="Z286" i="3"/>
  <c r="Z11" i="3"/>
  <c r="Z63" i="3"/>
  <c r="Z81" i="3"/>
  <c r="Z97" i="3"/>
  <c r="Z113" i="3"/>
  <c r="Z129" i="3"/>
  <c r="Z146" i="3"/>
  <c r="Z158" i="3"/>
  <c r="Z175" i="3"/>
  <c r="Z192" i="3"/>
  <c r="Z205" i="3"/>
  <c r="Z220" i="3"/>
  <c r="Z234" i="3"/>
  <c r="Z251" i="3"/>
  <c r="Z263" i="3"/>
  <c r="Z275" i="3"/>
  <c r="Z289" i="3"/>
  <c r="Z56" i="3"/>
  <c r="Z188" i="3"/>
  <c r="Z274" i="3"/>
  <c r="Z80" i="3"/>
  <c r="Z203" i="3"/>
  <c r="Z276" i="3"/>
  <c r="Z96" i="3"/>
  <c r="Z219" i="3"/>
  <c r="Z287" i="3"/>
  <c r="Z112" i="3"/>
  <c r="Z233" i="3"/>
  <c r="Z128" i="3"/>
  <c r="Z249" i="3"/>
  <c r="Z145" i="3"/>
  <c r="Z253" i="3"/>
  <c r="Z4" i="3"/>
  <c r="Z266" i="3"/>
  <c r="Z262" i="3"/>
  <c r="Z157" i="3"/>
  <c r="E232" i="8" l="1"/>
  <c r="D232" i="8"/>
  <c r="B232" i="8"/>
  <c r="A232" i="8"/>
  <c r="E231" i="8"/>
  <c r="D231" i="8"/>
  <c r="B231" i="8"/>
  <c r="A231" i="8"/>
  <c r="E230" i="8"/>
  <c r="D230" i="8"/>
  <c r="B230" i="8"/>
  <c r="A230" i="8"/>
  <c r="E229" i="8"/>
  <c r="D229" i="8"/>
  <c r="B229" i="8"/>
  <c r="A229" i="8"/>
  <c r="E228" i="8"/>
  <c r="D228" i="8"/>
  <c r="B228" i="8"/>
  <c r="A228" i="8"/>
  <c r="E227" i="8"/>
  <c r="D227" i="8"/>
  <c r="B227" i="8"/>
  <c r="A227" i="8"/>
  <c r="E226" i="8"/>
  <c r="D226" i="8"/>
  <c r="B226" i="8"/>
  <c r="A226" i="8"/>
  <c r="E225" i="8"/>
  <c r="D225" i="8"/>
  <c r="B225" i="8"/>
  <c r="A225" i="8"/>
  <c r="E224" i="8"/>
  <c r="D224" i="8"/>
  <c r="B224" i="8"/>
  <c r="A224" i="8"/>
  <c r="E223" i="8"/>
  <c r="D223" i="8"/>
  <c r="B223" i="8"/>
  <c r="A223" i="8"/>
  <c r="E222" i="8"/>
  <c r="D222" i="8"/>
  <c r="B222" i="8"/>
  <c r="A222" i="8"/>
  <c r="E221" i="8"/>
  <c r="D221" i="8"/>
  <c r="B221" i="8"/>
  <c r="A221" i="8"/>
  <c r="E220" i="8"/>
  <c r="D220" i="8"/>
  <c r="B220" i="8"/>
  <c r="A220" i="8"/>
  <c r="E219" i="8"/>
  <c r="D219" i="8"/>
  <c r="B219" i="8"/>
  <c r="A219" i="8"/>
  <c r="E218" i="8"/>
  <c r="D218" i="8"/>
  <c r="B218" i="8"/>
  <c r="A218" i="8"/>
  <c r="E217" i="8"/>
  <c r="D217" i="8"/>
  <c r="B217" i="8"/>
  <c r="A217" i="8"/>
  <c r="E216" i="8"/>
  <c r="D216" i="8"/>
  <c r="B216" i="8"/>
  <c r="A216" i="8"/>
  <c r="E215" i="8"/>
  <c r="D215" i="8"/>
  <c r="B215" i="8"/>
  <c r="A215" i="8"/>
  <c r="E214" i="8"/>
  <c r="D214" i="8"/>
  <c r="B214" i="8"/>
  <c r="A214" i="8"/>
  <c r="E213" i="8"/>
  <c r="D213" i="8"/>
  <c r="B213" i="8"/>
  <c r="A213" i="8"/>
  <c r="X208" i="3" l="1"/>
  <c r="X292" i="3"/>
  <c r="X293" i="3"/>
  <c r="X294" i="3"/>
  <c r="X295" i="3"/>
  <c r="X296" i="3"/>
  <c r="X291" i="3"/>
  <c r="X290" i="3"/>
  <c r="X199" i="3"/>
  <c r="X28" i="3"/>
  <c r="X45" i="3"/>
  <c r="X42" i="3"/>
  <c r="X168" i="3"/>
  <c r="X46" i="3"/>
  <c r="X243" i="3"/>
  <c r="X44" i="3"/>
  <c r="X261" i="3"/>
  <c r="X191" i="3"/>
  <c r="X126" i="3"/>
  <c r="X41" i="3"/>
  <c r="X165" i="3"/>
  <c r="X250" i="3"/>
  <c r="X133" i="3"/>
  <c r="X174" i="3"/>
  <c r="X173" i="3"/>
  <c r="X140" i="3"/>
  <c r="X40" i="3"/>
  <c r="X181" i="3"/>
  <c r="X24" i="3"/>
  <c r="X138" i="3"/>
  <c r="X48" i="3"/>
  <c r="X224" i="3"/>
  <c r="X210" i="3"/>
  <c r="X49" i="3"/>
  <c r="X242" i="3"/>
  <c r="X19" i="3"/>
  <c r="X14" i="3"/>
  <c r="X16" i="3"/>
  <c r="X277" i="3"/>
  <c r="X225" i="3"/>
  <c r="X31" i="3"/>
  <c r="X17" i="3"/>
  <c r="X239" i="3"/>
  <c r="X20" i="3"/>
  <c r="X33" i="3"/>
  <c r="X18" i="3"/>
  <c r="X34" i="3"/>
  <c r="X282" i="3"/>
  <c r="X37" i="3"/>
  <c r="X180" i="3"/>
  <c r="X23" i="3"/>
  <c r="X284" i="3"/>
  <c r="X15" i="3"/>
  <c r="X160" i="3"/>
  <c r="X141" i="3"/>
  <c r="X288" i="3"/>
  <c r="X10" i="3"/>
  <c r="X25" i="3"/>
  <c r="X38" i="3"/>
  <c r="X52" i="3"/>
  <c r="X60" i="3"/>
  <c r="X68" i="3"/>
  <c r="X76" i="3"/>
  <c r="X84" i="3"/>
  <c r="X92" i="3"/>
  <c r="X100" i="3"/>
  <c r="X108" i="3"/>
  <c r="X116" i="3"/>
  <c r="X124" i="3"/>
  <c r="X132" i="3"/>
  <c r="X142" i="3"/>
  <c r="X150" i="3"/>
  <c r="X158" i="3"/>
  <c r="X169" i="3"/>
  <c r="X178" i="3"/>
  <c r="X188" i="3"/>
  <c r="X197" i="3"/>
  <c r="X206" i="3"/>
  <c r="X216" i="3"/>
  <c r="X226" i="3"/>
  <c r="X234" i="3"/>
  <c r="X245" i="3"/>
  <c r="X254" i="3"/>
  <c r="X263" i="3"/>
  <c r="X271" i="3"/>
  <c r="X280" i="3"/>
  <c r="X7" i="3"/>
  <c r="X26" i="3"/>
  <c r="X39" i="3"/>
  <c r="X53" i="3"/>
  <c r="X61" i="3"/>
  <c r="X69" i="3"/>
  <c r="X77" i="3"/>
  <c r="X85" i="3"/>
  <c r="X93" i="3"/>
  <c r="X101" i="3"/>
  <c r="X109" i="3"/>
  <c r="X117" i="3"/>
  <c r="X125" i="3"/>
  <c r="X143" i="3"/>
  <c r="X151" i="3"/>
  <c r="X159" i="3"/>
  <c r="X170" i="3"/>
  <c r="X179" i="3"/>
  <c r="X189" i="3"/>
  <c r="X198" i="3"/>
  <c r="X209" i="3"/>
  <c r="X217" i="3"/>
  <c r="X227" i="3"/>
  <c r="X235" i="3"/>
  <c r="X246" i="3"/>
  <c r="X255" i="3"/>
  <c r="X264" i="3"/>
  <c r="X272" i="3"/>
  <c r="X281" i="3"/>
  <c r="X8" i="3"/>
  <c r="X27" i="3"/>
  <c r="X54" i="3"/>
  <c r="X62" i="3"/>
  <c r="X70" i="3"/>
  <c r="X78" i="3"/>
  <c r="X86" i="3"/>
  <c r="X94" i="3"/>
  <c r="X102" i="3"/>
  <c r="X110" i="3"/>
  <c r="X118" i="3"/>
  <c r="X134" i="3"/>
  <c r="X144" i="3"/>
  <c r="X152" i="3"/>
  <c r="X161" i="3"/>
  <c r="X171" i="3"/>
  <c r="X182" i="3"/>
  <c r="X190" i="3"/>
  <c r="X200" i="3"/>
  <c r="X207" i="3"/>
  <c r="X218" i="3"/>
  <c r="X228" i="3"/>
  <c r="X236" i="3"/>
  <c r="X247" i="3"/>
  <c r="X256" i="3"/>
  <c r="X265" i="3"/>
  <c r="X273" i="3"/>
  <c r="X4" i="3"/>
  <c r="X12" i="3"/>
  <c r="X30" i="3"/>
  <c r="X56" i="3"/>
  <c r="X64" i="3"/>
  <c r="X72" i="3"/>
  <c r="X80" i="3"/>
  <c r="X88" i="3"/>
  <c r="X96" i="3"/>
  <c r="X104" i="3"/>
  <c r="X112" i="3"/>
  <c r="X120" i="3"/>
  <c r="X128" i="3"/>
  <c r="X136" i="3"/>
  <c r="X146" i="3"/>
  <c r="X154" i="3"/>
  <c r="X163" i="3"/>
  <c r="X184" i="3"/>
  <c r="X193" i="3"/>
  <c r="X202" i="3"/>
  <c r="X212" i="3"/>
  <c r="X220" i="3"/>
  <c r="X230" i="3"/>
  <c r="X238" i="3"/>
  <c r="X6" i="3"/>
  <c r="X21" i="3"/>
  <c r="X35" i="3"/>
  <c r="X50" i="3"/>
  <c r="X58" i="3"/>
  <c r="X66" i="3"/>
  <c r="X74" i="3"/>
  <c r="X82" i="3"/>
  <c r="X90" i="3"/>
  <c r="X98" i="3"/>
  <c r="X106" i="3"/>
  <c r="X114" i="3"/>
  <c r="X122" i="3"/>
  <c r="X130" i="3"/>
  <c r="X148" i="3"/>
  <c r="X156" i="3"/>
  <c r="X166" i="3"/>
  <c r="X176" i="3"/>
  <c r="X186" i="3"/>
  <c r="X195" i="3"/>
  <c r="X204" i="3"/>
  <c r="X214" i="3"/>
  <c r="X222" i="3"/>
  <c r="X232" i="3"/>
  <c r="X241" i="3"/>
  <c r="X252" i="3"/>
  <c r="X260" i="3"/>
  <c r="X269" i="3"/>
  <c r="X5" i="3"/>
  <c r="X43" i="3"/>
  <c r="X67" i="3"/>
  <c r="X89" i="3"/>
  <c r="X111" i="3"/>
  <c r="X131" i="3"/>
  <c r="X155" i="3"/>
  <c r="X183" i="3"/>
  <c r="X205" i="3"/>
  <c r="X231" i="3"/>
  <c r="X253" i="3"/>
  <c r="X270" i="3"/>
  <c r="X286" i="3"/>
  <c r="X11" i="3"/>
  <c r="X51" i="3"/>
  <c r="X73" i="3"/>
  <c r="X95" i="3"/>
  <c r="X115" i="3"/>
  <c r="X137" i="3"/>
  <c r="X162" i="3"/>
  <c r="X187" i="3"/>
  <c r="X213" i="3"/>
  <c r="X237" i="3"/>
  <c r="X258" i="3"/>
  <c r="X275" i="3"/>
  <c r="X289" i="3"/>
  <c r="X13" i="3"/>
  <c r="X55" i="3"/>
  <c r="X75" i="3"/>
  <c r="X97" i="3"/>
  <c r="X119" i="3"/>
  <c r="X139" i="3"/>
  <c r="X164" i="3"/>
  <c r="X192" i="3"/>
  <c r="X215" i="3"/>
  <c r="X240" i="3"/>
  <c r="X259" i="3"/>
  <c r="X276" i="3"/>
  <c r="X22" i="3"/>
  <c r="X57" i="3"/>
  <c r="X79" i="3"/>
  <c r="X99" i="3"/>
  <c r="X121" i="3"/>
  <c r="X145" i="3"/>
  <c r="X167" i="3"/>
  <c r="X194" i="3"/>
  <c r="X219" i="3"/>
  <c r="X244" i="3"/>
  <c r="X262" i="3"/>
  <c r="X278" i="3"/>
  <c r="X29" i="3"/>
  <c r="X59" i="3"/>
  <c r="X81" i="3"/>
  <c r="X103" i="3"/>
  <c r="X123" i="3"/>
  <c r="X147" i="3"/>
  <c r="X172" i="3"/>
  <c r="X196" i="3"/>
  <c r="X221" i="3"/>
  <c r="X248" i="3"/>
  <c r="X266" i="3"/>
  <c r="X279" i="3"/>
  <c r="X36" i="3"/>
  <c r="X65" i="3"/>
  <c r="X87" i="3"/>
  <c r="X107" i="3"/>
  <c r="X129" i="3"/>
  <c r="X153" i="3"/>
  <c r="X177" i="3"/>
  <c r="X203" i="3"/>
  <c r="X229" i="3"/>
  <c r="X251" i="3"/>
  <c r="X268" i="3"/>
  <c r="X285" i="3"/>
  <c r="X91" i="3"/>
  <c r="X185" i="3"/>
  <c r="X274" i="3"/>
  <c r="X105" i="3"/>
  <c r="X201" i="3"/>
  <c r="X283" i="3"/>
  <c r="X9" i="3"/>
  <c r="X113" i="3"/>
  <c r="X211" i="3"/>
  <c r="X287" i="3"/>
  <c r="X32" i="3"/>
  <c r="X127" i="3"/>
  <c r="X223" i="3"/>
  <c r="X47" i="3"/>
  <c r="X135" i="3"/>
  <c r="X233" i="3"/>
  <c r="X63" i="3"/>
  <c r="X149" i="3"/>
  <c r="X249" i="3"/>
  <c r="X71" i="3"/>
  <c r="X157" i="3"/>
  <c r="X257" i="3"/>
  <c r="X83" i="3"/>
  <c r="X175" i="3"/>
  <c r="X267" i="3"/>
  <c r="E209" i="8"/>
  <c r="D209" i="8"/>
  <c r="B209" i="8"/>
  <c r="A209" i="8"/>
  <c r="E208" i="8"/>
  <c r="D208" i="8"/>
  <c r="B208" i="8"/>
  <c r="A208" i="8"/>
  <c r="E207" i="8"/>
  <c r="D207" i="8"/>
  <c r="B207" i="8"/>
  <c r="A207" i="8"/>
  <c r="E206" i="8"/>
  <c r="D206" i="8"/>
  <c r="B206" i="8"/>
  <c r="A206" i="8"/>
  <c r="E205" i="8"/>
  <c r="D205" i="8"/>
  <c r="B205" i="8"/>
  <c r="A205" i="8"/>
  <c r="E204" i="8"/>
  <c r="D204" i="8"/>
  <c r="B204" i="8"/>
  <c r="A204" i="8"/>
  <c r="E203" i="8"/>
  <c r="D203" i="8"/>
  <c r="B203" i="8"/>
  <c r="A203" i="8"/>
  <c r="E202" i="8"/>
  <c r="D202" i="8"/>
  <c r="B202" i="8"/>
  <c r="A202" i="8"/>
  <c r="E201" i="8"/>
  <c r="D201" i="8"/>
  <c r="B201" i="8"/>
  <c r="A201" i="8"/>
  <c r="E200" i="8"/>
  <c r="D200" i="8"/>
  <c r="B200" i="8"/>
  <c r="A200" i="8"/>
  <c r="E199" i="8"/>
  <c r="D199" i="8"/>
  <c r="B199" i="8"/>
  <c r="A199" i="8"/>
  <c r="E198" i="8"/>
  <c r="D198" i="8"/>
  <c r="B198" i="8"/>
  <c r="A198" i="8"/>
  <c r="E197" i="8"/>
  <c r="D197" i="8"/>
  <c r="B197" i="8"/>
  <c r="A197" i="8"/>
  <c r="E196" i="8"/>
  <c r="D196" i="8"/>
  <c r="B196" i="8"/>
  <c r="A196" i="8"/>
  <c r="E195" i="8"/>
  <c r="D195" i="8"/>
  <c r="B195" i="8"/>
  <c r="A195" i="8"/>
  <c r="E194" i="8"/>
  <c r="D194" i="8"/>
  <c r="B194" i="8"/>
  <c r="A194" i="8"/>
  <c r="E193" i="8"/>
  <c r="D193" i="8"/>
  <c r="B193" i="8"/>
  <c r="A193" i="8"/>
  <c r="E192" i="8"/>
  <c r="D192" i="8"/>
  <c r="B192" i="8"/>
  <c r="A192" i="8"/>
  <c r="E191" i="8"/>
  <c r="D191" i="8"/>
  <c r="B191" i="8"/>
  <c r="A191" i="8"/>
  <c r="E190" i="8"/>
  <c r="D190" i="8"/>
  <c r="B190" i="8"/>
  <c r="A190" i="8"/>
  <c r="E189" i="8"/>
  <c r="D189" i="8"/>
  <c r="B189" i="8"/>
  <c r="A189" i="8"/>
  <c r="E188" i="8"/>
  <c r="D188" i="8"/>
  <c r="B188" i="8"/>
  <c r="A188" i="8"/>
  <c r="E187" i="8"/>
  <c r="D187" i="8"/>
  <c r="B187" i="8"/>
  <c r="A187" i="8"/>
  <c r="E186" i="8"/>
  <c r="D186" i="8"/>
  <c r="B186" i="8"/>
  <c r="A186" i="8"/>
  <c r="E185" i="8"/>
  <c r="D185" i="8"/>
  <c r="B185" i="8"/>
  <c r="A185" i="8"/>
  <c r="E184" i="8"/>
  <c r="D184" i="8"/>
  <c r="B184" i="8"/>
  <c r="A184" i="8"/>
  <c r="E183" i="8"/>
  <c r="D183" i="8"/>
  <c r="B183" i="8"/>
  <c r="A183" i="8"/>
  <c r="E182" i="8"/>
  <c r="D182" i="8"/>
  <c r="B182" i="8"/>
  <c r="A182" i="8"/>
  <c r="W208" i="3" l="1"/>
  <c r="W291" i="3"/>
  <c r="W292" i="3"/>
  <c r="W293" i="3"/>
  <c r="W294" i="3"/>
  <c r="W295" i="3"/>
  <c r="W296" i="3"/>
  <c r="W290" i="3"/>
  <c r="W199" i="3"/>
  <c r="W28" i="3"/>
  <c r="W243" i="3"/>
  <c r="W44" i="3"/>
  <c r="W261" i="3"/>
  <c r="W191" i="3"/>
  <c r="W126" i="3"/>
  <c r="W41" i="3"/>
  <c r="W165" i="3"/>
  <c r="W45" i="3"/>
  <c r="W133" i="3"/>
  <c r="W250" i="3"/>
  <c r="W46" i="3"/>
  <c r="W42" i="3"/>
  <c r="W168" i="3"/>
  <c r="W174" i="3"/>
  <c r="W173" i="3"/>
  <c r="W140" i="3"/>
  <c r="W40" i="3"/>
  <c r="W181" i="3"/>
  <c r="W24" i="3"/>
  <c r="W138" i="3"/>
  <c r="W48" i="3"/>
  <c r="W224" i="3"/>
  <c r="W210" i="3"/>
  <c r="W49" i="3"/>
  <c r="W242" i="3"/>
  <c r="W19" i="3"/>
  <c r="W14" i="3"/>
  <c r="W16" i="3"/>
  <c r="W277" i="3"/>
  <c r="W225" i="3"/>
  <c r="W31" i="3"/>
  <c r="W17" i="3"/>
  <c r="W239" i="3"/>
  <c r="W20" i="3"/>
  <c r="W33" i="3"/>
  <c r="W18" i="3"/>
  <c r="W34" i="3"/>
  <c r="W282" i="3"/>
  <c r="W37" i="3"/>
  <c r="W180" i="3"/>
  <c r="W23" i="3"/>
  <c r="W284" i="3"/>
  <c r="W15" i="3"/>
  <c r="W160" i="3"/>
  <c r="W141" i="3"/>
  <c r="W288" i="3"/>
  <c r="W186" i="3"/>
  <c r="W195" i="3"/>
  <c r="W7" i="3"/>
  <c r="W26" i="3"/>
  <c r="W39" i="3"/>
  <c r="W52" i="3"/>
  <c r="W60" i="3"/>
  <c r="W68" i="3"/>
  <c r="W76" i="3"/>
  <c r="W84" i="3"/>
  <c r="W95" i="3"/>
  <c r="W103" i="3"/>
  <c r="W111" i="3"/>
  <c r="W119" i="3"/>
  <c r="W127" i="3"/>
  <c r="W135" i="3"/>
  <c r="W145" i="3"/>
  <c r="W153" i="3"/>
  <c r="W162" i="3"/>
  <c r="W172" i="3"/>
  <c r="W200" i="3"/>
  <c r="W212" i="3"/>
  <c r="W220" i="3"/>
  <c r="W229" i="3"/>
  <c r="W237" i="3"/>
  <c r="W248" i="3"/>
  <c r="W257" i="3"/>
  <c r="W266" i="3"/>
  <c r="W274" i="3"/>
  <c r="W285" i="3"/>
  <c r="W90" i="3"/>
  <c r="W188" i="3"/>
  <c r="W197" i="3"/>
  <c r="W11" i="3"/>
  <c r="W91" i="3"/>
  <c r="W189" i="3"/>
  <c r="W198" i="3"/>
  <c r="W12" i="3"/>
  <c r="W30" i="3"/>
  <c r="W55" i="3"/>
  <c r="W63" i="3"/>
  <c r="W71" i="3"/>
  <c r="W79" i="3"/>
  <c r="W87" i="3"/>
  <c r="W98" i="3"/>
  <c r="W106" i="3"/>
  <c r="W114" i="3"/>
  <c r="W122" i="3"/>
  <c r="W130" i="3"/>
  <c r="W148" i="3"/>
  <c r="W156" i="3"/>
  <c r="W166" i="3"/>
  <c r="W176" i="3"/>
  <c r="W203" i="3"/>
  <c r="W215" i="3"/>
  <c r="W222" i="3"/>
  <c r="W232" i="3"/>
  <c r="W241" i="3"/>
  <c r="W252" i="3"/>
  <c r="W260" i="3"/>
  <c r="W269" i="3"/>
  <c r="W278" i="3"/>
  <c r="W289" i="3"/>
  <c r="W183" i="3"/>
  <c r="W192" i="3"/>
  <c r="W5" i="3"/>
  <c r="W21" i="3"/>
  <c r="W35" i="3"/>
  <c r="W206" i="3"/>
  <c r="W57" i="3"/>
  <c r="W65" i="3"/>
  <c r="W73" i="3"/>
  <c r="W81" i="3"/>
  <c r="W89" i="3"/>
  <c r="W100" i="3"/>
  <c r="W108" i="3"/>
  <c r="W116" i="3"/>
  <c r="W124" i="3"/>
  <c r="W132" i="3"/>
  <c r="W142" i="3"/>
  <c r="W150" i="3"/>
  <c r="W158" i="3"/>
  <c r="W169" i="3"/>
  <c r="W178" i="3"/>
  <c r="W205" i="3"/>
  <c r="W217" i="3"/>
  <c r="W226" i="3"/>
  <c r="W234" i="3"/>
  <c r="W245" i="3"/>
  <c r="W254" i="3"/>
  <c r="W263" i="3"/>
  <c r="W271" i="3"/>
  <c r="W280" i="3"/>
  <c r="W10" i="3"/>
  <c r="W196" i="3"/>
  <c r="W27" i="3"/>
  <c r="W50" i="3"/>
  <c r="W62" i="3"/>
  <c r="W75" i="3"/>
  <c r="W88" i="3"/>
  <c r="W104" i="3"/>
  <c r="W117" i="3"/>
  <c r="W129" i="3"/>
  <c r="W144" i="3"/>
  <c r="W157" i="3"/>
  <c r="W209" i="3"/>
  <c r="W221" i="3"/>
  <c r="W236" i="3"/>
  <c r="W253" i="3"/>
  <c r="W267" i="3"/>
  <c r="W281" i="3"/>
  <c r="W92" i="3"/>
  <c r="W4" i="3"/>
  <c r="W29" i="3"/>
  <c r="W51" i="3"/>
  <c r="W64" i="3"/>
  <c r="W77" i="3"/>
  <c r="W93" i="3"/>
  <c r="W105" i="3"/>
  <c r="W118" i="3"/>
  <c r="W131" i="3"/>
  <c r="W146" i="3"/>
  <c r="W159" i="3"/>
  <c r="W175" i="3"/>
  <c r="W211" i="3"/>
  <c r="W223" i="3"/>
  <c r="W238" i="3"/>
  <c r="W255" i="3"/>
  <c r="W268" i="3"/>
  <c r="W283" i="3"/>
  <c r="W184" i="3"/>
  <c r="W6" i="3"/>
  <c r="W32" i="3"/>
  <c r="W53" i="3"/>
  <c r="W66" i="3"/>
  <c r="W78" i="3"/>
  <c r="W94" i="3"/>
  <c r="W107" i="3"/>
  <c r="W120" i="3"/>
  <c r="W147" i="3"/>
  <c r="W161" i="3"/>
  <c r="W177" i="3"/>
  <c r="W213" i="3"/>
  <c r="W227" i="3"/>
  <c r="W240" i="3"/>
  <c r="W256" i="3"/>
  <c r="W270" i="3"/>
  <c r="W286" i="3"/>
  <c r="W276" i="3"/>
  <c r="W185" i="3"/>
  <c r="W9" i="3"/>
  <c r="W36" i="3"/>
  <c r="W54" i="3"/>
  <c r="W67" i="3"/>
  <c r="W80" i="3"/>
  <c r="W96" i="3"/>
  <c r="W109" i="3"/>
  <c r="W121" i="3"/>
  <c r="W134" i="3"/>
  <c r="W149" i="3"/>
  <c r="W163" i="3"/>
  <c r="W179" i="3"/>
  <c r="W214" i="3"/>
  <c r="W228" i="3"/>
  <c r="W244" i="3"/>
  <c r="W258" i="3"/>
  <c r="W272" i="3"/>
  <c r="W287" i="3"/>
  <c r="W187" i="3"/>
  <c r="W8" i="3"/>
  <c r="W38" i="3"/>
  <c r="W56" i="3"/>
  <c r="W69" i="3"/>
  <c r="W82" i="3"/>
  <c r="W97" i="3"/>
  <c r="W110" i="3"/>
  <c r="W123" i="3"/>
  <c r="W136" i="3"/>
  <c r="W151" i="3"/>
  <c r="W164" i="3"/>
  <c r="W182" i="3"/>
  <c r="W216" i="3"/>
  <c r="W230" i="3"/>
  <c r="W246" i="3"/>
  <c r="W259" i="3"/>
  <c r="W273" i="3"/>
  <c r="W22" i="3"/>
  <c r="W59" i="3"/>
  <c r="W85" i="3"/>
  <c r="W113" i="3"/>
  <c r="W139" i="3"/>
  <c r="W170" i="3"/>
  <c r="W219" i="3"/>
  <c r="W249" i="3"/>
  <c r="W190" i="3"/>
  <c r="W13" i="3"/>
  <c r="W58" i="3"/>
  <c r="W70" i="3"/>
  <c r="W83" i="3"/>
  <c r="W99" i="3"/>
  <c r="W112" i="3"/>
  <c r="W125" i="3"/>
  <c r="W137" i="3"/>
  <c r="W152" i="3"/>
  <c r="W167" i="3"/>
  <c r="W201" i="3"/>
  <c r="W218" i="3"/>
  <c r="W231" i="3"/>
  <c r="W247" i="3"/>
  <c r="W262" i="3"/>
  <c r="W275" i="3"/>
  <c r="W193" i="3"/>
  <c r="W43" i="3"/>
  <c r="W72" i="3"/>
  <c r="W101" i="3"/>
  <c r="W154" i="3"/>
  <c r="W202" i="3"/>
  <c r="W233" i="3"/>
  <c r="W264" i="3"/>
  <c r="W194" i="3"/>
  <c r="W25" i="3"/>
  <c r="W47" i="3"/>
  <c r="W61" i="3"/>
  <c r="W74" i="3"/>
  <c r="W86" i="3"/>
  <c r="W102" i="3"/>
  <c r="W115" i="3"/>
  <c r="W128" i="3"/>
  <c r="W143" i="3"/>
  <c r="W155" i="3"/>
  <c r="W171" i="3"/>
  <c r="W204" i="3"/>
  <c r="W207" i="3"/>
  <c r="W235" i="3"/>
  <c r="W251" i="3"/>
  <c r="W265" i="3"/>
  <c r="W279" i="3"/>
  <c r="E148" i="8" l="1"/>
  <c r="D148" i="8"/>
  <c r="B148" i="8"/>
  <c r="A148" i="8"/>
  <c r="E147" i="8"/>
  <c r="D147" i="8"/>
  <c r="B147" i="8"/>
  <c r="A147" i="8"/>
  <c r="E146" i="8"/>
  <c r="D146" i="8"/>
  <c r="B146" i="8"/>
  <c r="A146" i="8"/>
  <c r="E145" i="8"/>
  <c r="D145" i="8"/>
  <c r="B145" i="8"/>
  <c r="A145" i="8"/>
  <c r="E144" i="8"/>
  <c r="D144" i="8"/>
  <c r="B144" i="8"/>
  <c r="A144" i="8"/>
  <c r="E143" i="8"/>
  <c r="D143" i="8"/>
  <c r="B143" i="8"/>
  <c r="A143" i="8"/>
  <c r="E142" i="8"/>
  <c r="D142" i="8"/>
  <c r="B142" i="8"/>
  <c r="A142" i="8"/>
  <c r="E141" i="8"/>
  <c r="D141" i="8"/>
  <c r="B141" i="8"/>
  <c r="A141" i="8"/>
  <c r="E140" i="8"/>
  <c r="D140" i="8"/>
  <c r="B140" i="8"/>
  <c r="A140" i="8"/>
  <c r="E139" i="8"/>
  <c r="D139" i="8"/>
  <c r="B139" i="8"/>
  <c r="A139" i="8"/>
  <c r="E138" i="8"/>
  <c r="D138" i="8"/>
  <c r="B138" i="8"/>
  <c r="A138" i="8"/>
  <c r="E137" i="8"/>
  <c r="D137" i="8"/>
  <c r="B137" i="8"/>
  <c r="A137" i="8"/>
  <c r="E136" i="8"/>
  <c r="D136" i="8"/>
  <c r="B136" i="8"/>
  <c r="A136" i="8"/>
  <c r="E135" i="8"/>
  <c r="D135" i="8"/>
  <c r="B135" i="8"/>
  <c r="A135" i="8"/>
  <c r="E134" i="8"/>
  <c r="D134" i="8"/>
  <c r="B134" i="8"/>
  <c r="A134" i="8"/>
  <c r="E133" i="8"/>
  <c r="D133" i="8"/>
  <c r="B133" i="8"/>
  <c r="A133" i="8"/>
  <c r="E132" i="8"/>
  <c r="D132" i="8"/>
  <c r="B132" i="8"/>
  <c r="A132" i="8"/>
  <c r="E131" i="8"/>
  <c r="D131" i="8"/>
  <c r="B131" i="8"/>
  <c r="A131" i="8"/>
  <c r="E130" i="8"/>
  <c r="D130" i="8"/>
  <c r="B130" i="8"/>
  <c r="A130" i="8"/>
  <c r="E129" i="8"/>
  <c r="D129" i="8"/>
  <c r="B129" i="8"/>
  <c r="A129" i="8"/>
  <c r="E128" i="8"/>
  <c r="D128" i="8"/>
  <c r="B128" i="8"/>
  <c r="A128" i="8"/>
  <c r="E127" i="8"/>
  <c r="D127" i="8"/>
  <c r="B127" i="8"/>
  <c r="A127" i="8"/>
  <c r="E126" i="8"/>
  <c r="D126" i="8"/>
  <c r="B126" i="8"/>
  <c r="A126" i="8"/>
  <c r="E125" i="8"/>
  <c r="D125" i="8"/>
  <c r="B125" i="8"/>
  <c r="A125" i="8"/>
  <c r="E124" i="8"/>
  <c r="D124" i="8"/>
  <c r="B124" i="8"/>
  <c r="A124" i="8"/>
  <c r="E123" i="8"/>
  <c r="D123" i="8"/>
  <c r="B123" i="8"/>
  <c r="A123" i="8"/>
  <c r="E122" i="8"/>
  <c r="D122" i="8"/>
  <c r="B122" i="8"/>
  <c r="A122" i="8"/>
  <c r="E121" i="8"/>
  <c r="D121" i="8"/>
  <c r="B121" i="8"/>
  <c r="A121" i="8"/>
  <c r="E120" i="8"/>
  <c r="D120" i="8"/>
  <c r="B120" i="8"/>
  <c r="A120" i="8"/>
  <c r="E119" i="8"/>
  <c r="D119" i="8"/>
  <c r="B119" i="8"/>
  <c r="A119" i="8"/>
  <c r="E118" i="8"/>
  <c r="D118" i="8"/>
  <c r="B118" i="8"/>
  <c r="A118" i="8"/>
  <c r="E117" i="8"/>
  <c r="D117" i="8"/>
  <c r="B117" i="8"/>
  <c r="A117" i="8"/>
  <c r="E116" i="8"/>
  <c r="D116" i="8"/>
  <c r="B116" i="8"/>
  <c r="A11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P290" i="3" l="1"/>
  <c r="P291" i="3"/>
  <c r="P292" i="3"/>
  <c r="P293" i="3"/>
  <c r="P294" i="3"/>
  <c r="P295" i="3"/>
  <c r="P296" i="3"/>
  <c r="P208" i="3"/>
  <c r="P199" i="3"/>
  <c r="P28" i="3"/>
  <c r="P243" i="3"/>
  <c r="P44" i="3"/>
  <c r="P261" i="3"/>
  <c r="P191" i="3"/>
  <c r="P126" i="3"/>
  <c r="P41" i="3"/>
  <c r="P165" i="3"/>
  <c r="P42" i="3"/>
  <c r="P45" i="3"/>
  <c r="P133" i="3"/>
  <c r="P250" i="3"/>
  <c r="P46" i="3"/>
  <c r="P168" i="3"/>
  <c r="P173" i="3"/>
  <c r="P174" i="3"/>
  <c r="P140" i="3"/>
  <c r="P40" i="3"/>
  <c r="P181" i="3"/>
  <c r="P24" i="3"/>
  <c r="P138" i="3"/>
  <c r="P48" i="3"/>
  <c r="P224" i="3"/>
  <c r="P210" i="3"/>
  <c r="P49" i="3"/>
  <c r="P242" i="3"/>
  <c r="P19" i="3"/>
  <c r="P14" i="3"/>
  <c r="P16" i="3"/>
  <c r="P277" i="3"/>
  <c r="P225" i="3"/>
  <c r="P31" i="3"/>
  <c r="P17" i="3"/>
  <c r="P239" i="3"/>
  <c r="P20" i="3"/>
  <c r="P33" i="3"/>
  <c r="P18" i="3"/>
  <c r="P34" i="3"/>
  <c r="P282" i="3"/>
  <c r="P37" i="3"/>
  <c r="P180" i="3"/>
  <c r="P23" i="3"/>
  <c r="P284" i="3"/>
  <c r="P15" i="3"/>
  <c r="P160" i="3"/>
  <c r="P141" i="3"/>
  <c r="P288" i="3"/>
  <c r="P91" i="3"/>
  <c r="P189" i="3"/>
  <c r="P198" i="3"/>
  <c r="P283" i="3"/>
  <c r="P273" i="3"/>
  <c r="P265" i="3"/>
  <c r="P256" i="3"/>
  <c r="P247" i="3"/>
  <c r="P236" i="3"/>
  <c r="P228" i="3"/>
  <c r="P219" i="3"/>
  <c r="P211" i="3"/>
  <c r="P182" i="3"/>
  <c r="P171" i="3"/>
  <c r="P161" i="3"/>
  <c r="P152" i="3"/>
  <c r="P144" i="3"/>
  <c r="P134" i="3"/>
  <c r="P118" i="3"/>
  <c r="P110" i="3"/>
  <c r="P102" i="3"/>
  <c r="P94" i="3"/>
  <c r="P83" i="3"/>
  <c r="P75" i="3"/>
  <c r="P67" i="3"/>
  <c r="P59" i="3"/>
  <c r="P51" i="3"/>
  <c r="P183" i="3"/>
  <c r="P192" i="3"/>
  <c r="P184" i="3"/>
  <c r="P193" i="3"/>
  <c r="P279" i="3"/>
  <c r="P270" i="3"/>
  <c r="P262" i="3"/>
  <c r="P253" i="3"/>
  <c r="P244" i="3"/>
  <c r="P233" i="3"/>
  <c r="P223" i="3"/>
  <c r="P216" i="3"/>
  <c r="P204" i="3"/>
  <c r="P177" i="3"/>
  <c r="P167" i="3"/>
  <c r="P157" i="3"/>
  <c r="P149" i="3"/>
  <c r="P139" i="3"/>
  <c r="P131" i="3"/>
  <c r="P123" i="3"/>
  <c r="P115" i="3"/>
  <c r="P107" i="3"/>
  <c r="P99" i="3"/>
  <c r="P186" i="3"/>
  <c r="P195" i="3"/>
  <c r="P287" i="3"/>
  <c r="P276" i="3"/>
  <c r="P268" i="3"/>
  <c r="P259" i="3"/>
  <c r="P251" i="3"/>
  <c r="P240" i="3"/>
  <c r="P231" i="3"/>
  <c r="P221" i="3"/>
  <c r="P214" i="3"/>
  <c r="P202" i="3"/>
  <c r="P175" i="3"/>
  <c r="P164" i="3"/>
  <c r="P155" i="3"/>
  <c r="P147" i="3"/>
  <c r="P137" i="3"/>
  <c r="P129" i="3"/>
  <c r="P121" i="3"/>
  <c r="P113" i="3"/>
  <c r="P105" i="3"/>
  <c r="P97" i="3"/>
  <c r="P86" i="3"/>
  <c r="P78" i="3"/>
  <c r="P70" i="3"/>
  <c r="P62" i="3"/>
  <c r="P92" i="3"/>
  <c r="P280" i="3"/>
  <c r="P266" i="3"/>
  <c r="P252" i="3"/>
  <c r="P235" i="3"/>
  <c r="P207" i="3"/>
  <c r="P205" i="3"/>
  <c r="P172" i="3"/>
  <c r="P156" i="3"/>
  <c r="P143" i="3"/>
  <c r="P128" i="3"/>
  <c r="P116" i="3"/>
  <c r="P103" i="3"/>
  <c r="P88" i="3"/>
  <c r="P77" i="3"/>
  <c r="P66" i="3"/>
  <c r="P56" i="3"/>
  <c r="P30" i="3"/>
  <c r="P12" i="3"/>
  <c r="P185" i="3"/>
  <c r="P278" i="3"/>
  <c r="P264" i="3"/>
  <c r="P249" i="3"/>
  <c r="P234" i="3"/>
  <c r="P220" i="3"/>
  <c r="P203" i="3"/>
  <c r="P170" i="3"/>
  <c r="P154" i="3"/>
  <c r="P142" i="3"/>
  <c r="P127" i="3"/>
  <c r="P114" i="3"/>
  <c r="P101" i="3"/>
  <c r="P87" i="3"/>
  <c r="P76" i="3"/>
  <c r="P65" i="3"/>
  <c r="P55" i="3"/>
  <c r="P43" i="3"/>
  <c r="P29" i="3"/>
  <c r="P11" i="3"/>
  <c r="P187" i="3"/>
  <c r="P275" i="3"/>
  <c r="P263" i="3"/>
  <c r="P248" i="3"/>
  <c r="P232" i="3"/>
  <c r="P218" i="3"/>
  <c r="P201" i="3"/>
  <c r="P169" i="3"/>
  <c r="P153" i="3"/>
  <c r="P125" i="3"/>
  <c r="P112" i="3"/>
  <c r="P100" i="3"/>
  <c r="P85" i="3"/>
  <c r="P74" i="3"/>
  <c r="P64" i="3"/>
  <c r="P54" i="3"/>
  <c r="P27" i="3"/>
  <c r="P8" i="3"/>
  <c r="P238" i="3"/>
  <c r="P146" i="3"/>
  <c r="P106" i="3"/>
  <c r="P69" i="3"/>
  <c r="P21" i="3"/>
  <c r="P188" i="3"/>
  <c r="P274" i="3"/>
  <c r="P260" i="3"/>
  <c r="P246" i="3"/>
  <c r="P230" i="3"/>
  <c r="P217" i="3"/>
  <c r="P200" i="3"/>
  <c r="P166" i="3"/>
  <c r="P151" i="3"/>
  <c r="P136" i="3"/>
  <c r="P124" i="3"/>
  <c r="P111" i="3"/>
  <c r="P98" i="3"/>
  <c r="P84" i="3"/>
  <c r="P73" i="3"/>
  <c r="P63" i="3"/>
  <c r="P53" i="3"/>
  <c r="P39" i="3"/>
  <c r="P26" i="3"/>
  <c r="P7" i="3"/>
  <c r="P212" i="3"/>
  <c r="P58" i="3"/>
  <c r="P5" i="3"/>
  <c r="P190" i="3"/>
  <c r="P289" i="3"/>
  <c r="P272" i="3"/>
  <c r="P258" i="3"/>
  <c r="P245" i="3"/>
  <c r="P229" i="3"/>
  <c r="P215" i="3"/>
  <c r="P179" i="3"/>
  <c r="P163" i="3"/>
  <c r="P150" i="3"/>
  <c r="P135" i="3"/>
  <c r="P122" i="3"/>
  <c r="P109" i="3"/>
  <c r="P96" i="3"/>
  <c r="P82" i="3"/>
  <c r="P72" i="3"/>
  <c r="P61" i="3"/>
  <c r="P52" i="3"/>
  <c r="P38" i="3"/>
  <c r="P25" i="3"/>
  <c r="P9" i="3"/>
  <c r="P196" i="3"/>
  <c r="P269" i="3"/>
  <c r="P226" i="3"/>
  <c r="P159" i="3"/>
  <c r="P132" i="3"/>
  <c r="P93" i="3"/>
  <c r="P206" i="3"/>
  <c r="P194" i="3"/>
  <c r="P286" i="3"/>
  <c r="P271" i="3"/>
  <c r="P257" i="3"/>
  <c r="P241" i="3"/>
  <c r="P227" i="3"/>
  <c r="P213" i="3"/>
  <c r="P178" i="3"/>
  <c r="P162" i="3"/>
  <c r="P148" i="3"/>
  <c r="P120" i="3"/>
  <c r="P108" i="3"/>
  <c r="P95" i="3"/>
  <c r="P81" i="3"/>
  <c r="P71" i="3"/>
  <c r="P60" i="3"/>
  <c r="P50" i="3"/>
  <c r="P36" i="3"/>
  <c r="P22" i="3"/>
  <c r="P6" i="3"/>
  <c r="P10" i="3"/>
  <c r="P285" i="3"/>
  <c r="P255" i="3"/>
  <c r="P176" i="3"/>
  <c r="P119" i="3"/>
  <c r="P80" i="3"/>
  <c r="P35" i="3"/>
  <c r="P90" i="3"/>
  <c r="P197" i="3"/>
  <c r="P281" i="3"/>
  <c r="P267" i="3"/>
  <c r="P254" i="3"/>
  <c r="P237" i="3"/>
  <c r="P222" i="3"/>
  <c r="P209" i="3"/>
  <c r="P158" i="3"/>
  <c r="P145" i="3"/>
  <c r="P130" i="3"/>
  <c r="P117" i="3"/>
  <c r="P104" i="3"/>
  <c r="P89" i="3"/>
  <c r="P79" i="3"/>
  <c r="P68" i="3"/>
  <c r="P57" i="3"/>
  <c r="P47" i="3"/>
  <c r="P32" i="3"/>
  <c r="P13" i="3"/>
  <c r="P4" i="3"/>
  <c r="A86" i="8"/>
  <c r="B86" i="8"/>
  <c r="D86" i="8"/>
  <c r="E86" i="8"/>
  <c r="A81" i="8"/>
  <c r="A82" i="8"/>
  <c r="A83" i="8"/>
  <c r="A84" i="8"/>
  <c r="A85" i="8"/>
  <c r="B81" i="8"/>
  <c r="B82" i="8"/>
  <c r="B83" i="8"/>
  <c r="B84" i="8"/>
  <c r="B85" i="8"/>
  <c r="D81" i="8"/>
  <c r="D82" i="8"/>
  <c r="D83" i="8"/>
  <c r="D84" i="8"/>
  <c r="D85" i="8"/>
  <c r="E81" i="8"/>
  <c r="E82" i="8"/>
  <c r="E83" i="8"/>
  <c r="E84" i="8"/>
  <c r="E85" i="8"/>
  <c r="A32" i="8" l="1"/>
  <c r="A33" i="8"/>
  <c r="A34" i="8"/>
  <c r="A35" i="8"/>
  <c r="A36" i="8"/>
  <c r="A37" i="8"/>
  <c r="A38" i="8"/>
  <c r="A39" i="8"/>
  <c r="A40" i="8"/>
  <c r="A41" i="8"/>
  <c r="A42" i="8"/>
  <c r="A43" i="8"/>
  <c r="A44" i="8"/>
  <c r="A45" i="8"/>
  <c r="A46" i="8"/>
  <c r="A47" i="8"/>
  <c r="A48" i="8"/>
  <c r="A49" i="8"/>
  <c r="A50" i="8"/>
  <c r="A51" i="8"/>
  <c r="B32" i="8"/>
  <c r="B33" i="8"/>
  <c r="B34" i="8"/>
  <c r="B35" i="8"/>
  <c r="B36" i="8"/>
  <c r="B37" i="8"/>
  <c r="B38" i="8"/>
  <c r="B39" i="8"/>
  <c r="B40" i="8"/>
  <c r="B41" i="8"/>
  <c r="B42" i="8"/>
  <c r="B43" i="8"/>
  <c r="B44" i="8"/>
  <c r="B45" i="8"/>
  <c r="B46" i="8"/>
  <c r="B47" i="8"/>
  <c r="B48" i="8"/>
  <c r="B49" i="8"/>
  <c r="B50" i="8"/>
  <c r="B51" i="8"/>
  <c r="D32" i="8"/>
  <c r="D33" i="8"/>
  <c r="D34" i="8"/>
  <c r="D35" i="8"/>
  <c r="D36" i="8"/>
  <c r="D37" i="8"/>
  <c r="D38" i="8"/>
  <c r="D39" i="8"/>
  <c r="D40" i="8"/>
  <c r="D41" i="8"/>
  <c r="D42" i="8"/>
  <c r="D43" i="8"/>
  <c r="D44" i="8"/>
  <c r="D45" i="8"/>
  <c r="D46" i="8"/>
  <c r="D47" i="8"/>
  <c r="D48" i="8"/>
  <c r="D49" i="8"/>
  <c r="D50" i="8"/>
  <c r="D51" i="8"/>
  <c r="E32" i="8"/>
  <c r="E33" i="8"/>
  <c r="E34" i="8"/>
  <c r="E35" i="8"/>
  <c r="E36" i="8"/>
  <c r="E37" i="8"/>
  <c r="E38" i="8"/>
  <c r="E39" i="8"/>
  <c r="E40" i="8"/>
  <c r="E41" i="8"/>
  <c r="E42" i="8"/>
  <c r="E43" i="8"/>
  <c r="E44" i="8"/>
  <c r="E45" i="8"/>
  <c r="E46" i="8"/>
  <c r="E47" i="8"/>
  <c r="E48" i="8"/>
  <c r="E49" i="8"/>
  <c r="E50" i="8"/>
  <c r="E51" i="8"/>
  <c r="A31" i="8" l="1"/>
  <c r="B31" i="8"/>
  <c r="D31" i="8"/>
  <c r="E31" i="8"/>
  <c r="A29" i="8" l="1"/>
  <c r="B29" i="8"/>
  <c r="D29" i="8"/>
  <c r="E29" i="8"/>
  <c r="A30" i="8"/>
  <c r="B30" i="8"/>
  <c r="D30" i="8"/>
  <c r="E30" i="8"/>
  <c r="A27" i="8" l="1"/>
  <c r="A28" i="8"/>
  <c r="B27" i="8"/>
  <c r="B28" i="8"/>
  <c r="D27" i="8"/>
  <c r="D28" i="8"/>
  <c r="E27" i="8"/>
  <c r="E28" i="8"/>
  <c r="A26" i="8"/>
  <c r="B26" i="8"/>
  <c r="D26" i="8"/>
  <c r="E26" i="8"/>
  <c r="G5" i="5" l="1"/>
  <c r="D50" i="5" l="1"/>
  <c r="B51" i="5" l="1"/>
  <c r="J51" i="5"/>
  <c r="I51" i="5"/>
  <c r="H51" i="5"/>
  <c r="K51" i="5"/>
  <c r="G53" i="5"/>
  <c r="J53" i="5"/>
  <c r="I53" i="5"/>
  <c r="H53" i="5"/>
  <c r="K53" i="5"/>
  <c r="H50" i="5"/>
  <c r="J50" i="5"/>
  <c r="K50" i="5"/>
  <c r="I50" i="5"/>
  <c r="C53" i="5"/>
  <c r="D53" i="5"/>
  <c r="F53" i="5"/>
  <c r="B53" i="5"/>
  <c r="C51" i="5"/>
  <c r="G51" i="5"/>
  <c r="F51" i="5"/>
  <c r="D51" i="5"/>
  <c r="G50" i="5"/>
  <c r="F50" i="5"/>
  <c r="C50" i="5"/>
  <c r="B50" i="5"/>
  <c r="W19" i="2"/>
  <c r="W18" i="2"/>
  <c r="W17" i="2"/>
  <c r="W16" i="2"/>
  <c r="W15" i="2"/>
  <c r="W14" i="2"/>
  <c r="W13" i="2"/>
  <c r="W12" i="2"/>
  <c r="W11" i="2"/>
  <c r="W10" i="2"/>
  <c r="W9" i="2"/>
  <c r="AB9" i="2" s="1"/>
  <c r="W8" i="2"/>
  <c r="W7" i="2"/>
  <c r="AB7" i="2" s="1"/>
  <c r="W6" i="2"/>
  <c r="W5" i="2"/>
  <c r="W4" i="2"/>
  <c r="AB4" i="2" s="1"/>
  <c r="AB10" i="2" l="1"/>
  <c r="AB12" i="2"/>
  <c r="AB15" i="2"/>
  <c r="AB17" i="2"/>
  <c r="AB18" i="2"/>
  <c r="AB5" i="2"/>
  <c r="AB13" i="2"/>
  <c r="AB6" i="2"/>
  <c r="AB14" i="2"/>
  <c r="AB8" i="2"/>
  <c r="AB16" i="2"/>
  <c r="AB11" i="2"/>
  <c r="AB19" i="2"/>
  <c r="AC18" i="2"/>
  <c r="AC15" i="2"/>
  <c r="AC17" i="2"/>
  <c r="AC13" i="2"/>
  <c r="AC10" i="2"/>
  <c r="AC9" i="2"/>
  <c r="AC8" i="2"/>
  <c r="AC7" i="2"/>
  <c r="AC12" i="2"/>
  <c r="AC16" i="2"/>
  <c r="AC14" i="2"/>
  <c r="AC6" i="2"/>
  <c r="AC5" i="2"/>
  <c r="AD2" i="2"/>
  <c r="AE2" i="2" l="1"/>
  <c r="AD18" i="2"/>
  <c r="AD15" i="2"/>
  <c r="AD17" i="2"/>
  <c r="AD13" i="2"/>
  <c r="AD10" i="2"/>
  <c r="AD9" i="2"/>
  <c r="AD8" i="2"/>
  <c r="AD7" i="2"/>
  <c r="AD12" i="2"/>
  <c r="AD16" i="2"/>
  <c r="AD14" i="2"/>
  <c r="AD6" i="2"/>
  <c r="AD5" i="2"/>
  <c r="AE19" i="2"/>
  <c r="AD19" i="2"/>
  <c r="AC19" i="2"/>
  <c r="AE14" i="2"/>
  <c r="AD11" i="2"/>
  <c r="AC11" i="2"/>
  <c r="AF2" i="2" l="1"/>
  <c r="AE18" i="2"/>
  <c r="AE15" i="2"/>
  <c r="AE17" i="2"/>
  <c r="AE13" i="2"/>
  <c r="AE10" i="2"/>
  <c r="AE9" i="2"/>
  <c r="AE8" i="2"/>
  <c r="AE7" i="2"/>
  <c r="AE12" i="2"/>
  <c r="AE16" i="2"/>
  <c r="AE11" i="2"/>
  <c r="AE6" i="2"/>
  <c r="AE5" i="2"/>
  <c r="A58" i="8"/>
  <c r="A59" i="8"/>
  <c r="A60" i="8"/>
  <c r="A61" i="8"/>
  <c r="A62" i="8"/>
  <c r="A63" i="8"/>
  <c r="A64" i="8"/>
  <c r="B58" i="8"/>
  <c r="B59" i="8"/>
  <c r="B60" i="8"/>
  <c r="B61" i="8"/>
  <c r="B62" i="8"/>
  <c r="B63" i="8"/>
  <c r="B64" i="8"/>
  <c r="D58" i="8"/>
  <c r="D59" i="8"/>
  <c r="D60" i="8"/>
  <c r="D61" i="8"/>
  <c r="D62" i="8"/>
  <c r="D63" i="8"/>
  <c r="D64" i="8"/>
  <c r="E58" i="8"/>
  <c r="E59" i="8"/>
  <c r="E60" i="8"/>
  <c r="E61" i="8"/>
  <c r="E62" i="8"/>
  <c r="E63" i="8"/>
  <c r="E64" i="8"/>
  <c r="A65" i="8"/>
  <c r="A66" i="8"/>
  <c r="A67" i="8"/>
  <c r="A68" i="8"/>
  <c r="A69" i="8"/>
  <c r="A70" i="8"/>
  <c r="A71" i="8"/>
  <c r="B65" i="8"/>
  <c r="B66" i="8"/>
  <c r="B67" i="8"/>
  <c r="B68" i="8"/>
  <c r="B69" i="8"/>
  <c r="B70" i="8"/>
  <c r="B71" i="8"/>
  <c r="D65" i="8"/>
  <c r="D66" i="8"/>
  <c r="D67" i="8"/>
  <c r="D68" i="8"/>
  <c r="D69" i="8"/>
  <c r="D70" i="8"/>
  <c r="D71" i="8"/>
  <c r="E65" i="8"/>
  <c r="E66" i="8"/>
  <c r="E67" i="8"/>
  <c r="E68" i="8"/>
  <c r="E69" i="8"/>
  <c r="E70" i="8"/>
  <c r="E71" i="8"/>
  <c r="A72" i="8"/>
  <c r="A73" i="8"/>
  <c r="A74" i="8"/>
  <c r="A75" i="8"/>
  <c r="A76" i="8"/>
  <c r="A77" i="8"/>
  <c r="B72" i="8"/>
  <c r="B73" i="8"/>
  <c r="B74" i="8"/>
  <c r="B75" i="8"/>
  <c r="B76" i="8"/>
  <c r="B77" i="8"/>
  <c r="D72" i="8"/>
  <c r="D73" i="8"/>
  <c r="D74" i="8"/>
  <c r="D75" i="8"/>
  <c r="D76" i="8"/>
  <c r="D77" i="8"/>
  <c r="E72" i="8"/>
  <c r="E73" i="8"/>
  <c r="E74" i="8"/>
  <c r="E75" i="8"/>
  <c r="E76" i="8"/>
  <c r="E77" i="8"/>
  <c r="A8" i="8"/>
  <c r="A9" i="8"/>
  <c r="A10" i="8"/>
  <c r="A11" i="8"/>
  <c r="B8" i="8"/>
  <c r="B9" i="8"/>
  <c r="B10" i="8"/>
  <c r="B11" i="8"/>
  <c r="D8" i="8"/>
  <c r="D9" i="8"/>
  <c r="D10" i="8"/>
  <c r="D11" i="8"/>
  <c r="E8" i="8"/>
  <c r="E9" i="8"/>
  <c r="E10" i="8"/>
  <c r="E11" i="8"/>
  <c r="AF18" i="2" l="1"/>
  <c r="AF15" i="2"/>
  <c r="AF17" i="2"/>
  <c r="AF13" i="2"/>
  <c r="AF10" i="2"/>
  <c r="AF9" i="2"/>
  <c r="AF8" i="2"/>
  <c r="AF7" i="2"/>
  <c r="AF12" i="2"/>
  <c r="AF16" i="2"/>
  <c r="AF11" i="2"/>
  <c r="AF6" i="2"/>
  <c r="AF5" i="2"/>
  <c r="AF14" i="2"/>
  <c r="AF19" i="2"/>
  <c r="A12" i="8"/>
  <c r="B12" i="8"/>
  <c r="D12" i="8"/>
  <c r="E12" i="8"/>
  <c r="A13" i="8"/>
  <c r="B13" i="8"/>
  <c r="D13" i="8"/>
  <c r="E13" i="8"/>
  <c r="A14" i="8"/>
  <c r="B14" i="8"/>
  <c r="D14" i="8"/>
  <c r="E14" i="8"/>
  <c r="A15" i="8"/>
  <c r="B15" i="8"/>
  <c r="D15" i="8"/>
  <c r="E15" i="8"/>
  <c r="A16" i="8"/>
  <c r="B16" i="8"/>
  <c r="D16" i="8"/>
  <c r="E16" i="8"/>
  <c r="A17" i="8"/>
  <c r="B17" i="8"/>
  <c r="D17" i="8"/>
  <c r="E17" i="8"/>
  <c r="A18" i="8"/>
  <c r="B18" i="8"/>
  <c r="D18" i="8"/>
  <c r="E18" i="8"/>
  <c r="A19" i="8"/>
  <c r="B19" i="8"/>
  <c r="D19" i="8"/>
  <c r="E19" i="8"/>
  <c r="A20" i="8"/>
  <c r="B20" i="8"/>
  <c r="D20" i="8"/>
  <c r="E20" i="8"/>
  <c r="A21" i="8"/>
  <c r="B21" i="8"/>
  <c r="D21" i="8"/>
  <c r="E21" i="8"/>
  <c r="A22" i="8"/>
  <c r="B22" i="8"/>
  <c r="D22" i="8"/>
  <c r="E22" i="8"/>
  <c r="A23" i="8"/>
  <c r="B23" i="8"/>
  <c r="D23" i="8"/>
  <c r="E23" i="8"/>
  <c r="A24" i="8"/>
  <c r="B24" i="8"/>
  <c r="D24" i="8"/>
  <c r="E24" i="8"/>
  <c r="A25" i="8"/>
  <c r="B25" i="8"/>
  <c r="D25" i="8"/>
  <c r="E25" i="8"/>
  <c r="A7" i="8"/>
  <c r="B7" i="8"/>
  <c r="D7" i="8"/>
  <c r="E7" i="8"/>
  <c r="B57" i="8" l="1"/>
  <c r="E57" i="8"/>
  <c r="E78" i="8"/>
  <c r="E79" i="8"/>
  <c r="E80" i="8"/>
  <c r="D57" i="8"/>
  <c r="D78" i="8"/>
  <c r="D79" i="8"/>
  <c r="D80" i="8"/>
  <c r="B78" i="8"/>
  <c r="B79" i="8"/>
  <c r="B80" i="8"/>
  <c r="A57" i="8"/>
  <c r="A78" i="8"/>
  <c r="A79" i="8"/>
  <c r="A80" i="8"/>
  <c r="E3" i="8"/>
  <c r="E4" i="8"/>
  <c r="E5" i="8"/>
  <c r="E6" i="8"/>
  <c r="D3" i="8"/>
  <c r="D4" i="8"/>
  <c r="D5" i="8"/>
  <c r="D6" i="8"/>
  <c r="B3" i="8"/>
  <c r="B4" i="8"/>
  <c r="B5" i="8"/>
  <c r="B6" i="8"/>
  <c r="A3" i="8"/>
  <c r="A4" i="8"/>
  <c r="A5" i="8"/>
  <c r="A6" i="8"/>
  <c r="N296" i="3" l="1"/>
  <c r="N290" i="3"/>
  <c r="N291" i="3"/>
  <c r="N292" i="3"/>
  <c r="N293" i="3"/>
  <c r="N295" i="3"/>
  <c r="N294" i="3"/>
  <c r="O290" i="3"/>
  <c r="O291" i="3"/>
  <c r="O292" i="3"/>
  <c r="O293" i="3"/>
  <c r="O294" i="3"/>
  <c r="O296" i="3"/>
  <c r="O295" i="3"/>
  <c r="O208" i="3"/>
  <c r="N208" i="3"/>
  <c r="N199" i="3"/>
  <c r="O199" i="3"/>
  <c r="O28" i="3"/>
  <c r="O126" i="3"/>
  <c r="O41" i="3"/>
  <c r="O165" i="3"/>
  <c r="O45" i="3"/>
  <c r="O46" i="3"/>
  <c r="O133" i="3"/>
  <c r="O250" i="3"/>
  <c r="O42" i="3"/>
  <c r="O168" i="3"/>
  <c r="O243" i="3"/>
  <c r="O44" i="3"/>
  <c r="O261" i="3"/>
  <c r="O191" i="3"/>
  <c r="N28" i="3"/>
  <c r="N126" i="3"/>
  <c r="N45" i="3"/>
  <c r="N41" i="3"/>
  <c r="N165" i="3"/>
  <c r="N46" i="3"/>
  <c r="N261" i="3"/>
  <c r="N191" i="3"/>
  <c r="N133" i="3"/>
  <c r="N250" i="3"/>
  <c r="N42" i="3"/>
  <c r="N168" i="3"/>
  <c r="N44" i="3"/>
  <c r="N243" i="3"/>
  <c r="N266" i="3"/>
  <c r="O173" i="3"/>
  <c r="O174" i="3"/>
  <c r="N174" i="3"/>
  <c r="N173" i="3"/>
  <c r="O140" i="3"/>
  <c r="O40" i="3"/>
  <c r="O181" i="3"/>
  <c r="O24" i="3"/>
  <c r="O138" i="3"/>
  <c r="O48" i="3"/>
  <c r="O224" i="3"/>
  <c r="O210" i="3"/>
  <c r="O49" i="3"/>
  <c r="O242" i="3"/>
  <c r="O19" i="3"/>
  <c r="O14" i="3"/>
  <c r="O16" i="3"/>
  <c r="O277" i="3"/>
  <c r="O225" i="3"/>
  <c r="O31" i="3"/>
  <c r="O17" i="3"/>
  <c r="O239" i="3"/>
  <c r="O20" i="3"/>
  <c r="O33" i="3"/>
  <c r="O18" i="3"/>
  <c r="O34" i="3"/>
  <c r="O282" i="3"/>
  <c r="O37" i="3"/>
  <c r="O180" i="3"/>
  <c r="O23" i="3"/>
  <c r="O284" i="3"/>
  <c r="O15" i="3"/>
  <c r="O160" i="3"/>
  <c r="O141" i="3"/>
  <c r="O288" i="3"/>
  <c r="N140" i="3"/>
  <c r="N40" i="3"/>
  <c r="N181" i="3"/>
  <c r="N24" i="3"/>
  <c r="N138" i="3"/>
  <c r="N48" i="3"/>
  <c r="N224" i="3"/>
  <c r="N210" i="3"/>
  <c r="N49" i="3"/>
  <c r="N242" i="3"/>
  <c r="N19" i="3"/>
  <c r="N14" i="3"/>
  <c r="N16" i="3"/>
  <c r="N277" i="3"/>
  <c r="N225" i="3"/>
  <c r="N31" i="3"/>
  <c r="N17" i="3"/>
  <c r="N239" i="3"/>
  <c r="N20" i="3"/>
  <c r="N33" i="3"/>
  <c r="N18" i="3"/>
  <c r="N34" i="3"/>
  <c r="N282" i="3"/>
  <c r="N37" i="3"/>
  <c r="N180" i="3"/>
  <c r="N23" i="3"/>
  <c r="N284" i="3"/>
  <c r="N15" i="3"/>
  <c r="N160" i="3"/>
  <c r="N141" i="3"/>
  <c r="N288" i="3"/>
  <c r="N169" i="3"/>
  <c r="N188" i="3"/>
  <c r="N10" i="3"/>
  <c r="N143" i="3"/>
  <c r="N276" i="3"/>
  <c r="N98" i="3"/>
  <c r="O184" i="3"/>
  <c r="O193" i="3"/>
  <c r="O186" i="3"/>
  <c r="O195" i="3"/>
  <c r="O10" i="3"/>
  <c r="O187" i="3"/>
  <c r="O196" i="3"/>
  <c r="O91" i="3"/>
  <c r="O189" i="3"/>
  <c r="O198" i="3"/>
  <c r="O185" i="3"/>
  <c r="O105" i="3"/>
  <c r="O249" i="3"/>
  <c r="O234" i="3"/>
  <c r="O283" i="3"/>
  <c r="O96" i="3"/>
  <c r="O272" i="3"/>
  <c r="O161" i="3"/>
  <c r="O101" i="3"/>
  <c r="O212" i="3"/>
  <c r="O146" i="3"/>
  <c r="O22" i="3"/>
  <c r="O97" i="3"/>
  <c r="O262" i="3"/>
  <c r="O289" i="3"/>
  <c r="O35" i="3"/>
  <c r="O157" i="3"/>
  <c r="O218" i="3"/>
  <c r="O268" i="3"/>
  <c r="O188" i="3"/>
  <c r="O103" i="3"/>
  <c r="O256" i="3"/>
  <c r="O236" i="3"/>
  <c r="O285" i="3"/>
  <c r="O170" i="3"/>
  <c r="O154" i="3"/>
  <c r="O232" i="3"/>
  <c r="O102" i="3"/>
  <c r="O143" i="3"/>
  <c r="O147" i="3"/>
  <c r="O11" i="3"/>
  <c r="O241" i="3"/>
  <c r="O9" i="3"/>
  <c r="O139" i="3"/>
  <c r="O38" i="3"/>
  <c r="O159" i="3"/>
  <c r="O219" i="3"/>
  <c r="O190" i="3"/>
  <c r="O275" i="3"/>
  <c r="O259" i="3"/>
  <c r="O237" i="3"/>
  <c r="O286" i="3"/>
  <c r="O169" i="3"/>
  <c r="O229" i="3"/>
  <c r="O156" i="3"/>
  <c r="O52" i="3"/>
  <c r="O213" i="3"/>
  <c r="O148" i="3"/>
  <c r="O162" i="3"/>
  <c r="O98" i="3"/>
  <c r="O99" i="3"/>
  <c r="O142" i="3"/>
  <c r="O39" i="3"/>
  <c r="O182" i="3"/>
  <c r="O217" i="3"/>
  <c r="O6" i="3"/>
  <c r="O278" i="3"/>
  <c r="O104" i="3"/>
  <c r="O51" i="3"/>
  <c r="O257" i="3"/>
  <c r="O179" i="3"/>
  <c r="O158" i="3"/>
  <c r="O192" i="3"/>
  <c r="O94" i="3"/>
  <c r="O263" i="3"/>
  <c r="O238" i="3"/>
  <c r="O287" i="3"/>
  <c r="O172" i="3"/>
  <c r="O106" i="3"/>
  <c r="O233" i="3"/>
  <c r="O54" i="3"/>
  <c r="O144" i="3"/>
  <c r="O149" i="3"/>
  <c r="O163" i="3"/>
  <c r="O176" i="3"/>
  <c r="O25" i="3"/>
  <c r="O245" i="3"/>
  <c r="O247" i="3"/>
  <c r="O95" i="3"/>
  <c r="O222" i="3"/>
  <c r="O269" i="3"/>
  <c r="O255" i="3"/>
  <c r="O248" i="3"/>
  <c r="O266" i="3"/>
  <c r="O215" i="3"/>
  <c r="O194" i="3"/>
  <c r="O276" i="3"/>
  <c r="O264" i="3"/>
  <c r="O235" i="3"/>
  <c r="O271" i="3"/>
  <c r="O171" i="3"/>
  <c r="O155" i="3"/>
  <c r="O151" i="3"/>
  <c r="O55" i="3"/>
  <c r="O214" i="3"/>
  <c r="O150" i="3"/>
  <c r="O220" i="3"/>
  <c r="O177" i="3"/>
  <c r="O100" i="3"/>
  <c r="O254" i="3"/>
  <c r="O152" i="3"/>
  <c r="O260" i="3"/>
  <c r="O221" i="3"/>
  <c r="O32" i="3"/>
  <c r="O90" i="3"/>
  <c r="O197" i="3"/>
  <c r="O279" i="3"/>
  <c r="O267" i="3"/>
  <c r="O240" i="3"/>
  <c r="O47" i="3"/>
  <c r="O251" i="3"/>
  <c r="O107" i="3"/>
  <c r="O227" i="3"/>
  <c r="O56" i="3"/>
  <c r="O145" i="3"/>
  <c r="O258" i="3"/>
  <c r="O27" i="3"/>
  <c r="O178" i="3"/>
  <c r="O29" i="3"/>
  <c r="O30" i="3"/>
  <c r="O153" i="3"/>
  <c r="O223" i="3"/>
  <c r="O92" i="3"/>
  <c r="O274" i="3"/>
  <c r="O281" i="3"/>
  <c r="O231" i="3"/>
  <c r="O21" i="3"/>
  <c r="O12" i="3"/>
  <c r="O226" i="3"/>
  <c r="O183" i="3"/>
  <c r="O244" i="3"/>
  <c r="O273" i="3"/>
  <c r="O246" i="3"/>
  <c r="O270" i="3"/>
  <c r="O280" i="3"/>
  <c r="O167" i="3"/>
  <c r="O265" i="3"/>
  <c r="O230" i="3"/>
  <c r="O53" i="3"/>
  <c r="O252" i="3"/>
  <c r="O166" i="3"/>
  <c r="O26" i="3"/>
  <c r="O175" i="3"/>
  <c r="O253" i="3"/>
  <c r="O50" i="3"/>
  <c r="O36" i="3"/>
  <c r="O13" i="3"/>
  <c r="O216" i="3"/>
  <c r="O228" i="3"/>
  <c r="N218" i="3"/>
  <c r="N212" i="3"/>
  <c r="N105" i="3"/>
  <c r="N216" i="3"/>
  <c r="N252" i="3"/>
  <c r="N273" i="3"/>
  <c r="N215" i="3"/>
  <c r="N248" i="3"/>
  <c r="N274" i="3"/>
  <c r="N195" i="3"/>
  <c r="N258" i="3"/>
  <c r="N267" i="3"/>
  <c r="N260" i="3"/>
  <c r="N55" i="3"/>
  <c r="N198" i="3"/>
  <c r="N245" i="3"/>
  <c r="N106" i="3"/>
  <c r="N90" i="3"/>
  <c r="N162" i="3"/>
  <c r="N237" i="3"/>
  <c r="N97" i="3"/>
  <c r="N280" i="3"/>
  <c r="N281" i="3"/>
  <c r="N154" i="3"/>
  <c r="N26" i="3"/>
  <c r="N11" i="3"/>
  <c r="N264" i="3"/>
  <c r="N99" i="3"/>
  <c r="N268" i="3"/>
  <c r="N249" i="3"/>
  <c r="N226" i="3"/>
  <c r="N285" i="3"/>
  <c r="N221" i="3"/>
  <c r="N233" i="3"/>
  <c r="N157" i="3"/>
  <c r="N101" i="3"/>
  <c r="N194" i="3"/>
  <c r="N13" i="3"/>
  <c r="N53" i="3"/>
  <c r="N193" i="3"/>
  <c r="N158" i="3"/>
  <c r="N51" i="3"/>
  <c r="N244" i="3"/>
  <c r="N223" i="3"/>
  <c r="N145" i="3"/>
  <c r="N279" i="3"/>
  <c r="N152" i="3"/>
  <c r="N151" i="3"/>
  <c r="N189" i="3"/>
  <c r="N25" i="3"/>
  <c r="N172" i="3"/>
  <c r="N232" i="3"/>
  <c r="N148" i="3"/>
  <c r="N259" i="3"/>
  <c r="N139" i="3"/>
  <c r="N175" i="3"/>
  <c r="N29" i="3"/>
  <c r="N234" i="3"/>
  <c r="N21" i="3"/>
  <c r="N35" i="3"/>
  <c r="N161" i="3"/>
  <c r="N185" i="3"/>
  <c r="N36" i="3"/>
  <c r="N230" i="3"/>
  <c r="N184" i="3"/>
  <c r="N32" i="3"/>
  <c r="N231" i="3"/>
  <c r="N56" i="3"/>
  <c r="N190" i="3"/>
  <c r="N254" i="3"/>
  <c r="N155" i="3"/>
  <c r="N91" i="3"/>
  <c r="N176" i="3"/>
  <c r="N287" i="3"/>
  <c r="N217" i="3"/>
  <c r="N213" i="3"/>
  <c r="N275" i="3"/>
  <c r="N236" i="3"/>
  <c r="N103" i="3"/>
  <c r="N219" i="3"/>
  <c r="N251" i="3"/>
  <c r="N22" i="3"/>
  <c r="N270" i="3"/>
  <c r="N269" i="3"/>
  <c r="N47" i="3"/>
  <c r="N150" i="3"/>
  <c r="N197" i="3"/>
  <c r="N146" i="3"/>
  <c r="N166" i="3"/>
  <c r="N257" i="3"/>
  <c r="N27" i="3"/>
  <c r="N214" i="3"/>
  <c r="N286" i="3"/>
  <c r="N289" i="3"/>
  <c r="N272" i="3"/>
  <c r="N38" i="3"/>
  <c r="N50" i="3"/>
  <c r="N265" i="3"/>
  <c r="N241" i="3"/>
  <c r="N12" i="3"/>
  <c r="N255" i="3"/>
  <c r="N192" i="3"/>
  <c r="N153" i="3"/>
  <c r="N227" i="3"/>
  <c r="N92" i="3"/>
  <c r="N100" i="3"/>
  <c r="N171" i="3"/>
  <c r="N9" i="3"/>
  <c r="N163" i="3"/>
  <c r="N238" i="3"/>
  <c r="N182" i="3"/>
  <c r="N52" i="3"/>
  <c r="N196" i="3"/>
  <c r="N283" i="3"/>
  <c r="N186" i="3"/>
  <c r="N6" i="3"/>
  <c r="N178" i="3"/>
  <c r="N256" i="3"/>
  <c r="N95" i="3"/>
  <c r="N54" i="3"/>
  <c r="N228" i="3"/>
  <c r="N246" i="3"/>
  <c r="N278" i="3"/>
  <c r="N240" i="3"/>
  <c r="N247" i="3"/>
  <c r="N262" i="3"/>
  <c r="N96" i="3"/>
  <c r="N147" i="3"/>
  <c r="N253" i="3"/>
  <c r="N167" i="3"/>
  <c r="N102" i="3"/>
  <c r="N179" i="3"/>
  <c r="N104" i="3"/>
  <c r="N183" i="3"/>
  <c r="N30" i="3"/>
  <c r="N107" i="3"/>
  <c r="N159" i="3"/>
  <c r="N177" i="3"/>
  <c r="N271" i="3"/>
  <c r="N170" i="3"/>
  <c r="N149" i="3"/>
  <c r="N263" i="3"/>
  <c r="N39" i="3"/>
  <c r="N156" i="3"/>
  <c r="N187" i="3"/>
  <c r="N220" i="3"/>
  <c r="N235" i="3"/>
  <c r="N222" i="3"/>
  <c r="N144" i="3"/>
  <c r="N94" i="3"/>
  <c r="N142" i="3"/>
  <c r="N229" i="3"/>
  <c r="O206" i="3"/>
  <c r="M50" i="5" s="1"/>
  <c r="O202" i="3"/>
  <c r="O207" i="3"/>
  <c r="O205" i="3"/>
  <c r="O200" i="3"/>
  <c r="O204" i="3"/>
  <c r="O203" i="3"/>
  <c r="M51" i="5" s="1"/>
  <c r="O201" i="3"/>
  <c r="O211" i="3"/>
  <c r="O4" i="3"/>
  <c r="N206" i="3"/>
  <c r="L50" i="5" s="1"/>
  <c r="N207" i="3"/>
  <c r="N202" i="3"/>
  <c r="N205" i="3"/>
  <c r="N201" i="3"/>
  <c r="N200" i="3"/>
  <c r="N203" i="3"/>
  <c r="L51" i="5" s="1"/>
  <c r="N211" i="3"/>
  <c r="N204" i="3"/>
  <c r="N4" i="3"/>
  <c r="N110" i="3"/>
  <c r="N109" i="3"/>
  <c r="N108" i="3"/>
  <c r="N7" i="3"/>
  <c r="N88" i="3"/>
  <c r="N111" i="3"/>
  <c r="N113" i="3"/>
  <c r="N112" i="3"/>
  <c r="N114" i="3"/>
  <c r="N115" i="3"/>
  <c r="N79" i="3"/>
  <c r="N117" i="3"/>
  <c r="N116" i="3"/>
  <c r="N209" i="3"/>
  <c r="N76" i="3"/>
  <c r="N75" i="3"/>
  <c r="N89" i="3"/>
  <c r="N164" i="3"/>
  <c r="N137" i="3"/>
  <c r="N82" i="3"/>
  <c r="N135" i="3"/>
  <c r="N118" i="3"/>
  <c r="N8" i="3"/>
  <c r="N83" i="3"/>
  <c r="N93" i="3"/>
  <c r="N43" i="3"/>
  <c r="N71" i="3"/>
  <c r="N72" i="3"/>
  <c r="N73" i="3"/>
  <c r="N119" i="3"/>
  <c r="N120" i="3"/>
  <c r="N121" i="3"/>
  <c r="N122" i="3"/>
  <c r="L53" i="5" s="1"/>
  <c r="N123" i="3"/>
  <c r="N124" i="3"/>
  <c r="N125" i="3"/>
  <c r="N127" i="3"/>
  <c r="N128" i="3"/>
  <c r="N129" i="3"/>
  <c r="N130" i="3"/>
  <c r="N132" i="3"/>
  <c r="N134" i="3"/>
  <c r="N58" i="3"/>
  <c r="N61" i="3"/>
  <c r="N57" i="3"/>
  <c r="N59" i="3"/>
  <c r="N62" i="3"/>
  <c r="N60" i="3"/>
  <c r="N63" i="3"/>
  <c r="N65" i="3"/>
  <c r="N66" i="3"/>
  <c r="N67" i="3"/>
  <c r="N64" i="3"/>
  <c r="N68" i="3"/>
  <c r="N69" i="3"/>
  <c r="N70" i="3"/>
  <c r="N136" i="3"/>
  <c r="N131" i="3"/>
  <c r="N80" i="3"/>
  <c r="N81" i="3"/>
  <c r="N77" i="3"/>
  <c r="N78" i="3"/>
  <c r="N85" i="3"/>
  <c r="N84" i="3"/>
  <c r="N86" i="3"/>
  <c r="N87" i="3"/>
  <c r="N74" i="3"/>
  <c r="O110" i="3"/>
  <c r="O109" i="3"/>
  <c r="O108" i="3"/>
  <c r="O7" i="3"/>
  <c r="O88" i="3"/>
  <c r="O111" i="3"/>
  <c r="O113" i="3"/>
  <c r="O112" i="3"/>
  <c r="O114" i="3"/>
  <c r="O115" i="3"/>
  <c r="O79" i="3"/>
  <c r="O117" i="3"/>
  <c r="O116" i="3"/>
  <c r="O209" i="3"/>
  <c r="O76" i="3"/>
  <c r="O75" i="3"/>
  <c r="O89" i="3"/>
  <c r="O164" i="3"/>
  <c r="O137" i="3"/>
  <c r="O82" i="3"/>
  <c r="O135" i="3"/>
  <c r="O118" i="3"/>
  <c r="O8" i="3"/>
  <c r="O83" i="3"/>
  <c r="O93" i="3"/>
  <c r="O43" i="3"/>
  <c r="O71" i="3"/>
  <c r="O72" i="3"/>
  <c r="O73" i="3"/>
  <c r="O119" i="3"/>
  <c r="O120" i="3"/>
  <c r="O121" i="3"/>
  <c r="O122" i="3"/>
  <c r="M53" i="5" s="1"/>
  <c r="O123" i="3"/>
  <c r="O124" i="3"/>
  <c r="O125" i="3"/>
  <c r="O127" i="3"/>
  <c r="O128" i="3"/>
  <c r="O129" i="3"/>
  <c r="O130" i="3"/>
  <c r="O132" i="3"/>
  <c r="O134" i="3"/>
  <c r="O58" i="3"/>
  <c r="O61" i="3"/>
  <c r="O57" i="3"/>
  <c r="O59" i="3"/>
  <c r="O62" i="3"/>
  <c r="O60" i="3"/>
  <c r="O63" i="3"/>
  <c r="O65" i="3"/>
  <c r="O66" i="3"/>
  <c r="O67" i="3"/>
  <c r="O64" i="3"/>
  <c r="O68" i="3"/>
  <c r="O69" i="3"/>
  <c r="O70" i="3"/>
  <c r="O136" i="3"/>
  <c r="O131" i="3"/>
  <c r="O80" i="3"/>
  <c r="O81" i="3"/>
  <c r="O77" i="3"/>
  <c r="O78" i="3"/>
  <c r="O85" i="3"/>
  <c r="O84" i="3"/>
  <c r="O86" i="3"/>
  <c r="O87" i="3"/>
  <c r="O74" i="3"/>
  <c r="N5" i="3"/>
  <c r="O5" i="3"/>
  <c r="N4" i="5"/>
  <c r="G7" i="5"/>
  <c r="A42" i="5" l="1"/>
  <c r="A41" i="5"/>
  <c r="A45" i="5"/>
  <c r="A46" i="5"/>
  <c r="A43" i="5"/>
  <c r="A40" i="5"/>
  <c r="A38" i="5"/>
  <c r="A28" i="5"/>
  <c r="A18" i="5"/>
  <c r="A31" i="5"/>
  <c r="A30" i="5"/>
  <c r="A37" i="5"/>
  <c r="A27" i="5"/>
  <c r="A17" i="5"/>
  <c r="A25" i="5"/>
  <c r="A36" i="5"/>
  <c r="A26" i="5"/>
  <c r="A16" i="5"/>
  <c r="A15" i="5"/>
  <c r="A21" i="5"/>
  <c r="A35" i="5"/>
  <c r="A33" i="5"/>
  <c r="A23" i="5"/>
  <c r="F23" i="5" s="1"/>
  <c r="A13" i="5"/>
  <c r="A32" i="5"/>
  <c r="A22" i="5"/>
  <c r="A12" i="5"/>
  <c r="A11" i="5"/>
  <c r="A20" i="5"/>
  <c r="A10" i="5"/>
  <c r="G10" i="5" s="1"/>
  <c r="AA19" i="2"/>
  <c r="Z19" i="2"/>
  <c r="Y19" i="2"/>
  <c r="X19" i="2"/>
  <c r="AA18" i="2"/>
  <c r="Z18" i="2"/>
  <c r="Y18" i="2"/>
  <c r="X18" i="2"/>
  <c r="AA17" i="2"/>
  <c r="Z17" i="2"/>
  <c r="Y17" i="2"/>
  <c r="X17" i="2"/>
  <c r="AA16" i="2"/>
  <c r="Z16" i="2"/>
  <c r="Y16" i="2"/>
  <c r="X16" i="2"/>
  <c r="AA15" i="2"/>
  <c r="Z15" i="2"/>
  <c r="Y15" i="2"/>
  <c r="X15" i="2"/>
  <c r="B40" i="5" l="1"/>
  <c r="J40" i="5"/>
  <c r="C40" i="5"/>
  <c r="K40" i="5"/>
  <c r="D40" i="5"/>
  <c r="L40" i="5"/>
  <c r="F40" i="5"/>
  <c r="E40" i="5"/>
  <c r="E41" i="5" s="1"/>
  <c r="E42" i="5" s="1"/>
  <c r="E43" i="5" s="1"/>
  <c r="M40" i="5"/>
  <c r="G40" i="5"/>
  <c r="H40" i="5"/>
  <c r="I40" i="5"/>
  <c r="C43" i="5"/>
  <c r="K43" i="5"/>
  <c r="D43" i="5"/>
  <c r="L43" i="5"/>
  <c r="H43" i="5"/>
  <c r="M43" i="5"/>
  <c r="F43" i="5"/>
  <c r="G43" i="5"/>
  <c r="I43" i="5"/>
  <c r="B43" i="5"/>
  <c r="J43" i="5"/>
  <c r="B46" i="5"/>
  <c r="K46" i="5"/>
  <c r="C46" i="5"/>
  <c r="L46" i="5"/>
  <c r="J46" i="5"/>
  <c r="D46" i="5"/>
  <c r="M46" i="5"/>
  <c r="F46" i="5"/>
  <c r="G46" i="5"/>
  <c r="H46" i="5"/>
  <c r="I46" i="5"/>
  <c r="G45" i="5"/>
  <c r="H45" i="5"/>
  <c r="L45" i="5"/>
  <c r="I45" i="5"/>
  <c r="B45" i="5"/>
  <c r="C45" i="5"/>
  <c r="J45" i="5"/>
  <c r="K45" i="5"/>
  <c r="D45" i="5"/>
  <c r="M45" i="5"/>
  <c r="F45" i="5"/>
  <c r="M41" i="5"/>
  <c r="F41" i="5"/>
  <c r="G41" i="5"/>
  <c r="J41" i="5"/>
  <c r="H41" i="5"/>
  <c r="I41" i="5"/>
  <c r="B41" i="5"/>
  <c r="C41" i="5"/>
  <c r="K41" i="5"/>
  <c r="D41" i="5"/>
  <c r="L41" i="5"/>
  <c r="H42" i="5"/>
  <c r="I42" i="5"/>
  <c r="B42" i="5"/>
  <c r="J42" i="5"/>
  <c r="L42" i="5"/>
  <c r="M42" i="5"/>
  <c r="C42" i="5"/>
  <c r="K42" i="5"/>
  <c r="D42" i="5"/>
  <c r="F42" i="5"/>
  <c r="G42" i="5"/>
  <c r="G20" i="5"/>
  <c r="B20" i="5"/>
  <c r="E20" i="5"/>
  <c r="E21" i="5" s="1"/>
  <c r="E22" i="5" s="1"/>
  <c r="E23" i="5" s="1"/>
  <c r="F20" i="5"/>
  <c r="D20" i="5"/>
  <c r="C20" i="5"/>
  <c r="G13" i="5"/>
  <c r="D13" i="5"/>
  <c r="F13" i="5"/>
  <c r="C13" i="5"/>
  <c r="B13" i="5"/>
  <c r="F16" i="5"/>
  <c r="G16" i="5"/>
  <c r="C16" i="5"/>
  <c r="D16" i="5"/>
  <c r="B16" i="5"/>
  <c r="C23" i="5"/>
  <c r="B23" i="5"/>
  <c r="D23" i="5"/>
  <c r="G23" i="5"/>
  <c r="G26" i="5"/>
  <c r="F26" i="5"/>
  <c r="D26" i="5"/>
  <c r="B26" i="5"/>
  <c r="C26" i="5"/>
  <c r="B30" i="5"/>
  <c r="E30" i="5"/>
  <c r="E31" i="5" s="1"/>
  <c r="E32" i="5" s="1"/>
  <c r="E33" i="5" s="1"/>
  <c r="G30" i="5"/>
  <c r="C30" i="5"/>
  <c r="D30" i="5"/>
  <c r="F30" i="5"/>
  <c r="D36" i="5"/>
  <c r="B36" i="5"/>
  <c r="F36" i="5"/>
  <c r="G36" i="5"/>
  <c r="C36" i="5"/>
  <c r="F31" i="5"/>
  <c r="D31" i="5"/>
  <c r="G31" i="5"/>
  <c r="B31" i="5"/>
  <c r="C31" i="5"/>
  <c r="C33" i="5"/>
  <c r="B33" i="5"/>
  <c r="G33" i="5"/>
  <c r="D33" i="5"/>
  <c r="F33" i="5"/>
  <c r="B18" i="5"/>
  <c r="D18" i="5"/>
  <c r="C18" i="5"/>
  <c r="F18" i="5"/>
  <c r="G18" i="5"/>
  <c r="B11" i="5"/>
  <c r="F11" i="5"/>
  <c r="C11" i="5"/>
  <c r="G11" i="5"/>
  <c r="D11" i="5"/>
  <c r="C12" i="5"/>
  <c r="D12" i="5"/>
  <c r="F12" i="5"/>
  <c r="G12" i="5"/>
  <c r="B12" i="5"/>
  <c r="F35" i="5"/>
  <c r="E35" i="5"/>
  <c r="E36" i="5" s="1"/>
  <c r="E37" i="5" s="1"/>
  <c r="E38" i="5" s="1"/>
  <c r="G35" i="5"/>
  <c r="B35" i="5"/>
  <c r="D35" i="5"/>
  <c r="C35" i="5"/>
  <c r="G25" i="5"/>
  <c r="E25" i="5"/>
  <c r="E26" i="5" s="1"/>
  <c r="E27" i="5" s="1"/>
  <c r="E28" i="5" s="1"/>
  <c r="F25" i="5"/>
  <c r="C25" i="5"/>
  <c r="D25" i="5"/>
  <c r="B25" i="5"/>
  <c r="G28" i="5"/>
  <c r="C28" i="5"/>
  <c r="D28" i="5"/>
  <c r="B28" i="5"/>
  <c r="F28" i="5"/>
  <c r="B37" i="5"/>
  <c r="G37" i="5"/>
  <c r="C37" i="5"/>
  <c r="F37" i="5"/>
  <c r="D37" i="5"/>
  <c r="G21" i="5"/>
  <c r="D21" i="5"/>
  <c r="C21" i="5"/>
  <c r="B21" i="5"/>
  <c r="F21" i="5"/>
  <c r="D17" i="5"/>
  <c r="C17" i="5"/>
  <c r="B17" i="5"/>
  <c r="F17" i="5"/>
  <c r="G17" i="5"/>
  <c r="B38" i="5"/>
  <c r="F38" i="5"/>
  <c r="C38" i="5"/>
  <c r="D38" i="5"/>
  <c r="G38" i="5"/>
  <c r="F22" i="5"/>
  <c r="G22" i="5"/>
  <c r="B22" i="5"/>
  <c r="C22" i="5"/>
  <c r="D22" i="5"/>
  <c r="G32" i="5"/>
  <c r="D32" i="5"/>
  <c r="B32" i="5"/>
  <c r="C32" i="5"/>
  <c r="F32" i="5"/>
  <c r="D15" i="5"/>
  <c r="G15" i="5"/>
  <c r="E15" i="5"/>
  <c r="E16" i="5" s="1"/>
  <c r="E17" i="5" s="1"/>
  <c r="E18" i="5" s="1"/>
  <c r="F15" i="5"/>
  <c r="B15" i="5"/>
  <c r="C15" i="5"/>
  <c r="G27" i="5"/>
  <c r="F27" i="5"/>
  <c r="C27" i="5"/>
  <c r="B27" i="5"/>
  <c r="D27" i="5"/>
  <c r="H10" i="5"/>
  <c r="I10" i="5"/>
  <c r="K10" i="5"/>
  <c r="L10" i="5"/>
  <c r="B10" i="5"/>
  <c r="M10" i="5"/>
  <c r="E10" i="5"/>
  <c r="E11" i="5" s="1"/>
  <c r="E12" i="5" s="1"/>
  <c r="E13" i="5" s="1"/>
  <c r="C10" i="5"/>
  <c r="D10" i="5"/>
  <c r="F10" i="5"/>
  <c r="J10" i="5"/>
  <c r="H30" i="5"/>
  <c r="K30" i="5"/>
  <c r="I30" i="5"/>
  <c r="J30" i="5"/>
  <c r="M30" i="5"/>
  <c r="L30" i="5"/>
  <c r="L35" i="5"/>
  <c r="K35" i="5"/>
  <c r="J35" i="5"/>
  <c r="M35" i="5"/>
  <c r="I35" i="5"/>
  <c r="H35" i="5"/>
  <c r="I31" i="5"/>
  <c r="H31" i="5"/>
  <c r="L31" i="5"/>
  <c r="J31" i="5"/>
  <c r="K31" i="5"/>
  <c r="M31" i="5"/>
  <c r="M36" i="5"/>
  <c r="L36" i="5"/>
  <c r="J36" i="5"/>
  <c r="K36" i="5"/>
  <c r="I36" i="5"/>
  <c r="H36" i="5"/>
  <c r="J37" i="5"/>
  <c r="H37" i="5"/>
  <c r="K37" i="5"/>
  <c r="I37" i="5"/>
  <c r="L37" i="5"/>
  <c r="M37" i="5"/>
  <c r="L32" i="5"/>
  <c r="H32" i="5"/>
  <c r="M32" i="5"/>
  <c r="J32" i="5"/>
  <c r="K32" i="5"/>
  <c r="I32" i="5"/>
  <c r="M38" i="5"/>
  <c r="I38" i="5"/>
  <c r="J38" i="5"/>
  <c r="K38" i="5"/>
  <c r="H38" i="5"/>
  <c r="L38" i="5"/>
  <c r="I33" i="5"/>
  <c r="K33" i="5"/>
  <c r="J33" i="5"/>
  <c r="L33" i="5"/>
  <c r="H33" i="5"/>
  <c r="M33" i="5"/>
  <c r="L12" i="5"/>
  <c r="J12" i="5"/>
  <c r="I12" i="5"/>
  <c r="H12" i="5"/>
  <c r="M12" i="5"/>
  <c r="K12" i="5"/>
  <c r="J26" i="5"/>
  <c r="I26" i="5"/>
  <c r="H26" i="5"/>
  <c r="L26" i="5"/>
  <c r="M26" i="5"/>
  <c r="K26" i="5"/>
  <c r="J21" i="5"/>
  <c r="H21" i="5"/>
  <c r="L21" i="5"/>
  <c r="M21" i="5"/>
  <c r="K21" i="5"/>
  <c r="I21" i="5"/>
  <c r="J16" i="5"/>
  <c r="H16" i="5"/>
  <c r="L16" i="5"/>
  <c r="M16" i="5"/>
  <c r="K16" i="5"/>
  <c r="I16" i="5"/>
  <c r="M23" i="5"/>
  <c r="L23" i="5"/>
  <c r="K23" i="5"/>
  <c r="J23" i="5"/>
  <c r="H23" i="5"/>
  <c r="I23" i="5"/>
  <c r="H15" i="5"/>
  <c r="M15" i="5"/>
  <c r="L15" i="5"/>
  <c r="J15" i="5"/>
  <c r="K15" i="5"/>
  <c r="I15" i="5"/>
  <c r="L27" i="5"/>
  <c r="J27" i="5"/>
  <c r="I27" i="5"/>
  <c r="H27" i="5"/>
  <c r="M27" i="5"/>
  <c r="K27" i="5"/>
  <c r="L22" i="5"/>
  <c r="K22" i="5"/>
  <c r="J22" i="5"/>
  <c r="I22" i="5"/>
  <c r="H22" i="5"/>
  <c r="M22" i="5"/>
  <c r="H25" i="5"/>
  <c r="M25" i="5"/>
  <c r="L25" i="5"/>
  <c r="K25" i="5"/>
  <c r="J25" i="5"/>
  <c r="I25" i="5"/>
  <c r="M18" i="5"/>
  <c r="L18" i="5"/>
  <c r="K18" i="5"/>
  <c r="J18" i="5"/>
  <c r="I18" i="5"/>
  <c r="H18" i="5"/>
  <c r="J11" i="5"/>
  <c r="I11" i="5"/>
  <c r="H11" i="5"/>
  <c r="L11" i="5"/>
  <c r="M11" i="5"/>
  <c r="K11" i="5"/>
  <c r="H20" i="5"/>
  <c r="M20" i="5"/>
  <c r="L20" i="5"/>
  <c r="J20" i="5"/>
  <c r="K20" i="5"/>
  <c r="I20" i="5"/>
  <c r="M28" i="5"/>
  <c r="L28" i="5"/>
  <c r="K28" i="5"/>
  <c r="H28" i="5"/>
  <c r="J28" i="5"/>
  <c r="I28" i="5"/>
  <c r="L17" i="5"/>
  <c r="K17" i="5"/>
  <c r="J17" i="5"/>
  <c r="I17" i="5"/>
  <c r="H17" i="5"/>
  <c r="M17" i="5"/>
  <c r="M13" i="5"/>
  <c r="L13" i="5"/>
  <c r="K13" i="5"/>
  <c r="J13" i="5"/>
  <c r="I13" i="5"/>
  <c r="H13" i="5"/>
  <c r="X4" i="2"/>
  <c r="Y4" i="2"/>
  <c r="X14" i="2"/>
  <c r="X13" i="2"/>
  <c r="X12" i="2"/>
  <c r="X11" i="2"/>
  <c r="X10" i="2"/>
  <c r="X9" i="2"/>
  <c r="X8" i="2"/>
  <c r="X7" i="2"/>
  <c r="X6" i="2"/>
  <c r="X5" i="2"/>
  <c r="AA14" i="2"/>
  <c r="Z14" i="2"/>
  <c r="Y14" i="2"/>
  <c r="AA13" i="2"/>
  <c r="Z13" i="2"/>
  <c r="Y13" i="2"/>
  <c r="AA12" i="2"/>
  <c r="Z12" i="2"/>
  <c r="Y12" i="2"/>
  <c r="AA11" i="2"/>
  <c r="Z11" i="2"/>
  <c r="Y11" i="2"/>
  <c r="AA10" i="2"/>
  <c r="Z10" i="2"/>
  <c r="Y10" i="2"/>
  <c r="AA9" i="2"/>
  <c r="Z9" i="2"/>
  <c r="Y9" i="2"/>
  <c r="AA8" i="2"/>
  <c r="Z8" i="2"/>
  <c r="Y8" i="2"/>
  <c r="AA7" i="2"/>
  <c r="Z7" i="2"/>
  <c r="Y7" i="2"/>
  <c r="AA6" i="2"/>
  <c r="Z6" i="2"/>
  <c r="Y6" i="2"/>
  <c r="AA5" i="2"/>
  <c r="Z5" i="2"/>
  <c r="Y5" i="2"/>
  <c r="AA4" i="2"/>
  <c r="Z4" i="2"/>
  <c r="AF4" i="2"/>
  <c r="AE4" i="2"/>
  <c r="AD4" i="2"/>
  <c r="AC4" i="2"/>
</calcChain>
</file>

<file path=xl/comments1.xml><?xml version="1.0" encoding="utf-8"?>
<comments xmlns="http://schemas.openxmlformats.org/spreadsheetml/2006/main">
  <authors>
    <author>Mark Kerr</author>
  </authors>
  <commentList>
    <comment ref="L28" authorId="0" shapeId="0">
      <text>
        <r>
          <rPr>
            <b/>
            <sz val="9"/>
            <color indexed="81"/>
            <rFont val="Tahoma"/>
            <family val="2"/>
          </rPr>
          <t>Mark Kerr:</t>
        </r>
        <r>
          <rPr>
            <sz val="9"/>
            <color indexed="81"/>
            <rFont val="Tahoma"/>
            <family val="2"/>
          </rPr>
          <t xml:space="preserve">
Typo in S1, missing "s" on the end of title.</t>
        </r>
      </text>
    </comment>
    <comment ref="J55" authorId="0" shapeId="0">
      <text>
        <r>
          <rPr>
            <b/>
            <sz val="9"/>
            <color indexed="81"/>
            <rFont val="Tahoma"/>
            <family val="2"/>
          </rPr>
          <t>Mark Kerr:</t>
        </r>
        <r>
          <rPr>
            <sz val="9"/>
            <color indexed="81"/>
            <rFont val="Tahoma"/>
            <family val="2"/>
          </rPr>
          <t xml:space="preserve">
20/11/2023 - Option list is still incorrect.</t>
        </r>
      </text>
    </comment>
  </commentList>
</comments>
</file>

<file path=xl/sharedStrings.xml><?xml version="1.0" encoding="utf-8"?>
<sst xmlns="http://schemas.openxmlformats.org/spreadsheetml/2006/main" count="9804" uniqueCount="956">
  <si>
    <t>UDC</t>
  </si>
  <si>
    <t>Ver</t>
  </si>
  <si>
    <t>OUA Cd</t>
  </si>
  <si>
    <t>Unit Title</t>
  </si>
  <si>
    <t>Pre-reqs</t>
  </si>
  <si>
    <t>Credits</t>
  </si>
  <si>
    <t>Availabilities</t>
  </si>
  <si>
    <t>Progress Notes</t>
  </si>
  <si>
    <r>
      <t>Curtin University</t>
    </r>
    <r>
      <rPr>
        <sz val="11"/>
        <color theme="0"/>
        <rFont val="Arial"/>
        <family val="2"/>
      </rPr>
      <t xml:space="preserve">
School of Education</t>
    </r>
  </si>
  <si>
    <t>2024 Enrolment Planner</t>
  </si>
  <si>
    <t>Course:</t>
  </si>
  <si>
    <t>Choose your Education Course</t>
  </si>
  <si>
    <t>Course version:</t>
  </si>
  <si>
    <t>Commencing:</t>
  </si>
  <si>
    <t>Credits to Complete:</t>
  </si>
  <si>
    <t>2024 Availabilities</t>
  </si>
  <si>
    <t>Year 1</t>
  </si>
  <si>
    <t>Study Period</t>
  </si>
  <si>
    <t>Pre-Requisite(s)</t>
  </si>
  <si>
    <t>CP</t>
  </si>
  <si>
    <t>Sem1 FO</t>
  </si>
  <si>
    <t>Sem1 KAL</t>
  </si>
  <si>
    <t>Sem2 BEN</t>
  </si>
  <si>
    <t>Sem2 FO</t>
  </si>
  <si>
    <t>Sem2 KAL</t>
  </si>
  <si>
    <t>Progress</t>
  </si>
  <si>
    <t>Year 2</t>
  </si>
  <si>
    <t>Year 3</t>
  </si>
  <si>
    <t>Year 4</t>
  </si>
  <si>
    <t>Alternate Core / Option List</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</si>
  <si>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</si>
  <si>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</si>
  <si>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</si>
  <si>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</si>
  <si>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Bachelor of Education</t>
  </si>
  <si>
    <t>GC-ENVCLMSem1</t>
  </si>
  <si>
    <t>RangeUnitSets</t>
  </si>
  <si>
    <t>B-EDUCSem1</t>
  </si>
  <si>
    <t>B-EDUCSem2</t>
  </si>
  <si>
    <t>B-EDECSem1</t>
  </si>
  <si>
    <t>B-EDECSem2</t>
  </si>
  <si>
    <t>B-EDPRSem1</t>
  </si>
  <si>
    <t>B-EDPRSem2</t>
  </si>
  <si>
    <t>Spk Cd</t>
  </si>
  <si>
    <t>Structure Line</t>
  </si>
  <si>
    <t>Pre Req</t>
  </si>
  <si>
    <t>2023 S1Int</t>
  </si>
  <si>
    <t>2023 S1FO</t>
  </si>
  <si>
    <t>2023 S2Int</t>
  </si>
  <si>
    <t>2023 S2FO</t>
  </si>
  <si>
    <t>Y1Sem1</t>
  </si>
  <si>
    <t>EDUC1021</t>
  </si>
  <si>
    <t>Y1Sem2</t>
  </si>
  <si>
    <t>EDUC1027</t>
  </si>
  <si>
    <t>EDUC1019</t>
  </si>
  <si>
    <t>EDUC1029</t>
  </si>
  <si>
    <t>EDUC1017</t>
  </si>
  <si>
    <t>TableCourses</t>
  </si>
  <si>
    <t>EDUC1025</t>
  </si>
  <si>
    <t>EDUC1031</t>
  </si>
  <si>
    <t>Version</t>
  </si>
  <si>
    <t>Credit Points</t>
  </si>
  <si>
    <t>Effective Date</t>
  </si>
  <si>
    <t>Akari Update</t>
  </si>
  <si>
    <t>EDUC1023</t>
  </si>
  <si>
    <t>Bachelor of Educational Studies</t>
  </si>
  <si>
    <t>B-EDUC</t>
  </si>
  <si>
    <t>v.2</t>
  </si>
  <si>
    <t xml:space="preserve">600 credit points required </t>
  </si>
  <si>
    <t>Sem1 INT&amp;FO;Sem2 INT&amp;FO</t>
  </si>
  <si>
    <t>AltCoreBEDUC1</t>
  </si>
  <si>
    <t>Bachelor of Education (Early Childhood Education)</t>
  </si>
  <si>
    <t>B-EDEC</t>
  </si>
  <si>
    <t xml:space="preserve">800 credit points required </t>
  </si>
  <si>
    <r>
      <t>Sem1 INT&amp;FO&amp;KAL;Sem2 INT&amp;FO&amp;</t>
    </r>
    <r>
      <rPr>
        <sz val="10"/>
        <color rgb="FFFF0000"/>
        <rFont val="Arial"/>
        <family val="2"/>
      </rPr>
      <t>KAL</t>
    </r>
  </si>
  <si>
    <t>Bachelor of Education (Primary Education)</t>
  </si>
  <si>
    <t>B-EDPR</t>
  </si>
  <si>
    <t>v.3</t>
  </si>
  <si>
    <t>Sem1 INT&amp;FO&amp;KAL;Sem2 INT&amp;FO&amp;KAL</t>
  </si>
  <si>
    <t>Bachelor of Education (Secondary Education)</t>
  </si>
  <si>
    <t>B-EDSC</t>
  </si>
  <si>
    <t>v.4</t>
  </si>
  <si>
    <t>Sem1 INT;Sem2 INT</t>
  </si>
  <si>
    <t>TableStudyPeriods</t>
  </si>
  <si>
    <t>Y2Sem1</t>
  </si>
  <si>
    <t>EDPR2016</t>
  </si>
  <si>
    <t>Y2Sem2</t>
  </si>
  <si>
    <t>EDPR2004</t>
  </si>
  <si>
    <t>EDUC2007</t>
  </si>
  <si>
    <t>EDEC2000</t>
  </si>
  <si>
    <t>EDUC2005</t>
  </si>
  <si>
    <t>START</t>
  </si>
  <si>
    <t>Next</t>
  </si>
  <si>
    <t>EDPR2000</t>
  </si>
  <si>
    <t>EDEC2021</t>
  </si>
  <si>
    <t>Semester 1 (February - June)</t>
  </si>
  <si>
    <t>Sem1</t>
  </si>
  <si>
    <t>Sem2</t>
  </si>
  <si>
    <t>EDSC1011</t>
  </si>
  <si>
    <t>EDEC2025</t>
  </si>
  <si>
    <t>EDEC2023</t>
  </si>
  <si>
    <t>Semester 2 (July -  November)</t>
  </si>
  <si>
    <t>Option</t>
  </si>
  <si>
    <t>EDEC2019</t>
  </si>
  <si>
    <t>EDEC2027</t>
  </si>
  <si>
    <t>EDPR2012</t>
  </si>
  <si>
    <t>EDPR2014</t>
  </si>
  <si>
    <t>B-EDEC - No KAL Sem2 Availability</t>
  </si>
  <si>
    <t>20/11/2023 - How would we like to represent Option Lists</t>
  </si>
  <si>
    <t>Y3Sem1</t>
  </si>
  <si>
    <t>INED3001</t>
  </si>
  <si>
    <t>Y3Sem2</t>
  </si>
  <si>
    <t>EDPR3003</t>
  </si>
  <si>
    <t>EDEC3016</t>
  </si>
  <si>
    <t>EDEC3024</t>
  </si>
  <si>
    <t>EDPR3004</t>
  </si>
  <si>
    <t>AltCoreBEDUC2</t>
  </si>
  <si>
    <t>EDUC4048</t>
  </si>
  <si>
    <t>EDEC3022</t>
  </si>
  <si>
    <t>EDPR3014</t>
  </si>
  <si>
    <t>EDPR3001</t>
  </si>
  <si>
    <t>Elective</t>
  </si>
  <si>
    <t>EDUC3002</t>
  </si>
  <si>
    <t>EDEC3026</t>
  </si>
  <si>
    <t>EDPR3000</t>
  </si>
  <si>
    <t>EDEC3020</t>
  </si>
  <si>
    <t>EDEC3018</t>
  </si>
  <si>
    <t>EDEC4006</t>
  </si>
  <si>
    <t>EDPR3012</t>
  </si>
  <si>
    <t>Y4Sem1</t>
  </si>
  <si>
    <t>--</t>
  </si>
  <si>
    <t>Y4Sem2</t>
  </si>
  <si>
    <t>EDEC4004</t>
  </si>
  <si>
    <t>EDPR4003</t>
  </si>
  <si>
    <t>EDPR4000</t>
  </si>
  <si>
    <t>EDUC4049</t>
  </si>
  <si>
    <t>EDUC4040</t>
  </si>
  <si>
    <t>-2-</t>
  </si>
  <si>
    <t>-1-</t>
  </si>
  <si>
    <t>RangeOptions</t>
  </si>
  <si>
    <t>EDSC1009</t>
  </si>
  <si>
    <t>OiSTEM</t>
  </si>
  <si>
    <t>EDUC4021</t>
  </si>
  <si>
    <t>EDUC4032</t>
  </si>
  <si>
    <t>EDUC4034</t>
  </si>
  <si>
    <t>OELL</t>
  </si>
  <si>
    <t>EDSC3007</t>
  </si>
  <si>
    <t>EDUC4022</t>
  </si>
  <si>
    <t>EDUC4023</t>
  </si>
  <si>
    <t>EDUC4036</t>
  </si>
  <si>
    <t>CTED4001</t>
  </si>
  <si>
    <t>OLNDP</t>
  </si>
  <si>
    <t>CTED4006</t>
  </si>
  <si>
    <t>EDUC4020</t>
  </si>
  <si>
    <t>CTED4008</t>
  </si>
  <si>
    <t>EDUC4042</t>
  </si>
  <si>
    <t>EDUC4012</t>
  </si>
  <si>
    <t>EDUC4044</t>
  </si>
  <si>
    <t>EDUC4014</t>
  </si>
  <si>
    <t>OT</t>
  </si>
  <si>
    <t>EDUC4029</t>
  </si>
  <si>
    <t>EDUC4038</t>
  </si>
  <si>
    <t>EDUC4046</t>
  </si>
  <si>
    <t>OCE</t>
  </si>
  <si>
    <t>OO</t>
  </si>
  <si>
    <t>OIB</t>
  </si>
  <si>
    <t>EDIB4000</t>
  </si>
  <si>
    <t>EDIB4001</t>
  </si>
  <si>
    <t>EDIB4003</t>
  </si>
  <si>
    <t>EDUC4031</t>
  </si>
  <si>
    <t>EDIB4002</t>
  </si>
  <si>
    <t>CTED4000</t>
  </si>
  <si>
    <t>CTED4002</t>
  </si>
  <si>
    <t>Major:</t>
  </si>
  <si>
    <t>Choose your Major first (drop-down list)</t>
  </si>
  <si>
    <t>Major Version:</t>
  </si>
  <si>
    <t>Second Specialisation:</t>
  </si>
  <si>
    <t>Choose your Specialisation Stream second (drop-down list)</t>
  </si>
  <si>
    <t>Specialisation version:</t>
  </si>
  <si>
    <t>Alternate Core Units (if applicable)</t>
  </si>
  <si>
    <t>Major Alternate Core Units</t>
  </si>
  <si>
    <t>Specialisation Stream Alternate Core Units</t>
  </si>
  <si>
    <t>Option List</t>
  </si>
  <si>
    <t>Humanities and Social Sciences Education Major (Economics) (BEd Secondary)</t>
  </si>
  <si>
    <t>Mathematics Education Minor Teaching Area Stream (BEd Secondary)</t>
  </si>
  <si>
    <t>StreamsMathsNoMethods</t>
  </si>
  <si>
    <t>TableCourseSecondary</t>
  </si>
  <si>
    <t>DropDownLists</t>
  </si>
  <si>
    <t>Streams Nil</t>
  </si>
  <si>
    <t>RangeUnitSetsSec</t>
  </si>
  <si>
    <t>B-EDSCSem1</t>
  </si>
  <si>
    <t>B-EDSCSem2</t>
  </si>
  <si>
    <t>MJRU-ARTDR</t>
  </si>
  <si>
    <t>STRU-BSCIM</t>
  </si>
  <si>
    <t>-N.A.-</t>
  </si>
  <si>
    <t>STRU-EDART</t>
  </si>
  <si>
    <t>TableMajors</t>
  </si>
  <si>
    <t>STRU-ENGLM</t>
  </si>
  <si>
    <t>STRU-HUMAM</t>
  </si>
  <si>
    <t>The Arts Education Major (Drama) (BEd Secondary)</t>
  </si>
  <si>
    <t>v.1</t>
  </si>
  <si>
    <t xml:space="preserve">400 credit points required </t>
  </si>
  <si>
    <t>STRU-MATHM</t>
  </si>
  <si>
    <t>The Arts Education Major (Media Production and Analysis) (BEd Secondary)</t>
  </si>
  <si>
    <t>MJRU-ARTME</t>
  </si>
  <si>
    <t>STRU-PARTB</t>
  </si>
  <si>
    <t>The Arts Education Major (Visual Arts) (BEd Secondary)</t>
  </si>
  <si>
    <t>MJRU-ARTVA</t>
  </si>
  <si>
    <t>STRU-PSCIM</t>
  </si>
  <si>
    <t>EdMajor</t>
  </si>
  <si>
    <t>English Education Major (BEd Secondary)</t>
  </si>
  <si>
    <t>MJRU-ENGLT</t>
  </si>
  <si>
    <t>STRU-PSYCM</t>
  </si>
  <si>
    <t>SecondSpec</t>
  </si>
  <si>
    <t>Health and Physical Education Major (BEd Secondary)</t>
  </si>
  <si>
    <t>MJRU-HLTPE</t>
  </si>
  <si>
    <t>STRU-SOSCM</t>
  </si>
  <si>
    <t>EDSC2008</t>
  </si>
  <si>
    <t>MJRU-HUSEC</t>
  </si>
  <si>
    <t>Humanities and Social Sciences Education Major (Geography) (BEd Secondary)</t>
  </si>
  <si>
    <t>MJRU-HUSGE</t>
  </si>
  <si>
    <t>Humanities and Social Sciences Education Major (History) (BEd Secondary)</t>
  </si>
  <si>
    <t>MJRU-HUSHI</t>
  </si>
  <si>
    <t>Humanities and Social Sciences Education Major (Politics and Law) (BEd Secondary)</t>
  </si>
  <si>
    <t>MJRU-HUSPL</t>
  </si>
  <si>
    <t>EDSC2009</t>
  </si>
  <si>
    <t>Mathematics Education Major (BEd Secondary)</t>
  </si>
  <si>
    <t>MJRU-MATHT</t>
  </si>
  <si>
    <t>Science Education Major (Biology) (BEd Secondary)</t>
  </si>
  <si>
    <t>MJRU-SCIBI</t>
  </si>
  <si>
    <t>Science Education Major (Chemistry) (BEd Secondary)</t>
  </si>
  <si>
    <t>MJRU-SCICH</t>
  </si>
  <si>
    <t>Science Education Major (Human Biology) (BEd Secondary)</t>
  </si>
  <si>
    <t>MJRU-SCIHB</t>
  </si>
  <si>
    <t>Science Education Major (Physics) (BEd Secondary)</t>
  </si>
  <si>
    <t>MJRU-SCIPH</t>
  </si>
  <si>
    <t>Science Education Major (Psychology) (BEd Secondary)</t>
  </si>
  <si>
    <t>MJRU-SCIPS</t>
  </si>
  <si>
    <t>TableStreams</t>
  </si>
  <si>
    <t>EDSC3005</t>
  </si>
  <si>
    <t>Broadening Biology Teaching Area Stream (BEd Secondary)</t>
  </si>
  <si>
    <t>STRU-BIOLB</t>
  </si>
  <si>
    <t xml:space="preserve">150 credit points required </t>
  </si>
  <si>
    <t>Biological Sciences Education Minor Teaching Area Stream (BEd Secondary)</t>
  </si>
  <si>
    <t>Broadening Chemistry Teaching Area Stream (BEd Secondary)</t>
  </si>
  <si>
    <t>STRU-CHEMB</t>
  </si>
  <si>
    <t>Broadening Humanities and Social Sciences for Economics Teaching Area Stream (BEd Secondary)</t>
  </si>
  <si>
    <t>STRU-ECOB1</t>
  </si>
  <si>
    <t>Education Speciality and The Arts Teaching Area Stream (BEd Secondary)</t>
  </si>
  <si>
    <t>STRU-VARTB</t>
  </si>
  <si>
    <t>Education Speciality and English Teaching Area Stream (BEd Secondary)</t>
  </si>
  <si>
    <t>STRU-EDENG</t>
  </si>
  <si>
    <t>Education Speciality and Humanities and Social Science Teaching Area Stream (BEd Secondary)</t>
  </si>
  <si>
    <t>STRU-EDHAS</t>
  </si>
  <si>
    <t>Education Speciality and Mathematics Teaching Area Stream (BEd Secondary)</t>
  </si>
  <si>
    <t>STRU-EDMAT</t>
  </si>
  <si>
    <t>STRU-ENGLB</t>
  </si>
  <si>
    <t>Education Specialty and Science Teaching Area Stream (BEd Secondary)</t>
  </si>
  <si>
    <t>STRU-EDSCI</t>
  </si>
  <si>
    <t>Broadening English Teaching Area Stream (BEd Secondary)</t>
  </si>
  <si>
    <t>English Education Minor Teaching Area Stream (BEd Secondary)</t>
  </si>
  <si>
    <t>STRU-PARTM</t>
  </si>
  <si>
    <t>Broadening Humanities and Social Sciences for Geography Teaching Area Stream (BEd Secondary)</t>
  </si>
  <si>
    <t>STRU-GEOB1</t>
  </si>
  <si>
    <t>Broadening Humanities and Social Sciences for History Teaching Area Stream (BEd Secondary)</t>
  </si>
  <si>
    <t>STRU-HISB1</t>
  </si>
  <si>
    <t>RangeMajorsSec</t>
  </si>
  <si>
    <t>MJRU-HLTPESem1</t>
  </si>
  <si>
    <t>MJRU-HLTPESem2</t>
  </si>
  <si>
    <t>MJRU-SCIPHSem1</t>
  </si>
  <si>
    <t>MJRU-SCIPHSem2</t>
  </si>
  <si>
    <t>MJRU-ARTDRSem1</t>
  </si>
  <si>
    <t>MJRU-ARTDRSem2</t>
  </si>
  <si>
    <t>MJRU-ARTMESem1</t>
  </si>
  <si>
    <t>MJRU-ARTMESem2</t>
  </si>
  <si>
    <t>MJRU-ARTVASem1</t>
  </si>
  <si>
    <t>MJRU-ARTVASem2</t>
  </si>
  <si>
    <t>MJRU-ENGLTSem1</t>
  </si>
  <si>
    <t>MJRU-ENGLTSem2</t>
  </si>
  <si>
    <t>MJRU-HUSECSem1</t>
  </si>
  <si>
    <t>MJRU-HUSECSem2</t>
  </si>
  <si>
    <t>MJRU-HUSGESem1</t>
  </si>
  <si>
    <t>MJRU-HUSGESem2</t>
  </si>
  <si>
    <t>MJRU-HUSHISem1</t>
  </si>
  <si>
    <t>MJRU-HUSHISem2</t>
  </si>
  <si>
    <t>MJRU-HUSPLSem1</t>
  </si>
  <si>
    <t>MJRU-HUSPLSem2</t>
  </si>
  <si>
    <t>MJRU-MATHTSem1</t>
  </si>
  <si>
    <t>MJRU-MATHTSem2</t>
  </si>
  <si>
    <t>MJRU-SCIBISem1</t>
  </si>
  <si>
    <t>MJRU-SCIBISem2</t>
  </si>
  <si>
    <t>MJRU-SCICHSem1</t>
  </si>
  <si>
    <t>MJRU-SCICHSem2</t>
  </si>
  <si>
    <t>MJRU-SCIHBSem1</t>
  </si>
  <si>
    <t>MJRU-SCIHBSem2</t>
  </si>
  <si>
    <t>MJRU-SCIPSSem1</t>
  </si>
  <si>
    <t>MJRU-SCIPSSem2</t>
  </si>
  <si>
    <t>Humanities and Social Sciences - Humanities Education Minor Teaching Area Stream (BEd Secondary)</t>
  </si>
  <si>
    <t>HUMB1002</t>
  </si>
  <si>
    <t>MATH1015</t>
  </si>
  <si>
    <t>THTR1002</t>
  </si>
  <si>
    <t>SCST1000</t>
  </si>
  <si>
    <t>VISA1004</t>
  </si>
  <si>
    <t>CWRI1003</t>
  </si>
  <si>
    <t>ECON1000</t>
  </si>
  <si>
    <t>PHGY1000</t>
  </si>
  <si>
    <t>INTR1001</t>
  </si>
  <si>
    <t>ANTH1001</t>
  </si>
  <si>
    <t>MATH1016</t>
  </si>
  <si>
    <t>AGRI1000</t>
  </si>
  <si>
    <t>CHEM1000</t>
  </si>
  <si>
    <t>HUMB1000</t>
  </si>
  <si>
    <t>PSYC1001</t>
  </si>
  <si>
    <t>Broadening Human Biology Teaching Area Stream (BEd Secondary)</t>
  </si>
  <si>
    <t>STRU-HUMBB</t>
  </si>
  <si>
    <t>STRU-VARTM</t>
  </si>
  <si>
    <t>EDSC4034</t>
  </si>
  <si>
    <t>EDSC4022</t>
  </si>
  <si>
    <t>EDSC4032</t>
  </si>
  <si>
    <t>EDSC4030</t>
  </si>
  <si>
    <t>EDSC4024</t>
  </si>
  <si>
    <t>EDSC4020</t>
  </si>
  <si>
    <t>Broadening Mathematics Teaching Area Stream (BEd Secondary)</t>
  </si>
  <si>
    <t>STRU-MATHB</t>
  </si>
  <si>
    <t>Major only</t>
  </si>
  <si>
    <t>MATH2009</t>
  </si>
  <si>
    <t>THTR1001</t>
  </si>
  <si>
    <t>SPRO1000</t>
  </si>
  <si>
    <t>VISA1003</t>
  </si>
  <si>
    <t>LCST1004</t>
  </si>
  <si>
    <t>ECON2004</t>
  </si>
  <si>
    <t>GEOG1000</t>
  </si>
  <si>
    <t>HIST1000</t>
  </si>
  <si>
    <t>BLAW1002</t>
  </si>
  <si>
    <t>STAT1005</t>
  </si>
  <si>
    <t>BIOL1005</t>
  </si>
  <si>
    <t>CHEM1002</t>
  </si>
  <si>
    <t>HUMB1001</t>
  </si>
  <si>
    <t>PSYC1000</t>
  </si>
  <si>
    <t>EDSC4035</t>
  </si>
  <si>
    <t>EDSC4023</t>
  </si>
  <si>
    <t>EDSC4028</t>
  </si>
  <si>
    <t>EDSC4018</t>
  </si>
  <si>
    <t>EDSC4026</t>
  </si>
  <si>
    <t>EDSC4021</t>
  </si>
  <si>
    <t>Broadening Performing Arts Teaching Area Stream (BEd Secondary)</t>
  </si>
  <si>
    <t>REHT2001</t>
  </si>
  <si>
    <t>MATH2000</t>
  </si>
  <si>
    <t>THTR2001</t>
  </si>
  <si>
    <t>SPRO2000</t>
  </si>
  <si>
    <t>VISA2006</t>
  </si>
  <si>
    <t>LCST2007</t>
  </si>
  <si>
    <t>ECON2001</t>
  </si>
  <si>
    <t>PHGY2000</t>
  </si>
  <si>
    <t>HIST2000</t>
  </si>
  <si>
    <t>ANTH3003</t>
  </si>
  <si>
    <t>BOTA2000</t>
  </si>
  <si>
    <t>CHEM2005</t>
  </si>
  <si>
    <t>HUMB2012</t>
  </si>
  <si>
    <t>The Arts - Performing Arts Education Minor Teaching Area Stream (BEd Secondary)</t>
  </si>
  <si>
    <t>EDSC3009</t>
  </si>
  <si>
    <t>Broadening Humanities and Social Sciences for Politics and Law Teaching Area Stream (BEd Secondary)</t>
  </si>
  <si>
    <t>STRU-POLB1</t>
  </si>
  <si>
    <t>HUMV2000</t>
  </si>
  <si>
    <t>THTR2002</t>
  </si>
  <si>
    <t>SPRO2003</t>
  </si>
  <si>
    <t>VISA2023</t>
  </si>
  <si>
    <t>LCST2006</t>
  </si>
  <si>
    <t>ECON2006</t>
  </si>
  <si>
    <t>GEOG2001</t>
  </si>
  <si>
    <t>HIST2001</t>
  </si>
  <si>
    <t>AltCoreMJRUHUSPL</t>
  </si>
  <si>
    <t>AltCoreMJRUSCIBI</t>
  </si>
  <si>
    <t>CHEM2004</t>
  </si>
  <si>
    <t>AltCoreMJRUSCIHB</t>
  </si>
  <si>
    <t>PSYC2001</t>
  </si>
  <si>
    <t>Physical Sciences Education Minor Teaching Area Stream (BEd Secondary)</t>
  </si>
  <si>
    <t>REHT3002</t>
  </si>
  <si>
    <t>MATH3001</t>
  </si>
  <si>
    <t>THTR3007</t>
  </si>
  <si>
    <t>SCST3010</t>
  </si>
  <si>
    <t>LCST3007</t>
  </si>
  <si>
    <t>ECON3004</t>
  </si>
  <si>
    <t>PHGY3000</t>
  </si>
  <si>
    <t>HIST3001</t>
  </si>
  <si>
    <t>POLS3000</t>
  </si>
  <si>
    <t>ENST3002</t>
  </si>
  <si>
    <t>CHEM3001</t>
  </si>
  <si>
    <t>MEDS3005</t>
  </si>
  <si>
    <t>PSYC3000</t>
  </si>
  <si>
    <t>Broadening Psychology Teaching Area Stream (BEd Secondary)</t>
  </si>
  <si>
    <t>STRU-PSYCB</t>
  </si>
  <si>
    <t>PSYC3006</t>
  </si>
  <si>
    <t>PHYS3009</t>
  </si>
  <si>
    <t>THTR3000</t>
  </si>
  <si>
    <t>SPRO3004</t>
  </si>
  <si>
    <t>VISA3010</t>
  </si>
  <si>
    <t>LCST3006</t>
  </si>
  <si>
    <t>ECON3007</t>
  </si>
  <si>
    <t>GEOG3001</t>
  </si>
  <si>
    <t>HIST3003</t>
  </si>
  <si>
    <t>BLAW2011</t>
  </si>
  <si>
    <t>MATH3011</t>
  </si>
  <si>
    <t>ERTH3000</t>
  </si>
  <si>
    <t>CHEM3004</t>
  </si>
  <si>
    <t>EDSC3011</t>
  </si>
  <si>
    <t>PSYT3000</t>
  </si>
  <si>
    <t>Psychology Education Minor Teaching Area Stream (BEd Secondary)</t>
  </si>
  <si>
    <t>PHYS2002</t>
  </si>
  <si>
    <t>VISA3006</t>
  </si>
  <si>
    <t>Humanities and Social Sciences - Social Sciences Education Minor Teaching Area Stream (BEd Secondary)</t>
  </si>
  <si>
    <t>Broadening Visual Arts Teaching Area Stream (BEd Secondary)</t>
  </si>
  <si>
    <t>RangeMajorsAltCore</t>
  </si>
  <si>
    <t>The Arts - Visual Arts Education Minor Teaching Area Stream (BEd Secondary)</t>
  </si>
  <si>
    <t>INDS2001</t>
  </si>
  <si>
    <t>ECEV2000</t>
  </si>
  <si>
    <t>HUMB2011</t>
  </si>
  <si>
    <t>INDS2004</t>
  </si>
  <si>
    <t>ZOOL2000</t>
  </si>
  <si>
    <t>HUMB2013</t>
  </si>
  <si>
    <t>RangeStreamsSec</t>
  </si>
  <si>
    <t>STRU-BIOLBSem1</t>
  </si>
  <si>
    <t>STRU-BIOLBSem2</t>
  </si>
  <si>
    <t>STRU-BSCIMSem1</t>
  </si>
  <si>
    <t>STRU-BSCIMSem2</t>
  </si>
  <si>
    <t>STRU-CHEMBSem1</t>
  </si>
  <si>
    <t>STRU-CHEMBSem2</t>
  </si>
  <si>
    <t>STRU-ECOB1Sem1</t>
  </si>
  <si>
    <t>STRU-ECOB1Sem2</t>
  </si>
  <si>
    <t>STRU-EDARTSem1</t>
  </si>
  <si>
    <t>STRU-EDARTSem2</t>
  </si>
  <si>
    <t>STRU-EDENGSem1</t>
  </si>
  <si>
    <t>STRU-EDENGSem2</t>
  </si>
  <si>
    <t>STRU-EDHASSem1</t>
  </si>
  <si>
    <t>STRU-EDHASSem2</t>
  </si>
  <si>
    <t>STRU-EDMATSem1</t>
  </si>
  <si>
    <t>STRU-EDMATSem2</t>
  </si>
  <si>
    <t>STRU-EDSCISem1</t>
  </si>
  <si>
    <t>STRU-EDSCISem2</t>
  </si>
  <si>
    <t>STRU-ENGLBSem1</t>
  </si>
  <si>
    <t>STRU-ENGLBSem2</t>
  </si>
  <si>
    <t>STRU-ENGLMSem1</t>
  </si>
  <si>
    <t>STRU-ENGLMSem2</t>
  </si>
  <si>
    <t>STRU-GEOB1Sem1</t>
  </si>
  <si>
    <t>STRU-GEOB1Sem2</t>
  </si>
  <si>
    <t>STRU-HISB1Sem1</t>
  </si>
  <si>
    <t>STRU-HISB1Sem2</t>
  </si>
  <si>
    <t>STRU-HUMAMSem1</t>
  </si>
  <si>
    <t>STRU-HUMAMSem2</t>
  </si>
  <si>
    <t>STRU-HUMBBSem1</t>
  </si>
  <si>
    <t>STRU-HUMBBSem2</t>
  </si>
  <si>
    <t>STRU-MATHBSem1</t>
  </si>
  <si>
    <t>STRU-MATHBSem2</t>
  </si>
  <si>
    <t>STRU-MATHMSem1</t>
  </si>
  <si>
    <t>STRU-MATHMSem2</t>
  </si>
  <si>
    <t>STRU-PARTBSem1</t>
  </si>
  <si>
    <t>STRU-PARTBSem2</t>
  </si>
  <si>
    <t>STRU-PARTMSem1</t>
  </si>
  <si>
    <t>STRU-PARTMSem2</t>
  </si>
  <si>
    <t>STRU-POLB1Sem1</t>
  </si>
  <si>
    <t>STRU-POLB1Sem2</t>
  </si>
  <si>
    <t>STRU-PSCIMSem1</t>
  </si>
  <si>
    <t>STRU-PSCIMSem2</t>
  </si>
  <si>
    <t>STRU-PSYCBSem1</t>
  </si>
  <si>
    <t>STRU-PSYCBSem2</t>
  </si>
  <si>
    <t>STRU-PSYCMSem1</t>
  </si>
  <si>
    <t>STRU-PSYCMSem2</t>
  </si>
  <si>
    <t>STRU-SOSCMSem1</t>
  </si>
  <si>
    <t>STRU-SOSCMSem2</t>
  </si>
  <si>
    <t>STRU-VARTBSem1</t>
  </si>
  <si>
    <t>STRU-VARTBSem2</t>
  </si>
  <si>
    <t>STRU-VARTMSem1</t>
  </si>
  <si>
    <t>STRU-VARTMSem2</t>
  </si>
  <si>
    <t>PUBH1000</t>
  </si>
  <si>
    <t>OptionSec</t>
  </si>
  <si>
    <t>COMS1010</t>
  </si>
  <si>
    <t>HUMB1006</t>
  </si>
  <si>
    <t>PHYS1005</t>
  </si>
  <si>
    <t>CHEM1001</t>
  </si>
  <si>
    <t>CWRI2001</t>
  </si>
  <si>
    <t>AltCoreSTRUHISB1</t>
  </si>
  <si>
    <t>MEDI1000</t>
  </si>
  <si>
    <t>STAT2006</t>
  </si>
  <si>
    <t>THTR2004</t>
  </si>
  <si>
    <t>EPID1000</t>
  </si>
  <si>
    <t>VISA1005</t>
  </si>
  <si>
    <t>Pending S.M. structures for EDUC, EDEC, EDPR</t>
  </si>
  <si>
    <t>REHT1001</t>
  </si>
  <si>
    <t>PHYS1007</t>
  </si>
  <si>
    <t>CWRI2016</t>
  </si>
  <si>
    <t>CHEM2001</t>
  </si>
  <si>
    <t>AltCoreSTRUPSYCM</t>
  </si>
  <si>
    <t>VISA2007</t>
  </si>
  <si>
    <t>Check Drop Downs</t>
  </si>
  <si>
    <t>REHT2003</t>
  </si>
  <si>
    <t>PHYS2006</t>
  </si>
  <si>
    <t>ENST3007</t>
  </si>
  <si>
    <t>AltCoreSTRUBSCIM</t>
  </si>
  <si>
    <t>CHEM2000</t>
  </si>
  <si>
    <t>AltCoreSTRUECOB1</t>
  </si>
  <si>
    <t>AltCoreSTRUGEOB1</t>
  </si>
  <si>
    <t>HUMB2014</t>
  </si>
  <si>
    <t>STAT2001</t>
  </si>
  <si>
    <t>ATOC2000</t>
  </si>
  <si>
    <t>BEHV2000</t>
  </si>
  <si>
    <t>Check All Sequences - Majors (Done), Streams (To Do)</t>
  </si>
  <si>
    <t>HUMB2006</t>
  </si>
  <si>
    <t>AltCoreSTRUHUMAM</t>
  </si>
  <si>
    <t>AltCoreSTRUSOSCM</t>
  </si>
  <si>
    <t>Availabilities, pending structures above</t>
  </si>
  <si>
    <t>HLPR2003</t>
  </si>
  <si>
    <t>ENST2003</t>
  </si>
  <si>
    <t>CHEM2006</t>
  </si>
  <si>
    <t>MEDI2000</t>
  </si>
  <si>
    <t>SPRO2004</t>
  </si>
  <si>
    <t>PSYC2002</t>
  </si>
  <si>
    <t>VISA3023</t>
  </si>
  <si>
    <t>Pre Reqs, pending structures above</t>
  </si>
  <si>
    <t>Check Pre Req sequence</t>
  </si>
  <si>
    <t>HAVE NOT DONE SEM2 Sequences!!!</t>
  </si>
  <si>
    <t>RangeStreamsAltCore</t>
  </si>
  <si>
    <t>PSYC2003</t>
  </si>
  <si>
    <t>RangeStreamsOptions</t>
  </si>
  <si>
    <t>What order?</t>
  </si>
  <si>
    <t>RangeMathNoMethods</t>
  </si>
  <si>
    <t>MATH1014</t>
  </si>
  <si>
    <t>MathsNoMethods</t>
  </si>
  <si>
    <t>Choose your Major (drop-down list)</t>
  </si>
  <si>
    <t>Semester 1</t>
  </si>
  <si>
    <t>Semester 2</t>
  </si>
  <si>
    <t>Title</t>
  </si>
  <si>
    <t>S1BEN</t>
  </si>
  <si>
    <t>S1OnBEN</t>
  </si>
  <si>
    <t>S1OnKAL</t>
  </si>
  <si>
    <t>S2BEN</t>
  </si>
  <si>
    <t>S2OnBEN</t>
  </si>
  <si>
    <t>S2OnKAL</t>
  </si>
  <si>
    <t>Notes</t>
  </si>
  <si>
    <t>Column1</t>
  </si>
  <si>
    <t>Not applicable to this course / selection</t>
  </si>
  <si>
    <t>-</t>
  </si>
  <si>
    <t>Please note this is a 100CP unit studied in Semester 1</t>
  </si>
  <si>
    <t>Please note this is a 100CP unit studied in Special Study Period 2 (SSP2)</t>
  </si>
  <si>
    <t>Land and Water Resources</t>
  </si>
  <si>
    <t>Nil</t>
  </si>
  <si>
    <t>AltCoreBEDSC</t>
  </si>
  <si>
    <t>Alternate cores, Education Majors</t>
  </si>
  <si>
    <t>Study either EDUC1023 or EDSC1009 (see below)</t>
  </si>
  <si>
    <t>See below</t>
  </si>
  <si>
    <t>Study either EDPR3004 or EDSC3007 (see below)</t>
  </si>
  <si>
    <t>Study either INDS2001 or INDS2004 (see below)</t>
  </si>
  <si>
    <t>Study either ECEV2000 or ZOOL2000 (see below)</t>
  </si>
  <si>
    <t>Study either HUMB2011 or HUMB2013 (see below)</t>
  </si>
  <si>
    <t>Study either ANTH3003 or PSYC2003 (see below)</t>
  </si>
  <si>
    <t>Society and Culture in a Globalising World</t>
  </si>
  <si>
    <t>Human Rights and Social Justice</t>
  </si>
  <si>
    <t>Atmospheric and Oceanographic Sciences</t>
  </si>
  <si>
    <t>Psychological Science Experimental Methods</t>
  </si>
  <si>
    <t>CMHL1001 OR EPID1000</t>
  </si>
  <si>
    <t>Foundations of Biology</t>
  </si>
  <si>
    <t>Markets and Legal Frameworks</t>
  </si>
  <si>
    <t>BLAW2008</t>
  </si>
  <si>
    <t>Public Relations Law</t>
  </si>
  <si>
    <t>Removed for 2024</t>
  </si>
  <si>
    <t>Safety and Environmental Health Law</t>
  </si>
  <si>
    <t>New Unit 1/01/2024</t>
  </si>
  <si>
    <t>Plant Diversity and Adaptation</t>
  </si>
  <si>
    <t>Principles and Processes in Chemistry</t>
  </si>
  <si>
    <t>Biological Chemistry</t>
  </si>
  <si>
    <t>Reactivity and Function in Chemistry</t>
  </si>
  <si>
    <t>CHEM1000 OR CHEM1001</t>
  </si>
  <si>
    <t>Chemical Energetics and Kinetics</t>
  </si>
  <si>
    <t>CHEM1000 + CHEM1002</t>
  </si>
  <si>
    <t>Materials Chemistry</t>
  </si>
  <si>
    <t>Chemical Structure and Spectroscopy</t>
  </si>
  <si>
    <t>Analytical Chemistry</t>
  </si>
  <si>
    <t>Chemical Reactions and Mechanisms</t>
  </si>
  <si>
    <t>CHEM1000 + CHEM1002 + CHEM2004</t>
  </si>
  <si>
    <t>Environmental Chemistry</t>
  </si>
  <si>
    <t>Analytical Chemistry and Spectroscopy</t>
  </si>
  <si>
    <t>CHEM2004 + CHEM2005</t>
  </si>
  <si>
    <t>Academic and Professional Communications</t>
  </si>
  <si>
    <t>CTED4000.PO</t>
  </si>
  <si>
    <t>An Introduction to Catholic Education</t>
  </si>
  <si>
    <t>Deactivating 31/12/2023 - Removed from structures</t>
  </si>
  <si>
    <t>Teaching About Sacraments in Catholic Schools</t>
  </si>
  <si>
    <t>New Version 1/01/2024</t>
  </si>
  <si>
    <t>CTED4001.PO</t>
  </si>
  <si>
    <t>Creed and Sacraments in Catholic Studies</t>
  </si>
  <si>
    <t>Deactivating 31/12/2023 - Old Version</t>
  </si>
  <si>
    <t>CTED4002.PO</t>
  </si>
  <si>
    <t>Prayer and Morality in Catholic Studies</t>
  </si>
  <si>
    <t>Teaching About Jesus in Catholic Schools</t>
  </si>
  <si>
    <t>Teaching About the Gospels in Catholic Schools</t>
  </si>
  <si>
    <t>Engaging Narrative</t>
  </si>
  <si>
    <t>Writing Poetry</t>
  </si>
  <si>
    <t>Writing Genre Fiction</t>
  </si>
  <si>
    <t>Terrestrial Ecology</t>
  </si>
  <si>
    <t>AGRI1000 OR BIOL1005</t>
  </si>
  <si>
    <t>Introductory Economics</t>
  </si>
  <si>
    <t>Macroeconomic Principles</t>
  </si>
  <si>
    <t>Microeconomic Principles</t>
  </si>
  <si>
    <t>Applied Economics</t>
  </si>
  <si>
    <t>ECON2001 OR ECON2004</t>
  </si>
  <si>
    <t>Macroeconomic Theory</t>
  </si>
  <si>
    <t>Advanced Applied Economics</t>
  </si>
  <si>
    <t>Early Learning Through the Humanities and Social Sciences</t>
  </si>
  <si>
    <t>100CP + EDUC1027</t>
  </si>
  <si>
    <t>Early Childhood Professional Experience 1: Learning and Teaching in Junior Primary</t>
  </si>
  <si>
    <t>150CP + EDUC1017 + EDUC1023 + EDUC1031</t>
  </si>
  <si>
    <t>Engaging Children in Science</t>
  </si>
  <si>
    <t>Visual and Media Arts for Early Childhood</t>
  </si>
  <si>
    <t>100CP + EDUC1029</t>
  </si>
  <si>
    <t>S1 only has 100CP in B-EDEC</t>
  </si>
  <si>
    <t>Mathematics for the Early Years</t>
  </si>
  <si>
    <t>100CP + EDUC1031</t>
  </si>
  <si>
    <t>Health and Physical Education in Early Childhood</t>
  </si>
  <si>
    <t>100CP + EDUC1021</t>
  </si>
  <si>
    <t>Early Childhood Professional Experience 2: Quality Frameworks in Early Learning Centres</t>
  </si>
  <si>
    <t>Early Childhood Professional Experience 3: Kindergarten to Pre-primary Learning Environments</t>
  </si>
  <si>
    <t>450CP + EDEC3016</t>
  </si>
  <si>
    <t>Leadership in Early Childhood Education</t>
  </si>
  <si>
    <t>350CP + EDEC2019</t>
  </si>
  <si>
    <t>Mathematics during the First Five Years of Life</t>
  </si>
  <si>
    <t>300CP + EDEC2025</t>
  </si>
  <si>
    <t>Early Childhood Literacies</t>
  </si>
  <si>
    <t>Pedagogical Contexts for Play</t>
  </si>
  <si>
    <t>400CP + EDEC2019</t>
  </si>
  <si>
    <t>Curriculum Integration and Differentiation</t>
  </si>
  <si>
    <t>600CP + EDEC3018*</t>
  </si>
  <si>
    <t>Social Justice and Diversity in Early Childhood</t>
  </si>
  <si>
    <t>Introduction to the International Baccalaureate Programme</t>
  </si>
  <si>
    <t>No Availability, remove from Option Lists</t>
  </si>
  <si>
    <t>International Baccalaureate Primary Years Programme</t>
  </si>
  <si>
    <t>International Baccalaureate Middle Years Programme</t>
  </si>
  <si>
    <t>The International Baccalaureate in Action</t>
  </si>
  <si>
    <t>EDIB4000 + (EDIB4001 OR EDIB4002)</t>
  </si>
  <si>
    <t>Inquiry in the Science Classroom</t>
  </si>
  <si>
    <t>Children as Mathematical Learners</t>
  </si>
  <si>
    <t>100CP + (EDSC1009 OR EDUC1031)</t>
  </si>
  <si>
    <t>Primary Professional Experience 1: Planning for Teaching</t>
  </si>
  <si>
    <t>Primary Professional Experience 2: Leadership and Stewardship for Diverse Learners</t>
  </si>
  <si>
    <t>Health and Physical Education</t>
  </si>
  <si>
    <t>Inquiry in the Mathematics Classroom</t>
  </si>
  <si>
    <t>English Pedagogies and the Integrated Curriculum</t>
  </si>
  <si>
    <t>Inquiry in the Humanities and Social Sciences Classroom</t>
  </si>
  <si>
    <t>150CP + EDUC1027</t>
  </si>
  <si>
    <t>Cultural Contexts in Primary Education</t>
  </si>
  <si>
    <t>300CP + EDUC1025</t>
  </si>
  <si>
    <t>Akari has: Non-unit Pre-requisite - completed at least 300 credit points of units in B-EDPR or B-EDSC or B-EDUC</t>
  </si>
  <si>
    <t>Primary Professional Experience 3: Evaluating Learning</t>
  </si>
  <si>
    <t>450CP + EDPR2014</t>
  </si>
  <si>
    <t>Visual and Media Arts Education</t>
  </si>
  <si>
    <t>300CP + EDUC1029</t>
  </si>
  <si>
    <t>Akari has: Non-unit Pre-requisite - completed at least 300 credit points of units in B-EDPR</t>
  </si>
  <si>
    <t>Mathematics Pedagogies and Integrated Curriculum</t>
  </si>
  <si>
    <t>The Literacy Researcher</t>
  </si>
  <si>
    <t>Literacy and Numeracy Across the Curriculum</t>
  </si>
  <si>
    <t>Managing the Learning Environment</t>
  </si>
  <si>
    <t>Secondary Professional Experience 1: Planning</t>
  </si>
  <si>
    <t>100CP + EDSC1011 + EDUC1017</t>
  </si>
  <si>
    <t>Secondary Professional Experience 2: Assessment and Reporting</t>
  </si>
  <si>
    <t>Secondary Professional Experience 3: Using Data to Inform Teaching and Learning</t>
  </si>
  <si>
    <t>EDSC2009 + C&amp;I Senior Secondary*</t>
  </si>
  <si>
    <t>Curriculum and Culture in Secondary Schools</t>
  </si>
  <si>
    <t>300CP</t>
  </si>
  <si>
    <t>Educating Adolescents: Diversity and Inclusion</t>
  </si>
  <si>
    <t>Species Evolution Over Time</t>
  </si>
  <si>
    <t>BIOL1005 OR HUMB2011 OR HUMB2013 OR ZOOL2000</t>
  </si>
  <si>
    <t>Curriculum and Instruction Senior Secondary: English</t>
  </si>
  <si>
    <t>Curriculum and Instruction Lower Secondary: Mathematics</t>
  </si>
  <si>
    <t>100CP</t>
  </si>
  <si>
    <t>S1 has: Pre Req - 100 Credit Points in spk(s): B-EDSC - Bachelor of Education (Secondary Education)
Akari has: Mentions is discussion notes but not evident in fields.</t>
  </si>
  <si>
    <t>Curriculum and Instruction Senior Secondary: Mathematics</t>
  </si>
  <si>
    <t>Curriculum and Instruction Lower Secondary: Science</t>
  </si>
  <si>
    <t>Curriculum and Instruction Senior Secondary: Science</t>
  </si>
  <si>
    <t>Curriculum and Instruction Lower Secondary: Humanities and Social Sciences</t>
  </si>
  <si>
    <t>Curriculum and Instruction Senior Secondary: Humanities and Social Sciences</t>
  </si>
  <si>
    <t>Curriculum and Instruction Senior Secondary: The Arts</t>
  </si>
  <si>
    <t>Curriculum and Instruction Lower Secondary: English</t>
  </si>
  <si>
    <t>Curriculum and Instruction Lower Secondary: The Arts</t>
  </si>
  <si>
    <t>Curriculum and Instruction Lower Secondary: Health and Physical Education</t>
  </si>
  <si>
    <t>Curriculum and Instruction Senior Secondary: Health and Physical Education</t>
  </si>
  <si>
    <t>The Professional Educator: Developing Teacher Identity</t>
  </si>
  <si>
    <t>Teaching and Learning in the Digital World</t>
  </si>
  <si>
    <t>Child Development for Educators</t>
  </si>
  <si>
    <t>Introducing Language, Literacy and Literature for Educators</t>
  </si>
  <si>
    <t>Exploring and Contesting Curriculum</t>
  </si>
  <si>
    <t>Educators Inquiring About the World</t>
  </si>
  <si>
    <t>Performing Arts for Educators</t>
  </si>
  <si>
    <t>The Numerate Educator</t>
  </si>
  <si>
    <t>Learning Theories, Diversity and Differentiation</t>
  </si>
  <si>
    <t>50CP + EDUC1021</t>
  </si>
  <si>
    <t>Teaching Language, Literacy and Literature in Junior Primary</t>
  </si>
  <si>
    <t>100CP + (EDSC1009 OR EDUC1023)</t>
  </si>
  <si>
    <t>Reflection and Research in Education</t>
  </si>
  <si>
    <t>500CP</t>
  </si>
  <si>
    <t>Relationships and Sexuality Education</t>
  </si>
  <si>
    <t>Diverse Abilities and Curriculum Differentiation</t>
  </si>
  <si>
    <t>Supporting Literacy and Numeracy Development for Diverse Learners</t>
  </si>
  <si>
    <t>Project-based iSTEM Education</t>
  </si>
  <si>
    <t>Creative Literacies</t>
  </si>
  <si>
    <t>Creating and Responding to Literature</t>
  </si>
  <si>
    <t>Technologies: Coding for Teachers</t>
  </si>
  <si>
    <t>EDUC4031.PO</t>
  </si>
  <si>
    <t>Social Justice in Literacy and Numeracy Learning</t>
  </si>
  <si>
    <t>Deactivated 8/07/2022 - Remove from structures</t>
  </si>
  <si>
    <t>iSTEM Education through Digital Stories</t>
  </si>
  <si>
    <t>iSTEM: Social Issues</t>
  </si>
  <si>
    <t>Language and Diversity</t>
  </si>
  <si>
    <t>Technologies: Design Solutions</t>
  </si>
  <si>
    <t>Professional Experience 4: The Internship</t>
  </si>
  <si>
    <t>700CP</t>
  </si>
  <si>
    <t>Alternative Approaches to Teaching Literacy and Numeracy</t>
  </si>
  <si>
    <t>Literacy and Numeracy for First Nations Peoples of Australia</t>
  </si>
  <si>
    <t>Technologies: Digital Solutions</t>
  </si>
  <si>
    <t>Mentoring, Coaching and Tutoring</t>
  </si>
  <si>
    <t>The Professional Educator: Transition to the Profession</t>
  </si>
  <si>
    <t>600CP + (EDPR3012 OR EDEC3018 OR EDSC3005)*</t>
  </si>
  <si>
    <t>Study an Elective unit</t>
  </si>
  <si>
    <t>See Handbook</t>
  </si>
  <si>
    <t>Ecotoxicology and Environmental Monitoring</t>
  </si>
  <si>
    <t>Environmental Restoration</t>
  </si>
  <si>
    <t>Wildlife Conservation</t>
  </si>
  <si>
    <t>Foundations of Biostatistics and Epidemiology</t>
  </si>
  <si>
    <t>Habitat and Landform Mapping</t>
  </si>
  <si>
    <t>Human Geography</t>
  </si>
  <si>
    <t>Geographies of Food Security</t>
  </si>
  <si>
    <t>Sustainable Livelihoods</t>
  </si>
  <si>
    <t>Legacies of Empire</t>
  </si>
  <si>
    <t>Social Change in Contemporary Australian History</t>
  </si>
  <si>
    <t>Democracy and Dictatorship</t>
  </si>
  <si>
    <t>Competition, Cooperation and Conflict since 1945</t>
  </si>
  <si>
    <t>Australians at War</t>
  </si>
  <si>
    <t>Promoting Mental Health and Social Inclusion</t>
  </si>
  <si>
    <t>Human Structure and Function</t>
  </si>
  <si>
    <t>Integrated Systems Anatomy and Physiology</t>
  </si>
  <si>
    <t>Functional Anatomy</t>
  </si>
  <si>
    <t>25CP in MJRU-HLTPE*</t>
  </si>
  <si>
    <t>Human Physiology for Exercise Science</t>
  </si>
  <si>
    <t>S1 has: Admission into MJRU-HLTPE - Health and Physical Education Major (BEd Secondary)</t>
  </si>
  <si>
    <t>Exercise Physiology</t>
  </si>
  <si>
    <t>HUMB1006 + REHT1001</t>
  </si>
  <si>
    <t>Limb Anatomy and Biomechanics</t>
  </si>
  <si>
    <t>HUMB1001 OR HUMB1002</t>
  </si>
  <si>
    <t>Physiological Processes</t>
  </si>
  <si>
    <t>Trunk Anatomy and Embryology</t>
  </si>
  <si>
    <t>Vital Physiology</t>
  </si>
  <si>
    <t>Biomechanics</t>
  </si>
  <si>
    <t>HUMB1002 + REHT1001</t>
  </si>
  <si>
    <t>Indigenous Australian Land and Environments</t>
  </si>
  <si>
    <t>Listening to Country: First Nations’ Perspectives</t>
  </si>
  <si>
    <t>Indigenous Australian Education</t>
  </si>
  <si>
    <t>300CP + EDUC1021 + EDUC2005</t>
  </si>
  <si>
    <t>Australia's Global Politics</t>
  </si>
  <si>
    <t>INTR1001.PO</t>
  </si>
  <si>
    <t>Australia and Asia Transformed</t>
  </si>
  <si>
    <t>Introduction to Cultural Studies</t>
  </si>
  <si>
    <t>Genre and Classic Texts</t>
  </si>
  <si>
    <t>LCST2006.PO</t>
  </si>
  <si>
    <t>Classic Texts</t>
  </si>
  <si>
    <t>Reading Gender</t>
  </si>
  <si>
    <t>Decolonising Place</t>
  </si>
  <si>
    <t>Textual Futures</t>
  </si>
  <si>
    <t>Foundations of Calculus</t>
  </si>
  <si>
    <t>Not associated to a Major, only complete if not studied ATAR Methods</t>
  </si>
  <si>
    <t>Linear Algebra 1</t>
  </si>
  <si>
    <t>Calculus 1</t>
  </si>
  <si>
    <t>Network Optimisation</t>
  </si>
  <si>
    <t>Calculus 2</t>
  </si>
  <si>
    <t>Applied Mathematical Modelling</t>
  </si>
  <si>
    <t>Present and Future Mathematics</t>
  </si>
  <si>
    <t>Foundations of Biomedical Science</t>
  </si>
  <si>
    <t>S1 has: Admission into B-EDSC - Bachelor of Education (Secondary Education)</t>
  </si>
  <si>
    <t>Foundations of Immunobiology</t>
  </si>
  <si>
    <t>HUMB1001 + MEDI1000</t>
  </si>
  <si>
    <t>Human Reproductive Science</t>
  </si>
  <si>
    <t>HUMB1001 + (HUMB2012 OR HUMB2013)</t>
  </si>
  <si>
    <t>MJRU-HUSPL.PO</t>
  </si>
  <si>
    <t>Catholic Education Options</t>
  </si>
  <si>
    <t>English Language and Literacy Options</t>
  </si>
  <si>
    <t>International Baccalaureate Options</t>
  </si>
  <si>
    <t>iSTEM Options</t>
  </si>
  <si>
    <t>Literacy and Numeracy in Diverse Populations Options</t>
  </si>
  <si>
    <t>Other Bachelor of Education (ECE) Options</t>
  </si>
  <si>
    <t>Study an Option unit from the list below</t>
  </si>
  <si>
    <t>Technologies Options</t>
  </si>
  <si>
    <t>Physical Geography</t>
  </si>
  <si>
    <t>Natural Hazards</t>
  </si>
  <si>
    <t>Cultural Landscapes</t>
  </si>
  <si>
    <t>Physics 1</t>
  </si>
  <si>
    <t>Physics 2</t>
  </si>
  <si>
    <t>Statistical Mechanics and Thermodynamics</t>
  </si>
  <si>
    <t>Classical Mechanics and Quantum Physics</t>
  </si>
  <si>
    <t>MATH1016 + MATH2009* + PHYS1005 + PHYS1007</t>
  </si>
  <si>
    <t>Quantum Mechanics</t>
  </si>
  <si>
    <t>MATH2009 + PHYS2006</t>
  </si>
  <si>
    <t>International Political Economy</t>
  </si>
  <si>
    <t>Introduction to Psychology</t>
  </si>
  <si>
    <t>Foundations of Psychology</t>
  </si>
  <si>
    <t>Social Psychology</t>
  </si>
  <si>
    <t>Psychological Science Correlational Methods</t>
  </si>
  <si>
    <t>Child Developmental Psychology</t>
  </si>
  <si>
    <t>Indigenous and Cross Cultural Psychology</t>
  </si>
  <si>
    <t>EDUC2005 + PSYC2001</t>
  </si>
  <si>
    <t>Behaviour Change for Exercise and Health</t>
  </si>
  <si>
    <t>Abnormal Psychology</t>
  </si>
  <si>
    <t>EDUC2005 + PSYC1001</t>
  </si>
  <si>
    <t>Introduction to Public Health</t>
  </si>
  <si>
    <t>Physical Activity, Exercise and Fitness Assessment</t>
  </si>
  <si>
    <t>Motor Learning</t>
  </si>
  <si>
    <t>Exercise Delivery</t>
  </si>
  <si>
    <t>Exercise Prescription</t>
  </si>
  <si>
    <t>HUMB2006 + HUMV2000 + REHT2003</t>
  </si>
  <si>
    <t>Introduction to Screen Creativity</t>
  </si>
  <si>
    <t>Reading Screens</t>
  </si>
  <si>
    <t>Introduction to Screen Industries</t>
  </si>
  <si>
    <t>Studio Production</t>
  </si>
  <si>
    <t>Drama Narratives</t>
  </si>
  <si>
    <t>200CP</t>
  </si>
  <si>
    <t>Creative Documentary and Actualities</t>
  </si>
  <si>
    <t>Community Media Production</t>
  </si>
  <si>
    <t>SPRO2000 OR SPRO2004</t>
  </si>
  <si>
    <t>Introduction to Probability and Data Analysis</t>
  </si>
  <si>
    <t>Mathematical Statistics</t>
  </si>
  <si>
    <t>MATH1015 + MATH1016 + STAT1005</t>
  </si>
  <si>
    <t>Data Science in Practice</t>
  </si>
  <si>
    <t>New to STRU-MATHB</t>
  </si>
  <si>
    <t>Stream</t>
  </si>
  <si>
    <t>Choose your Second Teaching Area Stream</t>
  </si>
  <si>
    <t>STRU-EDENG.PO</t>
  </si>
  <si>
    <t>Education Speciality and Science Teaching Area Stream (BEd Secondary)</t>
  </si>
  <si>
    <t>STRU-MATHB.PO</t>
  </si>
  <si>
    <t>Acting Fundamentals</t>
  </si>
  <si>
    <t>Devising Fundamentals</t>
  </si>
  <si>
    <t>Acting</t>
  </si>
  <si>
    <t>Technical Theatre Fundamentals</t>
  </si>
  <si>
    <t>Voice for the Actor</t>
  </si>
  <si>
    <t>Directing Theatre</t>
  </si>
  <si>
    <t>THTR2001 OR THTR2002</t>
  </si>
  <si>
    <t>Applied Theatre</t>
  </si>
  <si>
    <t>Drawing</t>
  </si>
  <si>
    <t>Fine Art Studio Methods</t>
  </si>
  <si>
    <t>Fine Art Studio Materials</t>
  </si>
  <si>
    <t>Fine Art Studio Extension</t>
  </si>
  <si>
    <t>Fine Art Project</t>
  </si>
  <si>
    <t>VISA2004 OR VISA2005 OR VISA2011 OR VISA2012</t>
  </si>
  <si>
    <t>Fine Art Theory and Criticism</t>
  </si>
  <si>
    <t>Fine Art Concepts and Contexts</t>
  </si>
  <si>
    <t>EDSC4028 OR VISA2023</t>
  </si>
  <si>
    <t>Fine Art Studio Practice</t>
  </si>
  <si>
    <t>Fine Art Project Advanced</t>
  </si>
  <si>
    <t>VISA2006 + VISA2007 + VISA3010</t>
  </si>
  <si>
    <t>Animal Diversity and Evolution</t>
  </si>
  <si>
    <t>Enrolment Planner not yet available for Semester 2 entry (coming soon)</t>
  </si>
  <si>
    <t>Effective:</t>
  </si>
  <si>
    <t>OUA Code</t>
  </si>
  <si>
    <t>CPs</t>
  </si>
  <si>
    <t>No.</t>
  </si>
  <si>
    <t>Component Type</t>
  </si>
  <si>
    <t>Year Level</t>
  </si>
  <si>
    <t>Study Package Code</t>
  </si>
  <si>
    <t>Effective</t>
  </si>
  <si>
    <t>Discont.</t>
  </si>
  <si>
    <t>Column2</t>
  </si>
  <si>
    <t>Core</t>
  </si>
  <si>
    <t>Choose EDUC1023 or EDSC1009</t>
  </si>
  <si>
    <t>Choose an Option</t>
  </si>
  <si>
    <t>ElectiveEDUC</t>
  </si>
  <si>
    <t>Choose an Elective</t>
  </si>
  <si>
    <t>Choose EDPR3004 or EDSC3007</t>
  </si>
  <si>
    <t>AltCore</t>
  </si>
  <si>
    <t>Introducing Language, Literacy and Literature for Educator</t>
  </si>
  <si>
    <t>Quarter 3</t>
  </si>
  <si>
    <t/>
  </si>
  <si>
    <t>NA</t>
  </si>
  <si>
    <t>Choose your Major</t>
  </si>
  <si>
    <t>Choose your Minor Teaching Area Specialisation</t>
  </si>
  <si>
    <t>Choose an Elective,  If you wish to choose STRU-MATHM Mathematics Education Minor Teaching Area Stream and have not achieved a Mathematics Methods ATAR or Equivalent you should choose MATH1014 as your elective.</t>
  </si>
  <si>
    <t>Education Specialty and English Teaching Area Stream (BEd Secondary)</t>
  </si>
  <si>
    <t>Choose INDS2004 or INDS2001</t>
  </si>
  <si>
    <t>Select one second specialisation stream to the total value of:</t>
  </si>
  <si>
    <t>Choose ECEV2000 or ZOOL2000</t>
  </si>
  <si>
    <t>Choose a Second Specialisation Stream</t>
  </si>
  <si>
    <t>Choose HUMB2011 or HUMB2013</t>
  </si>
  <si>
    <t>Choose an Elective. If you wish to choose STRU-MATHM Mathematics Education Minor Teaching Area Stream and have not achieved a Mathematics Methods ATAR or Equivalent you should choose MATH1014 as your elective.</t>
  </si>
  <si>
    <t>OptionStream</t>
  </si>
  <si>
    <t>Literacy and Numeracy for Aboriginal and Torres Strait Islander (ATSI) Learners</t>
  </si>
  <si>
    <t>Choose ZOOL2000 OR ECEV2000</t>
  </si>
  <si>
    <t>Choose your Year 3 optional unit</t>
  </si>
  <si>
    <t>Choose INDS2001 or INDS2004</t>
  </si>
  <si>
    <t>Choose Options</t>
  </si>
  <si>
    <t>Choose an Option for Semester 2, Year 1</t>
  </si>
  <si>
    <t>Choose an Option for Semester 1, Year 2</t>
  </si>
  <si>
    <t>Choose an Option for Semester 2, Year 2</t>
  </si>
  <si>
    <t>Choose an Option for Semester 1, Year 3</t>
  </si>
  <si>
    <t>Choose your Optional unit</t>
  </si>
  <si>
    <t>Choose your optional unit</t>
  </si>
  <si>
    <t>Choose one Option in Year 2 and three in Year 3</t>
  </si>
  <si>
    <t>STAT1003</t>
  </si>
  <si>
    <t>Choose an Option for Year 3</t>
  </si>
  <si>
    <t>?</t>
  </si>
  <si>
    <t>Choose your Year 3 Optional unit</t>
  </si>
  <si>
    <t>Choose ANTH3003 or PSYC2003</t>
  </si>
  <si>
    <t>Count of Availability Available to Students Flag</t>
  </si>
  <si>
    <t>Downloaded:</t>
  </si>
  <si>
    <t>Special Study Period 2</t>
  </si>
  <si>
    <t>Row Labels</t>
  </si>
  <si>
    <t>Internal</t>
  </si>
  <si>
    <t>Online BEN</t>
  </si>
  <si>
    <t>Online Kalgoorlie</t>
  </si>
  <si>
    <t>Internal2</t>
  </si>
  <si>
    <t>Online BEN2</t>
  </si>
  <si>
    <t>Online Kalgoorlie3</t>
  </si>
  <si>
    <t>Internal4</t>
  </si>
  <si>
    <t>Online BEN5</t>
  </si>
  <si>
    <t>Online Kalgoorlie6</t>
  </si>
  <si>
    <t>EDUC4040 - Removed manually</t>
  </si>
  <si>
    <t>OK'd with MCASI for waivers - Pre Req issue, EDSC4032 studied in Year 3</t>
  </si>
  <si>
    <t>OK'd with MCASI for waivers - B-EDSC students cannot meet Pre Reqs.</t>
  </si>
  <si>
    <t>OK'd with MCASI for waivers - Pre Req issue, VISA3010 studied in Year 4</t>
  </si>
  <si>
    <t>Sem1 BEN</t>
  </si>
  <si>
    <t>OptBEDUC</t>
  </si>
  <si>
    <t>AC-BEDUC1</t>
  </si>
  <si>
    <t>AC-BEDUC2</t>
  </si>
  <si>
    <t>OptBEDEC</t>
  </si>
  <si>
    <t>Study any FOUR options from the list below:</t>
  </si>
  <si>
    <t>Study any TWO options from the list below:</t>
  </si>
  <si>
    <t xml:space="preserve"> </t>
  </si>
  <si>
    <t>OptBEDPR</t>
  </si>
  <si>
    <t>Study all THREE Options from ONE group below:</t>
  </si>
  <si>
    <t>Choose a Teaching Area Stream</t>
  </si>
  <si>
    <t>STRU-CATHL</t>
  </si>
  <si>
    <t>Catholic Education Stream (BPriEd)</t>
  </si>
  <si>
    <t>STRU-ENGLL</t>
  </si>
  <si>
    <t>English Language and Literacy Stream (BPriEd)</t>
  </si>
  <si>
    <t>STRU-INTBC</t>
  </si>
  <si>
    <t>International Baccalaureate Stream (BPriEd)</t>
  </si>
  <si>
    <t>STRU-ISTEM</t>
  </si>
  <si>
    <t>iSTEM Stream (BPriEd)</t>
  </si>
  <si>
    <t>STRU-LITNU</t>
  </si>
  <si>
    <t>Literacy and Numeracy in Diverse Populations Stream (BPriEd)</t>
  </si>
  <si>
    <t>STRU-TECHS</t>
  </si>
  <si>
    <t>Technologies Stream (BPriEd)</t>
  </si>
  <si>
    <t>TASBEDPR</t>
  </si>
  <si>
    <t>Study a unit from your Teaching Area Stream (see below)</t>
  </si>
  <si>
    <t>Teaching Area Stream:</t>
  </si>
  <si>
    <t>TableTeachingAreaStream</t>
  </si>
  <si>
    <t xml:space="preserve">75 credit points required </t>
  </si>
  <si>
    <t>Teaching Area Stream Version:</t>
  </si>
  <si>
    <t>Teaching Area Stream Units</t>
  </si>
  <si>
    <t>RangeTeachingAreaStreams</t>
  </si>
  <si>
    <t>Choose your commencing study period (drop-down list)</t>
  </si>
  <si>
    <t>Choose your Teaching Area Stream (drop-down list)</t>
  </si>
  <si>
    <t>S1 has: Pre Req - 100 Credit Points in spk(s): B-EDSC - Bachelor of Education (Secondary Education)
Akari has: Mentions in discussion notes but not evident in fields.</t>
  </si>
  <si>
    <t>PENDING SM UPDATE on Options into Electives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</si>
</sst>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1"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12"/>
      <color rgb="FF000000"/>
      <name val="Calibri"/>
      <family val="2"/>
      <scheme val="minor"/>
    </font>
    <font>
      <b/>
      <i/>
      <sz val="10"/>
      <color rgb="FF000000"/>
      <name val="Arial"/>
      <family val="2"/>
    </font>
    <font>
      <b/>
      <sz val="11"/>
      <color theme="0"/>
      <name val="Arial"/>
      <family val="2"/>
    </font>
    <font>
      <sz val="11"/>
      <color theme="0"/>
      <name val="Arial"/>
      <family val="2"/>
    </font>
    <font>
      <b/>
      <sz val="11"/>
      <color rgb="FFFF0000"/>
      <name val="Segoe UI"/>
      <family val="2"/>
    </font>
    <font>
      <b/>
      <sz val="9"/>
      <name val="Segoe UI"/>
      <family val="2"/>
    </font>
    <font>
      <sz val="12"/>
      <color rgb="FFFF0000"/>
      <name val="Calibri"/>
      <family val="2"/>
      <scheme val="minor"/>
    </font>
    <font>
      <b/>
      <i/>
      <sz val="12"/>
      <color rgb="FFC00000"/>
      <name val="Calibri"/>
      <family val="2"/>
      <scheme val="minor"/>
    </font>
    <font>
      <b/>
      <sz val="11"/>
      <color rgb="FFFFFFFF"/>
      <name val="Segoe UI"/>
      <family val="2"/>
    </font>
    <font>
      <b/>
      <sz val="9"/>
      <color rgb="FFFFFFFF"/>
      <name val="Segoe UI"/>
      <family val="2"/>
    </font>
    <font>
      <sz val="9"/>
      <color rgb="FFFFFFFF"/>
      <name val="Segoe UI"/>
      <family val="2"/>
    </font>
    <font>
      <b/>
      <sz val="8"/>
      <color rgb="FFFFFFFF"/>
      <name val="Segoe UI"/>
      <family val="2"/>
    </font>
    <font>
      <b/>
      <i/>
      <sz val="10"/>
      <color rgb="FFC00000"/>
      <name val="Arial"/>
      <family val="2"/>
    </font>
    <font>
      <b/>
      <sz val="18"/>
      <color theme="1"/>
      <name val="Segoe UI"/>
      <family val="2"/>
    </font>
    <font>
      <b/>
      <i/>
      <sz val="12"/>
      <color theme="0" tint="-0.249977111117893"/>
      <name val="Calibri"/>
      <family val="2"/>
      <scheme val="minor"/>
    </font>
    <font>
      <sz val="9"/>
      <color indexed="81"/>
      <name val="Tahoma"/>
      <family val="2"/>
    </font>
    <font>
      <b/>
      <sz val="9"/>
      <color indexed="81"/>
      <name val="Tahoma"/>
      <family val="2"/>
    </font>
    <font>
      <b/>
      <i/>
      <sz val="10"/>
      <color theme="0" tint="-0.499984740745262"/>
      <name val="Arial"/>
      <family val="2"/>
    </font>
    <font>
      <sz val="12"/>
      <name val="Calibri"/>
      <family val="2"/>
      <scheme val="minor"/>
    </font>
    <font>
      <b/>
      <sz val="8"/>
      <color rgb="FFFF0000"/>
      <name val="Arial"/>
      <family val="2"/>
    </font>
    <font>
      <b/>
      <sz val="9"/>
      <color rgb="FFFF0000"/>
      <name val="Segoe UI"/>
      <family val="2"/>
    </font>
    <font>
      <i/>
      <sz val="10"/>
      <color theme="0" tint="-0.34998626667073579"/>
      <name val="Arial"/>
      <family val="2"/>
    </font>
    <font>
      <b/>
      <sz val="8"/>
      <name val="Arial"/>
      <family val="2"/>
    </font>
    <font>
      <i/>
      <sz val="8"/>
      <color theme="0" tint="-0.499984740745262"/>
      <name val="Arial"/>
      <family val="2"/>
    </font>
    <font>
      <b/>
      <i/>
      <u/>
      <sz val="9"/>
      <name val="Segoe UI"/>
      <family val="2"/>
    </font>
    <font>
      <strike/>
      <sz val="12"/>
      <color rgb="FFFF0000"/>
      <name val="Calibri"/>
      <family val="2"/>
      <scheme val="minor"/>
    </font>
    <font>
      <b/>
      <sz val="11"/>
      <name val="Segoe UI"/>
      <family val="2"/>
    </font>
    <font>
      <b/>
      <sz val="12"/>
      <color rgb="FFFF0000"/>
      <name val="Calibri"/>
      <family val="2"/>
      <scheme val="minor"/>
    </font>
    <font>
      <i/>
      <sz val="10"/>
      <color rgb="FFFF0000"/>
      <name val="Arial"/>
      <family val="2"/>
    </font>
    <font>
      <b/>
      <sz val="11"/>
      <color theme="0" tint="-0.34998626667073579"/>
      <name val="Segoe UI"/>
      <family val="2"/>
    </font>
    <font>
      <b/>
      <sz val="11"/>
      <color theme="7"/>
      <name val="Segoe UI"/>
      <family val="2"/>
    </font>
    <font>
      <b/>
      <sz val="8"/>
      <color theme="1"/>
      <name val="Arial"/>
      <family val="2"/>
    </font>
    <font>
      <b/>
      <sz val="11"/>
      <color rgb="FFFF0000"/>
      <name val="Calibri"/>
      <family val="2"/>
      <scheme val="minor"/>
    </font>
    <font>
      <b/>
      <sz val="9"/>
      <color theme="0"/>
      <name val="Segoe UI"/>
      <family val="2"/>
    </font>
  </fonts>
  <fills count="2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4.9989318521683403E-2"/>
        <bgColor rgb="FF000000"/>
      </patternFill>
    </fill>
    <fill>
      <patternFill patternType="solid">
        <fgColor rgb="FFF2F2F2"/>
        <bgColor indexed="64"/>
      </patternFill>
    </fill>
    <fill>
      <patternFill patternType="solid">
        <fgColor rgb="FFD9D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4" tint="0.79998168889431442"/>
        <bgColor rgb="FF000000"/>
      </patternFill>
    </fill>
    <fill>
      <patternFill patternType="solid">
        <fgColor rgb="FFFFFF00"/>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7"/>
        <bgColor indexed="64"/>
      </patternFill>
    </fill>
    <fill>
      <patternFill patternType="solid">
        <fgColor theme="7"/>
        <bgColor rgb="FF000000"/>
      </patternFill>
    </fill>
    <fill>
      <patternFill patternType="solid">
        <fgColor theme="0" tint="-0.14999847407452621"/>
        <bgColor indexed="64"/>
      </patternFill>
    </fill>
  </fills>
  <borders count="5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double">
        <color auto="1"/>
      </right>
      <top/>
      <bottom/>
      <diagonal/>
    </border>
    <border>
      <left style="thin">
        <color rgb="FFD9D9D9"/>
      </left>
      <right/>
      <top/>
      <bottom/>
      <diagonal/>
    </border>
    <border>
      <left style="thin">
        <color theme="0" tint="-0.14990691854609822"/>
      </left>
      <right/>
      <top/>
      <bottom style="thin">
        <color theme="0" tint="-0.149937437055574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theme="0" tint="-0.34998626667073579"/>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theme="0" tint="-0.34998626667073579"/>
      </right>
      <top/>
      <bottom style="thin">
        <color indexed="64"/>
      </bottom>
      <diagonal/>
    </border>
    <border>
      <left/>
      <right style="thin">
        <color theme="0" tint="-0.34998626667073579"/>
      </right>
      <top/>
      <bottom/>
      <diagonal/>
    </border>
    <border>
      <left/>
      <right style="thin">
        <color theme="0" tint="-0.34998626667073579"/>
      </right>
      <top style="thin">
        <color auto="1"/>
      </top>
      <bottom style="thin">
        <color auto="1"/>
      </bottom>
      <diagonal/>
    </border>
    <border>
      <left style="thin">
        <color indexed="64"/>
      </left>
      <right style="thin">
        <color indexed="64"/>
      </right>
      <top/>
      <bottom/>
      <diagonal/>
    </border>
    <border>
      <left/>
      <right/>
      <top style="thin">
        <color rgb="FF999999"/>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14990691854609822"/>
      </left>
      <right/>
      <top style="thin">
        <color theme="0" tint="-0.14993743705557422"/>
      </top>
      <bottom/>
      <diagonal/>
    </border>
    <border>
      <left/>
      <right/>
      <top style="thin">
        <color theme="0" tint="-0.14993743705557422"/>
      </top>
      <bottom/>
      <diagonal/>
    </border>
    <border>
      <left/>
      <right/>
      <top style="thin">
        <color indexed="64"/>
      </top>
      <bottom/>
      <diagonal/>
    </border>
    <border>
      <left style="thin">
        <color theme="0" tint="-0.34998626667073579"/>
      </left>
      <right style="thin">
        <color theme="0" tint="-0.34998626667073579"/>
      </right>
      <top style="thin">
        <color auto="1"/>
      </top>
      <bottom/>
      <diagonal/>
    </border>
  </borders>
  <cellStyleXfs count="3">
    <xf numFmtId="0" fontId="0" fillId="0" borderId="0"/>
    <xf numFmtId="0" fontId="1" fillId="0" borderId="0"/>
    <xf numFmtId="0" fontId="27" fillId="0" borderId="0" applyNumberFormat="0" applyFill="0" applyBorder="0" applyAlignment="0" applyProtection="0"/>
  </cellStyleXfs>
  <cellXfs count="505">
    <xf numFmtId="0" fontId="0" fillId="0" borderId="0" xfId="0"/>
    <xf numFmtId="0" fontId="2" fillId="3" borderId="1" xfId="0" applyFont="1" applyFill="1" applyBorder="1"/>
    <xf numFmtId="0" fontId="2" fillId="3" borderId="3" xfId="0" applyFont="1" applyFill="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0" fillId="0" borderId="0" xfId="0" applyFont="1"/>
    <xf numFmtId="0" fontId="10" fillId="0" borderId="0" xfId="0" applyFont="1" applyAlignment="1">
      <alignment horizontal="center"/>
    </xf>
    <xf numFmtId="0" fontId="10" fillId="0" borderId="0" xfId="0" applyFont="1" applyAlignment="1">
      <alignment horizontal="right"/>
    </xf>
    <xf numFmtId="0" fontId="5" fillId="0" borderId="0" xfId="0" applyFont="1" applyAlignment="1">
      <alignment horizontal="right"/>
    </xf>
    <xf numFmtId="0" fontId="6" fillId="0" borderId="0" xfId="0" applyFont="1" applyAlignment="1">
      <alignment horizontal="right"/>
    </xf>
    <xf numFmtId="0" fontId="2" fillId="3" borderId="3" xfId="0" applyFont="1" applyFill="1" applyBorder="1" applyAlignment="1">
      <alignment horizontal="right" vertical="center"/>
    </xf>
    <xf numFmtId="0" fontId="2" fillId="4" borderId="2" xfId="0" applyFont="1" applyFill="1" applyBorder="1" applyAlignment="1">
      <alignment horizontal="right" vertical="center"/>
    </xf>
    <xf numFmtId="0" fontId="2" fillId="3" borderId="2" xfId="0" applyFont="1" applyFill="1" applyBorder="1" applyAlignment="1">
      <alignment horizontal="right" vertical="center"/>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3" fillId="0" borderId="0" xfId="0" applyFont="1"/>
    <xf numFmtId="0" fontId="15" fillId="0" borderId="0" xfId="0" applyFont="1"/>
    <xf numFmtId="0" fontId="13" fillId="0" borderId="0" xfId="0" applyFont="1"/>
    <xf numFmtId="0" fontId="11" fillId="0" borderId="0" xfId="0" applyFont="1" applyAlignment="1">
      <alignment horizontal="center" vertical="center"/>
    </xf>
    <xf numFmtId="0" fontId="5" fillId="5" borderId="0" xfId="0" applyFont="1" applyFill="1"/>
    <xf numFmtId="0" fontId="5" fillId="5" borderId="0" xfId="0" applyFont="1" applyFill="1" applyAlignment="1">
      <alignment horizontal="center"/>
    </xf>
    <xf numFmtId="0" fontId="7" fillId="0" borderId="0" xfId="0" applyFont="1" applyAlignment="1">
      <alignment horizontal="center"/>
    </xf>
    <xf numFmtId="0" fontId="16" fillId="0" borderId="0" xfId="0" applyFont="1"/>
    <xf numFmtId="14" fontId="10" fillId="0" borderId="0" xfId="0" applyNumberFormat="1" applyFont="1"/>
    <xf numFmtId="0" fontId="2" fillId="3" borderId="1" xfId="0" applyFont="1" applyFill="1" applyBorder="1" applyAlignment="1">
      <alignment horizontal="center" vertical="center"/>
    </xf>
    <xf numFmtId="0" fontId="5" fillId="5" borderId="0" xfId="0" applyFont="1" applyFill="1" applyAlignment="1">
      <alignment horizontal="left"/>
    </xf>
    <xf numFmtId="0" fontId="5" fillId="5" borderId="7" xfId="0" applyFont="1" applyFill="1" applyBorder="1" applyAlignment="1">
      <alignment horizontal="center"/>
    </xf>
    <xf numFmtId="0" fontId="5" fillId="5" borderId="6" xfId="0" applyFont="1" applyFill="1" applyBorder="1" applyAlignment="1">
      <alignment horizontal="left"/>
    </xf>
    <xf numFmtId="0" fontId="1" fillId="0" borderId="0" xfId="1"/>
    <xf numFmtId="0" fontId="1" fillId="0" borderId="0" xfId="1" applyAlignment="1">
      <alignment horizontal="center"/>
    </xf>
    <xf numFmtId="0" fontId="20" fillId="2" borderId="0" xfId="1" applyFont="1" applyFill="1" applyAlignment="1">
      <alignment horizontal="right" vertical="center" indent="1"/>
    </xf>
    <xf numFmtId="0" fontId="20" fillId="2" borderId="0" xfId="1" applyFont="1" applyFill="1" applyAlignment="1">
      <alignment vertical="center"/>
    </xf>
    <xf numFmtId="14" fontId="21" fillId="2" borderId="0" xfId="1" applyNumberFormat="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1" fillId="2" borderId="0" xfId="1" applyFont="1" applyFill="1" applyAlignment="1">
      <alignment horizontal="left" vertical="center" wrapText="1"/>
    </xf>
    <xf numFmtId="0" fontId="1" fillId="0" borderId="0" xfId="1" applyProtection="1">
      <protection locked="0"/>
    </xf>
    <xf numFmtId="0" fontId="23" fillId="2" borderId="0" xfId="1" applyFont="1" applyFill="1" applyAlignment="1" applyProtection="1">
      <alignment vertical="center"/>
      <protection locked="0"/>
    </xf>
    <xf numFmtId="0" fontId="24" fillId="2" borderId="0" xfId="1" applyFont="1" applyFill="1" applyAlignment="1" applyProtection="1">
      <alignment vertical="center"/>
      <protection locked="0"/>
    </xf>
    <xf numFmtId="0" fontId="24" fillId="2" borderId="0" xfId="1" applyFont="1" applyFill="1" applyAlignment="1">
      <alignment vertical="center"/>
    </xf>
    <xf numFmtId="0" fontId="23" fillId="2" borderId="0" xfId="1" applyFont="1" applyFill="1" applyAlignment="1" applyProtection="1">
      <alignment wrapText="1"/>
      <protection locked="0"/>
    </xf>
    <xf numFmtId="0" fontId="24" fillId="2" borderId="0" xfId="1" applyFont="1" applyFill="1" applyAlignment="1" applyProtection="1">
      <alignment wrapText="1"/>
      <protection locked="0"/>
    </xf>
    <xf numFmtId="0" fontId="24" fillId="2" borderId="0" xfId="1" applyFont="1" applyFill="1" applyAlignment="1">
      <alignment wrapText="1"/>
    </xf>
    <xf numFmtId="0" fontId="25" fillId="0" borderId="0" xfId="1" applyFont="1" applyAlignment="1" applyProtection="1">
      <alignment vertical="center" wrapText="1"/>
      <protection locked="0"/>
    </xf>
    <xf numFmtId="0" fontId="23" fillId="2" borderId="0" xfId="1" applyFont="1" applyFill="1" applyProtection="1">
      <protection locked="0"/>
    </xf>
    <xf numFmtId="0" fontId="24" fillId="2" borderId="0" xfId="1" applyFont="1" applyFill="1" applyProtection="1">
      <protection locked="0"/>
    </xf>
    <xf numFmtId="0" fontId="24" fillId="2" borderId="0" xfId="1" applyFont="1" applyFill="1"/>
    <xf numFmtId="0" fontId="30" fillId="2" borderId="0" xfId="1" applyFont="1" applyFill="1" applyProtection="1">
      <protection locked="0"/>
    </xf>
    <xf numFmtId="0" fontId="31" fillId="2" borderId="0" xfId="1" applyFont="1" applyFill="1" applyProtection="1">
      <protection locked="0"/>
    </xf>
    <xf numFmtId="0" fontId="31" fillId="2" borderId="0" xfId="1" applyFont="1" applyFill="1"/>
    <xf numFmtId="0" fontId="32" fillId="2" borderId="0" xfId="1" applyFont="1" applyFill="1" applyAlignment="1">
      <alignment vertical="center"/>
    </xf>
    <xf numFmtId="0" fontId="34" fillId="2" borderId="0" xfId="1" applyFont="1" applyFill="1" applyAlignment="1">
      <alignment vertical="center"/>
    </xf>
    <xf numFmtId="0" fontId="35" fillId="2" borderId="0" xfId="1" applyFont="1" applyFill="1" applyProtection="1">
      <protection locked="0"/>
    </xf>
    <xf numFmtId="0" fontId="12" fillId="2" borderId="0" xfId="1" applyFont="1" applyFill="1" applyProtection="1">
      <protection locked="0"/>
    </xf>
    <xf numFmtId="0" fontId="12" fillId="2" borderId="0" xfId="1" applyFont="1" applyFill="1"/>
    <xf numFmtId="0" fontId="32" fillId="2" borderId="0" xfId="1" applyFont="1" applyFill="1" applyAlignment="1">
      <alignment horizontal="left" vertical="center" wrapText="1"/>
    </xf>
    <xf numFmtId="0" fontId="33" fillId="2" borderId="0" xfId="1" applyFont="1" applyFill="1" applyAlignment="1">
      <alignment horizontal="left" vertical="center" wrapText="1"/>
    </xf>
    <xf numFmtId="0" fontId="1" fillId="0" borderId="0" xfId="1" applyAlignment="1" applyProtection="1">
      <alignment horizontal="center" vertical="top"/>
      <protection locked="0"/>
    </xf>
    <xf numFmtId="0" fontId="1" fillId="0" borderId="0" xfId="1" applyAlignment="1">
      <alignment horizontal="center" vertical="top"/>
    </xf>
    <xf numFmtId="0" fontId="36" fillId="0" borderId="17" xfId="1" applyFont="1" applyBorder="1" applyAlignment="1">
      <alignment horizontal="left" vertical="center"/>
    </xf>
    <xf numFmtId="0" fontId="36" fillId="0" borderId="18" xfId="1" applyFont="1" applyBorder="1" applyAlignment="1">
      <alignment horizontal="left" vertical="center"/>
    </xf>
    <xf numFmtId="0" fontId="36" fillId="0" borderId="18" xfId="1" applyFont="1" applyBorder="1" applyAlignment="1">
      <alignment vertical="center"/>
    </xf>
    <xf numFmtId="0" fontId="36" fillId="0" borderId="18" xfId="1" applyFont="1" applyBorder="1" applyAlignment="1">
      <alignment vertical="center" wrapText="1"/>
    </xf>
    <xf numFmtId="0" fontId="36" fillId="0" borderId="18" xfId="1" applyFont="1" applyBorder="1" applyAlignment="1">
      <alignment horizontal="center" vertical="center" wrapText="1"/>
    </xf>
    <xf numFmtId="0" fontId="12" fillId="2" borderId="0" xfId="1" applyFont="1" applyFill="1" applyAlignment="1">
      <alignment vertical="center"/>
    </xf>
    <xf numFmtId="0" fontId="34" fillId="2" borderId="0" xfId="1" applyFont="1" applyFill="1" applyAlignment="1">
      <alignment horizontal="right" vertical="center"/>
    </xf>
    <xf numFmtId="0" fontId="18" fillId="0" borderId="0" xfId="0" applyFont="1" applyAlignment="1">
      <alignment horizontal="center"/>
    </xf>
    <xf numFmtId="0" fontId="17" fillId="0" borderId="0" xfId="0" applyFont="1"/>
    <xf numFmtId="0" fontId="2" fillId="0" borderId="0" xfId="0" applyFont="1"/>
    <xf numFmtId="0" fontId="9" fillId="0" borderId="0" xfId="0" applyFont="1" applyAlignment="1">
      <alignment horizontal="left" vertical="center"/>
    </xf>
    <xf numFmtId="0" fontId="37" fillId="0" borderId="0" xfId="0" applyFont="1" applyAlignment="1">
      <alignment horizontal="left"/>
    </xf>
    <xf numFmtId="0" fontId="6" fillId="0" borderId="0" xfId="0" applyFont="1" applyAlignment="1">
      <alignment horizontal="center" vertical="center"/>
    </xf>
    <xf numFmtId="0" fontId="2" fillId="3" borderId="1" xfId="0" applyFont="1" applyFill="1" applyBorder="1" applyAlignment="1">
      <alignment horizontal="right" vertical="center"/>
    </xf>
    <xf numFmtId="0" fontId="24" fillId="2" borderId="18" xfId="1" applyFont="1" applyFill="1" applyBorder="1" applyAlignment="1">
      <alignment horizontal="center" vertical="center" wrapText="1"/>
    </xf>
    <xf numFmtId="0" fontId="21" fillId="2" borderId="18" xfId="1" applyFont="1" applyFill="1" applyBorder="1" applyAlignment="1">
      <alignment horizontal="center" vertical="center" wrapText="1"/>
    </xf>
    <xf numFmtId="0" fontId="21" fillId="0" borderId="19" xfId="1" applyFont="1" applyBorder="1" applyAlignment="1">
      <alignment horizontal="center" vertical="center" wrapText="1"/>
    </xf>
    <xf numFmtId="0" fontId="21" fillId="0" borderId="18" xfId="1" applyFont="1" applyBorder="1" applyAlignment="1">
      <alignment horizontal="center" vertical="center" wrapText="1"/>
    </xf>
    <xf numFmtId="0" fontId="21" fillId="2" borderId="19" xfId="1" applyFont="1" applyFill="1" applyBorder="1" applyAlignment="1">
      <alignment horizontal="center" vertical="center" wrapText="1"/>
    </xf>
    <xf numFmtId="0" fontId="21" fillId="0" borderId="18" xfId="1" applyFont="1" applyBorder="1" applyAlignment="1">
      <alignment vertical="center" wrapText="1"/>
    </xf>
    <xf numFmtId="0" fontId="21" fillId="2" borderId="19" xfId="1" applyFont="1" applyFill="1" applyBorder="1" applyAlignment="1" applyProtection="1">
      <alignment horizontal="left" vertical="center" wrapText="1"/>
      <protection locked="0"/>
    </xf>
    <xf numFmtId="0" fontId="21" fillId="2" borderId="17" xfId="1" applyFont="1" applyFill="1" applyBorder="1" applyAlignment="1">
      <alignment horizontal="center" vertical="center" wrapText="1"/>
    </xf>
    <xf numFmtId="0" fontId="21" fillId="2" borderId="18" xfId="1" applyFont="1" applyFill="1" applyBorder="1" applyAlignment="1">
      <alignment vertical="center" wrapText="1"/>
    </xf>
    <xf numFmtId="0" fontId="21" fillId="2" borderId="19" xfId="1" applyFont="1" applyFill="1" applyBorder="1" applyAlignment="1" applyProtection="1">
      <alignment horizontal="center" vertical="center" wrapText="1"/>
      <protection locked="0"/>
    </xf>
    <xf numFmtId="0" fontId="21" fillId="0" borderId="19" xfId="1" applyFont="1" applyBorder="1" applyAlignment="1" applyProtection="1">
      <alignment horizontal="center" vertical="center" wrapText="1"/>
      <protection locked="0"/>
    </xf>
    <xf numFmtId="0" fontId="21" fillId="2" borderId="21" xfId="1" applyFont="1" applyFill="1" applyBorder="1" applyAlignment="1">
      <alignment horizontal="center" vertical="center" wrapText="1"/>
    </xf>
    <xf numFmtId="0" fontId="21" fillId="2" borderId="22" xfId="1" applyFont="1" applyFill="1" applyBorder="1" applyAlignment="1">
      <alignment horizontal="center" vertical="center" wrapText="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38" fillId="6" borderId="0" xfId="0" applyFont="1" applyFill="1"/>
    <xf numFmtId="0" fontId="3" fillId="6" borderId="0" xfId="0" applyFont="1" applyFill="1" applyAlignment="1">
      <alignment horizontal="center" vertical="center"/>
    </xf>
    <xf numFmtId="0" fontId="38" fillId="6" borderId="0" xfId="0" applyFont="1" applyFill="1" applyAlignment="1">
      <alignment horizontal="center" vertical="center" wrapText="1"/>
    </xf>
    <xf numFmtId="0" fontId="5" fillId="5" borderId="10" xfId="0" applyFont="1" applyFill="1" applyBorder="1" applyAlignment="1">
      <alignment horizontal="left"/>
    </xf>
    <xf numFmtId="0" fontId="0" fillId="6" borderId="0" xfId="0" applyFill="1" applyAlignment="1">
      <alignment wrapText="1"/>
    </xf>
    <xf numFmtId="0" fontId="10" fillId="7" borderId="6" xfId="0" applyFont="1" applyFill="1" applyBorder="1" applyAlignment="1">
      <alignment horizontal="center"/>
    </xf>
    <xf numFmtId="0" fontId="10" fillId="7" borderId="0" xfId="0" applyFont="1" applyFill="1" applyAlignment="1">
      <alignment horizontal="center"/>
    </xf>
    <xf numFmtId="0" fontId="25" fillId="0" borderId="0" xfId="1" applyFont="1" applyAlignment="1" applyProtection="1">
      <alignment horizontal="left" vertical="top" wrapText="1"/>
      <protection locked="0"/>
    </xf>
    <xf numFmtId="0" fontId="21" fillId="0" borderId="0" xfId="1" applyFont="1" applyAlignment="1" applyProtection="1">
      <alignment vertical="top" wrapText="1"/>
      <protection locked="0"/>
    </xf>
    <xf numFmtId="0" fontId="6" fillId="0" borderId="23" xfId="0" applyFont="1" applyBorder="1"/>
    <xf numFmtId="0" fontId="6" fillId="0" borderId="24" xfId="0" applyFont="1" applyBorder="1" applyAlignment="1">
      <alignment horizontal="center"/>
    </xf>
    <xf numFmtId="0" fontId="0" fillId="0" borderId="24" xfId="0" applyBorder="1"/>
    <xf numFmtId="0" fontId="6" fillId="0" borderId="24" xfId="0" applyFont="1" applyBorder="1"/>
    <xf numFmtId="0" fontId="6" fillId="0" borderId="24" xfId="0" applyFont="1" applyBorder="1" applyAlignment="1">
      <alignment horizontal="center" vertical="center"/>
    </xf>
    <xf numFmtId="0" fontId="0" fillId="0" borderId="24" xfId="0" applyBorder="1" applyAlignment="1">
      <alignment horizontal="center"/>
    </xf>
    <xf numFmtId="0" fontId="0" fillId="0" borderId="25" xfId="0" applyBorder="1" applyAlignment="1">
      <alignment horizontal="center"/>
    </xf>
    <xf numFmtId="0" fontId="6" fillId="0" borderId="26" xfId="0" applyFont="1" applyBorder="1"/>
    <xf numFmtId="0" fontId="0" fillId="0" borderId="27" xfId="0" applyBorder="1" applyAlignment="1">
      <alignment horizontal="center"/>
    </xf>
    <xf numFmtId="0" fontId="6" fillId="0" borderId="29" xfId="0" applyFont="1" applyBorder="1" applyAlignment="1">
      <alignment horizontal="center"/>
    </xf>
    <xf numFmtId="0" fontId="0" fillId="0" borderId="29" xfId="0" applyBorder="1"/>
    <xf numFmtId="0" fontId="6" fillId="0" borderId="29" xfId="0" applyFont="1" applyBorder="1"/>
    <xf numFmtId="0" fontId="6" fillId="0" borderId="29" xfId="0" applyFont="1" applyBorder="1" applyAlignment="1">
      <alignment horizontal="center" vertical="center"/>
    </xf>
    <xf numFmtId="0" fontId="0" fillId="0" borderId="29" xfId="0" applyBorder="1" applyAlignment="1">
      <alignment horizontal="center"/>
    </xf>
    <xf numFmtId="0" fontId="0" fillId="0" borderId="30" xfId="0" applyBorder="1" applyAlignment="1">
      <alignment horizontal="center"/>
    </xf>
    <xf numFmtId="0" fontId="0" fillId="0" borderId="28" xfId="0" applyBorder="1"/>
    <xf numFmtId="0" fontId="0" fillId="0" borderId="26" xfId="0" applyBorder="1"/>
    <xf numFmtId="0" fontId="44" fillId="0" borderId="0" xfId="0" applyFont="1"/>
    <xf numFmtId="0" fontId="44" fillId="0" borderId="0" xfId="0" applyFont="1" applyAlignment="1">
      <alignment horizontal="right"/>
    </xf>
    <xf numFmtId="0" fontId="44" fillId="0" borderId="0" xfId="0" applyFont="1" applyAlignment="1">
      <alignment horizontal="center"/>
    </xf>
    <xf numFmtId="0" fontId="0" fillId="0" borderId="31" xfId="0" applyBorder="1" applyAlignment="1">
      <alignment horizontal="center"/>
    </xf>
    <xf numFmtId="0" fontId="10" fillId="7" borderId="1" xfId="0" applyFont="1" applyFill="1" applyBorder="1" applyAlignment="1">
      <alignment horizontal="center"/>
    </xf>
    <xf numFmtId="0" fontId="10" fillId="7" borderId="3" xfId="0" applyFont="1" applyFill="1" applyBorder="1" applyAlignment="1">
      <alignment horizontal="center"/>
    </xf>
    <xf numFmtId="0" fontId="6" fillId="7" borderId="3" xfId="0" applyFont="1" applyFill="1" applyBorder="1" applyAlignment="1">
      <alignment horizontal="center"/>
    </xf>
    <xf numFmtId="0" fontId="11" fillId="0" borderId="0" xfId="0" applyFont="1" applyAlignment="1">
      <alignment horizontal="center"/>
    </xf>
    <xf numFmtId="0" fontId="36" fillId="0" borderId="18" xfId="1" applyFont="1" applyBorder="1" applyAlignment="1">
      <alignment horizontal="center" vertical="center"/>
    </xf>
    <xf numFmtId="0" fontId="10" fillId="8" borderId="0" xfId="0" applyFont="1" applyFill="1" applyAlignment="1">
      <alignment wrapText="1"/>
    </xf>
    <xf numFmtId="0" fontId="43" fillId="0" borderId="0" xfId="0" applyFont="1" applyAlignment="1">
      <alignment horizontal="right" wrapText="1"/>
    </xf>
    <xf numFmtId="0" fontId="49" fillId="0" borderId="0" xfId="0" applyFont="1" applyAlignment="1">
      <alignment horizontal="right"/>
    </xf>
    <xf numFmtId="0" fontId="41" fillId="9" borderId="13" xfId="1" applyFont="1" applyFill="1" applyBorder="1" applyAlignment="1">
      <alignment vertical="center"/>
    </xf>
    <xf numFmtId="0" fontId="19" fillId="9" borderId="14" xfId="1" applyFont="1" applyFill="1" applyBorder="1" applyAlignment="1">
      <alignment vertical="center"/>
    </xf>
    <xf numFmtId="0" fontId="19" fillId="9" borderId="14" xfId="1" applyFont="1" applyFill="1" applyBorder="1" applyAlignment="1">
      <alignment horizontal="right" vertical="center"/>
    </xf>
    <xf numFmtId="0" fontId="50" fillId="9" borderId="14" xfId="1" applyFont="1" applyFill="1" applyBorder="1" applyAlignment="1">
      <alignment horizontal="center" vertical="center"/>
    </xf>
    <xf numFmtId="0" fontId="41" fillId="9" borderId="14" xfId="1" applyFont="1" applyFill="1" applyBorder="1" applyAlignment="1">
      <alignment vertical="center"/>
    </xf>
    <xf numFmtId="0" fontId="21" fillId="9" borderId="11" xfId="1" applyFont="1" applyFill="1" applyBorder="1" applyAlignment="1">
      <alignment horizontal="center" vertical="center" wrapText="1"/>
    </xf>
    <xf numFmtId="0" fontId="21" fillId="9" borderId="0" xfId="1" applyFont="1" applyFill="1" applyAlignment="1">
      <alignment horizontal="center" vertical="center" wrapText="1"/>
    </xf>
    <xf numFmtId="0" fontId="21" fillId="9" borderId="0" xfId="1" applyFont="1" applyFill="1" applyAlignment="1">
      <alignment vertical="center" wrapText="1"/>
    </xf>
    <xf numFmtId="0" fontId="24" fillId="9" borderId="0" xfId="1" applyFont="1" applyFill="1" applyAlignment="1">
      <alignment horizontal="left" vertical="center" wrapText="1"/>
    </xf>
    <xf numFmtId="0" fontId="21" fillId="9" borderId="20" xfId="1" applyFont="1" applyFill="1" applyBorder="1" applyAlignment="1">
      <alignment horizontal="center" vertical="center" wrapText="1"/>
    </xf>
    <xf numFmtId="0" fontId="21" fillId="9" borderId="16" xfId="1" applyFont="1" applyFill="1" applyBorder="1" applyAlignment="1">
      <alignment horizontal="center" vertical="center" wrapText="1"/>
    </xf>
    <xf numFmtId="0" fontId="21" fillId="9" borderId="16" xfId="1" applyFont="1" applyFill="1" applyBorder="1" applyAlignment="1" applyProtection="1">
      <alignment horizontal="center" vertical="center" wrapText="1"/>
      <protection locked="0"/>
    </xf>
    <xf numFmtId="0" fontId="21" fillId="2" borderId="0" xfId="1" applyFont="1" applyFill="1" applyAlignment="1">
      <alignment horizontal="right" vertical="center" indent="1"/>
    </xf>
    <xf numFmtId="0" fontId="51" fillId="0" borderId="0" xfId="0" applyFont="1" applyAlignment="1">
      <alignment horizontal="right"/>
    </xf>
    <xf numFmtId="0" fontId="28" fillId="9" borderId="0" xfId="2" applyFont="1" applyFill="1" applyAlignment="1" applyProtection="1">
      <alignment vertical="center"/>
    </xf>
    <xf numFmtId="0" fontId="27" fillId="9" borderId="0" xfId="2" applyFill="1" applyAlignment="1" applyProtection="1">
      <alignment vertical="center"/>
    </xf>
    <xf numFmtId="0" fontId="11" fillId="0" borderId="37" xfId="0" applyFont="1" applyBorder="1" applyAlignment="1">
      <alignment horizontal="center"/>
    </xf>
    <xf numFmtId="0" fontId="11" fillId="0" borderId="38" xfId="0" applyFont="1" applyBorder="1" applyAlignment="1">
      <alignment horizontal="center"/>
    </xf>
    <xf numFmtId="0" fontId="3" fillId="0" borderId="37" xfId="0" applyFont="1" applyBorder="1" applyAlignment="1">
      <alignment horizontal="center"/>
    </xf>
    <xf numFmtId="0" fontId="3" fillId="0" borderId="0" xfId="0" applyFont="1" applyAlignment="1">
      <alignment horizontal="center"/>
    </xf>
    <xf numFmtId="0" fontId="11" fillId="0" borderId="39" xfId="0" applyFont="1" applyBorder="1" applyAlignment="1">
      <alignment horizontal="center"/>
    </xf>
    <xf numFmtId="0" fontId="11" fillId="0" borderId="40" xfId="0" applyFont="1" applyBorder="1" applyAlignment="1">
      <alignment horizontal="center"/>
    </xf>
    <xf numFmtId="0" fontId="11" fillId="0" borderId="41" xfId="0" applyFont="1" applyBorder="1" applyAlignment="1">
      <alignment horizontal="center"/>
    </xf>
    <xf numFmtId="0" fontId="10" fillId="0" borderId="0" xfId="0" quotePrefix="1" applyFont="1"/>
    <xf numFmtId="14" fontId="44" fillId="0" borderId="0" xfId="0" applyNumberFormat="1" applyFont="1" applyAlignment="1">
      <alignment horizontal="center"/>
    </xf>
    <xf numFmtId="0" fontId="0" fillId="0" borderId="0" xfId="0" applyAlignment="1">
      <alignment wrapText="1"/>
    </xf>
    <xf numFmtId="0" fontId="0" fillId="0" borderId="0" xfId="0" applyAlignment="1">
      <alignment horizontal="center" wrapText="1"/>
    </xf>
    <xf numFmtId="0" fontId="0" fillId="0" borderId="31" xfId="0" applyBorder="1" applyAlignment="1">
      <alignment horizontal="center" wrapText="1"/>
    </xf>
    <xf numFmtId="0" fontId="9" fillId="0" borderId="0" xfId="1" applyFont="1" applyAlignment="1">
      <alignment horizontal="center"/>
    </xf>
    <xf numFmtId="0" fontId="18" fillId="0" borderId="0" xfId="1" applyFont="1" applyAlignment="1">
      <alignment horizontal="center"/>
    </xf>
    <xf numFmtId="0" fontId="18" fillId="0" borderId="0" xfId="1" applyFont="1"/>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22" fillId="11" borderId="0" xfId="1" applyFont="1" applyFill="1" applyAlignment="1">
      <alignment horizontal="center" vertical="center"/>
    </xf>
    <xf numFmtId="0" fontId="22" fillId="11" borderId="0" xfId="1" applyFont="1" applyFill="1" applyAlignment="1">
      <alignment horizontal="left" vertical="center" indent="1"/>
    </xf>
    <xf numFmtId="0" fontId="22" fillId="11" borderId="0" xfId="1" applyFont="1" applyFill="1" applyAlignment="1">
      <alignment vertical="center"/>
    </xf>
    <xf numFmtId="0" fontId="22" fillId="11" borderId="0" xfId="1" applyFont="1" applyFill="1" applyAlignment="1">
      <alignment horizontal="left" vertical="center"/>
    </xf>
    <xf numFmtId="0" fontId="22" fillId="11" borderId="16" xfId="1" applyFont="1" applyFill="1" applyBorder="1" applyAlignment="1">
      <alignment horizontal="left" vertical="center"/>
    </xf>
    <xf numFmtId="0" fontId="22" fillId="11" borderId="0" xfId="1" applyFont="1" applyFill="1" applyAlignment="1" applyProtection="1">
      <alignment vertical="center"/>
      <protection locked="0"/>
    </xf>
    <xf numFmtId="0" fontId="22" fillId="11" borderId="0" xfId="1" applyFont="1" applyFill="1" applyAlignment="1">
      <alignment horizontal="center" vertical="center" wrapText="1"/>
    </xf>
    <xf numFmtId="0" fontId="22" fillId="11" borderId="0" xfId="1" applyFont="1" applyFill="1" applyAlignment="1" applyProtection="1">
      <alignment horizontal="center" vertical="center"/>
      <protection locked="0"/>
    </xf>
    <xf numFmtId="0" fontId="22" fillId="11" borderId="20" xfId="1" applyFont="1" applyFill="1" applyBorder="1" applyAlignment="1">
      <alignment horizontal="center" vertical="center" wrapText="1"/>
    </xf>
    <xf numFmtId="0" fontId="22" fillId="11" borderId="16" xfId="1" applyFont="1" applyFill="1" applyBorder="1" applyAlignment="1">
      <alignment horizontal="center" vertical="center" wrapText="1"/>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5" fillId="5" borderId="1" xfId="0" applyFont="1" applyFill="1" applyBorder="1" applyAlignment="1">
      <alignment horizontal="left" textRotation="90"/>
    </xf>
    <xf numFmtId="0" fontId="5" fillId="5" borderId="3" xfId="0" applyFont="1" applyFill="1" applyBorder="1" applyAlignment="1">
      <alignment horizontal="left" textRotation="90"/>
    </xf>
    <xf numFmtId="0" fontId="7" fillId="8" borderId="0" xfId="0" applyFont="1" applyFill="1" applyAlignment="1">
      <alignment wrapText="1"/>
    </xf>
    <xf numFmtId="0" fontId="0" fillId="10" borderId="0" xfId="0" applyFill="1"/>
    <xf numFmtId="0" fontId="3" fillId="0" borderId="5" xfId="0" quotePrefix="1" applyFont="1" applyBorder="1" applyAlignment="1">
      <alignment horizontal="center" vertical="center"/>
    </xf>
    <xf numFmtId="0" fontId="21" fillId="0" borderId="18" xfId="1" applyFont="1" applyBorder="1" applyAlignment="1">
      <alignment horizontal="left" vertical="center" wrapText="1"/>
    </xf>
    <xf numFmtId="0" fontId="22" fillId="11" borderId="0" xfId="1" applyFont="1" applyFill="1" applyAlignment="1">
      <alignment horizontal="left" vertical="center" wrapText="1"/>
    </xf>
    <xf numFmtId="0" fontId="43" fillId="10" borderId="0" xfId="0" applyFont="1" applyFill="1"/>
    <xf numFmtId="0" fontId="54" fillId="0" borderId="0" xfId="0" applyFont="1" applyAlignment="1">
      <alignment horizontal="left"/>
    </xf>
    <xf numFmtId="0" fontId="3" fillId="0" borderId="7" xfId="0" quotePrefix="1" applyFont="1" applyBorder="1" applyAlignment="1">
      <alignment horizontal="center" vertical="center"/>
    </xf>
    <xf numFmtId="0" fontId="6" fillId="7" borderId="0" xfId="0" applyFont="1" applyFill="1" applyAlignment="1">
      <alignment horizontal="center"/>
    </xf>
    <xf numFmtId="0" fontId="8" fillId="8" borderId="0" xfId="0" applyFont="1" applyFill="1" applyAlignment="1">
      <alignment wrapText="1"/>
    </xf>
    <xf numFmtId="0" fontId="10" fillId="7" borderId="42" xfId="0" applyFont="1" applyFill="1" applyBorder="1" applyAlignment="1">
      <alignment horizontal="center"/>
    </xf>
    <xf numFmtId="0" fontId="8" fillId="5" borderId="43" xfId="0" applyFont="1" applyFill="1" applyBorder="1" applyAlignment="1">
      <alignment horizontal="left" textRotation="90"/>
    </xf>
    <xf numFmtId="14" fontId="0" fillId="0" borderId="0" xfId="0" applyNumberFormat="1"/>
    <xf numFmtId="0" fontId="55" fillId="0" borderId="0" xfId="0" applyFont="1"/>
    <xf numFmtId="0" fontId="44" fillId="12" borderId="0" xfId="0" applyFont="1" applyFill="1"/>
    <xf numFmtId="0" fontId="44" fillId="12" borderId="0" xfId="0" applyFont="1" applyFill="1" applyAlignment="1">
      <alignment horizontal="center"/>
    </xf>
    <xf numFmtId="14" fontId="44" fillId="12" borderId="0" xfId="0" applyNumberFormat="1" applyFont="1" applyFill="1" applyAlignment="1">
      <alignment horizontal="center"/>
    </xf>
    <xf numFmtId="0" fontId="10" fillId="7" borderId="44" xfId="0" applyFont="1" applyFill="1" applyBorder="1" applyAlignment="1">
      <alignment horizontal="center"/>
    </xf>
    <xf numFmtId="0" fontId="10" fillId="7" borderId="43" xfId="0" applyFont="1" applyFill="1" applyBorder="1" applyAlignment="1">
      <alignment horizontal="center"/>
    </xf>
    <xf numFmtId="0" fontId="10" fillId="13" borderId="42" xfId="0" applyFont="1" applyFill="1" applyBorder="1" applyAlignment="1">
      <alignment horizontal="center"/>
    </xf>
    <xf numFmtId="0" fontId="8" fillId="5" borderId="46" xfId="0" applyFont="1" applyFill="1" applyBorder="1" applyAlignment="1">
      <alignment horizontal="left" textRotation="90"/>
    </xf>
    <xf numFmtId="0" fontId="10" fillId="7" borderId="47" xfId="0" applyFont="1" applyFill="1" applyBorder="1" applyAlignment="1">
      <alignment horizontal="center"/>
    </xf>
    <xf numFmtId="0" fontId="10" fillId="7" borderId="48" xfId="0" applyFont="1" applyFill="1" applyBorder="1" applyAlignment="1">
      <alignment horizontal="center"/>
    </xf>
    <xf numFmtId="0" fontId="5" fillId="5" borderId="45" xfId="0" applyFont="1" applyFill="1" applyBorder="1" applyAlignment="1">
      <alignment horizontal="left"/>
    </xf>
    <xf numFmtId="0" fontId="10" fillId="0" borderId="49" xfId="0" applyFont="1" applyBorder="1" applyAlignment="1">
      <alignment horizontal="left" wrapText="1"/>
    </xf>
    <xf numFmtId="0" fontId="8" fillId="0" borderId="49" xfId="0" applyFont="1" applyBorder="1" applyAlignment="1">
      <alignment horizontal="left" wrapText="1"/>
    </xf>
    <xf numFmtId="0" fontId="7" fillId="0" borderId="49" xfId="0" applyFont="1" applyBorder="1" applyAlignment="1">
      <alignment horizontal="left" wrapText="1"/>
    </xf>
    <xf numFmtId="0" fontId="8" fillId="13" borderId="43" xfId="0" applyFont="1" applyFill="1" applyBorder="1" applyAlignment="1">
      <alignment horizontal="left" textRotation="90"/>
    </xf>
    <xf numFmtId="0" fontId="3" fillId="14" borderId="7" xfId="0" applyFont="1" applyFill="1" applyBorder="1" applyAlignment="1">
      <alignment horizontal="center" vertical="center"/>
    </xf>
    <xf numFmtId="0" fontId="3" fillId="7" borderId="8" xfId="0" applyFont="1" applyFill="1" applyBorder="1" applyAlignment="1">
      <alignment horizontal="center" vertical="center"/>
    </xf>
    <xf numFmtId="0" fontId="3" fillId="14" borderId="8" xfId="0" applyFont="1" applyFill="1" applyBorder="1" applyAlignment="1">
      <alignment horizontal="center" vertical="center"/>
    </xf>
    <xf numFmtId="0" fontId="3" fillId="7" borderId="7" xfId="0" applyFont="1" applyFill="1" applyBorder="1" applyAlignment="1">
      <alignment horizontal="center" vertical="center"/>
    </xf>
    <xf numFmtId="0" fontId="21" fillId="14" borderId="19" xfId="1" applyFont="1" applyFill="1" applyBorder="1" applyAlignment="1" applyProtection="1">
      <alignment horizontal="center" vertical="center" wrapText="1"/>
      <protection locked="0"/>
    </xf>
    <xf numFmtId="0" fontId="21" fillId="7" borderId="19" xfId="1" applyFont="1" applyFill="1" applyBorder="1" applyAlignment="1" applyProtection="1">
      <alignment horizontal="center" vertical="center" wrapText="1"/>
      <protection locked="0"/>
    </xf>
    <xf numFmtId="0" fontId="21" fillId="14" borderId="19" xfId="1" applyFont="1" applyFill="1" applyBorder="1" applyAlignment="1" applyProtection="1">
      <alignment horizontal="left" vertical="center" wrapText="1"/>
      <protection locked="0"/>
    </xf>
    <xf numFmtId="0" fontId="2" fillId="15" borderId="4" xfId="0" applyFont="1" applyFill="1" applyBorder="1"/>
    <xf numFmtId="0" fontId="56" fillId="15" borderId="5" xfId="0" applyFont="1" applyFill="1" applyBorder="1" applyAlignment="1">
      <alignment horizontal="right" vertical="center"/>
    </xf>
    <xf numFmtId="0" fontId="2" fillId="15" borderId="4" xfId="0" applyFont="1" applyFill="1" applyBorder="1" applyAlignment="1">
      <alignment horizontal="center" vertical="center"/>
    </xf>
    <xf numFmtId="0" fontId="56" fillId="15" borderId="4" xfId="0" applyFont="1" applyFill="1" applyBorder="1" applyAlignment="1">
      <alignment horizontal="center" vertical="center"/>
    </xf>
    <xf numFmtId="0" fontId="2" fillId="15" borderId="5" xfId="0" applyFont="1" applyFill="1" applyBorder="1" applyAlignment="1">
      <alignment horizontal="right" vertical="center"/>
    </xf>
    <xf numFmtId="0" fontId="2" fillId="16" borderId="4" xfId="0" applyFont="1" applyFill="1" applyBorder="1"/>
    <xf numFmtId="0" fontId="56" fillId="16" borderId="5" xfId="0" applyFont="1" applyFill="1" applyBorder="1" applyAlignment="1">
      <alignment horizontal="right" vertical="center"/>
    </xf>
    <xf numFmtId="0" fontId="2" fillId="16" borderId="4" xfId="0" applyFont="1" applyFill="1" applyBorder="1" applyAlignment="1">
      <alignment horizontal="center" vertical="center"/>
    </xf>
    <xf numFmtId="0" fontId="56" fillId="16" borderId="4" xfId="0" applyFont="1" applyFill="1" applyBorder="1" applyAlignment="1">
      <alignment horizontal="center" vertical="center"/>
    </xf>
    <xf numFmtId="0" fontId="2" fillId="16" borderId="5" xfId="0" applyFont="1" applyFill="1" applyBorder="1" applyAlignment="1">
      <alignment horizontal="right" vertical="center"/>
    </xf>
    <xf numFmtId="0" fontId="3" fillId="14" borderId="5" xfId="0" applyFont="1" applyFill="1" applyBorder="1" applyAlignment="1">
      <alignment horizontal="center" vertical="center"/>
    </xf>
    <xf numFmtId="0" fontId="21" fillId="7" borderId="19" xfId="1" applyFont="1" applyFill="1" applyBorder="1" applyAlignment="1" applyProtection="1">
      <alignment horizontal="left" vertical="center" wrapText="1"/>
      <protection locked="0"/>
    </xf>
    <xf numFmtId="0" fontId="56" fillId="17" borderId="5" xfId="0" applyFont="1" applyFill="1" applyBorder="1" applyAlignment="1">
      <alignment horizontal="right" vertical="center"/>
    </xf>
    <xf numFmtId="0" fontId="9" fillId="10" borderId="7" xfId="0" applyFont="1" applyFill="1" applyBorder="1" applyAlignment="1">
      <alignment horizontal="center" vertical="center"/>
    </xf>
    <xf numFmtId="0" fontId="9" fillId="10" borderId="8" xfId="0" applyFont="1" applyFill="1" applyBorder="1" applyAlignment="1">
      <alignment horizontal="center" vertical="center"/>
    </xf>
    <xf numFmtId="0" fontId="10" fillId="0" borderId="51" xfId="0" applyFont="1" applyBorder="1"/>
    <xf numFmtId="0" fontId="10" fillId="0" borderId="49" xfId="0" applyFont="1" applyBorder="1"/>
    <xf numFmtId="0" fontId="10" fillId="0" borderId="52" xfId="0" applyFont="1" applyBorder="1"/>
    <xf numFmtId="0" fontId="10" fillId="0" borderId="45" xfId="0" applyFont="1" applyBorder="1"/>
    <xf numFmtId="0" fontId="58" fillId="0" borderId="45" xfId="0" applyFont="1" applyBorder="1"/>
    <xf numFmtId="0" fontId="58" fillId="0" borderId="51" xfId="0" applyFont="1" applyBorder="1"/>
    <xf numFmtId="0" fontId="58" fillId="0" borderId="49" xfId="0" applyFont="1" applyBorder="1"/>
    <xf numFmtId="0" fontId="58" fillId="0" borderId="52" xfId="0" applyFont="1" applyBorder="1"/>
    <xf numFmtId="0" fontId="8" fillId="10" borderId="45" xfId="0" applyFont="1" applyFill="1" applyBorder="1"/>
    <xf numFmtId="0" fontId="59" fillId="15" borderId="5" xfId="0" applyFont="1" applyFill="1" applyBorder="1" applyAlignment="1">
      <alignment horizontal="right" vertical="center"/>
    </xf>
    <xf numFmtId="0" fontId="59" fillId="15" borderId="4" xfId="0" applyFont="1" applyFill="1" applyBorder="1"/>
    <xf numFmtId="0" fontId="59" fillId="15" borderId="4" xfId="0" applyFont="1" applyFill="1" applyBorder="1" applyAlignment="1">
      <alignment horizontal="center" vertical="center"/>
    </xf>
    <xf numFmtId="0" fontId="59" fillId="16" borderId="4" xfId="0" applyFont="1" applyFill="1" applyBorder="1"/>
    <xf numFmtId="0" fontId="59" fillId="16" borderId="5" xfId="0" applyFont="1" applyFill="1" applyBorder="1" applyAlignment="1">
      <alignment horizontal="right" vertical="center"/>
    </xf>
    <xf numFmtId="0" fontId="59" fillId="16" borderId="4" xfId="0" applyFont="1" applyFill="1" applyBorder="1" applyAlignment="1">
      <alignment horizontal="center" vertical="center"/>
    </xf>
    <xf numFmtId="0" fontId="56" fillId="16" borderId="4" xfId="0" applyFont="1" applyFill="1" applyBorder="1"/>
    <xf numFmtId="0" fontId="60" fillId="0" borderId="5" xfId="0" applyFont="1" applyBorder="1" applyAlignment="1">
      <alignment horizontal="center" vertical="center"/>
    </xf>
    <xf numFmtId="0" fontId="60" fillId="0" borderId="7" xfId="0" applyFont="1" applyBorder="1" applyAlignment="1">
      <alignment horizontal="center" vertical="center"/>
    </xf>
    <xf numFmtId="0" fontId="10" fillId="0" borderId="45" xfId="0" applyFont="1" applyBorder="1" applyAlignment="1">
      <alignment horizontal="left" wrapText="1"/>
    </xf>
    <xf numFmtId="0" fontId="59" fillId="18" borderId="4" xfId="0" applyFont="1" applyFill="1" applyBorder="1"/>
    <xf numFmtId="0" fontId="59" fillId="18" borderId="5" xfId="0" applyFont="1" applyFill="1" applyBorder="1" applyAlignment="1">
      <alignment horizontal="right" vertical="center"/>
    </xf>
    <xf numFmtId="0" fontId="59" fillId="18" borderId="4" xfId="0" applyFont="1" applyFill="1" applyBorder="1" applyAlignment="1">
      <alignment horizontal="center" vertical="center"/>
    </xf>
    <xf numFmtId="0" fontId="21" fillId="19" borderId="19" xfId="1" applyFont="1" applyFill="1" applyBorder="1" applyAlignment="1" applyProtection="1">
      <alignment horizontal="center" vertical="center" wrapText="1"/>
      <protection locked="0"/>
    </xf>
    <xf numFmtId="0" fontId="21" fillId="19" borderId="19" xfId="1" applyFont="1" applyFill="1" applyBorder="1" applyAlignment="1" applyProtection="1">
      <alignment horizontal="left" vertical="center" wrapText="1"/>
      <protection locked="0"/>
    </xf>
    <xf numFmtId="0" fontId="36" fillId="19" borderId="19" xfId="1" applyFont="1" applyFill="1" applyBorder="1" applyAlignment="1" applyProtection="1">
      <alignment horizontal="left" vertical="center" wrapText="1"/>
      <protection locked="0"/>
    </xf>
    <xf numFmtId="0" fontId="10" fillId="19" borderId="49" xfId="0" applyFont="1" applyFill="1" applyBorder="1"/>
    <xf numFmtId="0" fontId="8" fillId="19" borderId="51" xfId="0" applyFont="1" applyFill="1" applyBorder="1"/>
    <xf numFmtId="0" fontId="10" fillId="19" borderId="51" xfId="0" applyFont="1" applyFill="1" applyBorder="1"/>
    <xf numFmtId="0" fontId="10" fillId="7" borderId="0" xfId="0" applyFont="1" applyFill="1"/>
    <xf numFmtId="0" fontId="10" fillId="14" borderId="0" xfId="0" applyFont="1" applyFill="1"/>
    <xf numFmtId="0" fontId="10" fillId="12" borderId="0" xfId="0" applyFont="1" applyFill="1" applyAlignment="1">
      <alignment horizontal="center"/>
    </xf>
    <xf numFmtId="0" fontId="10" fillId="12" borderId="0" xfId="0" applyFont="1" applyFill="1"/>
    <xf numFmtId="0" fontId="10" fillId="20" borderId="0" xfId="0" applyFont="1" applyFill="1"/>
    <xf numFmtId="0" fontId="7" fillId="10" borderId="0" xfId="0" applyFont="1" applyFill="1" applyAlignment="1">
      <alignment horizontal="left"/>
    </xf>
    <xf numFmtId="14" fontId="0" fillId="12" borderId="0" xfId="0" applyNumberFormat="1" applyFill="1"/>
    <xf numFmtId="0" fontId="0" fillId="12" borderId="0" xfId="0" applyFill="1"/>
    <xf numFmtId="0" fontId="44" fillId="21" borderId="0" xfId="0" applyFont="1" applyFill="1"/>
    <xf numFmtId="0" fontId="44" fillId="21" borderId="0" xfId="0" applyFont="1" applyFill="1" applyAlignment="1">
      <alignment horizontal="center"/>
    </xf>
    <xf numFmtId="0" fontId="0" fillId="21" borderId="0" xfId="0" applyFill="1" applyAlignment="1">
      <alignment horizontal="center"/>
    </xf>
    <xf numFmtId="0" fontId="0" fillId="21" borderId="0" xfId="0" applyFill="1"/>
    <xf numFmtId="0" fontId="44" fillId="21" borderId="0" xfId="0" applyFont="1" applyFill="1" applyAlignment="1">
      <alignment horizontal="right"/>
    </xf>
    <xf numFmtId="14" fontId="44" fillId="21" borderId="0" xfId="0" applyNumberFormat="1" applyFont="1" applyFill="1" applyAlignment="1">
      <alignment horizontal="center"/>
    </xf>
    <xf numFmtId="14" fontId="10" fillId="12" borderId="0" xfId="0" applyNumberFormat="1" applyFont="1" applyFill="1"/>
    <xf numFmtId="0" fontId="10" fillId="0" borderId="51" xfId="0" applyFont="1" applyBorder="1" applyAlignment="1">
      <alignment horizontal="left" wrapText="1"/>
    </xf>
    <xf numFmtId="0" fontId="10" fillId="7" borderId="56" xfId="0" applyFont="1" applyFill="1" applyBorder="1" applyAlignment="1">
      <alignment horizontal="center"/>
    </xf>
    <xf numFmtId="0" fontId="0" fillId="0" borderId="7" xfId="0" applyBorder="1"/>
    <xf numFmtId="0" fontId="10" fillId="7" borderId="4" xfId="0" applyFont="1" applyFill="1" applyBorder="1" applyAlignment="1">
      <alignment horizontal="center"/>
    </xf>
    <xf numFmtId="0" fontId="10" fillId="7" borderId="55" xfId="0" applyFont="1" applyFill="1" applyBorder="1" applyAlignment="1">
      <alignment horizontal="center"/>
    </xf>
    <xf numFmtId="0" fontId="6" fillId="7" borderId="55" xfId="0" applyFont="1" applyFill="1" applyBorder="1" applyAlignment="1">
      <alignment horizontal="center"/>
    </xf>
    <xf numFmtId="0" fontId="0" fillId="0" borderId="5" xfId="0" applyBorder="1"/>
    <xf numFmtId="0" fontId="8" fillId="0" borderId="0" xfId="0" applyFont="1" applyAlignment="1">
      <alignment horizontal="center"/>
    </xf>
    <xf numFmtId="0" fontId="62" fillId="10" borderId="0" xfId="0" applyFont="1" applyFill="1"/>
    <xf numFmtId="0" fontId="63" fillId="2" borderId="0" xfId="1" applyFont="1" applyFill="1" applyAlignment="1">
      <alignment vertical="center"/>
    </xf>
    <xf numFmtId="0" fontId="0" fillId="0" borderId="4" xfId="0" applyBorder="1"/>
    <xf numFmtId="0" fontId="0" fillId="0" borderId="6" xfId="0" applyBorder="1"/>
    <xf numFmtId="0" fontId="0" fillId="0" borderId="9" xfId="0" applyBorder="1"/>
    <xf numFmtId="0" fontId="3" fillId="12" borderId="7" xfId="0" applyFont="1" applyFill="1" applyBorder="1" applyAlignment="1">
      <alignment horizontal="center" vertical="center"/>
    </xf>
    <xf numFmtId="0" fontId="21" fillId="0" borderId="17" xfId="1" applyFont="1" applyBorder="1" applyAlignment="1">
      <alignment horizontal="center" vertical="center" wrapText="1"/>
    </xf>
    <xf numFmtId="14" fontId="10" fillId="0" borderId="0" xfId="0" applyNumberFormat="1" applyFont="1" applyAlignment="1">
      <alignment horizontal="center"/>
    </xf>
    <xf numFmtId="0" fontId="8" fillId="12" borderId="0" xfId="0" applyFont="1" applyFill="1" applyAlignment="1">
      <alignment horizontal="center"/>
    </xf>
    <xf numFmtId="14" fontId="10" fillId="12" borderId="0" xfId="0" applyNumberFormat="1" applyFont="1" applyFill="1" applyAlignment="1">
      <alignment horizontal="center"/>
    </xf>
    <xf numFmtId="0" fontId="8" fillId="0" borderId="45" xfId="0" applyFont="1" applyBorder="1" applyAlignment="1">
      <alignment horizontal="left" wrapText="1"/>
    </xf>
    <xf numFmtId="0" fontId="64" fillId="10" borderId="0" xfId="0" applyFont="1" applyFill="1"/>
    <xf numFmtId="14" fontId="64" fillId="10" borderId="0" xfId="0" applyNumberFormat="1" applyFont="1" applyFill="1"/>
    <xf numFmtId="0" fontId="22" fillId="11" borderId="20" xfId="1" applyFont="1" applyFill="1" applyBorder="1" applyAlignment="1">
      <alignment horizontal="left" vertical="center"/>
    </xf>
    <xf numFmtId="0" fontId="65" fillId="0" borderId="49" xfId="0" applyFont="1" applyBorder="1"/>
    <xf numFmtId="0" fontId="7" fillId="0" borderId="49" xfId="0" applyFont="1" applyBorder="1"/>
    <xf numFmtId="0" fontId="10" fillId="10" borderId="0" xfId="0" applyFont="1" applyFill="1" applyAlignment="1">
      <alignment horizontal="center"/>
    </xf>
    <xf numFmtId="0" fontId="6" fillId="0" borderId="45" xfId="0" applyFont="1" applyBorder="1" applyAlignment="1">
      <alignment horizontal="left" wrapText="1"/>
    </xf>
    <xf numFmtId="0" fontId="6" fillId="14" borderId="0" xfId="0" applyFont="1" applyFill="1"/>
    <xf numFmtId="0" fontId="6" fillId="7" borderId="0" xfId="0" applyFont="1" applyFill="1"/>
    <xf numFmtId="0" fontId="10" fillId="7" borderId="1" xfId="0" applyNumberFormat="1" applyFont="1" applyFill="1" applyBorder="1" applyAlignment="1">
      <alignment horizontal="center"/>
    </xf>
    <xf numFmtId="0" fontId="10" fillId="7" borderId="3" xfId="0" applyNumberFormat="1" applyFont="1" applyFill="1" applyBorder="1" applyAlignment="1">
      <alignment horizontal="center"/>
    </xf>
    <xf numFmtId="0" fontId="6" fillId="7" borderId="3" xfId="0" applyNumberFormat="1" applyFont="1" applyFill="1" applyBorder="1" applyAlignment="1">
      <alignment horizontal="center"/>
    </xf>
    <xf numFmtId="0" fontId="10" fillId="0" borderId="45" xfId="0" applyFont="1" applyFill="1" applyBorder="1" applyAlignment="1">
      <alignment horizontal="left" wrapText="1"/>
    </xf>
    <xf numFmtId="0" fontId="10" fillId="7" borderId="44" xfId="0" applyNumberFormat="1" applyFont="1" applyFill="1" applyBorder="1" applyAlignment="1">
      <alignment horizontal="center"/>
    </xf>
    <xf numFmtId="0" fontId="66" fillId="9" borderId="15" xfId="1" applyFont="1" applyFill="1" applyBorder="1" applyAlignment="1">
      <alignment horizontal="right" vertical="center"/>
    </xf>
    <xf numFmtId="0" fontId="39" fillId="22" borderId="0" xfId="1" applyFont="1" applyFill="1" applyAlignment="1">
      <alignment vertical="center" wrapText="1"/>
    </xf>
    <xf numFmtId="0" fontId="45" fillId="23" borderId="0" xfId="0" applyFont="1" applyFill="1" applyAlignment="1">
      <alignment vertical="center" readingOrder="1"/>
    </xf>
    <xf numFmtId="0" fontId="46" fillId="23" borderId="0" xfId="0" applyFont="1" applyFill="1" applyAlignment="1">
      <alignment horizontal="left" vertical="center" readingOrder="1"/>
    </xf>
    <xf numFmtId="0" fontId="47" fillId="23" borderId="0" xfId="0" applyFont="1" applyFill="1" applyAlignment="1">
      <alignment horizontal="left" vertical="center" readingOrder="1"/>
    </xf>
    <xf numFmtId="0" fontId="45" fillId="23" borderId="0" xfId="0" applyFont="1" applyFill="1" applyAlignment="1">
      <alignment horizontal="center" vertical="center" readingOrder="1"/>
    </xf>
    <xf numFmtId="0" fontId="22" fillId="23" borderId="32" xfId="0" applyFont="1" applyFill="1" applyBorder="1" applyAlignment="1">
      <alignment vertical="center" readingOrder="1"/>
    </xf>
    <xf numFmtId="0" fontId="48" fillId="23" borderId="0" xfId="0" applyFont="1" applyFill="1" applyAlignment="1">
      <alignment vertical="center" readingOrder="1"/>
    </xf>
    <xf numFmtId="0" fontId="48" fillId="23" borderId="0" xfId="0" applyFont="1" applyFill="1" applyAlignment="1">
      <alignment horizontal="center" vertical="center"/>
    </xf>
    <xf numFmtId="0" fontId="48" fillId="23" borderId="0" xfId="0" applyFont="1" applyFill="1" applyAlignment="1">
      <alignment horizontal="left" vertical="center" readingOrder="1"/>
    </xf>
    <xf numFmtId="0" fontId="48" fillId="23" borderId="32" xfId="0" applyFont="1" applyFill="1" applyBorder="1" applyAlignment="1">
      <alignment horizontal="center" vertical="center" wrapText="1" readingOrder="1"/>
    </xf>
    <xf numFmtId="0" fontId="48" fillId="23" borderId="0" xfId="0" applyFont="1" applyFill="1" applyAlignment="1">
      <alignment horizontal="center" vertical="center" wrapText="1" readingOrder="1"/>
    </xf>
    <xf numFmtId="0" fontId="48" fillId="23" borderId="33" xfId="0" applyFont="1" applyFill="1" applyBorder="1" applyAlignment="1">
      <alignment horizontal="center" vertical="top"/>
    </xf>
    <xf numFmtId="0" fontId="67" fillId="23" borderId="0" xfId="0" applyFont="1" applyFill="1" applyAlignment="1">
      <alignment horizontal="right" vertical="center" readingOrder="1"/>
    </xf>
    <xf numFmtId="0" fontId="68" fillId="0" borderId="34" xfId="0" applyFont="1" applyBorder="1" applyAlignment="1">
      <alignment horizontal="center"/>
    </xf>
    <xf numFmtId="0" fontId="68" fillId="0" borderId="35" xfId="0" applyFont="1" applyBorder="1" applyAlignment="1">
      <alignment horizontal="center"/>
    </xf>
    <xf numFmtId="0" fontId="68" fillId="0" borderId="36" xfId="0" applyFont="1" applyBorder="1" applyAlignment="1">
      <alignment horizontal="center"/>
    </xf>
    <xf numFmtId="0" fontId="10" fillId="7" borderId="4" xfId="0" applyNumberFormat="1" applyFont="1" applyFill="1" applyBorder="1" applyAlignment="1">
      <alignment horizontal="center"/>
    </xf>
    <xf numFmtId="0" fontId="10" fillId="7" borderId="55" xfId="0" applyNumberFormat="1" applyFont="1" applyFill="1" applyBorder="1" applyAlignment="1">
      <alignment horizontal="center"/>
    </xf>
    <xf numFmtId="0" fontId="6" fillId="7" borderId="55" xfId="0" applyNumberFormat="1" applyFont="1" applyFill="1" applyBorder="1" applyAlignment="1">
      <alignment horizontal="center"/>
    </xf>
    <xf numFmtId="0" fontId="6" fillId="0" borderId="51" xfId="0" applyFont="1" applyBorder="1" applyAlignment="1">
      <alignment horizontal="left" wrapText="1"/>
    </xf>
    <xf numFmtId="0" fontId="8" fillId="0" borderId="51" xfId="0" applyFont="1" applyBorder="1" applyAlignment="1">
      <alignment horizontal="left" wrapText="1"/>
    </xf>
    <xf numFmtId="0" fontId="10" fillId="0" borderId="51" xfId="0" applyFont="1" applyFill="1" applyBorder="1" applyAlignment="1">
      <alignment horizontal="left" wrapText="1"/>
    </xf>
    <xf numFmtId="0" fontId="10" fillId="7" borderId="56" xfId="0" applyNumberFormat="1" applyFont="1" applyFill="1" applyBorder="1" applyAlignment="1">
      <alignment horizontal="center"/>
    </xf>
    <xf numFmtId="0" fontId="0" fillId="0" borderId="0" xfId="0" applyNumberFormat="1"/>
    <xf numFmtId="0" fontId="0" fillId="0" borderId="0" xfId="0" applyBorder="1" applyAlignment="1">
      <alignment horizontal="center"/>
    </xf>
    <xf numFmtId="0" fontId="10" fillId="0" borderId="0" xfId="0" applyFont="1" applyBorder="1"/>
    <xf numFmtId="0" fontId="10" fillId="0" borderId="0" xfId="0" applyFont="1" applyBorder="1" applyAlignment="1">
      <alignment horizontal="center"/>
    </xf>
    <xf numFmtId="0" fontId="10" fillId="8" borderId="0" xfId="0" applyFont="1" applyFill="1" applyBorder="1" applyAlignment="1">
      <alignment wrapText="1"/>
    </xf>
    <xf numFmtId="0" fontId="10" fillId="10" borderId="0" xfId="0" applyFont="1" applyFill="1" applyBorder="1"/>
    <xf numFmtId="0" fontId="10" fillId="0" borderId="0" xfId="0" applyFont="1" applyFill="1" applyAlignment="1">
      <alignment horizontal="center"/>
    </xf>
    <xf numFmtId="0" fontId="10" fillId="0" borderId="0" xfId="0" applyFont="1" applyFill="1"/>
    <xf numFmtId="14" fontId="10" fillId="0" borderId="0" xfId="0" applyNumberFormat="1" applyFont="1" applyFill="1" applyAlignment="1">
      <alignment horizontal="center"/>
    </xf>
    <xf numFmtId="0" fontId="11" fillId="0" borderId="0" xfId="0" applyFont="1" applyBorder="1" applyAlignment="1">
      <alignment horizontal="center"/>
    </xf>
    <xf numFmtId="0" fontId="55" fillId="0" borderId="0" xfId="0" applyFont="1" applyFill="1"/>
    <xf numFmtId="0" fontId="69" fillId="10" borderId="0" xfId="1" applyFont="1" applyFill="1"/>
    <xf numFmtId="0" fontId="1" fillId="10" borderId="0" xfId="1" applyFill="1"/>
    <xf numFmtId="0" fontId="39" fillId="22" borderId="0" xfId="1" applyFont="1" applyFill="1" applyAlignment="1" applyProtection="1">
      <alignment vertical="center" wrapText="1"/>
    </xf>
    <xf numFmtId="0" fontId="1" fillId="0" borderId="0" xfId="1" applyProtection="1"/>
    <xf numFmtId="0" fontId="41" fillId="9" borderId="13" xfId="1" applyFont="1" applyFill="1" applyBorder="1" applyAlignment="1" applyProtection="1">
      <alignment vertical="center"/>
    </xf>
    <xf numFmtId="0" fontId="19" fillId="9" borderId="14" xfId="1" applyFont="1" applyFill="1" applyBorder="1" applyAlignment="1" applyProtection="1">
      <alignment vertical="center"/>
    </xf>
    <xf numFmtId="0" fontId="19" fillId="9" borderId="14" xfId="1" applyFont="1" applyFill="1" applyBorder="1" applyAlignment="1" applyProtection="1">
      <alignment horizontal="right" vertical="center"/>
    </xf>
    <xf numFmtId="0" fontId="50" fillId="9" borderId="14" xfId="1" applyFont="1" applyFill="1" applyBorder="1" applyAlignment="1" applyProtection="1">
      <alignment horizontal="center" vertical="center"/>
    </xf>
    <xf numFmtId="0" fontId="41" fillId="9" borderId="14" xfId="1" applyFont="1" applyFill="1" applyBorder="1" applyAlignment="1" applyProtection="1">
      <alignment vertical="center"/>
    </xf>
    <xf numFmtId="0" fontId="66" fillId="9" borderId="15" xfId="1" applyFont="1" applyFill="1" applyBorder="1" applyAlignment="1" applyProtection="1">
      <alignment horizontal="righ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1" fillId="2" borderId="0" xfId="1" applyFont="1" applyFill="1" applyAlignment="1" applyProtection="1">
      <alignment horizontal="right" vertical="center" indent="1"/>
    </xf>
    <xf numFmtId="0" fontId="63" fillId="2" borderId="0" xfId="1" applyFont="1" applyFill="1" applyAlignment="1" applyProtection="1">
      <alignment vertical="center"/>
    </xf>
    <xf numFmtId="0" fontId="20" fillId="2" borderId="0" xfId="1" applyFont="1" applyFill="1" applyAlignment="1" applyProtection="1">
      <alignment vertical="center"/>
    </xf>
    <xf numFmtId="14" fontId="21" fillId="2" borderId="0" xfId="1" applyNumberFormat="1" applyFont="1" applyFill="1" applyAlignment="1" applyProtection="1">
      <alignmen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1" fillId="2" borderId="0" xfId="1" applyFont="1" applyFill="1" applyAlignment="1" applyProtection="1">
      <alignment horizontal="left" vertical="center" wrapText="1"/>
    </xf>
    <xf numFmtId="0" fontId="21" fillId="0" borderId="0" xfId="1" applyFont="1" applyAlignment="1" applyProtection="1">
      <alignment vertical="top" wrapText="1"/>
    </xf>
    <xf numFmtId="0" fontId="22" fillId="11" borderId="0" xfId="1" applyFont="1" applyFill="1" applyAlignment="1" applyProtection="1">
      <alignment horizontal="center" vertical="center"/>
    </xf>
    <xf numFmtId="0" fontId="22" fillId="11" borderId="0" xfId="1" applyFont="1" applyFill="1" applyAlignment="1" applyProtection="1">
      <alignment horizontal="left" vertical="center" indent="1"/>
    </xf>
    <xf numFmtId="0" fontId="22" fillId="11" borderId="0" xfId="1" applyFont="1" applyFill="1" applyAlignment="1" applyProtection="1">
      <alignment vertical="center"/>
    </xf>
    <xf numFmtId="0" fontId="22" fillId="11" borderId="20" xfId="1" applyFont="1" applyFill="1" applyBorder="1" applyAlignment="1" applyProtection="1">
      <alignment horizontal="left" vertical="center"/>
    </xf>
    <xf numFmtId="0" fontId="22" fillId="11" borderId="0" xfId="1" applyFont="1" applyFill="1" applyAlignment="1" applyProtection="1">
      <alignment horizontal="left" vertical="center"/>
    </xf>
    <xf numFmtId="0" fontId="22" fillId="11" borderId="16" xfId="1" applyFont="1" applyFill="1" applyBorder="1" applyAlignment="1" applyProtection="1">
      <alignment horizontal="left" vertical="center"/>
    </xf>
    <xf numFmtId="0" fontId="23" fillId="2" borderId="0" xfId="1" applyFont="1" applyFill="1" applyAlignment="1" applyProtection="1">
      <alignment vertical="center"/>
    </xf>
    <xf numFmtId="0" fontId="24" fillId="2" borderId="0" xfId="1" applyFont="1" applyFill="1" applyAlignment="1" applyProtection="1">
      <alignment vertical="center"/>
    </xf>
    <xf numFmtId="0" fontId="22" fillId="11" borderId="0" xfId="1" applyFont="1" applyFill="1" applyAlignment="1" applyProtection="1">
      <alignment horizontal="center" vertical="center" wrapText="1"/>
    </xf>
    <xf numFmtId="0" fontId="22" fillId="11" borderId="20" xfId="1" applyFont="1" applyFill="1" applyBorder="1" applyAlignment="1" applyProtection="1">
      <alignment horizontal="center" vertical="center" wrapText="1"/>
    </xf>
    <xf numFmtId="0" fontId="22" fillId="11" borderId="16" xfId="1" applyFont="1" applyFill="1" applyBorder="1" applyAlignment="1" applyProtection="1">
      <alignment horizontal="center" vertical="center" wrapText="1"/>
    </xf>
    <xf numFmtId="0" fontId="21" fillId="2" borderId="17" xfId="1" applyFont="1" applyFill="1" applyBorder="1" applyAlignment="1" applyProtection="1">
      <alignment horizontal="center" vertical="center" wrapText="1"/>
    </xf>
    <xf numFmtId="0" fontId="21" fillId="2" borderId="18" xfId="1" applyFont="1" applyFill="1" applyBorder="1" applyAlignment="1" applyProtection="1">
      <alignment horizontal="center" vertical="center" wrapText="1"/>
    </xf>
    <xf numFmtId="0" fontId="21" fillId="2" borderId="18" xfId="1" applyFont="1" applyFill="1" applyBorder="1" applyAlignment="1" applyProtection="1">
      <alignment vertical="center" wrapText="1"/>
    </xf>
    <xf numFmtId="0" fontId="24" fillId="2" borderId="18" xfId="1" applyFont="1" applyFill="1" applyBorder="1" applyAlignment="1" applyProtection="1">
      <alignment horizontal="center" vertical="center" wrapText="1"/>
    </xf>
    <xf numFmtId="0" fontId="21" fillId="2" borderId="21" xfId="1" applyFont="1" applyFill="1" applyBorder="1" applyAlignment="1" applyProtection="1">
      <alignment horizontal="center" vertical="center" wrapText="1"/>
    </xf>
    <xf numFmtId="0" fontId="21" fillId="2" borderId="22" xfId="1" applyFont="1" applyFill="1" applyBorder="1" applyAlignment="1" applyProtection="1">
      <alignment horizontal="center" vertical="center" wrapText="1"/>
    </xf>
    <xf numFmtId="0" fontId="25" fillId="0" borderId="0" xfId="1" applyFont="1" applyAlignment="1" applyProtection="1">
      <alignment horizontal="left" vertical="top" wrapText="1"/>
    </xf>
    <xf numFmtId="0" fontId="23" fillId="2" borderId="0" xfId="1" applyFont="1" applyFill="1" applyAlignment="1" applyProtection="1">
      <alignment wrapText="1"/>
    </xf>
    <xf numFmtId="0" fontId="24" fillId="2" borderId="0" xfId="1" applyFont="1" applyFill="1" applyAlignment="1" applyProtection="1">
      <alignment wrapText="1"/>
    </xf>
    <xf numFmtId="0" fontId="21" fillId="0" borderId="17" xfId="1" applyFont="1" applyBorder="1" applyAlignment="1" applyProtection="1">
      <alignment horizontal="center" vertical="center" wrapText="1"/>
    </xf>
    <xf numFmtId="0" fontId="21" fillId="0" borderId="19" xfId="1" applyFont="1" applyBorder="1" applyAlignment="1" applyProtection="1">
      <alignment horizontal="center" vertical="center" wrapText="1"/>
    </xf>
    <xf numFmtId="0" fontId="21" fillId="9" borderId="11" xfId="1" applyFont="1" applyFill="1" applyBorder="1" applyAlignment="1" applyProtection="1">
      <alignment horizontal="center" vertical="center" wrapText="1"/>
    </xf>
    <xf numFmtId="0" fontId="21" fillId="9" borderId="0" xfId="1" applyFont="1" applyFill="1" applyAlignment="1" applyProtection="1">
      <alignment horizontal="center" vertical="center" wrapText="1"/>
    </xf>
    <xf numFmtId="0" fontId="21" fillId="9" borderId="0" xfId="1" applyFont="1" applyFill="1" applyAlignment="1" applyProtection="1">
      <alignment vertical="center" wrapText="1"/>
    </xf>
    <xf numFmtId="0" fontId="24" fillId="9" borderId="0" xfId="1" applyFont="1" applyFill="1" applyAlignment="1" applyProtection="1">
      <alignment horizontal="left" vertical="center" wrapText="1"/>
    </xf>
    <xf numFmtId="0" fontId="21" fillId="9" borderId="20" xfId="1" applyFont="1" applyFill="1" applyBorder="1" applyAlignment="1" applyProtection="1">
      <alignment horizontal="center" vertical="center" wrapText="1"/>
    </xf>
    <xf numFmtId="0" fontId="21" fillId="9" borderId="16" xfId="1" applyFont="1" applyFill="1" applyBorder="1" applyAlignment="1" applyProtection="1">
      <alignment horizontal="center" vertical="center" wrapText="1"/>
    </xf>
    <xf numFmtId="0" fontId="25" fillId="0" borderId="0" xfId="1" applyFont="1" applyAlignment="1" applyProtection="1">
      <alignment vertical="center" wrapText="1"/>
    </xf>
    <xf numFmtId="0" fontId="21" fillId="0" borderId="18" xfId="1" applyFont="1" applyBorder="1" applyAlignment="1" applyProtection="1">
      <alignment horizontal="center" vertical="center" wrapText="1"/>
    </xf>
    <xf numFmtId="0" fontId="21" fillId="0" borderId="21" xfId="1" applyFont="1" applyBorder="1" applyAlignment="1" applyProtection="1">
      <alignment horizontal="center" vertical="center" wrapText="1"/>
    </xf>
    <xf numFmtId="0" fontId="21" fillId="0" borderId="22" xfId="1" applyFont="1" applyBorder="1" applyAlignment="1" applyProtection="1">
      <alignment horizontal="center" vertical="center" wrapText="1"/>
    </xf>
    <xf numFmtId="0" fontId="23" fillId="2" borderId="0" xfId="1" applyFont="1" applyFill="1" applyProtection="1"/>
    <xf numFmtId="0" fontId="24" fillId="2" borderId="0" xfId="1" applyFont="1" applyFill="1" applyProtection="1"/>
    <xf numFmtId="0" fontId="21" fillId="0" borderId="18" xfId="1" applyFont="1" applyBorder="1" applyAlignment="1" applyProtection="1">
      <alignment horizontal="left" vertical="center" wrapText="1"/>
    </xf>
    <xf numFmtId="0" fontId="22" fillId="11" borderId="0" xfId="1" applyFont="1" applyFill="1" applyAlignment="1" applyProtection="1">
      <alignment horizontal="left" vertical="center" wrapText="1"/>
    </xf>
    <xf numFmtId="0" fontId="21" fillId="0" borderId="18" xfId="1" applyFont="1" applyBorder="1" applyAlignment="1" applyProtection="1">
      <alignment vertical="center" wrapText="1"/>
    </xf>
    <xf numFmtId="0" fontId="32" fillId="2" borderId="0" xfId="1" applyFont="1" applyFill="1" applyAlignment="1" applyProtection="1">
      <alignment horizontal="left" vertical="center" wrapText="1"/>
    </xf>
    <xf numFmtId="0" fontId="33" fillId="2" borderId="0" xfId="1" applyFont="1" applyFill="1" applyAlignment="1" applyProtection="1">
      <alignment horizontal="left" vertical="center" wrapText="1"/>
    </xf>
    <xf numFmtId="0" fontId="34" fillId="2" borderId="0" xfId="1" applyFont="1" applyFill="1" applyAlignment="1" applyProtection="1">
      <alignment vertical="center"/>
    </xf>
    <xf numFmtId="0" fontId="35" fillId="2" borderId="0" xfId="1" applyFont="1" applyFill="1" applyProtection="1"/>
    <xf numFmtId="0" fontId="12" fillId="2" borderId="0" xfId="1" applyFont="1" applyFill="1" applyProtection="1"/>
    <xf numFmtId="0" fontId="45" fillId="23" borderId="0" xfId="0" applyFont="1" applyFill="1" applyAlignment="1" applyProtection="1">
      <alignment vertical="center" readingOrder="1"/>
    </xf>
    <xf numFmtId="0" fontId="46" fillId="23" borderId="0" xfId="0" applyFont="1" applyFill="1" applyAlignment="1" applyProtection="1">
      <alignment horizontal="left" vertical="center" readingOrder="1"/>
    </xf>
    <xf numFmtId="0" fontId="47" fillId="23" borderId="0" xfId="0" applyFont="1" applyFill="1" applyAlignment="1" applyProtection="1">
      <alignment horizontal="left" vertical="center" readingOrder="1"/>
    </xf>
    <xf numFmtId="0" fontId="45" fillId="23" borderId="0" xfId="0" applyFont="1" applyFill="1" applyAlignment="1" applyProtection="1">
      <alignment horizontal="center" vertical="center" readingOrder="1"/>
    </xf>
    <xf numFmtId="0" fontId="22" fillId="23" borderId="32" xfId="0" applyFont="1" applyFill="1" applyBorder="1" applyAlignment="1" applyProtection="1">
      <alignment vertical="center" readingOrder="1"/>
    </xf>
    <xf numFmtId="0" fontId="48" fillId="23" borderId="0" xfId="0" applyFont="1" applyFill="1" applyAlignment="1" applyProtection="1">
      <alignment vertical="center" readingOrder="1"/>
    </xf>
    <xf numFmtId="0" fontId="67" fillId="23" borderId="0" xfId="0" applyFont="1" applyFill="1" applyAlignment="1" applyProtection="1">
      <alignment horizontal="right" vertical="center" readingOrder="1"/>
    </xf>
    <xf numFmtId="0" fontId="48" fillId="23" borderId="0" xfId="0" applyFont="1" applyFill="1" applyAlignment="1" applyProtection="1">
      <alignment horizontal="center" vertical="center"/>
    </xf>
    <xf numFmtId="0" fontId="48" fillId="23" borderId="0" xfId="0" applyFont="1" applyFill="1" applyAlignment="1" applyProtection="1">
      <alignment horizontal="left" vertical="center" readingOrder="1"/>
    </xf>
    <xf numFmtId="0" fontId="48" fillId="23" borderId="32" xfId="0" applyFont="1" applyFill="1" applyBorder="1" applyAlignment="1" applyProtection="1">
      <alignment horizontal="center" vertical="center" wrapText="1" readingOrder="1"/>
    </xf>
    <xf numFmtId="0" fontId="48" fillId="23" borderId="0" xfId="0" applyFont="1" applyFill="1" applyAlignment="1" applyProtection="1">
      <alignment horizontal="center" vertical="center" wrapText="1" readingOrder="1"/>
    </xf>
    <xf numFmtId="0" fontId="48" fillId="23" borderId="33" xfId="0" applyFont="1" applyFill="1" applyBorder="1" applyAlignment="1" applyProtection="1">
      <alignment horizontal="center" vertical="top"/>
    </xf>
    <xf numFmtId="0" fontId="1" fillId="0" borderId="0" xfId="1" applyAlignment="1" applyProtection="1">
      <alignment horizontal="center" vertical="top"/>
    </xf>
    <xf numFmtId="0" fontId="36" fillId="0" borderId="17" xfId="1" applyFont="1" applyBorder="1" applyAlignment="1" applyProtection="1">
      <alignment horizontal="left" vertical="center"/>
    </xf>
    <xf numFmtId="0" fontId="36" fillId="0" borderId="18" xfId="1" applyFont="1" applyBorder="1" applyAlignment="1" applyProtection="1">
      <alignment horizontal="left" vertical="center"/>
    </xf>
    <xf numFmtId="0" fontId="36" fillId="0" borderId="18" xfId="1" applyFont="1" applyBorder="1" applyAlignment="1" applyProtection="1">
      <alignment vertical="center"/>
    </xf>
    <xf numFmtId="0" fontId="36" fillId="0" borderId="18" xfId="1" applyFont="1" applyBorder="1" applyAlignment="1" applyProtection="1">
      <alignment vertical="center" wrapText="1"/>
    </xf>
    <xf numFmtId="0" fontId="36" fillId="0" borderId="18" xfId="1" applyFont="1" applyBorder="1" applyAlignment="1" applyProtection="1">
      <alignment horizontal="center" vertical="center" wrapText="1"/>
    </xf>
    <xf numFmtId="0" fontId="36" fillId="0" borderId="18" xfId="1" applyFont="1" applyBorder="1" applyAlignment="1" applyProtection="1">
      <alignment horizontal="center" vertical="center"/>
    </xf>
    <xf numFmtId="0" fontId="30" fillId="2" borderId="0" xfId="1" applyFont="1" applyFill="1" applyProtection="1"/>
    <xf numFmtId="0" fontId="31" fillId="2" borderId="0" xfId="1" applyFont="1" applyFill="1" applyProtection="1"/>
    <xf numFmtId="0" fontId="32" fillId="2" borderId="0" xfId="1" applyFont="1" applyFill="1" applyAlignment="1" applyProtection="1">
      <alignment vertical="center"/>
    </xf>
    <xf numFmtId="0" fontId="12" fillId="2" borderId="0" xfId="1" applyFont="1" applyFill="1" applyAlignment="1" applyProtection="1">
      <alignment vertical="center"/>
    </xf>
    <xf numFmtId="0" fontId="34" fillId="2" borderId="0" xfId="1" applyFont="1" applyFill="1" applyAlignment="1" applyProtection="1">
      <alignment horizontal="right" vertical="center"/>
    </xf>
    <xf numFmtId="0" fontId="20" fillId="2" borderId="0" xfId="1" applyFont="1" applyFill="1" applyAlignment="1" applyProtection="1">
      <alignment vertical="center"/>
      <protection locked="0"/>
    </xf>
    <xf numFmtId="0" fontId="20" fillId="2" borderId="0" xfId="1" applyFont="1" applyFill="1" applyAlignment="1" applyProtection="1">
      <alignment horizontal="right" vertical="center"/>
    </xf>
    <xf numFmtId="0" fontId="70" fillId="0" borderId="0" xfId="1" applyFont="1" applyAlignment="1" applyProtection="1">
      <alignment horizontal="right" vertical="center"/>
    </xf>
    <xf numFmtId="0" fontId="41" fillId="23" borderId="0" xfId="0" applyFont="1" applyFill="1" applyAlignment="1" applyProtection="1">
      <alignment horizontal="right" vertical="center" readingOrder="1"/>
    </xf>
    <xf numFmtId="0" fontId="36" fillId="24" borderId="17" xfId="1" applyFont="1" applyFill="1" applyBorder="1" applyAlignment="1" applyProtection="1">
      <alignment horizontal="left" vertical="center"/>
    </xf>
    <xf numFmtId="0" fontId="36" fillId="24" borderId="18" xfId="1" applyFont="1" applyFill="1" applyBorder="1" applyAlignment="1" applyProtection="1">
      <alignment horizontal="center" vertical="center"/>
    </xf>
    <xf numFmtId="0" fontId="36" fillId="24" borderId="18" xfId="1" applyFont="1" applyFill="1" applyBorder="1" applyAlignment="1" applyProtection="1">
      <alignment vertical="center"/>
    </xf>
    <xf numFmtId="0" fontId="42" fillId="24" borderId="18" xfId="1" applyFont="1" applyFill="1" applyBorder="1" applyAlignment="1" applyProtection="1">
      <alignment vertical="center" wrapText="1"/>
    </xf>
    <xf numFmtId="0" fontId="36" fillId="24" borderId="18" xfId="1" applyFont="1" applyFill="1" applyBorder="1" applyAlignment="1" applyProtection="1">
      <alignment vertical="center" wrapText="1"/>
    </xf>
    <xf numFmtId="0" fontId="36" fillId="24" borderId="18" xfId="1" applyFont="1" applyFill="1" applyBorder="1" applyAlignment="1" applyProtection="1">
      <alignment horizontal="center" vertical="center" wrapText="1"/>
    </xf>
    <xf numFmtId="0" fontId="21" fillId="24" borderId="21" xfId="1" applyFont="1" applyFill="1" applyBorder="1" applyAlignment="1" applyProtection="1">
      <alignment horizontal="center" vertical="center" wrapText="1"/>
    </xf>
    <xf numFmtId="0" fontId="21" fillId="24" borderId="18" xfId="1" applyFont="1" applyFill="1" applyBorder="1" applyAlignment="1" applyProtection="1">
      <alignment horizontal="center" vertical="center" wrapText="1"/>
    </xf>
    <xf numFmtId="0" fontId="21" fillId="24" borderId="22" xfId="1" applyFont="1" applyFill="1" applyBorder="1" applyAlignment="1" applyProtection="1">
      <alignment horizontal="center" vertical="center" wrapText="1"/>
    </xf>
    <xf numFmtId="0" fontId="42" fillId="0" borderId="0" xfId="1" applyFont="1" applyFill="1" applyAlignment="1" applyProtection="1">
      <alignment vertical="center"/>
      <protection locked="0"/>
    </xf>
    <xf numFmtId="0" fontId="21" fillId="24" borderId="19" xfId="1" applyFont="1" applyFill="1" applyBorder="1" applyAlignment="1" applyProtection="1">
      <alignment horizontal="center" vertical="center" wrapText="1"/>
      <protection locked="0"/>
    </xf>
    <xf numFmtId="0" fontId="41" fillId="9" borderId="50" xfId="1" applyFont="1" applyFill="1" applyBorder="1" applyAlignment="1" applyProtection="1">
      <alignment vertical="center"/>
    </xf>
    <xf numFmtId="0" fontId="36" fillId="0" borderId="0" xfId="1" applyFont="1" applyAlignment="1" applyProtection="1">
      <alignment horizontal="right" vertical="center" indent="1"/>
    </xf>
    <xf numFmtId="0" fontId="70" fillId="2" borderId="0" xfId="1" applyFont="1" applyFill="1" applyAlignment="1" applyProtection="1">
      <alignment horizontal="right" vertical="center"/>
    </xf>
    <xf numFmtId="0" fontId="25" fillId="0" borderId="0" xfId="1" applyFont="1" applyAlignment="1" applyProtection="1">
      <alignment horizontal="center" vertical="center" wrapText="1"/>
    </xf>
    <xf numFmtId="0" fontId="21" fillId="14" borderId="17" xfId="1" applyFont="1" applyFill="1" applyBorder="1" applyAlignment="1" applyProtection="1">
      <alignment horizontal="center" vertical="center" wrapText="1"/>
    </xf>
    <xf numFmtId="0" fontId="21" fillId="14" borderId="18" xfId="1" applyFont="1" applyFill="1" applyBorder="1" applyAlignment="1" applyProtection="1">
      <alignment horizontal="center" vertical="center" wrapText="1"/>
    </xf>
    <xf numFmtId="0" fontId="21" fillId="14" borderId="18" xfId="1" applyFont="1" applyFill="1" applyBorder="1" applyAlignment="1" applyProtection="1">
      <alignment vertical="center" wrapText="1"/>
    </xf>
    <xf numFmtId="0" fontId="24" fillId="14" borderId="18" xfId="1" applyFont="1" applyFill="1" applyBorder="1" applyAlignment="1" applyProtection="1">
      <alignment horizontal="center" vertical="center" wrapText="1"/>
    </xf>
    <xf numFmtId="0" fontId="21" fillId="14" borderId="21" xfId="1" applyFont="1" applyFill="1" applyBorder="1" applyAlignment="1" applyProtection="1">
      <alignment horizontal="center" vertical="center" wrapText="1"/>
    </xf>
    <xf numFmtId="0" fontId="21" fillId="14" borderId="22" xfId="1" applyFont="1" applyFill="1" applyBorder="1" applyAlignment="1" applyProtection="1">
      <alignment horizontal="center" vertical="center" wrapText="1"/>
    </xf>
    <xf numFmtId="0" fontId="25" fillId="14" borderId="0" xfId="1" applyFont="1" applyFill="1" applyAlignment="1" applyProtection="1">
      <alignment horizontal="center" vertical="center" wrapText="1"/>
    </xf>
    <xf numFmtId="0" fontId="21" fillId="7" borderId="17" xfId="1" applyFont="1" applyFill="1" applyBorder="1" applyAlignment="1" applyProtection="1">
      <alignment horizontal="center" vertical="center" wrapText="1"/>
    </xf>
    <xf numFmtId="0" fontId="21" fillId="7" borderId="18" xfId="1" applyFont="1" applyFill="1" applyBorder="1" applyAlignment="1" applyProtection="1">
      <alignment horizontal="center" vertical="center" wrapText="1"/>
    </xf>
    <xf numFmtId="0" fontId="21" fillId="7" borderId="18" xfId="1" applyFont="1" applyFill="1" applyBorder="1" applyAlignment="1" applyProtection="1">
      <alignment horizontal="left" vertical="center" wrapText="1"/>
    </xf>
    <xf numFmtId="0" fontId="24" fillId="7" borderId="18" xfId="1" applyFont="1" applyFill="1" applyBorder="1" applyAlignment="1" applyProtection="1">
      <alignment horizontal="center" vertical="center" wrapText="1"/>
    </xf>
    <xf numFmtId="0" fontId="21" fillId="7" borderId="21" xfId="1" applyFont="1" applyFill="1" applyBorder="1" applyAlignment="1" applyProtection="1">
      <alignment horizontal="center" vertical="center" wrapText="1"/>
    </xf>
    <xf numFmtId="0" fontId="21" fillId="7" borderId="22" xfId="1" applyFont="1" applyFill="1" applyBorder="1" applyAlignment="1" applyProtection="1">
      <alignment horizontal="center" vertical="center" wrapText="1"/>
    </xf>
    <xf numFmtId="0" fontId="25" fillId="7" borderId="0" xfId="1" applyFont="1" applyFill="1" applyAlignment="1" applyProtection="1">
      <alignment horizontal="center" vertical="center" wrapText="1"/>
    </xf>
    <xf numFmtId="0" fontId="22" fillId="11" borderId="53" xfId="1" applyFont="1" applyFill="1" applyBorder="1" applyAlignment="1" applyProtection="1">
      <alignment horizontal="center" vertical="center" wrapText="1"/>
    </xf>
    <xf numFmtId="0" fontId="22" fillId="11" borderId="54" xfId="1" applyFont="1" applyFill="1" applyBorder="1" applyAlignment="1" applyProtection="1">
      <alignment horizontal="center" vertical="center" wrapText="1"/>
    </xf>
    <xf numFmtId="0" fontId="23" fillId="2" borderId="0" xfId="1" applyFont="1" applyFill="1" applyAlignment="1" applyProtection="1">
      <alignment horizontal="center" vertical="center"/>
    </xf>
    <xf numFmtId="0" fontId="21" fillId="14" borderId="18" xfId="1" applyFont="1" applyFill="1" applyBorder="1" applyAlignment="1" applyProtection="1">
      <alignment horizontal="left" vertical="center" wrapText="1"/>
    </xf>
    <xf numFmtId="0" fontId="35" fillId="2" borderId="0" xfId="1" applyFont="1" applyFill="1" applyAlignment="1" applyProtection="1">
      <alignment horizontal="center" vertical="center"/>
    </xf>
    <xf numFmtId="0" fontId="1" fillId="0" borderId="0" xfId="1" applyAlignment="1" applyProtection="1">
      <alignment horizontal="center" vertical="center"/>
    </xf>
    <xf numFmtId="0" fontId="36" fillId="14" borderId="17" xfId="1" applyFont="1" applyFill="1" applyBorder="1" applyAlignment="1" applyProtection="1">
      <alignment horizontal="left" vertical="center"/>
    </xf>
    <xf numFmtId="0" fontId="36" fillId="14" borderId="18" xfId="1" applyFont="1" applyFill="1" applyBorder="1" applyAlignment="1" applyProtection="1">
      <alignment horizontal="left" vertical="center"/>
    </xf>
    <xf numFmtId="0" fontId="36" fillId="14" borderId="18" xfId="1" applyFont="1" applyFill="1" applyBorder="1" applyAlignment="1" applyProtection="1">
      <alignment vertical="center"/>
    </xf>
    <xf numFmtId="0" fontId="36" fillId="14" borderId="18" xfId="1" applyFont="1" applyFill="1" applyBorder="1" applyAlignment="1" applyProtection="1">
      <alignment vertical="center" wrapText="1"/>
    </xf>
    <xf numFmtId="0" fontId="36" fillId="14" borderId="18" xfId="1" applyFont="1" applyFill="1" applyBorder="1" applyAlignment="1" applyProtection="1">
      <alignment horizontal="center" vertical="center" wrapText="1"/>
    </xf>
    <xf numFmtId="0" fontId="36" fillId="7" borderId="17" xfId="1" applyFont="1" applyFill="1" applyBorder="1" applyAlignment="1" applyProtection="1">
      <alignment horizontal="left" vertical="center"/>
    </xf>
    <xf numFmtId="0" fontId="36" fillId="7" borderId="18" xfId="1" applyFont="1" applyFill="1" applyBorder="1" applyAlignment="1" applyProtection="1">
      <alignment horizontal="left" vertical="center"/>
    </xf>
    <xf numFmtId="0" fontId="36" fillId="7" borderId="18" xfId="1" applyFont="1" applyFill="1" applyBorder="1" applyAlignment="1" applyProtection="1">
      <alignment vertical="center"/>
    </xf>
    <xf numFmtId="0" fontId="36" fillId="7" borderId="18" xfId="1" applyFont="1" applyFill="1" applyBorder="1" applyAlignment="1" applyProtection="1">
      <alignment vertical="center" wrapText="1"/>
    </xf>
    <xf numFmtId="0" fontId="36" fillId="7" borderId="18" xfId="1" applyFont="1" applyFill="1" applyBorder="1" applyAlignment="1" applyProtection="1">
      <alignment horizontal="center" vertical="center" wrapText="1"/>
    </xf>
    <xf numFmtId="0" fontId="36" fillId="7" borderId="18" xfId="1" applyFont="1" applyFill="1" applyBorder="1" applyAlignment="1" applyProtection="1">
      <alignment horizontal="center" vertical="center"/>
    </xf>
    <xf numFmtId="0" fontId="42" fillId="14" borderId="0" xfId="1" applyFont="1" applyFill="1" applyAlignment="1" applyProtection="1">
      <alignment vertical="center"/>
      <protection locked="0"/>
    </xf>
    <xf numFmtId="0" fontId="42" fillId="7" borderId="0" xfId="1" applyFont="1" applyFill="1" applyAlignment="1" applyProtection="1">
      <alignment vertical="center" wrapText="1"/>
      <protection locked="0"/>
    </xf>
    <xf numFmtId="0" fontId="8" fillId="0" borderId="49" xfId="0" applyFont="1" applyBorder="1"/>
    <xf numFmtId="0" fontId="65" fillId="0" borderId="52" xfId="0" applyFont="1" applyBorder="1"/>
    <xf numFmtId="0" fontId="7" fillId="0" borderId="52" xfId="0" applyFont="1" applyBorder="1"/>
    <xf numFmtId="0" fontId="42" fillId="2" borderId="0" xfId="1" applyFont="1" applyFill="1" applyAlignment="1" applyProtection="1">
      <alignment vertical="center"/>
    </xf>
    <xf numFmtId="0" fontId="61" fillId="19" borderId="0" xfId="1" applyFont="1" applyFill="1" applyAlignment="1" applyProtection="1">
      <alignment vertical="center"/>
    </xf>
    <xf numFmtId="0" fontId="57" fillId="2" borderId="0" xfId="1" applyFont="1" applyFill="1" applyAlignment="1" applyProtection="1">
      <alignment horizontal="right" vertical="center"/>
    </xf>
    <xf numFmtId="0" fontId="36" fillId="19" borderId="17" xfId="1" applyFont="1" applyFill="1" applyBorder="1" applyAlignment="1" applyProtection="1">
      <alignment horizontal="center" vertical="center" wrapText="1"/>
    </xf>
    <xf numFmtId="0" fontId="21" fillId="19" borderId="18" xfId="1" applyFont="1" applyFill="1" applyBorder="1" applyAlignment="1" applyProtection="1">
      <alignment horizontal="center" vertical="center" wrapText="1"/>
    </xf>
    <xf numFmtId="0" fontId="21" fillId="19" borderId="18" xfId="1" applyFont="1" applyFill="1" applyBorder="1" applyAlignment="1" applyProtection="1">
      <alignment horizontal="left" vertical="center" wrapText="1"/>
    </xf>
    <xf numFmtId="0" fontId="24" fillId="19" borderId="18" xfId="1" applyFont="1" applyFill="1" applyBorder="1" applyAlignment="1" applyProtection="1">
      <alignment horizontal="center" vertical="center" wrapText="1"/>
    </xf>
    <xf numFmtId="0" fontId="21" fillId="19" borderId="21" xfId="1" applyFont="1" applyFill="1" applyBorder="1" applyAlignment="1" applyProtection="1">
      <alignment horizontal="center" vertical="center" wrapText="1"/>
    </xf>
    <xf numFmtId="0" fontId="21" fillId="19" borderId="22" xfId="1" applyFont="1" applyFill="1" applyBorder="1" applyAlignment="1" applyProtection="1">
      <alignment horizontal="center" vertical="center" wrapText="1"/>
    </xf>
    <xf numFmtId="0" fontId="25" fillId="19" borderId="0" xfId="1" applyFont="1" applyFill="1" applyAlignment="1" applyProtection="1">
      <alignment horizontal="center" vertical="center" wrapText="1"/>
    </xf>
    <xf numFmtId="0" fontId="36" fillId="19" borderId="18" xfId="1" applyFont="1" applyFill="1" applyBorder="1" applyAlignment="1" applyProtection="1">
      <alignment horizontal="center" vertical="center" wrapText="1"/>
    </xf>
    <xf numFmtId="0" fontId="36" fillId="19" borderId="18" xfId="1" applyFont="1" applyFill="1" applyBorder="1" applyAlignment="1" applyProtection="1">
      <alignment horizontal="left" vertical="center" wrapText="1"/>
    </xf>
    <xf numFmtId="0" fontId="23" fillId="19" borderId="18" xfId="1" applyFont="1" applyFill="1" applyBorder="1" applyAlignment="1" applyProtection="1">
      <alignment horizontal="center" vertical="center" wrapText="1"/>
    </xf>
    <xf numFmtId="0" fontId="36" fillId="19" borderId="21" xfId="1" applyFont="1" applyFill="1" applyBorder="1" applyAlignment="1" applyProtection="1">
      <alignment horizontal="center" vertical="center" wrapText="1"/>
    </xf>
    <xf numFmtId="0" fontId="36" fillId="19" borderId="22" xfId="1" applyFont="1" applyFill="1" applyBorder="1" applyAlignment="1" applyProtection="1">
      <alignment horizontal="center" vertical="center" wrapText="1"/>
    </xf>
    <xf numFmtId="0" fontId="23" fillId="19" borderId="0" xfId="1" applyFont="1" applyFill="1" applyAlignment="1" applyProtection="1">
      <alignment horizontal="center" vertical="center" wrapText="1"/>
    </xf>
    <xf numFmtId="0" fontId="39" fillId="22" borderId="12" xfId="1" applyFont="1" applyFill="1" applyBorder="1" applyAlignment="1">
      <alignment horizontal="left" vertical="center" wrapText="1"/>
    </xf>
    <xf numFmtId="0" fontId="26" fillId="2" borderId="0" xfId="1" applyFont="1" applyFill="1" applyAlignment="1">
      <alignment horizontal="center" vertical="center" wrapText="1"/>
    </xf>
    <xf numFmtId="0" fontId="39" fillId="22" borderId="12" xfId="1" applyFont="1" applyFill="1" applyBorder="1" applyAlignment="1" applyProtection="1">
      <alignment horizontal="left" vertical="center" wrapText="1"/>
    </xf>
    <xf numFmtId="0" fontId="26" fillId="2" borderId="0" xfId="1" applyFont="1" applyFill="1" applyAlignment="1" applyProtection="1">
      <alignment horizontal="center" vertical="center" wrapText="1"/>
    </xf>
  </cellXfs>
  <cellStyles count="3">
    <cellStyle name="Hyperlink" xfId="2" builtinId="8"/>
    <cellStyle name="Normal" xfId="0" builtinId="0"/>
    <cellStyle name="Normal 2" xfId="1"/>
  </cellStyles>
  <dxfs count="1109">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ont>
        <color rgb="FF9C0006"/>
      </font>
      <fill>
        <patternFill>
          <bgColor rgb="FFFFC7CE"/>
        </patternFill>
      </fill>
    </dxf>
    <dxf>
      <fill>
        <patternFill>
          <bgColor rgb="FFFFC000"/>
        </patternFill>
      </fill>
    </dxf>
    <dxf>
      <fill>
        <patternFill>
          <bgColor rgb="FFFFC000"/>
        </patternFill>
      </fill>
    </dxf>
    <dxf>
      <font>
        <color rgb="FF9C0006"/>
      </font>
      <fill>
        <patternFill>
          <bgColor rgb="FFFFC7CE"/>
        </patternFill>
      </fill>
    </dxf>
    <dxf>
      <fill>
        <patternFill>
          <bgColor rgb="FFFFC000"/>
        </patternFill>
      </fill>
    </dxf>
    <dxf>
      <fill>
        <patternFill>
          <bgColor rgb="FFFFC000"/>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fill>
        <patternFill patternType="solid">
          <fgColor indexed="64"/>
          <bgColor theme="4" tint="0.39997558519241921"/>
        </patternFill>
      </fill>
      <alignment horizontal="center" vertical="bottom" textRotation="0" wrapText="0" indent="0" justifyLastLine="0" shrinkToFit="0" readingOrder="0"/>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outline="0">
        <left style="thin">
          <color theme="0" tint="-0.34998626667073579"/>
        </left>
        <right style="thin">
          <color theme="0" tint="-0.34998626667073579"/>
        </right>
        <top style="thin">
          <color auto="1"/>
        </top>
        <bottom style="thin">
          <color auto="1"/>
        </bottom>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bottom" textRotation="0" wrapText="1"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border>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19" formatCode="d/mm/yyyy"/>
      <fill>
        <patternFill patternType="solid">
          <fgColor indexed="64"/>
          <bgColor rgb="FF92D050"/>
        </patternFill>
      </fill>
    </dxf>
    <dxf>
      <font>
        <b val="0"/>
        <i val="0"/>
        <strike val="0"/>
        <condense val="0"/>
        <extend val="0"/>
        <outline val="0"/>
        <shadow val="0"/>
        <u val="none"/>
        <vertAlign val="baseline"/>
        <sz val="10"/>
        <color theme="1"/>
        <name val="Arial"/>
        <scheme val="none"/>
      </font>
      <fill>
        <patternFill patternType="none">
          <fgColor indexed="64"/>
          <bgColor auto="1"/>
        </patternFill>
      </fill>
    </dxf>
    <dxf>
      <font>
        <b val="0"/>
        <i val="0"/>
        <strike val="0"/>
        <condense val="0"/>
        <extend val="0"/>
        <outline val="0"/>
        <shadow val="0"/>
        <u val="none"/>
        <vertAlign val="baseline"/>
        <sz val="10"/>
        <color theme="1"/>
        <name val="Arial"/>
        <scheme val="none"/>
      </font>
      <numFmt numFmtId="19" formatCode="d/mm/yyyy"/>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numFmt numFmtId="19" formatCode="d/mm/yyyy"/>
    </dxf>
    <dxf>
      <font>
        <b val="0"/>
        <i val="0"/>
        <strike val="0"/>
        <condense val="0"/>
        <extend val="0"/>
        <outline val="0"/>
        <shadow val="0"/>
        <u val="none"/>
        <vertAlign val="baseline"/>
        <sz val="10"/>
        <color theme="1"/>
        <name val="Arial"/>
        <scheme val="none"/>
      </font>
      <numFmt numFmtId="19" formatCode="d/mm/yyyy"/>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numFmt numFmtId="19" formatCode="d/mm/yyyy"/>
    </dxf>
    <dxf>
      <font>
        <b val="0"/>
        <i val="0"/>
        <strike val="0"/>
        <condense val="0"/>
        <extend val="0"/>
        <outline val="0"/>
        <shadow val="0"/>
        <u val="none"/>
        <vertAlign val="baseline"/>
        <sz val="10"/>
        <color theme="1"/>
        <name val="Arial"/>
        <scheme val="none"/>
      </font>
      <numFmt numFmtId="19" formatCode="d/mm/yyyy"/>
    </dxf>
    <dxf>
      <font>
        <b val="0"/>
        <i val="0"/>
        <strike val="0"/>
        <condense val="0"/>
        <extend val="0"/>
        <outline val="0"/>
        <shadow val="0"/>
        <u val="none"/>
        <vertAlign val="baseline"/>
        <sz val="10"/>
        <color theme="1"/>
        <name val="Arial"/>
        <scheme val="none"/>
      </font>
      <numFmt numFmtId="19" formatCode="d/mm/yyyy"/>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dxf>
    <dxf>
      <font>
        <b val="0"/>
        <i val="0"/>
        <strike val="0"/>
        <condense val="0"/>
        <extend val="0"/>
        <outline val="0"/>
        <shadow val="0"/>
        <u val="none"/>
        <vertAlign val="baseline"/>
        <sz val="10"/>
        <color theme="1"/>
        <name val="Arial"/>
        <scheme val="none"/>
      </font>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rgb="FFFFC000"/>
        </patternFill>
      </fill>
    </dxf>
    <dxf>
      <fill>
        <patternFill>
          <bgColor theme="5" tint="0.39994506668294322"/>
        </patternFill>
      </fill>
    </dxf>
    <dxf>
      <fill>
        <patternFill>
          <bgColor rgb="FFFFC000"/>
        </patternFill>
      </fill>
    </dxf>
    <dxf>
      <fill>
        <patternFill>
          <bgColor rgb="FFFFC000"/>
        </patternFill>
      </fill>
    </dxf>
    <dxf>
      <fill>
        <patternFill>
          <bgColor theme="5" tint="0.39994506668294322"/>
        </patternFill>
      </fill>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rgb="FFFFC000"/>
        </patternFill>
      </fill>
    </dxf>
    <dxf>
      <fill>
        <patternFill>
          <bgColor theme="5"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rgb="FFFFC000"/>
        </patternFill>
      </fill>
    </dxf>
    <dxf>
      <fill>
        <patternFill>
          <bgColor rgb="FFFFC000"/>
        </patternFill>
      </fill>
    </dxf>
    <dxf>
      <font>
        <b/>
        <i/>
        <color rgb="FFFF0000"/>
      </font>
    </dxf>
    <dxf>
      <font>
        <b val="0"/>
        <i/>
      </font>
      <fill>
        <patternFill>
          <bgColor theme="0" tint="-0.14996795556505021"/>
        </patternFill>
      </fill>
    </dxf>
    <dxf>
      <font>
        <b val="0"/>
        <i/>
      </font>
      <fill>
        <patternFill>
          <bgColor theme="0" tint="-0.14996795556505021"/>
        </patternFill>
      </fill>
    </dxf>
    <dxf>
      <font>
        <b/>
        <i/>
      </font>
      <fill>
        <patternFill>
          <bgColor theme="0" tint="-0.34998626667073579"/>
        </patternFill>
      </fill>
    </dxf>
    <dxf>
      <font>
        <b/>
        <i/>
        <color rgb="FFFF0000"/>
      </font>
    </dxf>
    <dxf>
      <font>
        <b val="0"/>
        <i/>
      </font>
      <fill>
        <patternFill>
          <bgColor theme="0" tint="-0.14996795556505021"/>
        </patternFill>
      </fill>
    </dxf>
    <dxf>
      <font>
        <b val="0"/>
        <i/>
      </font>
      <fill>
        <patternFill>
          <bgColor theme="0" tint="-0.14996795556505021"/>
        </patternFill>
      </fill>
    </dxf>
    <dxf>
      <font>
        <b/>
        <i/>
      </font>
      <fill>
        <patternFill>
          <bgColor theme="0" tint="-0.34998626667073579"/>
        </patternFill>
      </fill>
    </dxf>
    <dxf>
      <font>
        <b val="0"/>
        <i val="0"/>
        <strike val="0"/>
        <condense val="0"/>
        <extend val="0"/>
        <outline val="0"/>
        <shadow val="0"/>
        <u val="none"/>
        <vertAlign val="baseline"/>
        <sz val="10"/>
        <color theme="1"/>
        <name val="Arial"/>
        <scheme val="none"/>
      </font>
      <fill>
        <patternFill patternType="none">
          <fgColor indexed="64"/>
          <bgColor auto="1"/>
        </patternFill>
      </fill>
    </dxf>
    <dxf>
      <font>
        <b val="0"/>
        <i val="0"/>
        <strike val="0"/>
        <condense val="0"/>
        <extend val="0"/>
        <outline val="0"/>
        <shadow val="0"/>
        <u val="none"/>
        <vertAlign val="baseline"/>
        <sz val="10"/>
        <color theme="1"/>
        <name val="Arial"/>
        <scheme val="none"/>
      </font>
      <numFmt numFmtId="19" formatCode="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i/>
        <color rgb="FFFF0000"/>
      </font>
    </dxf>
    <dxf>
      <font>
        <b/>
        <i/>
        <color rgb="FFFF0000"/>
      </font>
    </dxf>
    <dxf>
      <font>
        <b val="0"/>
        <i/>
      </font>
      <fill>
        <patternFill>
          <bgColor theme="0" tint="-0.14996795556505021"/>
        </patternFill>
      </fill>
    </dxf>
    <dxf>
      <font>
        <b val="0"/>
        <i/>
      </font>
      <fill>
        <patternFill>
          <bgColor theme="0" tint="-0.14996795556505021"/>
        </patternFill>
      </fill>
    </dxf>
    <dxf>
      <font>
        <b/>
        <i/>
      </font>
      <fill>
        <patternFill>
          <bgColor theme="0" tint="-0.34998626667073579"/>
        </patternFill>
      </fill>
    </dxf>
    <dxf>
      <font>
        <b/>
        <i/>
        <color rgb="FFFF0000"/>
      </font>
    </dxf>
    <dxf>
      <font>
        <b val="0"/>
        <i/>
      </font>
      <fill>
        <patternFill>
          <bgColor theme="0" tint="-0.14996795556505021"/>
        </patternFill>
      </fill>
    </dxf>
    <dxf>
      <font>
        <b val="0"/>
        <i/>
      </font>
      <fill>
        <patternFill>
          <bgColor theme="0" tint="-0.14996795556505021"/>
        </patternFill>
      </fill>
    </dxf>
    <dxf>
      <font>
        <b/>
        <i/>
      </font>
      <fill>
        <patternFill>
          <bgColor theme="0" tint="-0.34998626667073579"/>
        </patternFill>
      </fill>
    </dxf>
    <dxf>
      <font>
        <b/>
        <i/>
        <color rgb="FFFF0000"/>
      </font>
    </dxf>
    <dxf>
      <font>
        <b val="0"/>
        <i/>
      </font>
      <fill>
        <patternFill>
          <bgColor theme="0" tint="-0.14996795556505021"/>
        </patternFill>
      </fill>
    </dxf>
    <dxf>
      <font>
        <b val="0"/>
        <i/>
      </font>
      <fill>
        <patternFill>
          <bgColor theme="0" tint="-0.14996795556505021"/>
        </patternFill>
      </fill>
    </dxf>
    <dxf>
      <font>
        <b/>
        <i/>
      </font>
      <fill>
        <patternFill>
          <bgColor theme="0" tint="-0.34998626667073579"/>
        </patternFill>
      </fill>
    </dxf>
  </dxfs>
  <tableStyles count="0" defaultTableStyle="TableStyleMedium2" defaultPivotStyle="PivotStyleLight16"/>
  <colors>
    <mruColors>
      <color rgb="FF0D4B6D"/>
      <color rgb="FFB4FFFF"/>
      <color rgb="FF919296"/>
      <color rgb="FFF2F2F2"/>
      <color rgb="FFB4C6E7"/>
      <color rgb="FFFFE699"/>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314325</xdr:colOff>
      <xdr:row>2</xdr:row>
      <xdr:rowOff>76199</xdr:rowOff>
    </xdr:from>
    <xdr:to>
      <xdr:col>13</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44050" y="457199"/>
          <a:ext cx="226781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95251</xdr:colOff>
      <xdr:row>6</xdr:row>
      <xdr:rowOff>38100</xdr:rowOff>
    </xdr:from>
    <xdr:to>
      <xdr:col>23</xdr:col>
      <xdr:colOff>243841</xdr:colOff>
      <xdr:row>34</xdr:row>
      <xdr:rowOff>47625</xdr:rowOff>
    </xdr:to>
    <xdr:sp macro="" textlink="">
      <xdr:nvSpPr>
        <xdr:cNvPr id="3" name="TextBox 2">
          <a:extLst>
            <a:ext uri="{FF2B5EF4-FFF2-40B4-BE49-F238E27FC236}">
              <a16:creationId xmlns:a16="http://schemas.microsoft.com/office/drawing/2014/main" id="{00000000-0008-0000-0000-000002000000}"/>
            </a:ext>
          </a:extLst>
        </xdr:cNvPr>
        <xdr:cNvSpPr txBox="1"/>
      </xdr:nvSpPr>
      <xdr:spPr>
        <a:xfrm>
          <a:off x="11877676" y="1371600"/>
          <a:ext cx="5634990" cy="63531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100 credit points per semester.</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or two units from the four listed for each study period.</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p>
        <a:p>
          <a:endParaRPr lang="en-AU" sz="1100" b="1">
            <a:solidFill>
              <a:sysClr val="windowText" lastClr="000000"/>
            </a:solidFill>
            <a:effectLst/>
            <a:latin typeface="+mn-lt"/>
            <a:ea typeface="+mn-ea"/>
            <a:cs typeface="+mn-cs"/>
          </a:endParaRPr>
        </a:p>
        <a:p>
          <a:r>
            <a:rPr lang="en-AU" sz="1100" b="1">
              <a:solidFill>
                <a:sysClr val="windowText" lastClr="000000"/>
              </a:solidFill>
              <a:effectLst/>
              <a:latin typeface="+mn-lt"/>
              <a:ea typeface="+mn-ea"/>
              <a:cs typeface="+mn-cs"/>
            </a:rPr>
            <a:t>Pre-requisites</a:t>
          </a:r>
          <a:endParaRPr lang="en-AU">
            <a:solidFill>
              <a:sysClr val="windowText" lastClr="000000"/>
            </a:solidFill>
            <a:effectLst/>
          </a:endParaRPr>
        </a:p>
        <a:p>
          <a:r>
            <a:rPr lang="en-AU" sz="1100">
              <a:solidFill>
                <a:sysClr val="windowText" lastClr="000000"/>
              </a:solidFill>
              <a:effectLst/>
              <a:latin typeface="+mn-lt"/>
              <a:ea typeface="+mn-ea"/>
              <a:cs typeface="+mn-cs"/>
            </a:rPr>
            <a:t>Pre-requisites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Option units</a:t>
          </a:r>
          <a:endParaRPr lang="en-AU">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AU" sz="1100" b="1" i="1">
              <a:solidFill>
                <a:schemeClr val="dk1"/>
              </a:solidFill>
              <a:effectLst/>
              <a:latin typeface="+mn-lt"/>
              <a:ea typeface="+mn-ea"/>
              <a:cs typeface="+mn-cs"/>
            </a:rPr>
            <a:t>Bachelor of Educational Studies </a:t>
          </a:r>
          <a:r>
            <a:rPr lang="en-AU" sz="1100">
              <a:solidFill>
                <a:schemeClr val="dk1"/>
              </a:solidFill>
              <a:effectLst/>
              <a:latin typeface="+mn-lt"/>
              <a:ea typeface="+mn-ea"/>
              <a:cs typeface="+mn-cs"/>
            </a:rPr>
            <a:t>may choose</a:t>
          </a:r>
          <a:r>
            <a:rPr lang="en-AU" sz="1100" baseline="0">
              <a:solidFill>
                <a:schemeClr val="dk1"/>
              </a:solidFill>
              <a:effectLst/>
              <a:latin typeface="+mn-lt"/>
              <a:ea typeface="+mn-ea"/>
              <a:cs typeface="+mn-cs"/>
            </a:rPr>
            <a:t> </a:t>
          </a:r>
          <a:r>
            <a:rPr lang="en-AU" sz="1100" b="1" baseline="0">
              <a:solidFill>
                <a:schemeClr val="dk1"/>
              </a:solidFill>
              <a:effectLst/>
              <a:latin typeface="+mn-lt"/>
              <a:ea typeface="+mn-ea"/>
              <a:cs typeface="+mn-cs"/>
            </a:rPr>
            <a:t>four</a:t>
          </a:r>
          <a:r>
            <a:rPr lang="en-AU" sz="1100">
              <a:solidFill>
                <a:schemeClr val="dk1"/>
              </a:solidFill>
              <a:effectLst/>
              <a:latin typeface="+mn-lt"/>
              <a:ea typeface="+mn-ea"/>
              <a:cs typeface="+mn-cs"/>
            </a:rPr>
            <a:t> Option units from any of those listed in the School of Education Options List.</a:t>
          </a:r>
          <a:endParaRPr lang="en-AU" sz="1100">
            <a:effectLst/>
          </a:endParaRPr>
        </a:p>
        <a:p>
          <a:pPr rtl="0" fontAlgn="base"/>
          <a:endParaRPr lang="en-AU" sz="1100" b="0" i="0">
            <a:solidFill>
              <a:srgbClr val="FF0000"/>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a:t>
          </a:r>
          <a:endParaRPr lang="en-AU">
            <a:effectLst/>
          </a:endParaRPr>
        </a:p>
        <a:p>
          <a:pPr rtl="0" fontAlgn="base"/>
          <a:r>
            <a:rPr lang="en-AU" sz="1100" b="0" i="0">
              <a:solidFill>
                <a:schemeClr val="dk1"/>
              </a:solidFill>
              <a:effectLst/>
              <a:latin typeface="+mn-lt"/>
              <a:ea typeface="+mn-ea"/>
              <a:cs typeface="+mn-cs"/>
            </a:rPr>
            <a:t>If you have any questions regarding your enrolment, please contact Curtin Connect.</a:t>
          </a:r>
          <a:endParaRPr lang="en-AU">
            <a:effectLst/>
          </a:endParaRPr>
        </a:p>
        <a:p>
          <a:pPr rtl="0" fontAlgn="base"/>
          <a:endParaRPr lang="en-AU" sz="1100" b="0" i="0">
            <a:solidFill>
              <a:srgbClr val="FF0000"/>
            </a:solidFill>
            <a:effectLst/>
            <a:latin typeface="+mn-lt"/>
            <a:ea typeface="+mn-ea"/>
            <a:cs typeface="+mn-cs"/>
          </a:endParaRPr>
        </a:p>
        <a:p>
          <a:pPr rtl="0" fontAlgn="base"/>
          <a:endParaRPr lang="en-AU" sz="1100" b="0" i="0">
            <a:solidFill>
              <a:srgbClr val="FF0000"/>
            </a:solidFill>
            <a:effectLst/>
            <a:latin typeface="+mn-lt"/>
            <a:ea typeface="+mn-ea"/>
            <a:cs typeface="+mn-cs"/>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ysClr val="windowText" lastClr="000000"/>
              </a:solidFill>
              <a:effectLst/>
              <a:latin typeface="+mn-lt"/>
              <a:ea typeface="+mn-ea"/>
              <a:cs typeface="+mn-cs"/>
            </a:rPr>
            <a:t>CP = Credit Points; Sem1 = Semester 1; Sem2 = Semester 2; BEN = unit available face-to-face at Curtin University, Bentley Campus; FO = unit available Fully Online; KAL = unit available online via Kalgoorlie campus</a:t>
          </a:r>
          <a:endParaRPr lang="en-AU" sz="900">
            <a:solidFill>
              <a:sysClr val="windowText" lastClr="000000"/>
            </a:solidFill>
            <a:effectLst/>
          </a:endParaRPr>
        </a:p>
      </xdr:txBody>
    </xdr:sp>
    <xdr:clientData/>
  </xdr:twoCellAnchor>
  <xdr:twoCellAnchor>
    <xdr:from>
      <xdr:col>19</xdr:col>
      <xdr:colOff>554356</xdr:colOff>
      <xdr:row>30</xdr:row>
      <xdr:rowOff>20560</xdr:rowOff>
    </xdr:from>
    <xdr:to>
      <xdr:col>23</xdr:col>
      <xdr:colOff>247651</xdr:colOff>
      <xdr:row>31</xdr:row>
      <xdr:rowOff>112395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5079981" y="6897610"/>
          <a:ext cx="2436495" cy="33948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19</xdr:col>
      <xdr:colOff>131445</xdr:colOff>
      <xdr:row>19</xdr:row>
      <xdr:rowOff>205740</xdr:rowOff>
    </xdr:from>
    <xdr:to>
      <xdr:col>23</xdr:col>
      <xdr:colOff>243841</xdr:colOff>
      <xdr:row>21</xdr:row>
      <xdr:rowOff>57545</xdr:rowOff>
    </xdr:to>
    <xdr:sp macro="" textlink="">
      <xdr:nvSpPr>
        <xdr:cNvPr id="5" name="TextBox 4">
          <a:hlinkClick xmlns:r="http://schemas.openxmlformats.org/officeDocument/2006/relationships" r:id="rId3"/>
          <a:extLst>
            <a:ext uri="{FF2B5EF4-FFF2-40B4-BE49-F238E27FC236}">
              <a16:creationId xmlns:a16="http://schemas.microsoft.com/office/drawing/2014/main" id="{6A5D6994-C92C-4A70-9E47-57EA665E21C5}"/>
            </a:ext>
          </a:extLst>
        </xdr:cNvPr>
        <xdr:cNvSpPr txBox="1"/>
      </xdr:nvSpPr>
      <xdr:spPr>
        <a:xfrm>
          <a:off x="14952345" y="4911090"/>
          <a:ext cx="2855596" cy="34710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xdr:row>
      <xdr:rowOff>76199</xdr:rowOff>
    </xdr:from>
    <xdr:to>
      <xdr:col>13</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44050" y="76199"/>
          <a:ext cx="226781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95251</xdr:colOff>
      <xdr:row>6</xdr:row>
      <xdr:rowOff>38101</xdr:rowOff>
    </xdr:from>
    <xdr:to>
      <xdr:col>23</xdr:col>
      <xdr:colOff>243841</xdr:colOff>
      <xdr:row>29</xdr:row>
      <xdr:rowOff>219075</xdr:rowOff>
    </xdr:to>
    <xdr:sp macro="" textlink="">
      <xdr:nvSpPr>
        <xdr:cNvPr id="3" name="TextBox 2">
          <a:extLst>
            <a:ext uri="{FF2B5EF4-FFF2-40B4-BE49-F238E27FC236}">
              <a16:creationId xmlns:a16="http://schemas.microsoft.com/office/drawing/2014/main" id="{00000000-0008-0000-0000-000002000000}"/>
            </a:ext>
          </a:extLst>
        </xdr:cNvPr>
        <xdr:cNvSpPr txBox="1"/>
      </xdr:nvSpPr>
      <xdr:spPr>
        <a:xfrm>
          <a:off x="11687176" y="1371601"/>
          <a:ext cx="5634990" cy="64484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100 credit points per semester.</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or two units from the four listed for each study period.</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p>
        <a:p>
          <a:endParaRPr lang="en-AU" sz="1100" b="1">
            <a:solidFill>
              <a:sysClr val="windowText" lastClr="000000"/>
            </a:solidFill>
            <a:effectLst/>
            <a:latin typeface="+mn-lt"/>
            <a:ea typeface="+mn-ea"/>
            <a:cs typeface="+mn-cs"/>
          </a:endParaRPr>
        </a:p>
        <a:p>
          <a:r>
            <a:rPr lang="en-AU" sz="1100" b="1">
              <a:solidFill>
                <a:sysClr val="windowText" lastClr="000000"/>
              </a:solidFill>
              <a:effectLst/>
              <a:latin typeface="+mn-lt"/>
              <a:ea typeface="+mn-ea"/>
              <a:cs typeface="+mn-cs"/>
            </a:rPr>
            <a:t>Pre-requisites</a:t>
          </a:r>
          <a:endParaRPr lang="en-AU">
            <a:solidFill>
              <a:sysClr val="windowText" lastClr="000000"/>
            </a:solidFill>
            <a:effectLst/>
          </a:endParaRPr>
        </a:p>
        <a:p>
          <a:r>
            <a:rPr lang="en-AU" sz="1100">
              <a:solidFill>
                <a:sysClr val="windowText" lastClr="000000"/>
              </a:solidFill>
              <a:effectLst/>
              <a:latin typeface="+mn-lt"/>
              <a:ea typeface="+mn-ea"/>
              <a:cs typeface="+mn-cs"/>
            </a:rPr>
            <a:t>Pre-requisites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Option units</a:t>
          </a:r>
          <a:endParaRPr lang="en-AU">
            <a:effectLst/>
          </a:endParaRPr>
        </a:p>
        <a:p>
          <a:pPr marL="171450" indent="-171450">
            <a:buFont typeface="Arial" panose="020B0604020202020204" pitchFamily="34" charset="0"/>
            <a:buChar char="•"/>
          </a:pPr>
          <a:r>
            <a:rPr lang="en-AU" sz="1100" b="1" i="1">
              <a:solidFill>
                <a:schemeClr val="dk1"/>
              </a:solidFill>
              <a:effectLst/>
              <a:latin typeface="+mn-lt"/>
              <a:ea typeface="+mn-ea"/>
              <a:cs typeface="+mn-cs"/>
            </a:rPr>
            <a:t>Bachelor of Education (Early Childhood Education) </a:t>
          </a:r>
          <a:r>
            <a:rPr lang="en-AU" sz="1100">
              <a:solidFill>
                <a:schemeClr val="dk1"/>
              </a:solidFill>
              <a:effectLst/>
              <a:latin typeface="+mn-lt"/>
              <a:ea typeface="+mn-ea"/>
              <a:cs typeface="+mn-cs"/>
            </a:rPr>
            <a:t>may choose </a:t>
          </a:r>
          <a:r>
            <a:rPr lang="en-AU" sz="1100" b="1">
              <a:solidFill>
                <a:schemeClr val="dk1"/>
              </a:solidFill>
              <a:effectLst/>
              <a:latin typeface="+mn-lt"/>
              <a:ea typeface="+mn-ea"/>
              <a:cs typeface="+mn-cs"/>
            </a:rPr>
            <a:t>two</a:t>
          </a:r>
          <a:r>
            <a:rPr lang="en-AU" sz="1100">
              <a:solidFill>
                <a:schemeClr val="dk1"/>
              </a:solidFill>
              <a:effectLst/>
              <a:latin typeface="+mn-lt"/>
              <a:ea typeface="+mn-ea"/>
              <a:cs typeface="+mn-cs"/>
            </a:rPr>
            <a:t> Option units from any of those listed in the School of Education Options List.</a:t>
          </a:r>
        </a:p>
        <a:p>
          <a:pPr rtl="0" fontAlgn="base"/>
          <a:endParaRPr lang="en-AU" sz="1100" b="0" i="0">
            <a:solidFill>
              <a:srgbClr val="FF0000"/>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endParaRPr lang="en-AU">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a:t>
          </a:r>
          <a:endParaRPr lang="en-AU">
            <a:effectLst/>
          </a:endParaRPr>
        </a:p>
        <a:p>
          <a:pPr rtl="0" fontAlgn="base"/>
          <a:r>
            <a:rPr lang="en-AU" sz="1100" b="0" i="0">
              <a:solidFill>
                <a:schemeClr val="dk1"/>
              </a:solidFill>
              <a:effectLst/>
              <a:latin typeface="+mn-lt"/>
              <a:ea typeface="+mn-ea"/>
              <a:cs typeface="+mn-cs"/>
            </a:rPr>
            <a:t>If you have any questions regarding your enrolment, please contact Curtin Connect.</a:t>
          </a:r>
          <a:endParaRPr lang="en-AU">
            <a:effectLst/>
          </a:endParaRPr>
        </a:p>
        <a:p>
          <a:pPr rtl="0" fontAlgn="base"/>
          <a:endParaRPr lang="en-AU" sz="1100" b="0" i="0">
            <a:solidFill>
              <a:srgbClr val="FF0000"/>
            </a:solidFill>
            <a:effectLst/>
            <a:latin typeface="+mn-lt"/>
            <a:ea typeface="+mn-ea"/>
            <a:cs typeface="+mn-cs"/>
          </a:endParaRPr>
        </a:p>
        <a:p>
          <a:pPr rtl="0" fontAlgn="base"/>
          <a:endParaRPr lang="en-AU" sz="1100" b="0" i="0">
            <a:solidFill>
              <a:srgbClr val="FF0000"/>
            </a:solidFill>
            <a:effectLst/>
            <a:latin typeface="+mn-lt"/>
            <a:ea typeface="+mn-ea"/>
            <a:cs typeface="+mn-cs"/>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ysClr val="windowText" lastClr="000000"/>
              </a:solidFill>
              <a:effectLst/>
              <a:latin typeface="+mn-lt"/>
              <a:ea typeface="+mn-ea"/>
              <a:cs typeface="+mn-cs"/>
            </a:rPr>
            <a:t>CP = Credit Points; Sem1 = Semester 1; Sem2 = Semester 2; BEN = unit available face-to-face at Curtin University, Bentley Campus; FO = unit available Fully Online; KAL = unit available online via Kalgoorlie campus</a:t>
          </a:r>
          <a:endParaRPr lang="en-AU" sz="900">
            <a:solidFill>
              <a:sysClr val="windowText" lastClr="000000"/>
            </a:solidFill>
            <a:effectLst/>
          </a:endParaRPr>
        </a:p>
      </xdr:txBody>
    </xdr:sp>
    <xdr:clientData/>
  </xdr:twoCellAnchor>
  <xdr:twoCellAnchor>
    <xdr:from>
      <xdr:col>19</xdr:col>
      <xdr:colOff>535306</xdr:colOff>
      <xdr:row>26</xdr:row>
      <xdr:rowOff>219075</xdr:rowOff>
    </xdr:from>
    <xdr:to>
      <xdr:col>23</xdr:col>
      <xdr:colOff>228601</xdr:colOff>
      <xdr:row>28</xdr:row>
      <xdr:rowOff>7620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870431" y="6943725"/>
          <a:ext cx="2436495" cy="360045"/>
        </a:xfrm>
        <a:prstGeom prst="rect">
          <a:avLst/>
        </a:prstGeom>
        <a:solidFill>
          <a:schemeClr val="bg1">
            <a:lumMod val="6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19</xdr:col>
      <xdr:colOff>112395</xdr:colOff>
      <xdr:row>17</xdr:row>
      <xdr:rowOff>253366</xdr:rowOff>
    </xdr:from>
    <xdr:to>
      <xdr:col>23</xdr:col>
      <xdr:colOff>224791</xdr:colOff>
      <xdr:row>19</xdr:row>
      <xdr:rowOff>9526</xdr:rowOff>
    </xdr:to>
    <xdr:sp macro="" textlink="">
      <xdr:nvSpPr>
        <xdr:cNvPr id="5" name="TextBox 4">
          <a:hlinkClick xmlns:r="http://schemas.openxmlformats.org/officeDocument/2006/relationships" r:id="rId3"/>
          <a:extLst>
            <a:ext uri="{FF2B5EF4-FFF2-40B4-BE49-F238E27FC236}">
              <a16:creationId xmlns:a16="http://schemas.microsoft.com/office/drawing/2014/main" id="{6A5D6994-C92C-4A70-9E47-57EA665E21C5}"/>
            </a:ext>
          </a:extLst>
        </xdr:cNvPr>
        <xdr:cNvSpPr txBox="1"/>
      </xdr:nvSpPr>
      <xdr:spPr>
        <a:xfrm>
          <a:off x="14447520" y="4520566"/>
          <a:ext cx="2855596" cy="327660"/>
        </a:xfrm>
        <a:prstGeom prst="rect">
          <a:avLst/>
        </a:prstGeom>
        <a:solidFill>
          <a:schemeClr val="bg1">
            <a:lumMod val="6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314325</xdr:colOff>
      <xdr:row>2</xdr:row>
      <xdr:rowOff>76199</xdr:rowOff>
    </xdr:from>
    <xdr:to>
      <xdr:col>13</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95251</xdr:colOff>
      <xdr:row>7</xdr:row>
      <xdr:rowOff>38100</xdr:rowOff>
    </xdr:from>
    <xdr:to>
      <xdr:col>23</xdr:col>
      <xdr:colOff>243841</xdr:colOff>
      <xdr:row>35</xdr:row>
      <xdr:rowOff>171450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982451" y="1619250"/>
          <a:ext cx="5634990" cy="64770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100 credit points per semester.</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or two units from the four listed for each study period.</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p>
        <a:p>
          <a:endParaRPr lang="en-AU" sz="1100" b="1">
            <a:solidFill>
              <a:sysClr val="windowText" lastClr="000000"/>
            </a:solidFill>
            <a:effectLst/>
            <a:latin typeface="+mn-lt"/>
            <a:ea typeface="+mn-ea"/>
            <a:cs typeface="+mn-cs"/>
          </a:endParaRPr>
        </a:p>
        <a:p>
          <a:r>
            <a:rPr lang="en-AU" sz="1100" b="1">
              <a:solidFill>
                <a:sysClr val="windowText" lastClr="000000"/>
              </a:solidFill>
              <a:effectLst/>
              <a:latin typeface="+mn-lt"/>
              <a:ea typeface="+mn-ea"/>
              <a:cs typeface="+mn-cs"/>
            </a:rPr>
            <a:t>Pre-requisites</a:t>
          </a:r>
          <a:endParaRPr lang="en-AU">
            <a:solidFill>
              <a:sysClr val="windowText" lastClr="000000"/>
            </a:solidFill>
            <a:effectLst/>
          </a:endParaRPr>
        </a:p>
        <a:p>
          <a:r>
            <a:rPr lang="en-AU" sz="1100">
              <a:solidFill>
                <a:sysClr val="windowText" lastClr="000000"/>
              </a:solidFill>
              <a:effectLst/>
              <a:latin typeface="+mn-lt"/>
              <a:ea typeface="+mn-ea"/>
              <a:cs typeface="+mn-cs"/>
            </a:rPr>
            <a:t>Pre-requisites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Option units</a:t>
          </a:r>
          <a:endParaRPr lang="en-AU">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AU" sz="1100" b="1" i="1">
              <a:solidFill>
                <a:schemeClr val="dk1"/>
              </a:solidFill>
              <a:effectLst/>
              <a:latin typeface="+mn-lt"/>
              <a:ea typeface="+mn-ea"/>
              <a:cs typeface="+mn-cs"/>
            </a:rPr>
            <a:t>Bachelor of Education (Primary Education)</a:t>
          </a:r>
          <a:r>
            <a:rPr lang="en-AU" sz="1100" b="0">
              <a:solidFill>
                <a:schemeClr val="dk1"/>
              </a:solidFill>
              <a:effectLst/>
              <a:latin typeface="+mn-lt"/>
              <a:ea typeface="+mn-ea"/>
              <a:cs typeface="+mn-cs"/>
            </a:rPr>
            <a:t> must study </a:t>
          </a:r>
          <a:r>
            <a:rPr lang="en-AU" sz="1100" b="1">
              <a:solidFill>
                <a:schemeClr val="dk1"/>
              </a:solidFill>
              <a:effectLst/>
              <a:latin typeface="+mn-lt"/>
              <a:ea typeface="+mn-ea"/>
              <a:cs typeface="+mn-cs"/>
            </a:rPr>
            <a:t>all three</a:t>
          </a:r>
          <a:r>
            <a:rPr lang="en-AU" sz="1100" b="0">
              <a:solidFill>
                <a:schemeClr val="dk1"/>
              </a:solidFill>
              <a:effectLst/>
              <a:latin typeface="+mn-lt"/>
              <a:ea typeface="+mn-ea"/>
              <a:cs typeface="+mn-cs"/>
            </a:rPr>
            <a:t> units from the</a:t>
          </a:r>
          <a:r>
            <a:rPr lang="en-AU" sz="1100" b="0" baseline="0">
              <a:solidFill>
                <a:schemeClr val="dk1"/>
              </a:solidFill>
              <a:effectLst/>
              <a:latin typeface="+mn-lt"/>
              <a:ea typeface="+mn-ea"/>
              <a:cs typeface="+mn-cs"/>
            </a:rPr>
            <a:t> Teaching Area Stream selected.</a:t>
          </a:r>
        </a:p>
        <a:p>
          <a:pPr rtl="0" fontAlgn="base"/>
          <a:endParaRPr lang="en-AU" sz="1100" b="0" i="0">
            <a:solidFill>
              <a:srgbClr val="FF0000"/>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a:t>
          </a:r>
          <a:endParaRPr lang="en-AU">
            <a:effectLst/>
          </a:endParaRPr>
        </a:p>
        <a:p>
          <a:pPr rtl="0" fontAlgn="base"/>
          <a:r>
            <a:rPr lang="en-AU" sz="1100" b="0" i="0">
              <a:solidFill>
                <a:schemeClr val="dk1"/>
              </a:solidFill>
              <a:effectLst/>
              <a:latin typeface="+mn-lt"/>
              <a:ea typeface="+mn-ea"/>
              <a:cs typeface="+mn-cs"/>
            </a:rPr>
            <a:t>If you have any questions regarding your enrolment, please contact Curtin Connect.</a:t>
          </a:r>
          <a:endParaRPr lang="en-AU">
            <a:effectLst/>
          </a:endParaRPr>
        </a:p>
        <a:p>
          <a:pPr rtl="0" fontAlgn="base"/>
          <a:endParaRPr lang="en-AU" sz="1100" b="0" i="0">
            <a:solidFill>
              <a:srgbClr val="FF0000"/>
            </a:solidFill>
            <a:effectLst/>
            <a:latin typeface="+mn-lt"/>
            <a:ea typeface="+mn-ea"/>
            <a:cs typeface="+mn-cs"/>
          </a:endParaRPr>
        </a:p>
        <a:p>
          <a:pPr rtl="0" fontAlgn="base"/>
          <a:endParaRPr lang="en-AU" sz="1100" b="0" i="0">
            <a:solidFill>
              <a:srgbClr val="FF0000"/>
            </a:solidFill>
            <a:effectLst/>
            <a:latin typeface="+mn-lt"/>
            <a:ea typeface="+mn-ea"/>
            <a:cs typeface="+mn-cs"/>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ysClr val="windowText" lastClr="000000"/>
              </a:solidFill>
              <a:effectLst/>
              <a:latin typeface="+mn-lt"/>
              <a:ea typeface="+mn-ea"/>
              <a:cs typeface="+mn-cs"/>
            </a:rPr>
            <a:t>CP = Credit Points; Sem1 = Semester 1; Sem2 = Semester 2; BEN = unit available face-to-face at Curtin University, Bentley Campus; FO = unit available Fully Online; KAL = unit available online via Kalgoorlie campus</a:t>
          </a:r>
          <a:endParaRPr lang="en-AU" sz="900">
            <a:solidFill>
              <a:sysClr val="windowText" lastClr="000000"/>
            </a:solidFill>
            <a:effectLst/>
          </a:endParaRPr>
        </a:p>
      </xdr:txBody>
    </xdr:sp>
    <xdr:clientData/>
  </xdr:twoCellAnchor>
  <xdr:twoCellAnchor>
    <xdr:from>
      <xdr:col>19</xdr:col>
      <xdr:colOff>554356</xdr:colOff>
      <xdr:row>31</xdr:row>
      <xdr:rowOff>77710</xdr:rowOff>
    </xdr:from>
    <xdr:to>
      <xdr:col>23</xdr:col>
      <xdr:colOff>247651</xdr:colOff>
      <xdr:row>32</xdr:row>
      <xdr:rowOff>169545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5184756" y="7202410"/>
          <a:ext cx="2436495" cy="33948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19</xdr:col>
      <xdr:colOff>131445</xdr:colOff>
      <xdr:row>20</xdr:row>
      <xdr:rowOff>205740</xdr:rowOff>
    </xdr:from>
    <xdr:to>
      <xdr:col>23</xdr:col>
      <xdr:colOff>243841</xdr:colOff>
      <xdr:row>22</xdr:row>
      <xdr:rowOff>57545</xdr:rowOff>
    </xdr:to>
    <xdr:sp macro="" textlink="">
      <xdr:nvSpPr>
        <xdr:cNvPr id="6" name="TextBox 5">
          <a:hlinkClick xmlns:r="http://schemas.openxmlformats.org/officeDocument/2006/relationships" r:id="rId3"/>
          <a:extLst>
            <a:ext uri="{FF2B5EF4-FFF2-40B4-BE49-F238E27FC236}">
              <a16:creationId xmlns:a16="http://schemas.microsoft.com/office/drawing/2014/main" id="{6A5D6994-C92C-4A70-9E47-57EA665E21C5}"/>
            </a:ext>
          </a:extLst>
        </xdr:cNvPr>
        <xdr:cNvSpPr txBox="1"/>
      </xdr:nvSpPr>
      <xdr:spPr>
        <a:xfrm>
          <a:off x="14952345" y="4911090"/>
          <a:ext cx="2855596" cy="34710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2</xdr:row>
      <xdr:rowOff>76199</xdr:rowOff>
    </xdr:from>
    <xdr:to>
      <xdr:col>11</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506075" y="457199"/>
          <a:ext cx="226781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91441</xdr:colOff>
      <xdr:row>8</xdr:row>
      <xdr:rowOff>20955</xdr:rowOff>
    </xdr:from>
    <xdr:to>
      <xdr:col>20</xdr:col>
      <xdr:colOff>586740</xdr:colOff>
      <xdr:row>42</xdr:row>
      <xdr:rowOff>57150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1578591" y="2221230"/>
          <a:ext cx="5295899" cy="796099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100 credit points per semester. 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or two units from the four listed for each study period.</a:t>
          </a:r>
          <a:endParaRPr lang="en-AU">
            <a:effectLst/>
          </a:endParaRPr>
        </a:p>
        <a:p>
          <a:endParaRPr lang="en-AU">
            <a:effectLst/>
          </a:endParaRPr>
        </a:p>
        <a:p>
          <a:r>
            <a:rPr lang="en-AU" sz="1100" b="1">
              <a:solidFill>
                <a:schemeClr val="dk1"/>
              </a:solidFill>
              <a:effectLst/>
              <a:latin typeface="+mn-lt"/>
              <a:ea typeface="+mn-ea"/>
              <a:cs typeface="+mn-cs"/>
            </a:rPr>
            <a:t>Requests</a:t>
          </a:r>
          <a:r>
            <a:rPr lang="en-AU" sz="1100" b="1" baseline="0">
              <a:solidFill>
                <a:schemeClr val="dk1"/>
              </a:solidFill>
              <a:effectLst/>
              <a:latin typeface="+mn-lt"/>
              <a:ea typeface="+mn-ea"/>
              <a:cs typeface="+mn-cs"/>
            </a:rPr>
            <a:t> to change Major/Second specialisation.</a:t>
          </a:r>
          <a:endParaRPr lang="en-AU">
            <a:effectLst/>
          </a:endParaRPr>
        </a:p>
        <a:p>
          <a:r>
            <a:rPr lang="en-AU" sz="1100" b="0" baseline="0">
              <a:solidFill>
                <a:schemeClr val="dk1"/>
              </a:solidFill>
              <a:effectLst/>
              <a:latin typeface="+mn-lt"/>
              <a:ea typeface="+mn-ea"/>
              <a:cs typeface="+mn-cs"/>
            </a:rPr>
            <a:t>All requests to change Second Specialisation must go through the Course Coordinator.</a:t>
          </a:r>
          <a:endParaRPr lang="en-AU">
            <a:effectLst/>
          </a:endParaRPr>
        </a:p>
        <a:p>
          <a:r>
            <a:rPr lang="en-AU" sz="1100" b="0">
              <a:solidFill>
                <a:schemeClr val="dk1"/>
              </a:solidFill>
              <a:effectLst/>
              <a:latin typeface="+mn-lt"/>
              <a:ea typeface="+mn-ea"/>
              <a:cs typeface="+mn-cs"/>
            </a:rPr>
            <a:t>If you wish to change Major you must re-apply for the course.</a:t>
          </a:r>
        </a:p>
        <a:p>
          <a:endParaRPr lang="en-AU">
            <a:effectLst/>
          </a:endParaRPr>
        </a:p>
        <a:p>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a:effectLst/>
          </a:endParaRPr>
        </a:p>
        <a:p>
          <a:endParaRPr lang="en-AU">
            <a:effectLst/>
          </a:endParaRPr>
        </a:p>
        <a:p>
          <a:r>
            <a:rPr lang="en-AU" sz="1100" b="1">
              <a:solidFill>
                <a:schemeClr val="dk1"/>
              </a:solidFill>
              <a:effectLst/>
              <a:latin typeface="+mn-lt"/>
              <a:ea typeface="+mn-ea"/>
              <a:cs typeface="+mn-cs"/>
            </a:rPr>
            <a:t>Pre-requisites</a:t>
          </a:r>
          <a:endParaRPr lang="en-AU">
            <a:effectLst/>
          </a:endParaRPr>
        </a:p>
        <a:p>
          <a:r>
            <a:rPr lang="en-AU" sz="1100">
              <a:solidFill>
                <a:schemeClr val="dk1"/>
              </a:solidFill>
              <a:effectLst/>
              <a:latin typeface="+mn-lt"/>
              <a:ea typeface="+mn-ea"/>
              <a:cs typeface="+mn-cs"/>
            </a:rPr>
            <a:t>Pre-requisites denoted by * can be enrolled concurrently in the same study period if required by the</a:t>
          </a:r>
          <a:r>
            <a:rPr lang="en-AU" sz="1100" baseline="0">
              <a:solidFill>
                <a:schemeClr val="dk1"/>
              </a:solidFill>
              <a:effectLst/>
              <a:latin typeface="+mn-lt"/>
              <a:ea typeface="+mn-ea"/>
              <a:cs typeface="+mn-cs"/>
            </a:rPr>
            <a:t> Enrolment Planner's specified sequence. </a:t>
          </a:r>
          <a:endParaRPr lang="en-AU">
            <a:effectLst/>
          </a:endParaRPr>
        </a:p>
        <a:p>
          <a:endParaRPr lang="en-AU" sz="1100" b="1">
            <a:solidFill>
              <a:schemeClr val="dk1"/>
            </a:solidFill>
            <a:effectLst/>
            <a:latin typeface="+mn-lt"/>
            <a:ea typeface="+mn-ea"/>
            <a:cs typeface="+mn-cs"/>
          </a:endParaRPr>
        </a:p>
        <a:p>
          <a:r>
            <a:rPr lang="en-AU" sz="1100" b="1" baseline="0">
              <a:solidFill>
                <a:schemeClr val="dk1"/>
              </a:solidFill>
              <a:effectLst/>
              <a:latin typeface="+mn-lt"/>
              <a:ea typeface="+mn-ea"/>
              <a:cs typeface="+mn-cs"/>
            </a:rPr>
            <a:t>Mathematics Minor - students who have not completed Maths Methods:</a:t>
          </a:r>
          <a:endParaRPr lang="en-AU">
            <a:effectLst/>
          </a:endParaRPr>
        </a:p>
        <a:p>
          <a:r>
            <a:rPr lang="en-AU" sz="1100" b="0" baseline="0">
              <a:solidFill>
                <a:schemeClr val="dk1"/>
              </a:solidFill>
              <a:effectLst/>
              <a:latin typeface="+mn-lt"/>
              <a:ea typeface="+mn-ea"/>
              <a:cs typeface="+mn-cs"/>
            </a:rPr>
            <a:t>The Mathematics Education Minor Teaching Area requires Mathematics Methods ATAR (or equivalent). If you do not satisfy this pre-requisite, you will need to choose MATH1014 as your Elective unit. Please use the tab below (</a:t>
          </a:r>
          <a:r>
            <a:rPr lang="en-AU" sz="1100" b="0" i="1" baseline="0">
              <a:solidFill>
                <a:schemeClr val="dk1"/>
              </a:solidFill>
              <a:effectLst/>
              <a:latin typeface="+mn-lt"/>
              <a:ea typeface="+mn-ea"/>
              <a:cs typeface="+mn-cs"/>
            </a:rPr>
            <a:t>BEd (Sec) Maths no Methods</a:t>
          </a:r>
          <a:r>
            <a:rPr lang="en-AU" sz="1100" b="0" baseline="0">
              <a:solidFill>
                <a:schemeClr val="dk1"/>
              </a:solidFill>
              <a:effectLst/>
              <a:latin typeface="+mn-lt"/>
              <a:ea typeface="+mn-ea"/>
              <a:cs typeface="+mn-cs"/>
            </a:rPr>
            <a:t>) if you wish to choose a Maths Minor, but have not completed Maths Methods.</a:t>
          </a:r>
          <a:endParaRPr lang="en-AU">
            <a:effectLst/>
          </a:endParaRPr>
        </a:p>
        <a:p>
          <a:pPr rtl="0" fontAlgn="base"/>
          <a:endParaRPr lang="en-AU" sz="1100" b="1" i="0">
            <a:solidFill>
              <a:srgbClr val="FF0000"/>
            </a:solidFill>
            <a:effectLst/>
            <a:latin typeface="+mn-lt"/>
            <a:ea typeface="+mn-ea"/>
            <a:cs typeface="+mn-cs"/>
          </a:endParaRPr>
        </a:p>
        <a:p>
          <a:pPr rtl="0" fontAlgn="base"/>
          <a:r>
            <a:rPr lang="en-AU" sz="1100" b="1" i="0">
              <a:solidFill>
                <a:sysClr val="windowText" lastClr="000000"/>
              </a:solidFill>
              <a:effectLst/>
              <a:latin typeface="+mn-lt"/>
              <a:ea typeface="+mn-ea"/>
              <a:cs typeface="+mn-cs"/>
            </a:rPr>
            <a:t>Need more support?</a:t>
          </a:r>
          <a:r>
            <a:rPr lang="en-AU" sz="1100" b="0" i="0">
              <a:solidFill>
                <a:sysClr val="windowText" lastClr="000000"/>
              </a:solidFill>
              <a:effectLst/>
              <a:latin typeface="+mn-lt"/>
              <a:ea typeface="+mn-ea"/>
              <a:cs typeface="+mn-cs"/>
            </a:rPr>
            <a:t> </a:t>
          </a:r>
        </a:p>
        <a:p>
          <a:pPr rtl="0" fontAlgn="base"/>
          <a:r>
            <a:rPr lang="en-AU" sz="1100" b="0" i="0">
              <a:solidFill>
                <a:sysClr val="windowText" lastClr="000000"/>
              </a:solidFill>
              <a:effectLst/>
              <a:latin typeface="+mn-lt"/>
              <a:ea typeface="+mn-ea"/>
              <a:cs typeface="+mn-cs"/>
            </a:rPr>
            <a:t>This planner is designed to be used in conjunction with the information provided by Curtin Connect on the Student Essentials webpages. </a:t>
          </a:r>
        </a:p>
        <a:p>
          <a:pPr rtl="0" fontAlgn="base"/>
          <a:r>
            <a:rPr lang="en-AU" sz="1100" b="0" i="0">
              <a:solidFill>
                <a:sysClr val="windowText" lastClr="000000"/>
              </a:solidFill>
              <a:effectLst/>
              <a:latin typeface="+mn-lt"/>
              <a:ea typeface="+mn-ea"/>
              <a:cs typeface="+mn-cs"/>
            </a:rPr>
            <a:t>If you have any questions regarding your enrolment, please contact Curtin Connect.</a:t>
          </a:r>
        </a:p>
        <a:p>
          <a:pPr rtl="0" fontAlgn="base"/>
          <a:endParaRPr lang="en-AU" sz="1100" b="0" i="0">
            <a:solidFill>
              <a:sysClr val="windowText" lastClr="000000"/>
            </a:solidFill>
            <a:effectLst/>
            <a:latin typeface="+mn-lt"/>
            <a:ea typeface="+mn-ea"/>
            <a:cs typeface="+mn-cs"/>
          </a:endParaRPr>
        </a:p>
        <a:p>
          <a:pPr rtl="0" fontAlgn="base"/>
          <a:endParaRPr lang="en-AU" sz="1100" b="1" i="0">
            <a:solidFill>
              <a:sysClr val="windowText" lastClr="000000"/>
            </a:solidFill>
            <a:effectLst/>
            <a:latin typeface="+mn-lt"/>
            <a:ea typeface="+mn-ea"/>
            <a:cs typeface="+mn-cs"/>
          </a:endParaRPr>
        </a:p>
        <a:p>
          <a:pPr rtl="0" fontAlgn="base"/>
          <a:endParaRPr lang="en-AU" sz="1100" b="1" i="0">
            <a:solidFill>
              <a:sysClr val="windowText" lastClr="000000"/>
            </a:solidFill>
            <a:effectLst/>
            <a:latin typeface="+mn-lt"/>
            <a:ea typeface="+mn-ea"/>
            <a:cs typeface="+mn-cs"/>
          </a:endParaRPr>
        </a:p>
        <a:p>
          <a:pPr rtl="0" fontAlgn="base"/>
          <a:r>
            <a:rPr lang="en-AU" sz="1100" b="1" i="0">
              <a:solidFill>
                <a:sysClr val="windowText" lastClr="000000"/>
              </a:solidFill>
              <a:effectLst/>
              <a:latin typeface="+mn-lt"/>
              <a:ea typeface="+mn-ea"/>
              <a:cs typeface="+mn-cs"/>
            </a:rPr>
            <a:t>Note:</a:t>
          </a:r>
          <a:endParaRPr lang="en-AU" sz="1100" b="1" i="0" baseline="0">
            <a:solidFill>
              <a:sysClr val="windowText" lastClr="000000"/>
            </a:solidFill>
            <a:effectLst/>
            <a:latin typeface="+mn-lt"/>
            <a:ea typeface="+mn-ea"/>
            <a:cs typeface="+mn-cs"/>
          </a:endParaRPr>
        </a:p>
        <a:p>
          <a:pPr rtl="0" fontAlgn="base"/>
          <a:r>
            <a:rPr lang="en-AU" sz="900" b="0" i="0" baseline="0">
              <a:solidFill>
                <a:sysClr val="windowText" lastClr="000000"/>
              </a:solidFill>
              <a:effectLst/>
              <a:latin typeface="+mn-lt"/>
              <a:ea typeface="+mn-ea"/>
              <a:cs typeface="+mn-cs"/>
            </a:rPr>
            <a:t>CP = Credit Points; Sem1 = Semester 1; Sem2 = Semester 2; BEN = unit available face-to-face at Curtin University, Bentley Campus; FO = unit available Fully Online</a:t>
          </a:r>
        </a:p>
      </xdr:txBody>
    </xdr:sp>
    <xdr:clientData/>
  </xdr:twoCellAnchor>
  <xdr:twoCellAnchor>
    <xdr:from>
      <xdr:col>17</xdr:col>
      <xdr:colOff>228601</xdr:colOff>
      <xdr:row>38</xdr:row>
      <xdr:rowOff>152005</xdr:rowOff>
    </xdr:from>
    <xdr:to>
      <xdr:col>20</xdr:col>
      <xdr:colOff>590551</xdr:colOff>
      <xdr:row>39</xdr:row>
      <xdr:rowOff>247650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458951" y="9200755"/>
          <a:ext cx="2419350" cy="343295"/>
        </a:xfrm>
        <a:prstGeom prst="rect">
          <a:avLst/>
        </a:prstGeom>
        <a:solidFill>
          <a:schemeClr val="bg1">
            <a:lumMod val="6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16</xdr:col>
      <xdr:colOff>474346</xdr:colOff>
      <xdr:row>26</xdr:row>
      <xdr:rowOff>102870</xdr:rowOff>
    </xdr:from>
    <xdr:to>
      <xdr:col>20</xdr:col>
      <xdr:colOff>588647</xdr:colOff>
      <xdr:row>27</xdr:row>
      <xdr:rowOff>221375</xdr:rowOff>
    </xdr:to>
    <xdr:sp macro="" textlink="">
      <xdr:nvSpPr>
        <xdr:cNvPr id="6" name="TextBox 5">
          <a:hlinkClick xmlns:r="http://schemas.openxmlformats.org/officeDocument/2006/relationships" r:id="rId3"/>
          <a:extLst>
            <a:ext uri="{FF2B5EF4-FFF2-40B4-BE49-F238E27FC236}">
              <a16:creationId xmlns:a16="http://schemas.microsoft.com/office/drawing/2014/main" id="{7785338F-8459-487D-9842-A3CE5CA5448B}"/>
            </a:ext>
          </a:extLst>
        </xdr:cNvPr>
        <xdr:cNvSpPr txBox="1"/>
      </xdr:nvSpPr>
      <xdr:spPr>
        <a:xfrm>
          <a:off x="14018896" y="6379845"/>
          <a:ext cx="2857501" cy="366155"/>
        </a:xfrm>
        <a:prstGeom prst="rect">
          <a:avLst/>
        </a:prstGeom>
        <a:solidFill>
          <a:schemeClr val="bg1">
            <a:lumMod val="6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2</xdr:row>
      <xdr:rowOff>76199</xdr:rowOff>
    </xdr:from>
    <xdr:to>
      <xdr:col>11</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457199"/>
          <a:ext cx="226781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91441</xdr:colOff>
      <xdr:row>7</xdr:row>
      <xdr:rowOff>171449</xdr:rowOff>
    </xdr:from>
    <xdr:to>
      <xdr:col>20</xdr:col>
      <xdr:colOff>550544</xdr:colOff>
      <xdr:row>42</xdr:row>
      <xdr:rowOff>123825</xdr:rowOff>
    </xdr:to>
    <xdr:sp macro="" textlink="">
      <xdr:nvSpPr>
        <xdr:cNvPr id="104" name="TextBox 2">
          <a:extLst>
            <a:ext uri="{FF2B5EF4-FFF2-40B4-BE49-F238E27FC236}">
              <a16:creationId xmlns:a16="http://schemas.microsoft.com/office/drawing/2014/main" id="{00000000-0008-0000-0200-000003000000}"/>
            </a:ext>
          </a:extLst>
        </xdr:cNvPr>
        <xdr:cNvSpPr txBox="1"/>
      </xdr:nvSpPr>
      <xdr:spPr>
        <a:xfrm>
          <a:off x="11959591" y="2124074"/>
          <a:ext cx="5259703" cy="8124826"/>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solidFill>
                <a:schemeClr val="dk1"/>
              </a:solidFill>
              <a:effectLst/>
              <a:latin typeface="+mn-lt"/>
              <a:ea typeface="+mn-ea"/>
              <a:cs typeface="+mn-cs"/>
            </a:rPr>
            <a:t>NOTE: Mathematics Minor - students who have not completed Maths Methods:</a:t>
          </a:r>
          <a:endParaRPr lang="en-AU">
            <a:effectLst/>
          </a:endParaRPr>
        </a:p>
        <a:p>
          <a:r>
            <a:rPr lang="en-AU" sz="1100">
              <a:solidFill>
                <a:schemeClr val="dk1"/>
              </a:solidFill>
              <a:effectLst/>
              <a:latin typeface="+mn-lt"/>
              <a:ea typeface="+mn-ea"/>
              <a:cs typeface="+mn-cs"/>
            </a:rPr>
            <a:t>The planner on this page is ONLY for students taking the Mathematics Second Specialisation who have not taken Mathematics Methods ATAR (or equivalent).</a:t>
          </a:r>
        </a:p>
        <a:p>
          <a:pPr marL="0" marR="0" lvl="0" indent="0" defTabSz="914400" eaLnBrk="1" fontAlgn="auto" latinLnBrk="0" hangingPunct="1">
            <a:lnSpc>
              <a:spcPct val="100000"/>
            </a:lnSpc>
            <a:spcBef>
              <a:spcPts val="0"/>
            </a:spcBef>
            <a:spcAft>
              <a:spcPts val="0"/>
            </a:spcAft>
            <a:buClrTx/>
            <a:buSzTx/>
            <a:buFontTx/>
            <a:buNone/>
            <a:tabLst/>
            <a:defRPr/>
          </a:pPr>
          <a:r>
            <a:rPr lang="en-AU" sz="1100" b="0" baseline="0">
              <a:solidFill>
                <a:schemeClr val="dk1"/>
              </a:solidFill>
              <a:effectLst/>
              <a:latin typeface="+mn-lt"/>
              <a:ea typeface="+mn-ea"/>
              <a:cs typeface="+mn-cs"/>
            </a:rPr>
            <a:t>The Mathematics Education Minor Teaching Area requires Mathematics Methods ATAR (or equivalent). If you do not satisfy this pre-requisite, you will need to choose MATH1014 as your Elective unit.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Enrolment Guidelines</a:t>
          </a: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100 credit points per semester. 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or two units from the four listed for each study period.</a:t>
          </a:r>
        </a:p>
        <a:p>
          <a:pPr eaLnBrk="1" fontAlgn="auto" latinLnBrk="0" hangingPunct="1"/>
          <a:endParaRPr lang="en-AU">
            <a:effectLst/>
          </a:endParaRPr>
        </a:p>
        <a:p>
          <a:r>
            <a:rPr lang="en-AU" sz="1100" b="1">
              <a:solidFill>
                <a:schemeClr val="dk1"/>
              </a:solidFill>
              <a:effectLst/>
              <a:latin typeface="+mn-lt"/>
              <a:ea typeface="+mn-ea"/>
              <a:cs typeface="+mn-cs"/>
            </a:rPr>
            <a:t>Requests</a:t>
          </a:r>
          <a:r>
            <a:rPr lang="en-AU" sz="1100" b="1" baseline="0">
              <a:solidFill>
                <a:schemeClr val="dk1"/>
              </a:solidFill>
              <a:effectLst/>
              <a:latin typeface="+mn-lt"/>
              <a:ea typeface="+mn-ea"/>
              <a:cs typeface="+mn-cs"/>
            </a:rPr>
            <a:t> to change Major/Second specialisation.</a:t>
          </a:r>
          <a:endParaRPr lang="en-AU">
            <a:effectLst/>
          </a:endParaRPr>
        </a:p>
        <a:p>
          <a:r>
            <a:rPr lang="en-AU" sz="1100" b="0" baseline="0">
              <a:solidFill>
                <a:schemeClr val="dk1"/>
              </a:solidFill>
              <a:effectLst/>
              <a:latin typeface="+mn-lt"/>
              <a:ea typeface="+mn-ea"/>
              <a:cs typeface="+mn-cs"/>
            </a:rPr>
            <a:t>All requests to change Second Specialisation must go through the Course Coordinator.</a:t>
          </a:r>
          <a:endParaRPr lang="en-AU">
            <a:effectLst/>
          </a:endParaRPr>
        </a:p>
        <a:p>
          <a:r>
            <a:rPr lang="en-AU" sz="1100" b="0">
              <a:solidFill>
                <a:schemeClr val="dk1"/>
              </a:solidFill>
              <a:effectLst/>
              <a:latin typeface="+mn-lt"/>
              <a:ea typeface="+mn-ea"/>
              <a:cs typeface="+mn-cs"/>
            </a:rPr>
            <a:t>If you wish to change Major you must re-apply for the course.</a:t>
          </a:r>
        </a:p>
        <a:p>
          <a:endParaRPr lang="en-AU">
            <a:effectLst/>
          </a:endParaRPr>
        </a:p>
        <a:p>
          <a:r>
            <a:rPr lang="en-AU" sz="1100" b="1">
              <a:solidFill>
                <a:schemeClr val="dk1"/>
              </a:solidFill>
              <a:effectLst/>
              <a:latin typeface="+mn-lt"/>
              <a:ea typeface="+mn-ea"/>
              <a:cs typeface="+mn-cs"/>
            </a:rPr>
            <a:t>Professional Experience</a:t>
          </a:r>
          <a:endParaRPr lang="en-AU">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a:effectLst/>
          </a:endParaRPr>
        </a:p>
        <a:p>
          <a:endParaRPr lang="en-AU">
            <a:effectLst/>
          </a:endParaRPr>
        </a:p>
        <a:p>
          <a:r>
            <a:rPr lang="en-AU" sz="1100" b="1">
              <a:solidFill>
                <a:schemeClr val="dk1"/>
              </a:solidFill>
              <a:effectLst/>
              <a:latin typeface="+mn-lt"/>
              <a:ea typeface="+mn-ea"/>
              <a:cs typeface="+mn-cs"/>
            </a:rPr>
            <a:t>Pre-requisites</a:t>
          </a:r>
          <a:endParaRPr lang="en-AU">
            <a:effectLst/>
          </a:endParaRPr>
        </a:p>
        <a:p>
          <a:r>
            <a:rPr lang="en-AU" sz="1100">
              <a:solidFill>
                <a:schemeClr val="dk1"/>
              </a:solidFill>
              <a:effectLst/>
              <a:latin typeface="+mn-lt"/>
              <a:ea typeface="+mn-ea"/>
              <a:cs typeface="+mn-cs"/>
            </a:rPr>
            <a:t>Pre-requisites denoted by * can be enrolled concurrently in the same study period if required by the</a:t>
          </a:r>
          <a:r>
            <a:rPr lang="en-AU" sz="1100" baseline="0">
              <a:solidFill>
                <a:schemeClr val="dk1"/>
              </a:solidFill>
              <a:effectLst/>
              <a:latin typeface="+mn-lt"/>
              <a:ea typeface="+mn-ea"/>
              <a:cs typeface="+mn-cs"/>
            </a:rPr>
            <a:t> Enrolment Planner's specified sequence. </a:t>
          </a: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a:t>
          </a:r>
          <a:endParaRPr lang="en-AU">
            <a:effectLst/>
          </a:endParaRPr>
        </a:p>
        <a:p>
          <a:pPr rtl="0" fontAlgn="base"/>
          <a:r>
            <a:rPr lang="en-AU" sz="1100" b="0" i="0">
              <a:solidFill>
                <a:schemeClr val="dk1"/>
              </a:solidFill>
              <a:effectLst/>
              <a:latin typeface="+mn-lt"/>
              <a:ea typeface="+mn-ea"/>
              <a:cs typeface="+mn-cs"/>
            </a:rPr>
            <a:t>If you have any questions regarding your enrolment, please contact Curtin Connect.</a:t>
          </a:r>
        </a:p>
        <a:p>
          <a:pPr rtl="0" fontAlgn="base"/>
          <a:endParaRPr lang="en-AU" sz="1100" b="0" i="0">
            <a:solidFill>
              <a:schemeClr val="dk1"/>
            </a:solidFill>
            <a:effectLst/>
            <a:latin typeface="+mn-lt"/>
            <a:ea typeface="+mn-ea"/>
            <a:cs typeface="+mn-cs"/>
          </a:endParaRPr>
        </a:p>
        <a:p>
          <a:pPr rtl="0" fontAlgn="base"/>
          <a:endParaRPr lang="en-AU">
            <a:effectLst/>
          </a:endParaRPr>
        </a:p>
        <a:p>
          <a:pPr rtl="0" fontAlgn="base"/>
          <a:endParaRPr lang="en-AU" sz="1100" b="1" i="0">
            <a:solidFill>
              <a:schemeClr val="dk1"/>
            </a:solidFill>
            <a:effectLst/>
            <a:latin typeface="+mn-lt"/>
            <a:ea typeface="+mn-ea"/>
            <a:cs typeface="+mn-cs"/>
          </a:endParaRPr>
        </a:p>
        <a:p>
          <a:pPr rtl="0" fontAlgn="base"/>
          <a:r>
            <a:rPr lang="en-AU" sz="900" b="1" i="0">
              <a:solidFill>
                <a:schemeClr val="dk1"/>
              </a:solidFill>
              <a:effectLst/>
              <a:latin typeface="+mn-lt"/>
              <a:ea typeface="+mn-ea"/>
              <a:cs typeface="+mn-cs"/>
            </a:rPr>
            <a:t>Note:</a:t>
          </a:r>
          <a:endParaRPr lang="en-AU" sz="900">
            <a:effectLst/>
          </a:endParaRPr>
        </a:p>
        <a:p>
          <a:pPr rtl="0" fontAlgn="base"/>
          <a:r>
            <a:rPr lang="en-AU" sz="900" b="0" i="0" baseline="0">
              <a:solidFill>
                <a:schemeClr val="dk1"/>
              </a:solidFill>
              <a:effectLst/>
              <a:latin typeface="+mn-lt"/>
              <a:ea typeface="+mn-ea"/>
              <a:cs typeface="+mn-cs"/>
            </a:rPr>
            <a:t>CP = Credit Points; Sem1 = Semester 1; Sem2 = Semester 2; BEN = unit available face-to-face at Curtin University, Bentley Campus; FO = unit available Fully Online; KAL = unit available online via Kalgoorlie campus</a:t>
          </a:r>
          <a:endParaRPr lang="en-AU" sz="900">
            <a:effectLst/>
          </a:endParaRPr>
        </a:p>
      </xdr:txBody>
    </xdr:sp>
    <xdr:clientData/>
  </xdr:twoCellAnchor>
  <xdr:twoCellAnchor>
    <xdr:from>
      <xdr:col>17</xdr:col>
      <xdr:colOff>144781</xdr:colOff>
      <xdr:row>38</xdr:row>
      <xdr:rowOff>228205</xdr:rowOff>
    </xdr:from>
    <xdr:to>
      <xdr:col>20</xdr:col>
      <xdr:colOff>523876</xdr:colOff>
      <xdr:row>40</xdr:row>
      <xdr:rowOff>66675</xdr:rowOff>
    </xdr:to>
    <xdr:sp macro="" textlink="">
      <xdr:nvSpPr>
        <xdr:cNvPr id="103"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4575156" y="8895955"/>
          <a:ext cx="2436495" cy="352820"/>
        </a:xfrm>
        <a:prstGeom prst="rect">
          <a:avLst/>
        </a:prstGeom>
        <a:solidFill>
          <a:schemeClr val="bg1">
            <a:lumMod val="6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16</xdr:col>
      <xdr:colOff>417196</xdr:colOff>
      <xdr:row>30</xdr:row>
      <xdr:rowOff>240029</xdr:rowOff>
    </xdr:from>
    <xdr:to>
      <xdr:col>20</xdr:col>
      <xdr:colOff>531497</xdr:colOff>
      <xdr:row>32</xdr:row>
      <xdr:rowOff>93739</xdr:rowOff>
    </xdr:to>
    <xdr:sp macro="" textlink="">
      <xdr:nvSpPr>
        <xdr:cNvPr id="54" name="TextBox 5">
          <a:hlinkClick xmlns:r="http://schemas.openxmlformats.org/officeDocument/2006/relationships" r:id="rId3"/>
          <a:extLst>
            <a:ext uri="{FF2B5EF4-FFF2-40B4-BE49-F238E27FC236}">
              <a16:creationId xmlns:a16="http://schemas.microsoft.com/office/drawing/2014/main" id="{27779234-4D54-4D84-8C22-C7C82281C860}"/>
            </a:ext>
          </a:extLst>
        </xdr:cNvPr>
        <xdr:cNvSpPr txBox="1"/>
      </xdr:nvSpPr>
      <xdr:spPr>
        <a:xfrm>
          <a:off x="14161771" y="7117079"/>
          <a:ext cx="2857501" cy="349010"/>
        </a:xfrm>
        <a:prstGeom prst="rect">
          <a:avLst/>
        </a:prstGeom>
        <a:solidFill>
          <a:schemeClr val="bg1">
            <a:lumMod val="6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id="3" name="TableCourses" displayName="TableCourses" ref="A6:G10" totalsRowShown="0" headerRowDxfId="1095">
  <autoFilter ref="A6:G10"/>
  <sortState ref="A7:E9">
    <sortCondition ref="A6:A9"/>
  </sortState>
  <tableColumns count="7">
    <tableColumn id="3" name="Choose your Education Course" dataDxfId="1094"/>
    <tableColumn id="1" name="UDC" dataDxfId="1093"/>
    <tableColumn id="2" name="Version" dataDxfId="1092"/>
    <tableColumn id="5" name="Credit Points" dataDxfId="1091"/>
    <tableColumn id="4" name="Effective Date" dataDxfId="1090"/>
    <tableColumn id="7" name="Akari Update" dataDxfId="1089"/>
    <tableColumn id="6" name="Availabilities" dataDxfId="1088"/>
  </tableColumns>
  <tableStyleInfo name="TableStyleLight8" showFirstColumn="0" showLastColumn="0" showRowStripes="1" showColumnStripes="0"/>
</table>
</file>

<file path=xl/tables/table10.xml><?xml version="1.0" encoding="utf-8"?>
<table xmlns="http://schemas.openxmlformats.org/spreadsheetml/2006/main" id="5" name="TableBEDPR" displayName="TableBEDPR" ref="A115:O148" totalsRowShown="0" headerRowDxfId="734">
  <autoFilter ref="A115:O148"/>
  <sortState ref="A112:S119">
    <sortCondition ref="O10:O18"/>
  </sortState>
  <tableColumns count="15">
    <tableColumn id="1" name="UDC" dataDxfId="733">
      <calculatedColumnFormula>TableBEDPR[[#This Row],[Study Package Code]]</calculatedColumnFormula>
    </tableColumn>
    <tableColumn id="9" name="Version" dataDxfId="732">
      <calculatedColumnFormula>TableBEDPR[[#This Row],[Ver]]</calculatedColumnFormula>
    </tableColumn>
    <tableColumn id="10" name="OUA Code"/>
    <tableColumn id="11" name="Unit Title" dataDxfId="731">
      <calculatedColumnFormula>TableBEDPR[[#This Row],[Structure Line]]</calculatedColumnFormula>
    </tableColumn>
    <tableColumn id="12" name="CPs" dataDxfId="730">
      <calculatedColumnFormula>TableBEDPR[[#This Row],[Credit Points]]</calculatedColumnFormula>
    </tableColumn>
    <tableColumn id="13" name="No." dataDxfId="729"/>
    <tableColumn id="2" name="Component Type" dataDxfId="728"/>
    <tableColumn id="3" name="Year Level" dataDxfId="727"/>
    <tableColumn id="4" name="Study Period" dataDxfId="726"/>
    <tableColumn id="5" name="Study Package Code" dataDxfId="725"/>
    <tableColumn id="6" name="Ver" dataDxfId="724"/>
    <tableColumn id="7" name="Structure Line" dataDxfId="723"/>
    <tableColumn id="8" name="Credit Points" dataDxfId="722"/>
    <tableColumn id="14" name="Effective" dataDxfId="721"/>
    <tableColumn id="15" name="Discont." dataDxfId="720"/>
  </tableColumns>
  <tableStyleInfo name="TableStyleLight1" showFirstColumn="0" showLastColumn="0" showRowStripes="1" showColumnStripes="0"/>
</table>
</file>

<file path=xl/tables/table100.xml><?xml version="1.0" encoding="utf-8"?>
<table xmlns="http://schemas.openxmlformats.org/spreadsheetml/2006/main" id="100" name="TableSTRUENGLL" displayName="TableSTRUENGLL" ref="A155:O158" totalsRowShown="0" headerRowDxfId="74">
  <autoFilter ref="A155:O158"/>
  <sortState ref="A156:S163">
    <sortCondition ref="O10:O18"/>
  </sortState>
  <tableColumns count="15">
    <tableColumn id="1" name="UDC" dataDxfId="73">
      <calculatedColumnFormula>TableSTRUENGLL[[#This Row],[Study Package Code]]</calculatedColumnFormula>
    </tableColumn>
    <tableColumn id="9" name="Version" dataDxfId="72">
      <calculatedColumnFormula>TableSTRUENGLL[[#This Row],[Ver]]</calculatedColumnFormula>
    </tableColumn>
    <tableColumn id="10" name="OUA Code"/>
    <tableColumn id="11" name="Unit Title" dataDxfId="71">
      <calculatedColumnFormula>TableSTRUENGLL[[#This Row],[Structure Line]]</calculatedColumnFormula>
    </tableColumn>
    <tableColumn id="12" name="CPs" dataDxfId="70">
      <calculatedColumnFormula>TableSTRUENGLL[[#This Row],[Credit Points]]</calculatedColumnFormula>
    </tableColumn>
    <tableColumn id="13" name="No." dataDxfId="69"/>
    <tableColumn id="2" name="Component Type" dataDxfId="68"/>
    <tableColumn id="3" name="Year Level" dataDxfId="67"/>
    <tableColumn id="4" name="Study Period" dataDxfId="66"/>
    <tableColumn id="5" name="Study Package Code" dataDxfId="65"/>
    <tableColumn id="6" name="Ver" dataDxfId="64"/>
    <tableColumn id="7" name="Structure Line" dataDxfId="63"/>
    <tableColumn id="8" name="Credit Points" dataDxfId="62"/>
    <tableColumn id="14" name="Effective" dataDxfId="61"/>
    <tableColumn id="15" name="Discont." dataDxfId="60"/>
  </tableColumns>
  <tableStyleInfo name="TableStyleLight1" showFirstColumn="0" showLastColumn="0" showRowStripes="1" showColumnStripes="0"/>
</table>
</file>

<file path=xl/tables/table101.xml><?xml version="1.0" encoding="utf-8"?>
<table xmlns="http://schemas.openxmlformats.org/spreadsheetml/2006/main" id="101" name="Table53565759606163100102" displayName="Table53565759606163100102" ref="R155:S158" totalsRowShown="0">
  <autoFilter ref="R155:S158"/>
  <tableColumns count="2">
    <tableColumn id="1" name="Column1"/>
    <tableColumn id="2" name="Column2"/>
  </tableColumns>
  <tableStyleInfo name="TableStyleLight4" showFirstColumn="0" showLastColumn="0" showRowStripes="1" showColumnStripes="0"/>
</table>
</file>

<file path=xl/tables/table102.xml><?xml version="1.0" encoding="utf-8"?>
<table xmlns="http://schemas.openxmlformats.org/spreadsheetml/2006/main" id="104" name="TableSTRUINTBC" displayName="TableSTRUINTBC" ref="A160:O163" totalsRowShown="0" headerRowDxfId="59">
  <autoFilter ref="A160:O163"/>
  <sortState ref="A161:S168">
    <sortCondition ref="O10:O18"/>
  </sortState>
  <tableColumns count="15">
    <tableColumn id="1" name="UDC" dataDxfId="58">
      <calculatedColumnFormula>TableSTRUINTBC[[#This Row],[Study Package Code]]</calculatedColumnFormula>
    </tableColumn>
    <tableColumn id="9" name="Version" dataDxfId="57">
      <calculatedColumnFormula>TableSTRUINTBC[[#This Row],[Ver]]</calculatedColumnFormula>
    </tableColumn>
    <tableColumn id="10" name="OUA Code"/>
    <tableColumn id="11" name="Unit Title" dataDxfId="56">
      <calculatedColumnFormula>TableSTRUINTBC[[#This Row],[Structure Line]]</calculatedColumnFormula>
    </tableColumn>
    <tableColumn id="12" name="CPs" dataDxfId="55">
      <calculatedColumnFormula>TableSTRUINTBC[[#This Row],[Credit Points]]</calculatedColumnFormula>
    </tableColumn>
    <tableColumn id="13" name="No." dataDxfId="54"/>
    <tableColumn id="2" name="Component Type" dataDxfId="53"/>
    <tableColumn id="3" name="Year Level" dataDxfId="52"/>
    <tableColumn id="4" name="Study Period" dataDxfId="51"/>
    <tableColumn id="5" name="Study Package Code" dataDxfId="50"/>
    <tableColumn id="6" name="Ver" dataDxfId="49"/>
    <tableColumn id="7" name="Structure Line" dataDxfId="48"/>
    <tableColumn id="8" name="Credit Points" dataDxfId="47"/>
    <tableColumn id="14" name="Effective" dataDxfId="46"/>
    <tableColumn id="15" name="Discont." dataDxfId="45"/>
  </tableColumns>
  <tableStyleInfo name="TableStyleLight1" showFirstColumn="0" showLastColumn="0" showRowStripes="1" showColumnStripes="0"/>
</table>
</file>

<file path=xl/tables/table103.xml><?xml version="1.0" encoding="utf-8"?>
<table xmlns="http://schemas.openxmlformats.org/spreadsheetml/2006/main" id="105" name="Table53565759606163100102106" displayName="Table53565759606163100102106" ref="R160:S163" totalsRowShown="0">
  <autoFilter ref="R160:S163"/>
  <tableColumns count="2">
    <tableColumn id="1" name="Column1"/>
    <tableColumn id="2" name="Column2"/>
  </tableColumns>
  <tableStyleInfo name="TableStyleLight4" showFirstColumn="0" showLastColumn="0" showRowStripes="1" showColumnStripes="0"/>
</table>
</file>

<file path=xl/tables/table104.xml><?xml version="1.0" encoding="utf-8"?>
<table xmlns="http://schemas.openxmlformats.org/spreadsheetml/2006/main" id="106" name="TableSTRUISTEM" displayName="TableSTRUISTEM" ref="A165:O168" totalsRowShown="0" headerRowDxfId="44">
  <autoFilter ref="A165:O168"/>
  <sortState ref="A166:S173">
    <sortCondition ref="O10:O18"/>
  </sortState>
  <tableColumns count="15">
    <tableColumn id="1" name="UDC" dataDxfId="43">
      <calculatedColumnFormula>TableSTRUISTEM[[#This Row],[Study Package Code]]</calculatedColumnFormula>
    </tableColumn>
    <tableColumn id="9" name="Version" dataDxfId="42">
      <calculatedColumnFormula>TableSTRUISTEM[[#This Row],[Ver]]</calculatedColumnFormula>
    </tableColumn>
    <tableColumn id="10" name="OUA Code"/>
    <tableColumn id="11" name="Unit Title" dataDxfId="41">
      <calculatedColumnFormula>TableSTRUISTEM[[#This Row],[Structure Line]]</calculatedColumnFormula>
    </tableColumn>
    <tableColumn id="12" name="CPs" dataDxfId="40">
      <calculatedColumnFormula>TableSTRUISTEM[[#This Row],[Credit Points]]</calculatedColumnFormula>
    </tableColumn>
    <tableColumn id="13" name="No." dataDxfId="39"/>
    <tableColumn id="2" name="Component Type" dataDxfId="38"/>
    <tableColumn id="3" name="Year Level" dataDxfId="37"/>
    <tableColumn id="4" name="Study Period" dataDxfId="36"/>
    <tableColumn id="5" name="Study Package Code" dataDxfId="35"/>
    <tableColumn id="6" name="Ver" dataDxfId="34"/>
    <tableColumn id="7" name="Structure Line" dataDxfId="33"/>
    <tableColumn id="8" name="Credit Points" dataDxfId="32"/>
    <tableColumn id="14" name="Effective" dataDxfId="31"/>
    <tableColumn id="15" name="Discont." dataDxfId="30"/>
  </tableColumns>
  <tableStyleInfo name="TableStyleLight1" showFirstColumn="0" showLastColumn="0" showRowStripes="1" showColumnStripes="0"/>
</table>
</file>

<file path=xl/tables/table105.xml><?xml version="1.0" encoding="utf-8"?>
<table xmlns="http://schemas.openxmlformats.org/spreadsheetml/2006/main" id="107" name="Table53565759606163100102106108" displayName="Table53565759606163100102106108" ref="R165:S168" totalsRowShown="0">
  <autoFilter ref="R165:S168"/>
  <tableColumns count="2">
    <tableColumn id="1" name="Column1"/>
    <tableColumn id="2" name="Column2"/>
  </tableColumns>
  <tableStyleInfo name="TableStyleLight4" showFirstColumn="0" showLastColumn="0" showRowStripes="1" showColumnStripes="0"/>
</table>
</file>

<file path=xl/tables/table106.xml><?xml version="1.0" encoding="utf-8"?>
<table xmlns="http://schemas.openxmlformats.org/spreadsheetml/2006/main" id="108" name="TableSTRULITNU" displayName="TableSTRULITNU" ref="A170:O173" totalsRowShown="0" headerRowDxfId="29">
  <autoFilter ref="A170:O173"/>
  <sortState ref="A171:S178">
    <sortCondition ref="O10:O18"/>
  </sortState>
  <tableColumns count="15">
    <tableColumn id="1" name="UDC" dataDxfId="28">
      <calculatedColumnFormula>TableSTRULITNU[[#This Row],[Study Package Code]]</calculatedColumnFormula>
    </tableColumn>
    <tableColumn id="9" name="Version" dataDxfId="27">
      <calculatedColumnFormula>TableSTRULITNU[[#This Row],[Ver]]</calculatedColumnFormula>
    </tableColumn>
    <tableColumn id="10" name="OUA Code"/>
    <tableColumn id="11" name="Unit Title" dataDxfId="26">
      <calculatedColumnFormula>TableSTRULITNU[[#This Row],[Structure Line]]</calculatedColumnFormula>
    </tableColumn>
    <tableColumn id="12" name="CPs" dataDxfId="25">
      <calculatedColumnFormula>TableSTRULITNU[[#This Row],[Credit Points]]</calculatedColumnFormula>
    </tableColumn>
    <tableColumn id="13" name="No." dataDxfId="24"/>
    <tableColumn id="2" name="Component Type" dataDxfId="23"/>
    <tableColumn id="3" name="Year Level" dataDxfId="22"/>
    <tableColumn id="4" name="Study Period" dataDxfId="21"/>
    <tableColumn id="5" name="Study Package Code" dataDxfId="20"/>
    <tableColumn id="6" name="Ver" dataDxfId="19"/>
    <tableColumn id="7" name="Structure Line" dataDxfId="18"/>
    <tableColumn id="8" name="Credit Points" dataDxfId="17"/>
    <tableColumn id="14" name="Effective" dataDxfId="16"/>
    <tableColumn id="15" name="Discont." dataDxfId="15"/>
  </tableColumns>
  <tableStyleInfo name="TableStyleLight1" showFirstColumn="0" showLastColumn="0" showRowStripes="1" showColumnStripes="0"/>
</table>
</file>

<file path=xl/tables/table107.xml><?xml version="1.0" encoding="utf-8"?>
<table xmlns="http://schemas.openxmlformats.org/spreadsheetml/2006/main" id="109" name="Table53565759606163100102106108110" displayName="Table53565759606163100102106108110" ref="R170:S173" totalsRowShown="0">
  <autoFilter ref="R170:S173"/>
  <tableColumns count="2">
    <tableColumn id="1" name="Column1"/>
    <tableColumn id="2" name="Column2"/>
  </tableColumns>
  <tableStyleInfo name="TableStyleLight4" showFirstColumn="0" showLastColumn="0" showRowStripes="1" showColumnStripes="0"/>
</table>
</file>

<file path=xl/tables/table108.xml><?xml version="1.0" encoding="utf-8"?>
<table xmlns="http://schemas.openxmlformats.org/spreadsheetml/2006/main" id="110" name="TableSTRUTECHS" displayName="TableSTRUTECHS" ref="A175:O178" totalsRowShown="0" headerRowDxfId="14">
  <autoFilter ref="A175:O178"/>
  <sortState ref="A176:S183">
    <sortCondition ref="O10:O18"/>
  </sortState>
  <tableColumns count="15">
    <tableColumn id="1" name="UDC" dataDxfId="13">
      <calculatedColumnFormula>TableSTRUTECHS[[#This Row],[Study Package Code]]</calculatedColumnFormula>
    </tableColumn>
    <tableColumn id="9" name="Version" dataDxfId="12">
      <calculatedColumnFormula>TableSTRUTECHS[[#This Row],[Ver]]</calculatedColumnFormula>
    </tableColumn>
    <tableColumn id="10" name="OUA Code"/>
    <tableColumn id="11" name="Unit Title" dataDxfId="11">
      <calculatedColumnFormula>TableSTRUTECHS[[#This Row],[Structure Line]]</calculatedColumnFormula>
    </tableColumn>
    <tableColumn id="12" name="CPs" dataDxfId="10">
      <calculatedColumnFormula>TableSTRUTECHS[[#This Row],[Credit Points]]</calculatedColumnFormula>
    </tableColumn>
    <tableColumn id="13" name="No." dataDxfId="9"/>
    <tableColumn id="2" name="Component Type" dataDxfId="8"/>
    <tableColumn id="3" name="Year Level" dataDxfId="7"/>
    <tableColumn id="4" name="Study Period" dataDxfId="6"/>
    <tableColumn id="5" name="Study Package Code" dataDxfId="5"/>
    <tableColumn id="6" name="Ver" dataDxfId="4"/>
    <tableColumn id="7" name="Structure Line" dataDxfId="3"/>
    <tableColumn id="8" name="Credit Points" dataDxfId="2"/>
    <tableColumn id="14" name="Effective" dataDxfId="1"/>
    <tableColumn id="15" name="Discont." dataDxfId="0"/>
  </tableColumns>
  <tableStyleInfo name="TableStyleLight1" showFirstColumn="0" showLastColumn="0" showRowStripes="1" showColumnStripes="0"/>
</table>
</file>

<file path=xl/tables/table109.xml><?xml version="1.0" encoding="utf-8"?>
<table xmlns="http://schemas.openxmlformats.org/spreadsheetml/2006/main" id="111" name="Table53565759606163100102106108110112" displayName="Table53565759606163100102106108110112" ref="R175:S178" totalsRowShown="0">
  <autoFilter ref="R175:S178"/>
  <tableColumns count="2">
    <tableColumn id="1" name="Column1"/>
    <tableColumn id="2" name="Column2"/>
  </tableColumns>
  <tableStyleInfo name="TableStyleLight4" showFirstColumn="0" showLastColumn="0" showRowStripes="1" showColumnStripes="0"/>
</table>
</file>

<file path=xl/tables/table11.xml><?xml version="1.0" encoding="utf-8"?>
<table xmlns="http://schemas.openxmlformats.org/spreadsheetml/2006/main" id="7" name="TableBEDSC" displayName="TableBEDSC" ref="A181:O210" totalsRowShown="0" headerRowDxfId="719">
  <autoFilter ref="A181:O210"/>
  <sortState ref="A163:S170">
    <sortCondition ref="O10:O18"/>
  </sortState>
  <tableColumns count="15">
    <tableColumn id="1" name="UDC" dataDxfId="718">
      <calculatedColumnFormula>TableBEDSC[[#This Row],[Study Package Code]]</calculatedColumnFormula>
    </tableColumn>
    <tableColumn id="9" name="Version" dataDxfId="717">
      <calculatedColumnFormula>TableBEDSC[[#This Row],[Ver]]</calculatedColumnFormula>
    </tableColumn>
    <tableColumn id="10" name="OUA Code"/>
    <tableColumn id="11" name="Unit Title" dataDxfId="716">
      <calculatedColumnFormula>TableBEDSC[[#This Row],[Structure Line]]</calculatedColumnFormula>
    </tableColumn>
    <tableColumn id="12" name="CPs" dataDxfId="715">
      <calculatedColumnFormula>TableBEDSC[[#This Row],[Credit Points]]</calculatedColumnFormula>
    </tableColumn>
    <tableColumn id="13" name="No." dataDxfId="714"/>
    <tableColumn id="2" name="Component Type" dataDxfId="713"/>
    <tableColumn id="3" name="Year Level" dataDxfId="712"/>
    <tableColumn id="4" name="Study Period" dataDxfId="711"/>
    <tableColumn id="5" name="Study Package Code" dataDxfId="710"/>
    <tableColumn id="6" name="Ver" dataDxfId="709"/>
    <tableColumn id="7" name="Structure Line" dataDxfId="708"/>
    <tableColumn id="8" name="Credit Points" dataDxfId="707"/>
    <tableColumn id="14" name="Effective" dataDxfId="706"/>
    <tableColumn id="15" name="Discont." dataDxfId="705"/>
  </tableColumns>
  <tableStyleInfo name="TableStyleLight1" showFirstColumn="0" showLastColumn="0" showRowStripes="1" showColumnStripes="0"/>
</table>
</file>

<file path=xl/tables/table110.xml><?xml version="1.0" encoding="utf-8"?>
<table xmlns="http://schemas.openxmlformats.org/spreadsheetml/2006/main" id="13" name="TableAvailabilities" displayName="TableAvailabilities" ref="A3:J203" totalsRowShown="0">
  <autoFilter ref="A3:J203"/>
  <tableColumns count="10">
    <tableColumn id="1" name="Row Labels"/>
    <tableColumn id="2" name="Internal"/>
    <tableColumn id="3" name="Online BEN"/>
    <tableColumn id="4" name="Online Kalgoorlie"/>
    <tableColumn id="5" name="Internal2"/>
    <tableColumn id="6" name="Online BEN2"/>
    <tableColumn id="7" name="Online Kalgoorlie3"/>
    <tableColumn id="8" name="Internal4"/>
    <tableColumn id="9" name="Online BEN5"/>
    <tableColumn id="10" name="Online Kalgoorlie6"/>
  </tableColumns>
  <tableStyleInfo name="TableStyleLight7" showFirstColumn="0" showLastColumn="0" showRowStripes="1" showColumnStripes="0"/>
</table>
</file>

<file path=xl/tables/table12.xml><?xml version="1.0" encoding="utf-8"?>
<table xmlns="http://schemas.openxmlformats.org/spreadsheetml/2006/main" id="8" name="TableMJRUARTDR" displayName="TableMJRUARTDR" ref="A212:O232" totalsRowShown="0" headerRowDxfId="704">
  <autoFilter ref="A212:O232"/>
  <sortState ref="A193:S200">
    <sortCondition ref="O10:O18"/>
  </sortState>
  <tableColumns count="15">
    <tableColumn id="1" name="UDC" dataDxfId="703">
      <calculatedColumnFormula>TableMJRUARTDR[[#This Row],[Study Package Code]]</calculatedColumnFormula>
    </tableColumn>
    <tableColumn id="9" name="Version" dataDxfId="702">
      <calculatedColumnFormula>TableMJRUARTDR[[#This Row],[Ver]]</calculatedColumnFormula>
    </tableColumn>
    <tableColumn id="10" name="OUA Code"/>
    <tableColumn id="11" name="Unit Title" dataDxfId="701">
      <calculatedColumnFormula>TableMJRUARTDR[[#This Row],[Structure Line]]</calculatedColumnFormula>
    </tableColumn>
    <tableColumn id="12" name="CPs" dataDxfId="700">
      <calculatedColumnFormula>TableMJRUARTDR[[#This Row],[Credit Points]]</calculatedColumnFormula>
    </tableColumn>
    <tableColumn id="13" name="No." dataDxfId="699"/>
    <tableColumn id="2" name="Component Type" dataDxfId="698"/>
    <tableColumn id="3" name="Year Level" dataDxfId="697"/>
    <tableColumn id="4" name="Study Period" dataDxfId="696"/>
    <tableColumn id="5" name="Study Package Code" dataDxfId="695"/>
    <tableColumn id="6" name="Ver" dataDxfId="694"/>
    <tableColumn id="7" name="Structure Line" dataDxfId="693"/>
    <tableColumn id="8" name="Credit Points" dataDxfId="692"/>
    <tableColumn id="14" name="Effective" dataDxfId="691"/>
    <tableColumn id="15" name="Discont." dataDxfId="690"/>
  </tableColumns>
  <tableStyleInfo name="TableStyleLight1" showFirstColumn="0" showLastColumn="0" showRowStripes="1" showColumnStripes="0"/>
</table>
</file>

<file path=xl/tables/table13.xml><?xml version="1.0" encoding="utf-8"?>
<table xmlns="http://schemas.openxmlformats.org/spreadsheetml/2006/main" id="9" name="TableMJRUARTME" displayName="TableMJRUARTME" ref="A234:O254" totalsRowShown="0" headerRowDxfId="689">
  <autoFilter ref="A234:O254"/>
  <sortState ref="A215:S222">
    <sortCondition ref="O10:O18"/>
  </sortState>
  <tableColumns count="15">
    <tableColumn id="1" name="UDC" dataDxfId="688">
      <calculatedColumnFormula>TableMJRUARTME[[#This Row],[Study Package Code]]</calculatedColumnFormula>
    </tableColumn>
    <tableColumn id="9" name="Version" dataDxfId="687">
      <calculatedColumnFormula>TableMJRUARTME[[#This Row],[Ver]]</calculatedColumnFormula>
    </tableColumn>
    <tableColumn id="10" name="OUA Code"/>
    <tableColumn id="11" name="Unit Title" dataDxfId="686">
      <calculatedColumnFormula>TableMJRUARTME[[#This Row],[Structure Line]]</calculatedColumnFormula>
    </tableColumn>
    <tableColumn id="12" name="CPs" dataDxfId="685">
      <calculatedColumnFormula>TableMJRUARTME[[#This Row],[Credit Points]]</calculatedColumnFormula>
    </tableColumn>
    <tableColumn id="13" name="No." dataDxfId="684"/>
    <tableColumn id="2" name="Component Type" dataDxfId="683"/>
    <tableColumn id="3" name="Year Level" dataDxfId="682"/>
    <tableColumn id="4" name="Study Period" dataDxfId="681"/>
    <tableColumn id="5" name="Study Package Code" dataDxfId="680"/>
    <tableColumn id="6" name="Ver" dataDxfId="679"/>
    <tableColumn id="7" name="Structure Line" dataDxfId="678"/>
    <tableColumn id="8" name="Credit Points" dataDxfId="677"/>
    <tableColumn id="14" name="Effective" dataDxfId="676"/>
    <tableColumn id="15" name="Discont." dataDxfId="675"/>
  </tableColumns>
  <tableStyleInfo name="TableStyleLight1" showFirstColumn="0" showLastColumn="0" showRowStripes="1" showColumnStripes="0"/>
</table>
</file>

<file path=xl/tables/table14.xml><?xml version="1.0" encoding="utf-8"?>
<table xmlns="http://schemas.openxmlformats.org/spreadsheetml/2006/main" id="10" name="TableMJRUARTVA" displayName="TableMJRUARTVA" ref="A256:O276" totalsRowShown="0" headerRowDxfId="674">
  <autoFilter ref="A256:O276"/>
  <sortState ref="A237:S244">
    <sortCondition ref="O10:O18"/>
  </sortState>
  <tableColumns count="15">
    <tableColumn id="1" name="UDC" dataDxfId="673">
      <calculatedColumnFormula>TableMJRUARTVA[[#This Row],[Study Package Code]]</calculatedColumnFormula>
    </tableColumn>
    <tableColumn id="9" name="Version" dataDxfId="672">
      <calculatedColumnFormula>TableMJRUARTVA[[#This Row],[Ver]]</calculatedColumnFormula>
    </tableColumn>
    <tableColumn id="10" name="OUA Code"/>
    <tableColumn id="11" name="Unit Title" dataDxfId="671">
      <calculatedColumnFormula>TableMJRUARTVA[[#This Row],[Structure Line]]</calculatedColumnFormula>
    </tableColumn>
    <tableColumn id="12" name="CPs" dataDxfId="670">
      <calculatedColumnFormula>TableMJRUARTVA[[#This Row],[Credit Points]]</calculatedColumnFormula>
    </tableColumn>
    <tableColumn id="13" name="No." dataDxfId="669"/>
    <tableColumn id="2" name="Component Type" dataDxfId="668"/>
    <tableColumn id="3" name="Year Level" dataDxfId="667"/>
    <tableColumn id="4" name="Study Period" dataDxfId="666"/>
    <tableColumn id="5" name="Study Package Code" dataDxfId="665"/>
    <tableColumn id="6" name="Ver" dataDxfId="664"/>
    <tableColumn id="7" name="Structure Line" dataDxfId="663"/>
    <tableColumn id="8" name="Credit Points" dataDxfId="662"/>
    <tableColumn id="14" name="Effective" dataDxfId="661"/>
    <tableColumn id="15" name="Discont." dataDxfId="660"/>
  </tableColumns>
  <tableStyleInfo name="TableStyleLight1" showFirstColumn="0" showLastColumn="0" showRowStripes="1" showColumnStripes="0"/>
</table>
</file>

<file path=xl/tables/table15.xml><?xml version="1.0" encoding="utf-8"?>
<table xmlns="http://schemas.openxmlformats.org/spreadsheetml/2006/main" id="11" name="TableMJRUENGLT" displayName="TableMJRUENGLT" ref="A278:O300" totalsRowShown="0" headerRowDxfId="659">
  <autoFilter ref="A278:O300"/>
  <sortState ref="A259:S266">
    <sortCondition ref="O10:O18"/>
  </sortState>
  <tableColumns count="15">
    <tableColumn id="1" name="UDC" dataDxfId="658">
      <calculatedColumnFormula>TableMJRUENGLT[[#This Row],[Study Package Code]]</calculatedColumnFormula>
    </tableColumn>
    <tableColumn id="9" name="Version" dataDxfId="657">
      <calculatedColumnFormula>TableMJRUENGLT[[#This Row],[Ver]]</calculatedColumnFormula>
    </tableColumn>
    <tableColumn id="10" name="OUA Code"/>
    <tableColumn id="11" name="Unit Title" dataDxfId="656">
      <calculatedColumnFormula>TableMJRUENGLT[[#This Row],[Structure Line]]</calculatedColumnFormula>
    </tableColumn>
    <tableColumn id="12" name="CPs" dataDxfId="655">
      <calculatedColumnFormula>TableMJRUENGLT[[#This Row],[Credit Points]]</calculatedColumnFormula>
    </tableColumn>
    <tableColumn id="13" name="No." dataDxfId="654"/>
    <tableColumn id="2" name="Component Type" dataDxfId="653"/>
    <tableColumn id="3" name="Year Level" dataDxfId="652"/>
    <tableColumn id="4" name="Study Period" dataDxfId="651"/>
    <tableColumn id="5" name="Study Package Code" dataDxfId="650"/>
    <tableColumn id="6" name="Ver" dataDxfId="649"/>
    <tableColumn id="7" name="Structure Line" dataDxfId="648"/>
    <tableColumn id="8" name="Credit Points" dataDxfId="647"/>
    <tableColumn id="14" name="Effective" dataDxfId="646"/>
    <tableColumn id="15" name="Discont." dataDxfId="645"/>
  </tableColumns>
  <tableStyleInfo name="TableStyleLight1" showFirstColumn="0" showLastColumn="0" showRowStripes="1" showColumnStripes="0"/>
</table>
</file>

<file path=xl/tables/table16.xml><?xml version="1.0" encoding="utf-8"?>
<table xmlns="http://schemas.openxmlformats.org/spreadsheetml/2006/main" id="12" name="TableMJRUHLTPE" displayName="TableMJRUHLTPE" ref="A302:O318" totalsRowShown="0" headerRowDxfId="644">
  <autoFilter ref="A302:O318"/>
  <sortState ref="A281:S288">
    <sortCondition ref="O10:O18"/>
  </sortState>
  <tableColumns count="15">
    <tableColumn id="1" name="UDC" dataDxfId="643">
      <calculatedColumnFormula>TableMJRUHLTPE[[#This Row],[Study Package Code]]</calculatedColumnFormula>
    </tableColumn>
    <tableColumn id="9" name="Version" dataDxfId="642">
      <calculatedColumnFormula>TableMJRUHLTPE[[#This Row],[Ver]]</calculatedColumnFormula>
    </tableColumn>
    <tableColumn id="10" name="OUA Code"/>
    <tableColumn id="11" name="Unit Title" dataDxfId="641">
      <calculatedColumnFormula>TableMJRUHLTPE[[#This Row],[Structure Line]]</calculatedColumnFormula>
    </tableColumn>
    <tableColumn id="12" name="CPs" dataDxfId="640">
      <calculatedColumnFormula>TableMJRUHLTPE[[#This Row],[Credit Points]]</calculatedColumnFormula>
    </tableColumn>
    <tableColumn id="13" name="No." dataDxfId="639"/>
    <tableColumn id="2" name="Component Type" dataDxfId="638"/>
    <tableColumn id="3" name="Year Level" dataDxfId="637"/>
    <tableColumn id="4" name="Study Period" dataDxfId="636"/>
    <tableColumn id="5" name="Study Package Code" dataDxfId="635"/>
    <tableColumn id="6" name="Ver" dataDxfId="634"/>
    <tableColumn id="7" name="Structure Line" dataDxfId="633"/>
    <tableColumn id="8" name="Credit Points" dataDxfId="632"/>
    <tableColumn id="14" name="Effective" dataDxfId="631"/>
    <tableColumn id="15" name="Discont." dataDxfId="630"/>
  </tableColumns>
  <tableStyleInfo name="TableStyleLight1" showFirstColumn="0" showLastColumn="0" showRowStripes="1" showColumnStripes="0"/>
</table>
</file>

<file path=xl/tables/table17.xml><?xml version="1.0" encoding="utf-8"?>
<table xmlns="http://schemas.openxmlformats.org/spreadsheetml/2006/main" id="14" name="TableMJRUHUSEC" displayName="TableMJRUHUSEC" ref="A320:O340" totalsRowShown="0" headerRowDxfId="629">
  <autoFilter ref="A320:O340"/>
  <sortState ref="A305:S312">
    <sortCondition ref="O10:O18"/>
  </sortState>
  <tableColumns count="15">
    <tableColumn id="1" name="UDC" dataDxfId="628">
      <calculatedColumnFormula>TableMJRUHUSEC[[#This Row],[Study Package Code]]</calculatedColumnFormula>
    </tableColumn>
    <tableColumn id="9" name="Version" dataDxfId="627">
      <calculatedColumnFormula>TableMJRUHUSEC[[#This Row],[Ver]]</calculatedColumnFormula>
    </tableColumn>
    <tableColumn id="10" name="OUA Code"/>
    <tableColumn id="11" name="Unit Title" dataDxfId="626">
      <calculatedColumnFormula>TableMJRUHUSEC[[#This Row],[Structure Line]]</calculatedColumnFormula>
    </tableColumn>
    <tableColumn id="12" name="CPs" dataDxfId="625">
      <calculatedColumnFormula>TableMJRUHUSEC[[#This Row],[Credit Points]]</calculatedColumnFormula>
    </tableColumn>
    <tableColumn id="13" name="No." dataDxfId="624"/>
    <tableColumn id="2" name="Component Type" dataDxfId="623"/>
    <tableColumn id="3" name="Year Level" dataDxfId="622"/>
    <tableColumn id="4" name="Study Period" dataDxfId="621"/>
    <tableColumn id="5" name="Study Package Code" dataDxfId="620"/>
    <tableColumn id="6" name="Ver" dataDxfId="619"/>
    <tableColumn id="7" name="Structure Line" dataDxfId="618"/>
    <tableColumn id="8" name="Credit Points" dataDxfId="617"/>
    <tableColumn id="14" name="Effective" dataDxfId="616"/>
    <tableColumn id="15" name="Discont." dataDxfId="615"/>
  </tableColumns>
  <tableStyleInfo name="TableStyleLight1" showFirstColumn="0" showLastColumn="0" showRowStripes="1" showColumnStripes="0"/>
</table>
</file>

<file path=xl/tables/table18.xml><?xml version="1.0" encoding="utf-8"?>
<table xmlns="http://schemas.openxmlformats.org/spreadsheetml/2006/main" id="15" name="TableMJRUHUSGE" displayName="TableMJRUHUSGE" ref="A342:O362" totalsRowShown="0" headerRowDxfId="614">
  <autoFilter ref="A342:O362"/>
  <sortState ref="A323:S330">
    <sortCondition ref="O10:O18"/>
  </sortState>
  <tableColumns count="15">
    <tableColumn id="1" name="UDC" dataDxfId="613">
      <calculatedColumnFormula>TableMJRUHUSGE[[#This Row],[Study Package Code]]</calculatedColumnFormula>
    </tableColumn>
    <tableColumn id="9" name="Version" dataDxfId="612">
      <calculatedColumnFormula>TableMJRUHUSGE[[#This Row],[Ver]]</calculatedColumnFormula>
    </tableColumn>
    <tableColumn id="10" name="OUA Code"/>
    <tableColumn id="11" name="Unit Title" dataDxfId="611">
      <calculatedColumnFormula>TableMJRUHUSGE[[#This Row],[Structure Line]]</calculatedColumnFormula>
    </tableColumn>
    <tableColumn id="12" name="CPs" dataDxfId="610">
      <calculatedColumnFormula>TableMJRUHUSGE[[#This Row],[Credit Points]]</calculatedColumnFormula>
    </tableColumn>
    <tableColumn id="13" name="No." dataDxfId="609"/>
    <tableColumn id="2" name="Component Type" dataDxfId="608"/>
    <tableColumn id="3" name="Year Level" dataDxfId="607"/>
    <tableColumn id="4" name="Study Period" dataDxfId="606"/>
    <tableColumn id="5" name="Study Package Code" dataDxfId="605"/>
    <tableColumn id="6" name="Ver" dataDxfId="604"/>
    <tableColumn id="7" name="Structure Line" dataDxfId="603"/>
    <tableColumn id="8" name="Credit Points" dataDxfId="602"/>
    <tableColumn id="14" name="Effective" dataDxfId="601"/>
    <tableColumn id="15" name="Discont." dataDxfId="600"/>
  </tableColumns>
  <tableStyleInfo name="TableStyleLight1" showFirstColumn="0" showLastColumn="0" showRowStripes="1" showColumnStripes="0"/>
</table>
</file>

<file path=xl/tables/table19.xml><?xml version="1.0" encoding="utf-8"?>
<table xmlns="http://schemas.openxmlformats.org/spreadsheetml/2006/main" id="16" name="TableMJRUHUSHI" displayName="TableMJRUHUSHI" ref="A364:O384" totalsRowShown="0" headerRowDxfId="599">
  <autoFilter ref="A364:O384"/>
  <sortState ref="A345:S352">
    <sortCondition ref="O10:O18"/>
  </sortState>
  <tableColumns count="15">
    <tableColumn id="1" name="UDC" dataDxfId="598">
      <calculatedColumnFormula>TableMJRUHUSHI[[#This Row],[Study Package Code]]</calculatedColumnFormula>
    </tableColumn>
    <tableColumn id="9" name="Version" dataDxfId="597">
      <calculatedColumnFormula>TableMJRUHUSHI[[#This Row],[Ver]]</calculatedColumnFormula>
    </tableColumn>
    <tableColumn id="10" name="OUA Code"/>
    <tableColumn id="11" name="Unit Title" dataDxfId="596">
      <calculatedColumnFormula>TableMJRUHUSHI[[#This Row],[Structure Line]]</calculatedColumnFormula>
    </tableColumn>
    <tableColumn id="12" name="CPs" dataDxfId="595">
      <calculatedColumnFormula>TableMJRUHUSHI[[#This Row],[Credit Points]]</calculatedColumnFormula>
    </tableColumn>
    <tableColumn id="13" name="No." dataDxfId="594"/>
    <tableColumn id="2" name="Component Type" dataDxfId="593"/>
    <tableColumn id="3" name="Year Level" dataDxfId="592"/>
    <tableColumn id="4" name="Study Period" dataDxfId="591"/>
    <tableColumn id="5" name="Study Package Code" dataDxfId="590"/>
    <tableColumn id="6" name="Ver" dataDxfId="589"/>
    <tableColumn id="7" name="Structure Line" dataDxfId="588"/>
    <tableColumn id="8" name="Credit Points" dataDxfId="587"/>
    <tableColumn id="14" name="Effective" dataDxfId="586"/>
    <tableColumn id="15" name="Discont." dataDxfId="585"/>
  </tableColumns>
  <tableStyleInfo name="TableStyleLight1" showFirstColumn="0" showLastColumn="0" showRowStripes="1" showColumnStripes="0"/>
</table>
</file>

<file path=xl/tables/table2.xml><?xml version="1.0" encoding="utf-8"?>
<table xmlns="http://schemas.openxmlformats.org/spreadsheetml/2006/main" id="4" name="TableStudyPeriods" displayName="TableStudyPeriods" ref="A13:C15" totalsRowShown="0" dataDxfId="1087">
  <autoFilter ref="A13:C15"/>
  <tableColumns count="3">
    <tableColumn id="1" name="Choose your commencing study period (drop-down list)" dataDxfId="1086"/>
    <tableColumn id="2" name="START" dataDxfId="1085"/>
    <tableColumn id="3" name="Next" dataDxfId="1084"/>
  </tableColumns>
  <tableStyleInfo name="TableStyleLight8" showFirstColumn="0" showLastColumn="0" showRowStripes="1" showColumnStripes="0"/>
</table>
</file>

<file path=xl/tables/table20.xml><?xml version="1.0" encoding="utf-8"?>
<table xmlns="http://schemas.openxmlformats.org/spreadsheetml/2006/main" id="17" name="TableMJRUHUSPL" displayName="TableMJRUHUSPL" ref="A386:O408" totalsRowShown="0" headerRowDxfId="584">
  <autoFilter ref="A386:O408"/>
  <sortState ref="A367:S374">
    <sortCondition ref="O10:O18"/>
  </sortState>
  <tableColumns count="15">
    <tableColumn id="1" name="UDC" dataDxfId="583">
      <calculatedColumnFormula>TableMJRUHUSPL[[#This Row],[Study Package Code]]</calculatedColumnFormula>
    </tableColumn>
    <tableColumn id="9" name="Version" dataDxfId="582">
      <calculatedColumnFormula>TableMJRUHUSPL[[#This Row],[Ver]]</calculatedColumnFormula>
    </tableColumn>
    <tableColumn id="10" name="OUA Code"/>
    <tableColumn id="11" name="Unit Title" dataDxfId="581">
      <calculatedColumnFormula>TableMJRUHUSPL[[#This Row],[Structure Line]]</calculatedColumnFormula>
    </tableColumn>
    <tableColumn id="12" name="CPs" dataDxfId="580">
      <calculatedColumnFormula>TableMJRUHUSPL[[#This Row],[Credit Points]]</calculatedColumnFormula>
    </tableColumn>
    <tableColumn id="13" name="No." dataDxfId="579"/>
    <tableColumn id="2" name="Component Type" dataDxfId="578"/>
    <tableColumn id="3" name="Year Level" dataDxfId="577"/>
    <tableColumn id="4" name="Study Period" dataDxfId="576"/>
    <tableColumn id="5" name="Study Package Code" dataDxfId="575"/>
    <tableColumn id="6" name="Ver" dataDxfId="574"/>
    <tableColumn id="7" name="Structure Line" dataDxfId="573"/>
    <tableColumn id="8" name="Credit Points" dataDxfId="572"/>
    <tableColumn id="14" name="Effective" dataDxfId="571"/>
    <tableColumn id="15" name="Discont." dataDxfId="570"/>
  </tableColumns>
  <tableStyleInfo name="TableStyleLight1" showFirstColumn="0" showLastColumn="0" showRowStripes="1" showColumnStripes="0"/>
</table>
</file>

<file path=xl/tables/table21.xml><?xml version="1.0" encoding="utf-8"?>
<table xmlns="http://schemas.openxmlformats.org/spreadsheetml/2006/main" id="18" name="TableMJRUMATHT" displayName="TableMJRUMATHT" ref="A410:O431" totalsRowShown="0" headerRowDxfId="569">
  <autoFilter ref="A410:O431"/>
  <sortState ref="A389:S396">
    <sortCondition ref="O10:O18"/>
  </sortState>
  <tableColumns count="15">
    <tableColumn id="1" name="UDC" dataDxfId="568">
      <calculatedColumnFormula>TableMJRUMATHT[[#This Row],[Study Package Code]]</calculatedColumnFormula>
    </tableColumn>
    <tableColumn id="9" name="Version" dataDxfId="567">
      <calculatedColumnFormula>TableMJRUMATHT[[#This Row],[Ver]]</calculatedColumnFormula>
    </tableColumn>
    <tableColumn id="10" name="OUA Code"/>
    <tableColumn id="11" name="Unit Title" dataDxfId="566">
      <calculatedColumnFormula>TableMJRUMATHT[[#This Row],[Structure Line]]</calculatedColumnFormula>
    </tableColumn>
    <tableColumn id="12" name="CPs" dataDxfId="565">
      <calculatedColumnFormula>TableMJRUMATHT[[#This Row],[Credit Points]]</calculatedColumnFormula>
    </tableColumn>
    <tableColumn id="13" name="No." dataDxfId="564"/>
    <tableColumn id="2" name="Component Type" dataDxfId="563"/>
    <tableColumn id="3" name="Year Level" dataDxfId="562"/>
    <tableColumn id="4" name="Study Period" dataDxfId="561"/>
    <tableColumn id="5" name="Study Package Code" dataDxfId="560"/>
    <tableColumn id="6" name="Ver" dataDxfId="559"/>
    <tableColumn id="7" name="Structure Line" dataDxfId="558"/>
    <tableColumn id="8" name="Credit Points" dataDxfId="557"/>
    <tableColumn id="14" name="Effective" dataDxfId="556"/>
    <tableColumn id="15" name="Discont." dataDxfId="555"/>
  </tableColumns>
  <tableStyleInfo name="TableStyleLight1" showFirstColumn="0" showLastColumn="0" showRowStripes="1" showColumnStripes="0"/>
</table>
</file>

<file path=xl/tables/table22.xml><?xml version="1.0" encoding="utf-8"?>
<table xmlns="http://schemas.openxmlformats.org/spreadsheetml/2006/main" id="19" name="TableMJRUSCIBI" displayName="TableMJRUSCIBI" ref="A433:O454" totalsRowShown="0" headerRowDxfId="554">
  <autoFilter ref="A433:O454"/>
  <sortState ref="A413:S420">
    <sortCondition ref="O10:O18"/>
  </sortState>
  <tableColumns count="15">
    <tableColumn id="1" name="UDC" dataDxfId="553">
      <calculatedColumnFormula>TableMJRUSCIBI[[#This Row],[Study Package Code]]</calculatedColumnFormula>
    </tableColumn>
    <tableColumn id="9" name="Version" dataDxfId="552">
      <calculatedColumnFormula>TableMJRUSCIBI[[#This Row],[Ver]]</calculatedColumnFormula>
    </tableColumn>
    <tableColumn id="10" name="OUA Code"/>
    <tableColumn id="11" name="Unit Title" dataDxfId="551">
      <calculatedColumnFormula>TableMJRUSCIBI[[#This Row],[Structure Line]]</calculatedColumnFormula>
    </tableColumn>
    <tableColumn id="12" name="CPs" dataDxfId="550">
      <calculatedColumnFormula>TableMJRUSCIBI[[#This Row],[Credit Points]]</calculatedColumnFormula>
    </tableColumn>
    <tableColumn id="13" name="No." dataDxfId="549"/>
    <tableColumn id="2" name="Component Type" dataDxfId="548"/>
    <tableColumn id="3" name="Year Level" dataDxfId="547"/>
    <tableColumn id="4" name="Study Period" dataDxfId="546"/>
    <tableColumn id="5" name="Study Package Code" dataDxfId="545"/>
    <tableColumn id="6" name="Ver" dataDxfId="544"/>
    <tableColumn id="7" name="Structure Line" dataDxfId="543"/>
    <tableColumn id="8" name="Credit Points" dataDxfId="542"/>
    <tableColumn id="14" name="Effective" dataDxfId="541"/>
    <tableColumn id="15" name="Discont." dataDxfId="540"/>
  </tableColumns>
  <tableStyleInfo name="TableStyleLight1" showFirstColumn="0" showLastColumn="0" showRowStripes="1" showColumnStripes="0"/>
</table>
</file>

<file path=xl/tables/table23.xml><?xml version="1.0" encoding="utf-8"?>
<table xmlns="http://schemas.openxmlformats.org/spreadsheetml/2006/main" id="20" name="TableMJRUSCICH" displayName="TableMJRUSCICH" ref="A456:O475" totalsRowShown="0" headerRowDxfId="539">
  <autoFilter ref="A456:O475"/>
  <sortState ref="A436:S443">
    <sortCondition ref="O10:O18"/>
  </sortState>
  <tableColumns count="15">
    <tableColumn id="1" name="UDC" dataDxfId="538">
      <calculatedColumnFormula>TableMJRUSCICH[[#This Row],[Study Package Code]]</calculatedColumnFormula>
    </tableColumn>
    <tableColumn id="9" name="Version" dataDxfId="537">
      <calculatedColumnFormula>TableMJRUSCICH[[#This Row],[Ver]]</calculatedColumnFormula>
    </tableColumn>
    <tableColumn id="10" name="OUA Code"/>
    <tableColumn id="11" name="Unit Title" dataDxfId="536">
      <calculatedColumnFormula>TableMJRUSCICH[[#This Row],[Structure Line]]</calculatedColumnFormula>
    </tableColumn>
    <tableColumn id="12" name="CPs" dataDxfId="535">
      <calculatedColumnFormula>TableMJRUSCICH[[#This Row],[Credit Points]]</calculatedColumnFormula>
    </tableColumn>
    <tableColumn id="13" name="No." dataDxfId="534"/>
    <tableColumn id="2" name="Component Type" dataDxfId="533"/>
    <tableColumn id="3" name="Year Level" dataDxfId="532"/>
    <tableColumn id="4" name="Study Period" dataDxfId="531"/>
    <tableColumn id="5" name="Study Package Code" dataDxfId="530"/>
    <tableColumn id="6" name="Ver" dataDxfId="529"/>
    <tableColumn id="7" name="Structure Line" dataDxfId="528"/>
    <tableColumn id="8" name="Credit Points" dataDxfId="527"/>
    <tableColumn id="14" name="Effective" dataDxfId="526"/>
    <tableColumn id="15" name="Discont." dataDxfId="525"/>
  </tableColumns>
  <tableStyleInfo name="TableStyleLight1" showFirstColumn="0" showLastColumn="0" showRowStripes="1" showColumnStripes="0"/>
</table>
</file>

<file path=xl/tables/table24.xml><?xml version="1.0" encoding="utf-8"?>
<table xmlns="http://schemas.openxmlformats.org/spreadsheetml/2006/main" id="21" name="TableMJRUSCIHB" displayName="TableMJRUSCIHB" ref="A477:O498" totalsRowShown="0" headerRowDxfId="524">
  <autoFilter ref="A477:O498"/>
  <sortState ref="A459:S466">
    <sortCondition ref="O10:O18"/>
  </sortState>
  <tableColumns count="15">
    <tableColumn id="1" name="UDC" dataDxfId="523">
      <calculatedColumnFormula>TableMJRUSCIHB[[#This Row],[Study Package Code]]</calculatedColumnFormula>
    </tableColumn>
    <tableColumn id="9" name="Version" dataDxfId="522">
      <calculatedColumnFormula>TableMJRUSCIHB[[#This Row],[Ver]]</calculatedColumnFormula>
    </tableColumn>
    <tableColumn id="10" name="OUA Code"/>
    <tableColumn id="11" name="Unit Title" dataDxfId="521">
      <calculatedColumnFormula>TableMJRUSCIHB[[#This Row],[Structure Line]]</calculatedColumnFormula>
    </tableColumn>
    <tableColumn id="12" name="CPs" dataDxfId="520">
      <calculatedColumnFormula>TableMJRUSCIHB[[#This Row],[Credit Points]]</calculatedColumnFormula>
    </tableColumn>
    <tableColumn id="13" name="No." dataDxfId="519"/>
    <tableColumn id="2" name="Component Type" dataDxfId="518"/>
    <tableColumn id="3" name="Year Level" dataDxfId="517"/>
    <tableColumn id="4" name="Study Period" dataDxfId="516"/>
    <tableColumn id="5" name="Study Package Code" dataDxfId="515"/>
    <tableColumn id="6" name="Ver" dataDxfId="514"/>
    <tableColumn id="7" name="Structure Line" dataDxfId="513"/>
    <tableColumn id="8" name="Credit Points" dataDxfId="512"/>
    <tableColumn id="14" name="Effective" dataDxfId="511"/>
    <tableColumn id="15" name="Discont." dataDxfId="510"/>
  </tableColumns>
  <tableStyleInfo name="TableStyleLight1" showFirstColumn="0" showLastColumn="0" showRowStripes="1" showColumnStripes="0"/>
</table>
</file>

<file path=xl/tables/table25.xml><?xml version="1.0" encoding="utf-8"?>
<table xmlns="http://schemas.openxmlformats.org/spreadsheetml/2006/main" id="22" name="TableMJRUSCIPH" displayName="TableMJRUSCIPH" ref="A500:O516" totalsRowShown="0" headerRowDxfId="509">
  <autoFilter ref="A500:O516"/>
  <sortState ref="A480:S487">
    <sortCondition ref="O10:O18"/>
  </sortState>
  <tableColumns count="15">
    <tableColumn id="1" name="UDC" dataDxfId="508">
      <calculatedColumnFormula>TableMJRUSCIPH[[#This Row],[Study Package Code]]</calculatedColumnFormula>
    </tableColumn>
    <tableColumn id="9" name="Version" dataDxfId="507">
      <calculatedColumnFormula>TableMJRUSCIPH[[#This Row],[Ver]]</calculatedColumnFormula>
    </tableColumn>
    <tableColumn id="10" name="OUA Code"/>
    <tableColumn id="11" name="Unit Title" dataDxfId="506">
      <calculatedColumnFormula>TableMJRUSCIPH[[#This Row],[Structure Line]]</calculatedColumnFormula>
    </tableColumn>
    <tableColumn id="12" name="CPs" dataDxfId="505">
      <calculatedColumnFormula>TableMJRUSCIPH[[#This Row],[Credit Points]]</calculatedColumnFormula>
    </tableColumn>
    <tableColumn id="13" name="No." dataDxfId="504"/>
    <tableColumn id="2" name="Component Type" dataDxfId="503"/>
    <tableColumn id="3" name="Year Level" dataDxfId="502"/>
    <tableColumn id="4" name="Study Period" dataDxfId="501"/>
    <tableColumn id="5" name="Study Package Code" dataDxfId="500"/>
    <tableColumn id="6" name="Ver" dataDxfId="499"/>
    <tableColumn id="7" name="Structure Line" dataDxfId="498"/>
    <tableColumn id="8" name="Credit Points" dataDxfId="497"/>
    <tableColumn id="14" name="Effective" dataDxfId="496"/>
    <tableColumn id="15" name="Discont." dataDxfId="495"/>
  </tableColumns>
  <tableStyleInfo name="TableStyleLight1" showFirstColumn="0" showLastColumn="0" showRowStripes="1" showColumnStripes="0"/>
</table>
</file>

<file path=xl/tables/table26.xml><?xml version="1.0" encoding="utf-8"?>
<table xmlns="http://schemas.openxmlformats.org/spreadsheetml/2006/main" id="23" name="TableMJRUSCIPS" displayName="TableMJRUSCIPS" ref="A518:O536" totalsRowShown="0" headerRowDxfId="494">
  <autoFilter ref="A518:O536"/>
  <sortState ref="A503:S510">
    <sortCondition ref="O10:O18"/>
  </sortState>
  <tableColumns count="15">
    <tableColumn id="1" name="UDC" dataDxfId="493">
      <calculatedColumnFormula>TableMJRUSCIPS[[#This Row],[Study Package Code]]</calculatedColumnFormula>
    </tableColumn>
    <tableColumn id="9" name="Version" dataDxfId="492">
      <calculatedColumnFormula>TableMJRUSCIPS[[#This Row],[Ver]]</calculatedColumnFormula>
    </tableColumn>
    <tableColumn id="10" name="OUA Code"/>
    <tableColumn id="11" name="Unit Title" dataDxfId="491">
      <calculatedColumnFormula>TableMJRUSCIPS[[#This Row],[Structure Line]]</calculatedColumnFormula>
    </tableColumn>
    <tableColumn id="12" name="CPs" dataDxfId="490">
      <calculatedColumnFormula>TableMJRUSCIPS[[#This Row],[Credit Points]]</calculatedColumnFormula>
    </tableColumn>
    <tableColumn id="13" name="No." dataDxfId="489"/>
    <tableColumn id="2" name="Component Type" dataDxfId="488"/>
    <tableColumn id="3" name="Year Level" dataDxfId="487"/>
    <tableColumn id="4" name="Study Period" dataDxfId="486"/>
    <tableColumn id="5" name="Study Package Code" dataDxfId="485"/>
    <tableColumn id="6" name="Ver" dataDxfId="484"/>
    <tableColumn id="7" name="Structure Line" dataDxfId="483"/>
    <tableColumn id="8" name="Credit Points" dataDxfId="482"/>
    <tableColumn id="14" name="Effective" dataDxfId="481"/>
    <tableColumn id="15" name="Discont." dataDxfId="480"/>
  </tableColumns>
  <tableStyleInfo name="TableStyleLight1" showFirstColumn="0" showLastColumn="0" showRowStripes="1" showColumnStripes="0"/>
</table>
</file>

<file path=xl/tables/table27.xml><?xml version="1.0" encoding="utf-8"?>
<table xmlns="http://schemas.openxmlformats.org/spreadsheetml/2006/main" id="26" name="TableSTRUBIOLB" displayName="TableSTRUBIOLB" ref="A538:O567" totalsRowShown="0" headerRowDxfId="479">
  <autoFilter ref="A538:O567"/>
  <sortState ref="A519:S526">
    <sortCondition ref="O10:O18"/>
  </sortState>
  <tableColumns count="15">
    <tableColumn id="1" name="UDC" dataDxfId="478">
      <calculatedColumnFormula>TableSTRUBIOLB[[#This Row],[Study Package Code]]</calculatedColumnFormula>
    </tableColumn>
    <tableColumn id="9" name="Version" dataDxfId="477">
      <calculatedColumnFormula>TableSTRUBIOLB[[#This Row],[Ver]]</calculatedColumnFormula>
    </tableColumn>
    <tableColumn id="10" name="OUA Code"/>
    <tableColumn id="11" name="Unit Title" dataDxfId="476">
      <calculatedColumnFormula>TableSTRUBIOLB[[#This Row],[Structure Line]]</calculatedColumnFormula>
    </tableColumn>
    <tableColumn id="12" name="CPs" dataDxfId="475">
      <calculatedColumnFormula>TableSTRUBIOLB[[#This Row],[Credit Points]]</calculatedColumnFormula>
    </tableColumn>
    <tableColumn id="13" name="No." dataDxfId="474"/>
    <tableColumn id="2" name="Component Type" dataDxfId="473"/>
    <tableColumn id="3" name="Year Level" dataDxfId="472"/>
    <tableColumn id="4" name="Study Period" dataDxfId="471"/>
    <tableColumn id="5" name="Study Package Code" dataDxfId="470"/>
    <tableColumn id="6" name="Ver" dataDxfId="469"/>
    <tableColumn id="7" name="Structure Line" dataDxfId="468"/>
    <tableColumn id="8" name="Credit Points" dataDxfId="467"/>
    <tableColumn id="14" name="Effective" dataDxfId="466"/>
    <tableColumn id="15" name="Discont." dataDxfId="465"/>
  </tableColumns>
  <tableStyleInfo name="TableStyleLight1" showFirstColumn="0" showLastColumn="0" showRowStripes="1" showColumnStripes="0"/>
</table>
</file>

<file path=xl/tables/table28.xml><?xml version="1.0" encoding="utf-8"?>
<table xmlns="http://schemas.openxmlformats.org/spreadsheetml/2006/main" id="29" name="TableSTRUBSCIM" displayName="TableSTRUBSCIM" ref="A569:O577" totalsRowShown="0" headerRowDxfId="464">
  <autoFilter ref="A569:O577"/>
  <sortState ref="A548:S555">
    <sortCondition ref="O10:O18"/>
  </sortState>
  <tableColumns count="15">
    <tableColumn id="1" name="UDC" dataDxfId="463">
      <calculatedColumnFormula>TableSTRUBSCIM[[#This Row],[Study Package Code]]</calculatedColumnFormula>
    </tableColumn>
    <tableColumn id="9" name="Version" dataDxfId="462">
      <calculatedColumnFormula>TableSTRUBSCIM[[#This Row],[Ver]]</calculatedColumnFormula>
    </tableColumn>
    <tableColumn id="10" name="OUA Code"/>
    <tableColumn id="11" name="Unit Title" dataDxfId="461">
      <calculatedColumnFormula>TableSTRUBSCIM[[#This Row],[Structure Line]]</calculatedColumnFormula>
    </tableColumn>
    <tableColumn id="12" name="CPs" dataDxfId="460">
      <calculatedColumnFormula>TableSTRUBSCIM[[#This Row],[Credit Points]]</calculatedColumnFormula>
    </tableColumn>
    <tableColumn id="13" name="No." dataDxfId="459"/>
    <tableColumn id="2" name="Component Type" dataDxfId="458"/>
    <tableColumn id="3" name="Year Level" dataDxfId="457"/>
    <tableColumn id="4" name="Study Period" dataDxfId="456"/>
    <tableColumn id="5" name="Study Package Code" dataDxfId="455"/>
    <tableColumn id="6" name="Ver" dataDxfId="454"/>
    <tableColumn id="7" name="Structure Line" dataDxfId="453"/>
    <tableColumn id="8" name="Credit Points" dataDxfId="452"/>
    <tableColumn id="14" name="Effective" dataDxfId="451"/>
    <tableColumn id="15" name="Discont." dataDxfId="450"/>
  </tableColumns>
  <tableStyleInfo name="TableStyleLight1" showFirstColumn="0" showLastColumn="0" showRowStripes="1" showColumnStripes="0"/>
</table>
</file>

<file path=xl/tables/table29.xml><?xml version="1.0" encoding="utf-8"?>
<table xmlns="http://schemas.openxmlformats.org/spreadsheetml/2006/main" id="30" name="TableSTRUCHEMB" displayName="TableSTRUCHEMB" ref="A579:O609" totalsRowShown="0" headerRowDxfId="449">
  <autoFilter ref="A579:O609"/>
  <sortState ref="A577:S584">
    <sortCondition ref="O10:O18"/>
  </sortState>
  <tableColumns count="15">
    <tableColumn id="1" name="UDC" dataDxfId="448">
      <calculatedColumnFormula>TableSTRUCHEMB[[#This Row],[Study Package Code]]</calculatedColumnFormula>
    </tableColumn>
    <tableColumn id="9" name="Version" dataDxfId="447">
      <calculatedColumnFormula>TableSTRUCHEMB[[#This Row],[Ver]]</calculatedColumnFormula>
    </tableColumn>
    <tableColumn id="10" name="OUA Code"/>
    <tableColumn id="11" name="Unit Title" dataDxfId="446">
      <calculatedColumnFormula>TableSTRUCHEMB[[#This Row],[Structure Line]]</calculatedColumnFormula>
    </tableColumn>
    <tableColumn id="12" name="CPs" dataDxfId="445">
      <calculatedColumnFormula>TableSTRUCHEMB[[#This Row],[Credit Points]]</calculatedColumnFormula>
    </tableColumn>
    <tableColumn id="13" name="No." dataDxfId="444"/>
    <tableColumn id="2" name="Component Type" dataDxfId="443"/>
    <tableColumn id="3" name="Year Level" dataDxfId="442"/>
    <tableColumn id="4" name="Study Period" dataDxfId="441"/>
    <tableColumn id="5" name="Study Package Code" dataDxfId="440"/>
    <tableColumn id="6" name="Ver" dataDxfId="439"/>
    <tableColumn id="7" name="Structure Line" dataDxfId="438"/>
    <tableColumn id="8" name="Credit Points" dataDxfId="437"/>
    <tableColumn id="14" name="Effective" dataDxfId="436"/>
    <tableColumn id="15" name="Discont." dataDxfId="435"/>
  </tableColumns>
  <tableStyleInfo name="TableStyleLight1" showFirstColumn="0" showLastColumn="0" showRowStripes="1" showColumnStripes="0"/>
</table>
</file>

<file path=xl/tables/table3.xml><?xml version="1.0" encoding="utf-8"?>
<table xmlns="http://schemas.openxmlformats.org/spreadsheetml/2006/main" id="112" name="TableTableTeachingAreaStream" displayName="TableTableTeachingAreaStream" ref="A18:G24" totalsRowShown="0" headerRowDxfId="1083">
  <autoFilter ref="A18:G24"/>
  <sortState ref="A19:E21">
    <sortCondition ref="A6:A9"/>
  </sortState>
  <tableColumns count="7">
    <tableColumn id="3" name="Choose your Teaching Area Stream (drop-down list)" dataDxfId="1082"/>
    <tableColumn id="1" name="UDC" dataDxfId="1081"/>
    <tableColumn id="2" name="Version" dataDxfId="1080"/>
    <tableColumn id="5" name="Credit Points" dataDxfId="1079"/>
    <tableColumn id="4" name="Effective Date" dataDxfId="1078"/>
    <tableColumn id="7" name="Akari Update" dataDxfId="1077"/>
    <tableColumn id="6" name="Availabilities" dataDxfId="1076"/>
  </tableColumns>
  <tableStyleInfo name="TableStyleLight8" showFirstColumn="0" showLastColumn="0" showRowStripes="1" showColumnStripes="0"/>
</table>
</file>

<file path=xl/tables/table30.xml><?xml version="1.0" encoding="utf-8"?>
<table xmlns="http://schemas.openxmlformats.org/spreadsheetml/2006/main" id="31" name="TableSTRUECOB1" displayName="TableSTRUECOB1" ref="A611:O643" totalsRowShown="0" headerRowDxfId="434">
  <autoFilter ref="A611:O643"/>
  <sortState ref="A587:S594">
    <sortCondition ref="O10:O18"/>
  </sortState>
  <tableColumns count="15">
    <tableColumn id="1" name="UDC" dataDxfId="433">
      <calculatedColumnFormula>TableSTRUECOB1[[#This Row],[Study Package Code]]</calculatedColumnFormula>
    </tableColumn>
    <tableColumn id="9" name="Version" dataDxfId="432">
      <calculatedColumnFormula>TableSTRUECOB1[[#This Row],[Ver]]</calculatedColumnFormula>
    </tableColumn>
    <tableColumn id="10" name="OUA Code"/>
    <tableColumn id="11" name="Unit Title" dataDxfId="431">
      <calculatedColumnFormula>TableSTRUECOB1[[#This Row],[Structure Line]]</calculatedColumnFormula>
    </tableColumn>
    <tableColumn id="12" name="CPs" dataDxfId="430">
      <calculatedColumnFormula>TableSTRUECOB1[[#This Row],[Credit Points]]</calculatedColumnFormula>
    </tableColumn>
    <tableColumn id="13" name="No." dataDxfId="429"/>
    <tableColumn id="2" name="Component Type" dataDxfId="428"/>
    <tableColumn id="3" name="Year Level" dataDxfId="427"/>
    <tableColumn id="4" name="Study Period" dataDxfId="426"/>
    <tableColumn id="5" name="Study Package Code" dataDxfId="425"/>
    <tableColumn id="6" name="Ver" dataDxfId="424"/>
    <tableColumn id="7" name="Structure Line" dataDxfId="423"/>
    <tableColumn id="8" name="Credit Points" dataDxfId="422"/>
    <tableColumn id="14" name="Effective" dataDxfId="421"/>
    <tableColumn id="15" name="Discont." dataDxfId="420"/>
  </tableColumns>
  <tableStyleInfo name="TableStyleLight1" showFirstColumn="0" showLastColumn="0" showRowStripes="1" showColumnStripes="0"/>
</table>
</file>

<file path=xl/tables/table31.xml><?xml version="1.0" encoding="utf-8"?>
<table xmlns="http://schemas.openxmlformats.org/spreadsheetml/2006/main" id="32" name="TableSTRUEDART" displayName="TableSTRUEDART" ref="A645:O675" totalsRowShown="0" headerRowDxfId="419">
  <autoFilter ref="A645:O675"/>
  <sortState ref="A618:S625">
    <sortCondition ref="O10:O18"/>
  </sortState>
  <tableColumns count="15">
    <tableColumn id="1" name="UDC" dataDxfId="418">
      <calculatedColumnFormula>TableSTRUEDART[[#This Row],[Study Package Code]]</calculatedColumnFormula>
    </tableColumn>
    <tableColumn id="9" name="Version" dataDxfId="417">
      <calculatedColumnFormula>TableSTRUEDART[[#This Row],[Ver]]</calculatedColumnFormula>
    </tableColumn>
    <tableColumn id="10" name="OUA Code"/>
    <tableColumn id="11" name="Unit Title" dataDxfId="416">
      <calculatedColumnFormula>TableSTRUEDART[[#This Row],[Structure Line]]</calculatedColumnFormula>
    </tableColumn>
    <tableColumn id="12" name="CPs" dataDxfId="415">
      <calculatedColumnFormula>TableSTRUEDART[[#This Row],[Credit Points]]</calculatedColumnFormula>
    </tableColumn>
    <tableColumn id="13" name="No." dataDxfId="414"/>
    <tableColumn id="2" name="Component Type" dataDxfId="413"/>
    <tableColumn id="3" name="Year Level" dataDxfId="412"/>
    <tableColumn id="4" name="Study Period" dataDxfId="411"/>
    <tableColumn id="5" name="Study Package Code" dataDxfId="410"/>
    <tableColumn id="6" name="Ver" dataDxfId="409"/>
    <tableColumn id="7" name="Structure Line" dataDxfId="408"/>
    <tableColumn id="8" name="Credit Points" dataDxfId="407"/>
    <tableColumn id="14" name="Effective" dataDxfId="406"/>
    <tableColumn id="15" name="Discont." dataDxfId="405"/>
  </tableColumns>
  <tableStyleInfo name="TableStyleLight1" showFirstColumn="0" showLastColumn="0" showRowStripes="1" showColumnStripes="0"/>
</table>
</file>

<file path=xl/tables/table32.xml><?xml version="1.0" encoding="utf-8"?>
<table xmlns="http://schemas.openxmlformats.org/spreadsheetml/2006/main" id="33" name="TableSTRUEDENG" displayName="TableSTRUEDENG" ref="A677:O705" totalsRowShown="0" headerRowDxfId="404">
  <autoFilter ref="A677:O705"/>
  <sortState ref="A650:S657">
    <sortCondition ref="O10:O18"/>
  </sortState>
  <tableColumns count="15">
    <tableColumn id="1" name="UDC" dataDxfId="403">
      <calculatedColumnFormula>TableSTRUEDENG[[#This Row],[Study Package Code]]</calculatedColumnFormula>
    </tableColumn>
    <tableColumn id="9" name="Version" dataDxfId="402">
      <calculatedColumnFormula>TableSTRUEDENG[[#This Row],[Ver]]</calculatedColumnFormula>
    </tableColumn>
    <tableColumn id="10" name="OUA Code"/>
    <tableColumn id="11" name="Unit Title" dataDxfId="401">
      <calculatedColumnFormula>TableSTRUEDENG[[#This Row],[Structure Line]]</calculatedColumnFormula>
    </tableColumn>
    <tableColumn id="12" name="CPs" dataDxfId="400">
      <calculatedColumnFormula>TableSTRUEDENG[[#This Row],[Credit Points]]</calculatedColumnFormula>
    </tableColumn>
    <tableColumn id="13" name="No." dataDxfId="399"/>
    <tableColumn id="2" name="Component Type" dataDxfId="398"/>
    <tableColumn id="3" name="Year Level" dataDxfId="397"/>
    <tableColumn id="4" name="Study Period" dataDxfId="396"/>
    <tableColumn id="5" name="Study Package Code" dataDxfId="395"/>
    <tableColumn id="6" name="Ver" dataDxfId="394"/>
    <tableColumn id="7" name="Structure Line" dataDxfId="393"/>
    <tableColumn id="8" name="Credit Points" dataDxfId="392"/>
    <tableColumn id="14" name="Effective" dataDxfId="391"/>
    <tableColumn id="15" name="Discont." dataDxfId="390"/>
  </tableColumns>
  <tableStyleInfo name="TableStyleLight1" showFirstColumn="0" showLastColumn="0" showRowStripes="1" showColumnStripes="0"/>
</table>
</file>

<file path=xl/tables/table33.xml><?xml version="1.0" encoding="utf-8"?>
<table xmlns="http://schemas.openxmlformats.org/spreadsheetml/2006/main" id="25" name="TableSTRUEDHAS" displayName="TableSTRUEDHAS" ref="A707:O737" totalsRowShown="0" headerRowDxfId="389">
  <autoFilter ref="A707:O737"/>
  <sortState ref="A680:S687">
    <sortCondition ref="O10:O18"/>
  </sortState>
  <tableColumns count="15">
    <tableColumn id="1" name="UDC" dataDxfId="388">
      <calculatedColumnFormula>TableSTRUEDHAS[[#This Row],[Study Package Code]]</calculatedColumnFormula>
    </tableColumn>
    <tableColumn id="9" name="Version" dataDxfId="387">
      <calculatedColumnFormula>TableSTRUEDHAS[[#This Row],[Ver]]</calculatedColumnFormula>
    </tableColumn>
    <tableColumn id="10" name="OUA Code"/>
    <tableColumn id="11" name="Unit Title" dataDxfId="386">
      <calculatedColumnFormula>TableSTRUEDHAS[[#This Row],[Structure Line]]</calculatedColumnFormula>
    </tableColumn>
    <tableColumn id="12" name="CPs" dataDxfId="385">
      <calculatedColumnFormula>TableSTRUEDHAS[[#This Row],[Credit Points]]</calculatedColumnFormula>
    </tableColumn>
    <tableColumn id="13" name="No." dataDxfId="384"/>
    <tableColumn id="2" name="Component Type" dataDxfId="383"/>
    <tableColumn id="3" name="Year Level" dataDxfId="382"/>
    <tableColumn id="4" name="Study Period" dataDxfId="381"/>
    <tableColumn id="5" name="Study Package Code" dataDxfId="380"/>
    <tableColumn id="6" name="Ver" dataDxfId="379"/>
    <tableColumn id="7" name="Structure Line" dataDxfId="378"/>
    <tableColumn id="8" name="Credit Points" dataDxfId="377"/>
    <tableColumn id="14" name="Effective" dataDxfId="376"/>
    <tableColumn id="15" name="Discont." dataDxfId="375"/>
  </tableColumns>
  <tableStyleInfo name="TableStyleLight1" showFirstColumn="0" showLastColumn="0" showRowStripes="1" showColumnStripes="0"/>
</table>
</file>

<file path=xl/tables/table34.xml><?xml version="1.0" encoding="utf-8"?>
<table xmlns="http://schemas.openxmlformats.org/spreadsheetml/2006/main" id="28" name="TableSTRUEDMAT" displayName="TableSTRUEDMAT" ref="A739:O769" totalsRowShown="0" headerRowDxfId="374">
  <autoFilter ref="A739:O769"/>
  <sortState ref="A710:S717">
    <sortCondition ref="O10:O18"/>
  </sortState>
  <tableColumns count="15">
    <tableColumn id="1" name="UDC" dataDxfId="373">
      <calculatedColumnFormula>TableSTRUEDMAT[[#This Row],[Study Package Code]]</calculatedColumnFormula>
    </tableColumn>
    <tableColumn id="9" name="Version" dataDxfId="372">
      <calculatedColumnFormula>TableSTRUEDMAT[[#This Row],[Ver]]</calculatedColumnFormula>
    </tableColumn>
    <tableColumn id="10" name="OUA Code"/>
    <tableColumn id="11" name="Unit Title" dataDxfId="371">
      <calculatedColumnFormula>TableSTRUEDMAT[[#This Row],[Structure Line]]</calculatedColumnFormula>
    </tableColumn>
    <tableColumn id="12" name="CPs" dataDxfId="370">
      <calculatedColumnFormula>TableSTRUEDMAT[[#This Row],[Credit Points]]</calculatedColumnFormula>
    </tableColumn>
    <tableColumn id="13" name="No." dataDxfId="369"/>
    <tableColumn id="2" name="Component Type" dataDxfId="368"/>
    <tableColumn id="3" name="Year Level" dataDxfId="367"/>
    <tableColumn id="4" name="Study Period" dataDxfId="366"/>
    <tableColumn id="5" name="Study Package Code" dataDxfId="365"/>
    <tableColumn id="6" name="Ver" dataDxfId="364"/>
    <tableColumn id="7" name="Structure Line" dataDxfId="363"/>
    <tableColumn id="8" name="Credit Points" dataDxfId="362"/>
    <tableColumn id="14" name="Effective" dataDxfId="361"/>
    <tableColumn id="15" name="Discont." dataDxfId="360"/>
  </tableColumns>
  <tableStyleInfo name="TableStyleLight1" showFirstColumn="0" showLastColumn="0" showRowStripes="1" showColumnStripes="0"/>
</table>
</file>

<file path=xl/tables/table35.xml><?xml version="1.0" encoding="utf-8"?>
<table xmlns="http://schemas.openxmlformats.org/spreadsheetml/2006/main" id="34" name="TableSTRUEDSCI" displayName="TableSTRUEDSCI" ref="A771:O801" totalsRowShown="0" headerRowDxfId="359">
  <autoFilter ref="A771:O801"/>
  <sortState ref="A740:S747">
    <sortCondition ref="O10:O18"/>
  </sortState>
  <tableColumns count="15">
    <tableColumn id="1" name="UDC" dataDxfId="358">
      <calculatedColumnFormula>TableSTRUEDSCI[[#This Row],[Study Package Code]]</calculatedColumnFormula>
    </tableColumn>
    <tableColumn id="9" name="Version" dataDxfId="357">
      <calculatedColumnFormula>TableSTRUEDSCI[[#This Row],[Ver]]</calculatedColumnFormula>
    </tableColumn>
    <tableColumn id="10" name="OUA Code"/>
    <tableColumn id="11" name="Unit Title" dataDxfId="356">
      <calculatedColumnFormula>TableSTRUEDSCI[[#This Row],[Structure Line]]</calculatedColumnFormula>
    </tableColumn>
    <tableColumn id="12" name="CPs" dataDxfId="355">
      <calculatedColumnFormula>TableSTRUEDSCI[[#This Row],[Credit Points]]</calculatedColumnFormula>
    </tableColumn>
    <tableColumn id="13" name="No." dataDxfId="354"/>
    <tableColumn id="2" name="Component Type" dataDxfId="353"/>
    <tableColumn id="3" name="Year Level" dataDxfId="352"/>
    <tableColumn id="4" name="Study Period" dataDxfId="351"/>
    <tableColumn id="5" name="Study Package Code" dataDxfId="350"/>
    <tableColumn id="6" name="Ver" dataDxfId="349"/>
    <tableColumn id="7" name="Structure Line" dataDxfId="348"/>
    <tableColumn id="8" name="Credit Points" dataDxfId="347"/>
    <tableColumn id="14" name="Effective" dataDxfId="346"/>
    <tableColumn id="15" name="Discont." dataDxfId="345"/>
  </tableColumns>
  <tableStyleInfo name="TableStyleLight1" showFirstColumn="0" showLastColumn="0" showRowStripes="1" showColumnStripes="0"/>
</table>
</file>

<file path=xl/tables/table36.xml><?xml version="1.0" encoding="utf-8"?>
<table xmlns="http://schemas.openxmlformats.org/spreadsheetml/2006/main" id="35" name="TableSTRUENGLB" displayName="TableSTRUENGLB" ref="A803:O833" totalsRowShown="0" headerRowDxfId="344">
  <autoFilter ref="A803:O833"/>
  <sortState ref="A770:S777">
    <sortCondition ref="O10:O18"/>
  </sortState>
  <tableColumns count="15">
    <tableColumn id="1" name="UDC" dataDxfId="343">
      <calculatedColumnFormula>TableSTRUENGLB[[#This Row],[Study Package Code]]</calculatedColumnFormula>
    </tableColumn>
    <tableColumn id="9" name="Version" dataDxfId="342">
      <calculatedColumnFormula>TableSTRUENGLB[[#This Row],[Ver]]</calculatedColumnFormula>
    </tableColumn>
    <tableColumn id="10" name="OUA Code"/>
    <tableColumn id="11" name="Unit Title" dataDxfId="341">
      <calculatedColumnFormula>TableSTRUENGLB[[#This Row],[Structure Line]]</calculatedColumnFormula>
    </tableColumn>
    <tableColumn id="12" name="CPs" dataDxfId="340">
      <calculatedColumnFormula>TableSTRUENGLB[[#This Row],[Credit Points]]</calculatedColumnFormula>
    </tableColumn>
    <tableColumn id="13" name="No." dataDxfId="339"/>
    <tableColumn id="2" name="Component Type" dataDxfId="338"/>
    <tableColumn id="3" name="Year Level" dataDxfId="337"/>
    <tableColumn id="4" name="Study Period" dataDxfId="336"/>
    <tableColumn id="5" name="Study Package Code" dataDxfId="335"/>
    <tableColumn id="6" name="Ver" dataDxfId="334"/>
    <tableColumn id="7" name="Structure Line" dataDxfId="333"/>
    <tableColumn id="8" name="Credit Points" dataDxfId="332"/>
    <tableColumn id="14" name="Effective" dataDxfId="331"/>
    <tableColumn id="15" name="Discont." dataDxfId="330"/>
  </tableColumns>
  <tableStyleInfo name="TableStyleLight1" showFirstColumn="0" showLastColumn="0" showRowStripes="1" showColumnStripes="0"/>
</table>
</file>

<file path=xl/tables/table37.xml><?xml version="1.0" encoding="utf-8"?>
<table xmlns="http://schemas.openxmlformats.org/spreadsheetml/2006/main" id="36" name="TableSTRUENGLM" displayName="TableSTRUENGLM" ref="A835:O841" totalsRowShown="0" headerRowDxfId="329">
  <autoFilter ref="A835:O841"/>
  <sortState ref="A800:S807">
    <sortCondition ref="O10:O18"/>
  </sortState>
  <tableColumns count="15">
    <tableColumn id="1" name="UDC" dataDxfId="328">
      <calculatedColumnFormula>TableSTRUENGLM[[#This Row],[Study Package Code]]</calculatedColumnFormula>
    </tableColumn>
    <tableColumn id="9" name="Version" dataDxfId="327">
      <calculatedColumnFormula>TableSTRUENGLM[[#This Row],[Ver]]</calculatedColumnFormula>
    </tableColumn>
    <tableColumn id="10" name="OUA Code"/>
    <tableColumn id="11" name="Unit Title" dataDxfId="326">
      <calculatedColumnFormula>TableSTRUENGLM[[#This Row],[Structure Line]]</calculatedColumnFormula>
    </tableColumn>
    <tableColumn id="12" name="CPs" dataDxfId="325">
      <calculatedColumnFormula>TableSTRUENGLM[[#This Row],[Credit Points]]</calculatedColumnFormula>
    </tableColumn>
    <tableColumn id="13" name="No." dataDxfId="324"/>
    <tableColumn id="2" name="Component Type" dataDxfId="323"/>
    <tableColumn id="3" name="Year Level" dataDxfId="322"/>
    <tableColumn id="4" name="Study Period" dataDxfId="321"/>
    <tableColumn id="5" name="Study Package Code" dataDxfId="320"/>
    <tableColumn id="6" name="Ver" dataDxfId="319"/>
    <tableColumn id="7" name="Structure Line" dataDxfId="318"/>
    <tableColumn id="8" name="Credit Points" dataDxfId="317"/>
    <tableColumn id="14" name="Effective" dataDxfId="316"/>
    <tableColumn id="15" name="Discont." dataDxfId="315"/>
  </tableColumns>
  <tableStyleInfo name="TableStyleLight1" showFirstColumn="0" showLastColumn="0" showRowStripes="1" showColumnStripes="0"/>
</table>
</file>

<file path=xl/tables/table38.xml><?xml version="1.0" encoding="utf-8"?>
<table xmlns="http://schemas.openxmlformats.org/spreadsheetml/2006/main" id="37" name="TableSTRUGEOB1" displayName="TableSTRUGEOB1" ref="A843:O877" totalsRowShown="0" headerRowDxfId="314">
  <autoFilter ref="A843:O877"/>
  <sortState ref="A830:S837">
    <sortCondition ref="O10:O18"/>
  </sortState>
  <tableColumns count="15">
    <tableColumn id="1" name="UDC" dataDxfId="313">
      <calculatedColumnFormula>TableSTRUGEOB1[[#This Row],[Study Package Code]]</calculatedColumnFormula>
    </tableColumn>
    <tableColumn id="9" name="Version" dataDxfId="312">
      <calculatedColumnFormula>TableSTRUGEOB1[[#This Row],[Ver]]</calculatedColumnFormula>
    </tableColumn>
    <tableColumn id="10" name="OUA Code"/>
    <tableColumn id="11" name="Unit Title" dataDxfId="311">
      <calculatedColumnFormula>TableSTRUGEOB1[[#This Row],[Structure Line]]</calculatedColumnFormula>
    </tableColumn>
    <tableColumn id="12" name="CPs" dataDxfId="310">
      <calculatedColumnFormula>TableSTRUGEOB1[[#This Row],[Credit Points]]</calculatedColumnFormula>
    </tableColumn>
    <tableColumn id="13" name="No." dataDxfId="309"/>
    <tableColumn id="2" name="Component Type" dataDxfId="308"/>
    <tableColumn id="3" name="Year Level" dataDxfId="307"/>
    <tableColumn id="4" name="Study Period" dataDxfId="306"/>
    <tableColumn id="5" name="Study Package Code" dataDxfId="305"/>
    <tableColumn id="6" name="Ver" dataDxfId="304"/>
    <tableColumn id="7" name="Structure Line" dataDxfId="303"/>
    <tableColumn id="8" name="Credit Points" dataDxfId="302"/>
    <tableColumn id="14" name="Effective" dataDxfId="301"/>
    <tableColumn id="15" name="Discont." dataDxfId="300"/>
  </tableColumns>
  <tableStyleInfo name="TableStyleLight1" showFirstColumn="0" showLastColumn="0" showRowStripes="1" showColumnStripes="0"/>
</table>
</file>

<file path=xl/tables/table39.xml><?xml version="1.0" encoding="utf-8"?>
<table xmlns="http://schemas.openxmlformats.org/spreadsheetml/2006/main" id="38" name="TableSTRUHISB1" displayName="TableSTRUHISB1" ref="A879:O911" totalsRowShown="0" headerRowDxfId="299">
  <autoFilter ref="A879:O911"/>
  <sortState ref="A838:S845">
    <sortCondition ref="O10:O18"/>
  </sortState>
  <tableColumns count="15">
    <tableColumn id="1" name="UDC" dataDxfId="298">
      <calculatedColumnFormula>TableSTRUHISB1[[#This Row],[Study Package Code]]</calculatedColumnFormula>
    </tableColumn>
    <tableColumn id="9" name="Version" dataDxfId="297">
      <calculatedColumnFormula>TableSTRUHISB1[[#This Row],[Ver]]</calculatedColumnFormula>
    </tableColumn>
    <tableColumn id="10" name="OUA Code"/>
    <tableColumn id="11" name="Unit Title" dataDxfId="296">
      <calculatedColumnFormula>TableSTRUHISB1[[#This Row],[Structure Line]]</calculatedColumnFormula>
    </tableColumn>
    <tableColumn id="12" name="CPs" dataDxfId="295">
      <calculatedColumnFormula>TableSTRUHISB1[[#This Row],[Credit Points]]</calculatedColumnFormula>
    </tableColumn>
    <tableColumn id="13" name="No." dataDxfId="294"/>
    <tableColumn id="2" name="Component Type" dataDxfId="293"/>
    <tableColumn id="3" name="Year Level" dataDxfId="292"/>
    <tableColumn id="4" name="Study Period" dataDxfId="291"/>
    <tableColumn id="5" name="Study Package Code" dataDxfId="290"/>
    <tableColumn id="6" name="Ver" dataDxfId="289"/>
    <tableColumn id="7" name="Structure Line" dataDxfId="288"/>
    <tableColumn id="8" name="Credit Points" dataDxfId="287"/>
    <tableColumn id="14" name="Effective" dataDxfId="286"/>
    <tableColumn id="15" name="Discont." dataDxfId="285"/>
  </tableColumns>
  <tableStyleInfo name="TableStyleLight1" showFirstColumn="0" showLastColumn="0" showRowStripes="1" showColumnStripes="0"/>
</table>
</file>

<file path=xl/tables/table4.xml><?xml version="1.0" encoding="utf-8"?>
<table xmlns="http://schemas.openxmlformats.org/spreadsheetml/2006/main" id="24" name="TableMajors" displayName="TableMajors" ref="A7:G22" totalsRowShown="0" headerRowDxfId="1009">
  <autoFilter ref="A7:G22"/>
  <sortState ref="A8:E10">
    <sortCondition ref="A6:A9"/>
  </sortState>
  <tableColumns count="7">
    <tableColumn id="3" name="Choose your Major first (drop-down list)" dataDxfId="1008"/>
    <tableColumn id="1" name="UDC" dataDxfId="1007"/>
    <tableColumn id="2" name="Version" dataDxfId="1006"/>
    <tableColumn id="5" name="Credit Points" dataDxfId="1005"/>
    <tableColumn id="4" name="Effective Date" dataDxfId="1004"/>
    <tableColumn id="6" name="Akari Update" dataDxfId="1003"/>
    <tableColumn id="8" name="Availabilities" dataDxfId="1002"/>
  </tableColumns>
  <tableStyleInfo name="TableStyleLight8" showFirstColumn="0" showLastColumn="0" showRowStripes="1" showColumnStripes="0"/>
</table>
</file>

<file path=xl/tables/table40.xml><?xml version="1.0" encoding="utf-8"?>
<table xmlns="http://schemas.openxmlformats.org/spreadsheetml/2006/main" id="39" name="TableSTRUHUMAM" displayName="TableSTRUHUMAM" ref="A913:O921" totalsRowShown="0" headerRowDxfId="284">
  <autoFilter ref="A913:O921"/>
  <sortState ref="A870:S877">
    <sortCondition ref="O10:O18"/>
  </sortState>
  <tableColumns count="15">
    <tableColumn id="1" name="UDC" dataDxfId="283">
      <calculatedColumnFormula>TableSTRUHUMAM[[#This Row],[Study Package Code]]</calculatedColumnFormula>
    </tableColumn>
    <tableColumn id="9" name="Version" dataDxfId="282">
      <calculatedColumnFormula>TableSTRUHUMAM[[#This Row],[Ver]]</calculatedColumnFormula>
    </tableColumn>
    <tableColumn id="10" name="OUA Code"/>
    <tableColumn id="11" name="Unit Title" dataDxfId="281">
      <calculatedColumnFormula>TableSTRUHUMAM[[#This Row],[Structure Line]]</calculatedColumnFormula>
    </tableColumn>
    <tableColumn id="12" name="CPs" dataDxfId="280">
      <calculatedColumnFormula>TableSTRUHUMAM[[#This Row],[Credit Points]]</calculatedColumnFormula>
    </tableColumn>
    <tableColumn id="13" name="No." dataDxfId="279"/>
    <tableColumn id="2" name="Component Type" dataDxfId="278"/>
    <tableColumn id="3" name="Year Level" dataDxfId="277"/>
    <tableColumn id="4" name="Study Period" dataDxfId="276"/>
    <tableColumn id="5" name="Study Package Code" dataDxfId="275"/>
    <tableColumn id="6" name="Ver" dataDxfId="274"/>
    <tableColumn id="7" name="Structure Line" dataDxfId="273"/>
    <tableColumn id="8" name="Credit Points" dataDxfId="272"/>
    <tableColumn id="14" name="Effective" dataDxfId="271"/>
    <tableColumn id="15" name="Discont." dataDxfId="270"/>
  </tableColumns>
  <tableStyleInfo name="TableStyleLight1" showFirstColumn="0" showLastColumn="0" showRowStripes="1" showColumnStripes="0"/>
</table>
</file>

<file path=xl/tables/table41.xml><?xml version="1.0" encoding="utf-8"?>
<table xmlns="http://schemas.openxmlformats.org/spreadsheetml/2006/main" id="40" name="TableSTRUHUMBB" displayName="TableSTRUHUMBB" ref="A923:O953" totalsRowShown="0" headerRowDxfId="269">
  <autoFilter ref="A923:O953"/>
  <sortState ref="A902:S909">
    <sortCondition ref="O10:O18"/>
  </sortState>
  <tableColumns count="15">
    <tableColumn id="1" name="UDC" dataDxfId="268">
      <calculatedColumnFormula>TableSTRUHUMBB[[#This Row],[Study Package Code]]</calculatedColumnFormula>
    </tableColumn>
    <tableColumn id="9" name="Version" dataDxfId="267">
      <calculatedColumnFormula>TableSTRUHUMBB[[#This Row],[Ver]]</calculatedColumnFormula>
    </tableColumn>
    <tableColumn id="10" name="OUA Code"/>
    <tableColumn id="11" name="Unit Title" dataDxfId="266">
      <calculatedColumnFormula>TableSTRUHUMBB[[#This Row],[Structure Line]]</calculatedColumnFormula>
    </tableColumn>
    <tableColumn id="12" name="CPs" dataDxfId="265">
      <calculatedColumnFormula>TableSTRUHUMBB[[#This Row],[Credit Points]]</calculatedColumnFormula>
    </tableColumn>
    <tableColumn id="13" name="No." dataDxfId="264"/>
    <tableColumn id="2" name="Component Type" dataDxfId="263"/>
    <tableColumn id="3" name="Year Level" dataDxfId="262"/>
    <tableColumn id="4" name="Study Period" dataDxfId="261"/>
    <tableColumn id="5" name="Study Package Code" dataDxfId="260"/>
    <tableColumn id="6" name="Ver" dataDxfId="259"/>
    <tableColumn id="7" name="Structure Line" dataDxfId="258"/>
    <tableColumn id="8" name="Credit Points" dataDxfId="257"/>
    <tableColumn id="14" name="Effective" dataDxfId="256"/>
    <tableColumn id="15" name="Discont." dataDxfId="255"/>
  </tableColumns>
  <tableStyleInfo name="TableStyleLight1" showFirstColumn="0" showLastColumn="0" showRowStripes="1" showColumnStripes="0"/>
</table>
</file>

<file path=xl/tables/table42.xml><?xml version="1.0" encoding="utf-8"?>
<table xmlns="http://schemas.openxmlformats.org/spreadsheetml/2006/main" id="41" name="TableSTRUMATHB" displayName="TableSTRUMATHB" ref="A955:O983" totalsRowShown="0" headerRowDxfId="254">
  <autoFilter ref="A955:O983"/>
  <sortState ref="A912:S919">
    <sortCondition ref="O10:O18"/>
  </sortState>
  <tableColumns count="15">
    <tableColumn id="1" name="UDC" dataDxfId="253">
      <calculatedColumnFormula>TableSTRUMATHB[[#This Row],[Study Package Code]]</calculatedColumnFormula>
    </tableColumn>
    <tableColumn id="9" name="Version" dataDxfId="252">
      <calculatedColumnFormula>TableSTRUMATHB[[#This Row],[Ver]]</calculatedColumnFormula>
    </tableColumn>
    <tableColumn id="10" name="OUA Code"/>
    <tableColumn id="11" name="Unit Title" dataDxfId="251">
      <calculatedColumnFormula>TableSTRUMATHB[[#This Row],[Structure Line]]</calculatedColumnFormula>
    </tableColumn>
    <tableColumn id="12" name="CPs" dataDxfId="250">
      <calculatedColumnFormula>TableSTRUMATHB[[#This Row],[Credit Points]]</calculatedColumnFormula>
    </tableColumn>
    <tableColumn id="13" name="No." dataDxfId="249"/>
    <tableColumn id="2" name="Component Type" dataDxfId="248"/>
    <tableColumn id="3" name="Year Level" dataDxfId="247"/>
    <tableColumn id="4" name="Study Period" dataDxfId="246"/>
    <tableColumn id="5" name="Study Package Code" dataDxfId="245"/>
    <tableColumn id="6" name="Ver" dataDxfId="244"/>
    <tableColumn id="7" name="Structure Line" dataDxfId="243"/>
    <tableColumn id="8" name="Credit Points" dataDxfId="242"/>
    <tableColumn id="14" name="Effective" dataDxfId="241"/>
    <tableColumn id="15" name="Discont." dataDxfId="240"/>
  </tableColumns>
  <tableStyleInfo name="TableStyleLight1" showFirstColumn="0" showLastColumn="0" showRowStripes="1" showColumnStripes="0"/>
</table>
</file>

<file path=xl/tables/table43.xml><?xml version="1.0" encoding="utf-8"?>
<table xmlns="http://schemas.openxmlformats.org/spreadsheetml/2006/main" id="42" name="TableSTRUMATHM" displayName="TableSTRUMATHM" ref="A985:O992" totalsRowShown="0" headerRowDxfId="239">
  <autoFilter ref="A985:O992"/>
  <sortState ref="A942:S949">
    <sortCondition ref="O10:O18"/>
  </sortState>
  <tableColumns count="15">
    <tableColumn id="1" name="UDC" dataDxfId="238">
      <calculatedColumnFormula>TableSTRUMATHM[[#This Row],[Study Package Code]]</calculatedColumnFormula>
    </tableColumn>
    <tableColumn id="9" name="Version" dataDxfId="237">
      <calculatedColumnFormula>TableSTRUMATHM[[#This Row],[Ver]]</calculatedColumnFormula>
    </tableColumn>
    <tableColumn id="10" name="OUA Code"/>
    <tableColumn id="11" name="Unit Title" dataDxfId="236">
      <calculatedColumnFormula>TableSTRUMATHM[[#This Row],[Structure Line]]</calculatedColumnFormula>
    </tableColumn>
    <tableColumn id="12" name="CPs" dataDxfId="235">
      <calculatedColumnFormula>TableSTRUMATHM[[#This Row],[Credit Points]]</calculatedColumnFormula>
    </tableColumn>
    <tableColumn id="13" name="No." dataDxfId="234"/>
    <tableColumn id="2" name="Component Type" dataDxfId="233"/>
    <tableColumn id="3" name="Year Level" dataDxfId="232"/>
    <tableColumn id="4" name="Study Period" dataDxfId="231"/>
    <tableColumn id="5" name="Study Package Code" dataDxfId="230"/>
    <tableColumn id="6" name="Ver" dataDxfId="229"/>
    <tableColumn id="7" name="Structure Line" dataDxfId="228"/>
    <tableColumn id="8" name="Credit Points" dataDxfId="227"/>
    <tableColumn id="14" name="Effective" dataDxfId="226"/>
    <tableColumn id="15" name="Discont." dataDxfId="225"/>
  </tableColumns>
  <tableStyleInfo name="TableStyleLight1" showFirstColumn="0" showLastColumn="0" showRowStripes="1" showColumnStripes="0"/>
</table>
</file>

<file path=xl/tables/table44.xml><?xml version="1.0" encoding="utf-8"?>
<table xmlns="http://schemas.openxmlformats.org/spreadsheetml/2006/main" id="43" name="TableSTRUPARTB" displayName="TableSTRUPARTB" ref="A994:O1024" totalsRowShown="0" headerRowDxfId="224">
  <autoFilter ref="A994:O1024"/>
  <sortState ref="A972:S979">
    <sortCondition ref="O10:O18"/>
  </sortState>
  <tableColumns count="15">
    <tableColumn id="1" name="UDC" dataDxfId="223">
      <calculatedColumnFormula>TableSTRUPARTB[[#This Row],[Study Package Code]]</calculatedColumnFormula>
    </tableColumn>
    <tableColumn id="9" name="Version" dataDxfId="222">
      <calculatedColumnFormula>TableSTRUPARTB[[#This Row],[Ver]]</calculatedColumnFormula>
    </tableColumn>
    <tableColumn id="10" name="OUA Code"/>
    <tableColumn id="11" name="Unit Title" dataDxfId="221">
      <calculatedColumnFormula>TableSTRUPARTB[[#This Row],[Structure Line]]</calculatedColumnFormula>
    </tableColumn>
    <tableColumn id="12" name="CPs" dataDxfId="220">
      <calculatedColumnFormula>TableSTRUPARTB[[#This Row],[Credit Points]]</calculatedColumnFormula>
    </tableColumn>
    <tableColumn id="13" name="No." dataDxfId="219"/>
    <tableColumn id="2" name="Component Type" dataDxfId="218"/>
    <tableColumn id="3" name="Year Level" dataDxfId="217"/>
    <tableColumn id="4" name="Study Period" dataDxfId="216"/>
    <tableColumn id="5" name="Study Package Code" dataDxfId="215"/>
    <tableColumn id="6" name="Ver" dataDxfId="214"/>
    <tableColumn id="7" name="Structure Line" dataDxfId="213"/>
    <tableColumn id="8" name="Credit Points" dataDxfId="212"/>
    <tableColumn id="14" name="Effective" dataDxfId="211"/>
    <tableColumn id="15" name="Discont." dataDxfId="210"/>
  </tableColumns>
  <tableStyleInfo name="TableStyleLight1" showFirstColumn="0" showLastColumn="0" showRowStripes="1" showColumnStripes="0"/>
</table>
</file>

<file path=xl/tables/table45.xml><?xml version="1.0" encoding="utf-8"?>
<table xmlns="http://schemas.openxmlformats.org/spreadsheetml/2006/main" id="44" name="TableSTRUPARTM" displayName="TableSTRUPARTM" ref="A1026:O1032" totalsRowShown="0" headerRowDxfId="209">
  <autoFilter ref="A1026:O1032"/>
  <sortState ref="A980:S987">
    <sortCondition ref="O10:O18"/>
  </sortState>
  <tableColumns count="15">
    <tableColumn id="1" name="UDC" dataDxfId="208">
      <calculatedColumnFormula>TableSTRUPARTM[[#This Row],[Study Package Code]]</calculatedColumnFormula>
    </tableColumn>
    <tableColumn id="9" name="Version" dataDxfId="207">
      <calculatedColumnFormula>TableSTRUPARTM[[#This Row],[Ver]]</calculatedColumnFormula>
    </tableColumn>
    <tableColumn id="10" name="OUA Code"/>
    <tableColumn id="11" name="Unit Title" dataDxfId="206">
      <calculatedColumnFormula>TableSTRUPARTM[[#This Row],[Structure Line]]</calculatedColumnFormula>
    </tableColumn>
    <tableColumn id="12" name="CPs" dataDxfId="205">
      <calculatedColumnFormula>TableSTRUPARTM[[#This Row],[Credit Points]]</calculatedColumnFormula>
    </tableColumn>
    <tableColumn id="13" name="No." dataDxfId="204"/>
    <tableColumn id="2" name="Component Type" dataDxfId="203"/>
    <tableColumn id="3" name="Year Level" dataDxfId="202"/>
    <tableColumn id="4" name="Study Period" dataDxfId="201"/>
    <tableColumn id="5" name="Study Package Code" dataDxfId="200"/>
    <tableColumn id="6" name="Ver" dataDxfId="199"/>
    <tableColumn id="7" name="Structure Line" dataDxfId="198"/>
    <tableColumn id="8" name="Credit Points" dataDxfId="197"/>
    <tableColumn id="14" name="Effective" dataDxfId="196"/>
    <tableColumn id="15" name="Discont." dataDxfId="195"/>
  </tableColumns>
  <tableStyleInfo name="TableStyleLight1" showFirstColumn="0" showLastColumn="0" showRowStripes="1" showColumnStripes="0"/>
</table>
</file>

<file path=xl/tables/table46.xml><?xml version="1.0" encoding="utf-8"?>
<table xmlns="http://schemas.openxmlformats.org/spreadsheetml/2006/main" id="45" name="TableSTRUPOLB1" displayName="TableSTRUPOLB1" ref="A1034:O1064" totalsRowShown="0" headerRowDxfId="194">
  <autoFilter ref="A1034:O1064"/>
  <sortState ref="A1010:S1017">
    <sortCondition ref="O10:O18"/>
  </sortState>
  <tableColumns count="15">
    <tableColumn id="1" name="UDC" dataDxfId="193">
      <calculatedColumnFormula>TableSTRUPOLB1[[#This Row],[Study Package Code]]</calculatedColumnFormula>
    </tableColumn>
    <tableColumn id="9" name="Version" dataDxfId="192">
      <calculatedColumnFormula>TableSTRUPOLB1[[#This Row],[Ver]]</calculatedColumnFormula>
    </tableColumn>
    <tableColumn id="10" name="OUA Code"/>
    <tableColumn id="11" name="Unit Title" dataDxfId="191">
      <calculatedColumnFormula>TableSTRUPOLB1[[#This Row],[Structure Line]]</calculatedColumnFormula>
    </tableColumn>
    <tableColumn id="12" name="CPs" dataDxfId="190">
      <calculatedColumnFormula>TableSTRUPOLB1[[#This Row],[Credit Points]]</calculatedColumnFormula>
    </tableColumn>
    <tableColumn id="13" name="No." dataDxfId="189"/>
    <tableColumn id="2" name="Component Type" dataDxfId="188"/>
    <tableColumn id="3" name="Year Level" dataDxfId="187"/>
    <tableColumn id="4" name="Study Period" dataDxfId="186"/>
    <tableColumn id="5" name="Study Package Code" dataDxfId="185"/>
    <tableColumn id="6" name="Ver" dataDxfId="184"/>
    <tableColumn id="7" name="Structure Line" dataDxfId="183"/>
    <tableColumn id="8" name="Credit Points" dataDxfId="182"/>
    <tableColumn id="14" name="Effective" dataDxfId="181"/>
    <tableColumn id="15" name="Discont." dataDxfId="180"/>
  </tableColumns>
  <tableStyleInfo name="TableStyleLight1" showFirstColumn="0" showLastColumn="0" showRowStripes="1" showColumnStripes="0"/>
</table>
</file>

<file path=xl/tables/table47.xml><?xml version="1.0" encoding="utf-8"?>
<table xmlns="http://schemas.openxmlformats.org/spreadsheetml/2006/main" id="46" name="TableSTRUPSCIM" displayName="TableSTRUPSCIM" ref="A1066:O1072" totalsRowShown="0" headerRowDxfId="179">
  <autoFilter ref="A1066:O1072"/>
  <sortState ref="A1018:S1025">
    <sortCondition ref="O10:O18"/>
  </sortState>
  <tableColumns count="15">
    <tableColumn id="1" name="UDC" dataDxfId="178">
      <calculatedColumnFormula>TableSTRUPSCIM[[#This Row],[Study Package Code]]</calculatedColumnFormula>
    </tableColumn>
    <tableColumn id="9" name="Version" dataDxfId="177">
      <calculatedColumnFormula>TableSTRUPSCIM[[#This Row],[Ver]]</calculatedColumnFormula>
    </tableColumn>
    <tableColumn id="10" name="OUA Code"/>
    <tableColumn id="11" name="Unit Title" dataDxfId="176">
      <calculatedColumnFormula>TableSTRUPSCIM[[#This Row],[Structure Line]]</calculatedColumnFormula>
    </tableColumn>
    <tableColumn id="12" name="CPs" dataDxfId="175">
      <calculatedColumnFormula>TableSTRUPSCIM[[#This Row],[Credit Points]]</calculatedColumnFormula>
    </tableColumn>
    <tableColumn id="13" name="No." dataDxfId="174"/>
    <tableColumn id="2" name="Component Type" dataDxfId="173"/>
    <tableColumn id="3" name="Year Level" dataDxfId="172"/>
    <tableColumn id="4" name="Study Period" dataDxfId="171"/>
    <tableColumn id="5" name="Study Package Code" dataDxfId="170"/>
    <tableColumn id="6" name="Ver" dataDxfId="169"/>
    <tableColumn id="7" name="Structure Line" dataDxfId="168"/>
    <tableColumn id="8" name="Credit Points" dataDxfId="167"/>
    <tableColumn id="14" name="Effective" dataDxfId="166"/>
    <tableColumn id="15" name="Discont." dataDxfId="165"/>
  </tableColumns>
  <tableStyleInfo name="TableStyleLight1" showFirstColumn="0" showLastColumn="0" showRowStripes="1" showColumnStripes="0"/>
</table>
</file>

<file path=xl/tables/table48.xml><?xml version="1.0" encoding="utf-8"?>
<table xmlns="http://schemas.openxmlformats.org/spreadsheetml/2006/main" id="47" name="TableSTRUPSYCB" displayName="TableSTRUPSYCB" ref="A1074:O1104" totalsRowShown="0" headerRowDxfId="164">
  <autoFilter ref="A1074:O1104"/>
  <sortState ref="A1048:S1055">
    <sortCondition ref="O10:O18"/>
  </sortState>
  <tableColumns count="15">
    <tableColumn id="1" name="UDC" dataDxfId="163">
      <calculatedColumnFormula>TableSTRUPSYCB[[#This Row],[Study Package Code]]</calculatedColumnFormula>
    </tableColumn>
    <tableColumn id="9" name="Version" dataDxfId="162">
      <calculatedColumnFormula>TableSTRUPSYCB[[#This Row],[Ver]]</calculatedColumnFormula>
    </tableColumn>
    <tableColumn id="10" name="OUA Code"/>
    <tableColumn id="11" name="Unit Title" dataDxfId="161">
      <calculatedColumnFormula>TableSTRUPSYCB[[#This Row],[Structure Line]]</calculatedColumnFormula>
    </tableColumn>
    <tableColumn id="12" name="CPs" dataDxfId="160">
      <calculatedColumnFormula>TableSTRUPSYCB[[#This Row],[Credit Points]]</calculatedColumnFormula>
    </tableColumn>
    <tableColumn id="13" name="No." dataDxfId="159"/>
    <tableColumn id="2" name="Component Type" dataDxfId="158"/>
    <tableColumn id="3" name="Year Level" dataDxfId="157"/>
    <tableColumn id="4" name="Study Period" dataDxfId="156"/>
    <tableColumn id="5" name="Study Package Code" dataDxfId="155"/>
    <tableColumn id="6" name="Ver" dataDxfId="154"/>
    <tableColumn id="7" name="Structure Line" dataDxfId="153"/>
    <tableColumn id="8" name="Credit Points" dataDxfId="152"/>
    <tableColumn id="14" name="Effective" dataDxfId="151"/>
    <tableColumn id="15" name="Discont." dataDxfId="150"/>
  </tableColumns>
  <tableStyleInfo name="TableStyleLight1" showFirstColumn="0" showLastColumn="0" showRowStripes="1" showColumnStripes="0"/>
</table>
</file>

<file path=xl/tables/table49.xml><?xml version="1.0" encoding="utf-8"?>
<table xmlns="http://schemas.openxmlformats.org/spreadsheetml/2006/main" id="48" name="TableSTRUPSYCM" displayName="TableSTRUPSYCM" ref="A1106:O1114" totalsRowShown="0" headerRowDxfId="149">
  <autoFilter ref="A1106:O1114"/>
  <sortState ref="A1056:S1063">
    <sortCondition ref="O10:O18"/>
  </sortState>
  <tableColumns count="15">
    <tableColumn id="1" name="UDC" dataDxfId="148">
      <calculatedColumnFormula>TableSTRUPSYCM[[#This Row],[Study Package Code]]</calculatedColumnFormula>
    </tableColumn>
    <tableColumn id="9" name="Version" dataDxfId="147">
      <calculatedColumnFormula>TableSTRUPSYCM[[#This Row],[Ver]]</calculatedColumnFormula>
    </tableColumn>
    <tableColumn id="10" name="OUA Code"/>
    <tableColumn id="11" name="Unit Title" dataDxfId="146">
      <calculatedColumnFormula>TableSTRUPSYCM[[#This Row],[Structure Line]]</calculatedColumnFormula>
    </tableColumn>
    <tableColumn id="12" name="CPs" dataDxfId="145">
      <calculatedColumnFormula>TableSTRUPSYCM[[#This Row],[Credit Points]]</calculatedColumnFormula>
    </tableColumn>
    <tableColumn id="13" name="No." dataDxfId="144"/>
    <tableColumn id="2" name="Component Type" dataDxfId="143"/>
    <tableColumn id="3" name="Year Level" dataDxfId="142"/>
    <tableColumn id="4" name="Study Period" dataDxfId="141"/>
    <tableColumn id="5" name="Study Package Code" dataDxfId="140"/>
    <tableColumn id="6" name="Ver" dataDxfId="139"/>
    <tableColumn id="7" name="Structure Line" dataDxfId="138"/>
    <tableColumn id="8" name="Credit Points" dataDxfId="137"/>
    <tableColumn id="14" name="Effective" dataDxfId="136"/>
    <tableColumn id="15" name="Discont." dataDxfId="135"/>
  </tableColumns>
  <tableStyleInfo name="TableStyleLight1" showFirstColumn="0" showLastColumn="0" showRowStripes="1" showColumnStripes="0"/>
</table>
</file>

<file path=xl/tables/table5.xml><?xml version="1.0" encoding="utf-8"?>
<table xmlns="http://schemas.openxmlformats.org/spreadsheetml/2006/main" id="27" name="TableStreams" displayName="TableStreams" ref="A25:G51" totalsRowShown="0" headerRowDxfId="1001">
  <autoFilter ref="A25:G51"/>
  <sortState ref="A26:E28">
    <sortCondition ref="A6:A9"/>
  </sortState>
  <tableColumns count="7">
    <tableColumn id="3" name="Choose your Specialisation Stream second (drop-down list)" dataDxfId="1000"/>
    <tableColumn id="1" name="UDC" dataDxfId="999"/>
    <tableColumn id="2" name="Version" dataDxfId="998"/>
    <tableColumn id="5" name="Credit Points" dataDxfId="997"/>
    <tableColumn id="4" name="Effective Date" dataDxfId="996"/>
    <tableColumn id="6" name="Akari Update" dataDxfId="995"/>
    <tableColumn id="9" name="Availabilities" dataDxfId="994"/>
  </tableColumns>
  <tableStyleInfo name="TableStyleLight8" showFirstColumn="0" showLastColumn="0" showRowStripes="1" showColumnStripes="0"/>
</table>
</file>

<file path=xl/tables/table50.xml><?xml version="1.0" encoding="utf-8"?>
<table xmlns="http://schemas.openxmlformats.org/spreadsheetml/2006/main" id="49" name="TableSTRUSOSCM" displayName="TableSTRUSOSCM" ref="A1116:O1124" totalsRowShown="0" headerRowDxfId="134">
  <autoFilter ref="A1116:O1124"/>
  <sortState ref="A1086:S1093">
    <sortCondition ref="O10:O18"/>
  </sortState>
  <tableColumns count="15">
    <tableColumn id="1" name="UDC" dataDxfId="133">
      <calculatedColumnFormula>TableSTRUSOSCM[[#This Row],[Study Package Code]]</calculatedColumnFormula>
    </tableColumn>
    <tableColumn id="9" name="Version" dataDxfId="132">
      <calculatedColumnFormula>TableSTRUSOSCM[[#This Row],[Ver]]</calculatedColumnFormula>
    </tableColumn>
    <tableColumn id="10" name="OUA Code"/>
    <tableColumn id="11" name="Unit Title" dataDxfId="131">
      <calculatedColumnFormula>TableSTRUSOSCM[[#This Row],[Structure Line]]</calculatedColumnFormula>
    </tableColumn>
    <tableColumn id="12" name="CPs" dataDxfId="130">
      <calculatedColumnFormula>TableSTRUSOSCM[[#This Row],[Credit Points]]</calculatedColumnFormula>
    </tableColumn>
    <tableColumn id="13" name="No." dataDxfId="129"/>
    <tableColumn id="2" name="Component Type" dataDxfId="128"/>
    <tableColumn id="3" name="Year Level" dataDxfId="127"/>
    <tableColumn id="4" name="Study Period" dataDxfId="126"/>
    <tableColumn id="5" name="Study Package Code" dataDxfId="125"/>
    <tableColumn id="6" name="Ver" dataDxfId="124"/>
    <tableColumn id="7" name="Structure Line" dataDxfId="123"/>
    <tableColumn id="8" name="Credit Points" dataDxfId="122"/>
    <tableColumn id="14" name="Effective" dataDxfId="121"/>
    <tableColumn id="15" name="Discont." dataDxfId="120"/>
  </tableColumns>
  <tableStyleInfo name="TableStyleLight1" showFirstColumn="0" showLastColumn="0" showRowStripes="1" showColumnStripes="0"/>
</table>
</file>

<file path=xl/tables/table51.xml><?xml version="1.0" encoding="utf-8"?>
<table xmlns="http://schemas.openxmlformats.org/spreadsheetml/2006/main" id="50" name="TableSTRUVARTB" displayName="TableSTRUVARTB" ref="A1126:O1156" totalsRowShown="0" headerRowDxfId="119">
  <autoFilter ref="A1126:O1156"/>
  <sortState ref="A1096:S1103">
    <sortCondition ref="O10:O18"/>
  </sortState>
  <tableColumns count="15">
    <tableColumn id="1" name="UDC" dataDxfId="118">
      <calculatedColumnFormula>TableSTRUVARTB[[#This Row],[Study Package Code]]</calculatedColumnFormula>
    </tableColumn>
    <tableColumn id="9" name="Version" dataDxfId="117">
      <calculatedColumnFormula>TableSTRUVARTB[[#This Row],[Ver]]</calculatedColumnFormula>
    </tableColumn>
    <tableColumn id="10" name="OUA Code"/>
    <tableColumn id="11" name="Unit Title" dataDxfId="116">
      <calculatedColumnFormula>TableSTRUVARTB[[#This Row],[Structure Line]]</calculatedColumnFormula>
    </tableColumn>
    <tableColumn id="12" name="CPs" dataDxfId="115">
      <calculatedColumnFormula>TableSTRUVARTB[[#This Row],[Credit Points]]</calculatedColumnFormula>
    </tableColumn>
    <tableColumn id="13" name="No." dataDxfId="114"/>
    <tableColumn id="2" name="Component Type" dataDxfId="113"/>
    <tableColumn id="3" name="Year Level" dataDxfId="112"/>
    <tableColumn id="4" name="Study Period" dataDxfId="111"/>
    <tableColumn id="5" name="Study Package Code" dataDxfId="110"/>
    <tableColumn id="6" name="Ver" dataDxfId="109"/>
    <tableColumn id="7" name="Structure Line" dataDxfId="108"/>
    <tableColumn id="8" name="Credit Points" dataDxfId="107"/>
    <tableColumn id="14" name="Effective" dataDxfId="106"/>
    <tableColumn id="15" name="Discont." dataDxfId="105"/>
  </tableColumns>
  <tableStyleInfo name="TableStyleLight1" showFirstColumn="0" showLastColumn="0" showRowStripes="1" showColumnStripes="0"/>
</table>
</file>

<file path=xl/tables/table52.xml><?xml version="1.0" encoding="utf-8"?>
<table xmlns="http://schemas.openxmlformats.org/spreadsheetml/2006/main" id="51" name="TableSTRUVARTM" displayName="TableSTRUVARTM" ref="A1158:O1164" totalsRowShown="0" headerRowDxfId="104">
  <autoFilter ref="A1158:O1164"/>
  <sortState ref="A1106:S1113">
    <sortCondition ref="O10:O18"/>
  </sortState>
  <tableColumns count="15">
    <tableColumn id="1" name="UDC" dataDxfId="103">
      <calculatedColumnFormula>TableSTRUVARTM[[#This Row],[Study Package Code]]</calculatedColumnFormula>
    </tableColumn>
    <tableColumn id="9" name="Version" dataDxfId="102">
      <calculatedColumnFormula>TableSTRUVARTM[[#This Row],[Ver]]</calculatedColumnFormula>
    </tableColumn>
    <tableColumn id="10" name="OUA Code"/>
    <tableColumn id="11" name="Unit Title" dataDxfId="101">
      <calculatedColumnFormula>TableSTRUVARTM[[#This Row],[Structure Line]]</calculatedColumnFormula>
    </tableColumn>
    <tableColumn id="12" name="CPs" dataDxfId="100">
      <calculatedColumnFormula>TableSTRUVARTM[[#This Row],[Credit Points]]</calculatedColumnFormula>
    </tableColumn>
    <tableColumn id="13" name="No." dataDxfId="99"/>
    <tableColumn id="2" name="Component Type" dataDxfId="98"/>
    <tableColumn id="3" name="Year Level" dataDxfId="97"/>
    <tableColumn id="4" name="Study Period" dataDxfId="96"/>
    <tableColumn id="5" name="Study Package Code" dataDxfId="95"/>
    <tableColumn id="6" name="Ver" dataDxfId="94"/>
    <tableColumn id="7" name="Structure Line" dataDxfId="93"/>
    <tableColumn id="8" name="Credit Points" dataDxfId="92"/>
    <tableColumn id="14" name="Effective" dataDxfId="91"/>
    <tableColumn id="15" name="Discont." dataDxfId="90"/>
  </tableColumns>
  <tableStyleInfo name="TableStyleLight1" showFirstColumn="0" showLastColumn="0" showRowStripes="1" showColumnStripes="0"/>
</table>
</file>

<file path=xl/tables/table53.xml><?xml version="1.0" encoding="utf-8"?>
<table xmlns="http://schemas.openxmlformats.org/spreadsheetml/2006/main" id="56" name="Table535657" displayName="Table535657" ref="R456:S475" totalsRowShown="0">
  <autoFilter ref="R456:S475"/>
  <tableColumns count="2">
    <tableColumn id="1" name="Column1"/>
    <tableColumn id="2" name="Column2"/>
  </tableColumns>
  <tableStyleInfo name="TableStyleLight4" showFirstColumn="0" showLastColumn="0" showRowStripes="1" showColumnStripes="0"/>
</table>
</file>

<file path=xl/tables/table54.xml><?xml version="1.0" encoding="utf-8"?>
<table xmlns="http://schemas.openxmlformats.org/spreadsheetml/2006/main" id="57" name="Table535658" displayName="Table535658" ref="R477:S498" totalsRowShown="0">
  <autoFilter ref="R477:S498"/>
  <tableColumns count="2">
    <tableColumn id="1" name="Column1"/>
    <tableColumn id="2" name="Column2"/>
  </tableColumns>
  <tableStyleInfo name="TableStyleLight4" showFirstColumn="0" showLastColumn="0" showRowStripes="1" showColumnStripes="0"/>
</table>
</file>

<file path=xl/tables/table55.xml><?xml version="1.0" encoding="utf-8"?>
<table xmlns="http://schemas.openxmlformats.org/spreadsheetml/2006/main" id="58" name="Table53565759" displayName="Table53565759" ref="R500:S516" totalsRowShown="0">
  <autoFilter ref="R500:S516"/>
  <tableColumns count="2">
    <tableColumn id="1" name="Column1"/>
    <tableColumn id="2" name="Column2"/>
  </tableColumns>
  <tableStyleInfo name="TableStyleLight4" showFirstColumn="0" showLastColumn="0" showRowStripes="1" showColumnStripes="0"/>
</table>
</file>

<file path=xl/tables/table56.xml><?xml version="1.0" encoding="utf-8"?>
<table xmlns="http://schemas.openxmlformats.org/spreadsheetml/2006/main" id="59" name="Table5356575960" displayName="Table5356575960" ref="R518:S536" totalsRowShown="0">
  <autoFilter ref="R518:S536"/>
  <tableColumns count="2">
    <tableColumn id="1" name="Column1"/>
    <tableColumn id="2" name="Column2"/>
  </tableColumns>
  <tableStyleInfo name="TableStyleLight4" showFirstColumn="0" showLastColumn="0" showRowStripes="1" showColumnStripes="0"/>
</table>
</file>

<file path=xl/tables/table57.xml><?xml version="1.0" encoding="utf-8"?>
<table xmlns="http://schemas.openxmlformats.org/spreadsheetml/2006/main" id="60" name="Table535657596061" displayName="Table535657596061" ref="R538:S567" totalsRowShown="0">
  <autoFilter ref="R538:S567"/>
  <tableColumns count="2">
    <tableColumn id="1" name="Column1"/>
    <tableColumn id="2" name="Column2"/>
  </tableColumns>
  <tableStyleInfo name="TableStyleLight4" showFirstColumn="0" showLastColumn="0" showRowStripes="1" showColumnStripes="0"/>
</table>
</file>

<file path=xl/tables/table58.xml><?xml version="1.0" encoding="utf-8"?>
<table xmlns="http://schemas.openxmlformats.org/spreadsheetml/2006/main" id="62" name="Table53565759606163" displayName="Table53565759606163" ref="R569:S577" totalsRowShown="0">
  <autoFilter ref="R569:S577"/>
  <tableColumns count="2">
    <tableColumn id="1" name="Column1"/>
    <tableColumn id="2" name="Column2"/>
  </tableColumns>
  <tableStyleInfo name="TableStyleLight4" showFirstColumn="0" showLastColumn="0" showRowStripes="1" showColumnStripes="0"/>
</table>
</file>

<file path=xl/tables/table59.xml><?xml version="1.0" encoding="utf-8"?>
<table xmlns="http://schemas.openxmlformats.org/spreadsheetml/2006/main" id="63" name="Table5356575960616364" displayName="Table5356575960616364" ref="R579:S609" totalsRowShown="0">
  <autoFilter ref="R579:S609"/>
  <tableColumns count="2">
    <tableColumn id="1" name="Column1"/>
    <tableColumn id="2" name="Column2"/>
  </tableColumns>
  <tableStyleInfo name="TableStyleLight4" showFirstColumn="0" showLastColumn="0" showRowStripes="1" showColumnStripes="0"/>
</table>
</file>

<file path=xl/tables/table6.xml><?xml version="1.0" encoding="utf-8"?>
<table xmlns="http://schemas.openxmlformats.org/spreadsheetml/2006/main" id="52" name="TableCourseSecondary" displayName="TableCourseSecondary" ref="A3:G4" totalsRowShown="0" headerRowDxfId="993">
  <autoFilter ref="A3:G4"/>
  <sortState ref="A4:E6">
    <sortCondition ref="A6:A9"/>
  </sortState>
  <tableColumns count="7">
    <tableColumn id="3" name="Choose your Education Course" dataDxfId="992"/>
    <tableColumn id="1" name="UDC" dataDxfId="991"/>
    <tableColumn id="2" name="Version" dataDxfId="990"/>
    <tableColumn id="5" name="Credit Points" dataDxfId="989"/>
    <tableColumn id="4" name="Effective Date" dataDxfId="988"/>
    <tableColumn id="6" name="Akari Update" dataDxfId="987"/>
    <tableColumn id="8" name="Availabilities" dataDxfId="986"/>
  </tableColumns>
  <tableStyleInfo name="TableStyleLight8" showFirstColumn="0" showLastColumn="0" showRowStripes="1" showColumnStripes="0"/>
</table>
</file>

<file path=xl/tables/table60.xml><?xml version="1.0" encoding="utf-8"?>
<table xmlns="http://schemas.openxmlformats.org/spreadsheetml/2006/main" id="64" name="Table5356575960616365" displayName="Table5356575960616365" ref="R611:S643" totalsRowShown="0">
  <autoFilter ref="R611:S643"/>
  <tableColumns count="2">
    <tableColumn id="1" name="Column1"/>
    <tableColumn id="2" name="Column2"/>
  </tableColumns>
  <tableStyleInfo name="TableStyleLight4" showFirstColumn="0" showLastColumn="0" showRowStripes="1" showColumnStripes="0"/>
</table>
</file>

<file path=xl/tables/table61.xml><?xml version="1.0" encoding="utf-8"?>
<table xmlns="http://schemas.openxmlformats.org/spreadsheetml/2006/main" id="65" name="Table5356575960616366" displayName="Table5356575960616366" ref="R645:S675" totalsRowShown="0">
  <autoFilter ref="R645:S675"/>
  <tableColumns count="2">
    <tableColumn id="1" name="Column1"/>
    <tableColumn id="2" name="Column2"/>
  </tableColumns>
  <tableStyleInfo name="TableStyleLight4" showFirstColumn="0" showLastColumn="0" showRowStripes="1" showColumnStripes="0"/>
</table>
</file>

<file path=xl/tables/table62.xml><?xml version="1.0" encoding="utf-8"?>
<table xmlns="http://schemas.openxmlformats.org/spreadsheetml/2006/main" id="66" name="Table5356575960616367" displayName="Table5356575960616367" ref="R677:S705" totalsRowShown="0">
  <autoFilter ref="R677:S705"/>
  <tableColumns count="2">
    <tableColumn id="1" name="Column1"/>
    <tableColumn id="2" name="Column2"/>
  </tableColumns>
  <tableStyleInfo name="TableStyleLight4" showFirstColumn="0" showLastColumn="0" showRowStripes="1" showColumnStripes="0"/>
</table>
</file>

<file path=xl/tables/table63.xml><?xml version="1.0" encoding="utf-8"?>
<table xmlns="http://schemas.openxmlformats.org/spreadsheetml/2006/main" id="67" name="Table5356575960616368" displayName="Table5356575960616368" ref="R707:S737" totalsRowShown="0">
  <autoFilter ref="R707:S737"/>
  <tableColumns count="2">
    <tableColumn id="1" name="Column1"/>
    <tableColumn id="2" name="Column2"/>
  </tableColumns>
  <tableStyleInfo name="TableStyleLight4" showFirstColumn="0" showLastColumn="0" showRowStripes="1" showColumnStripes="0"/>
</table>
</file>

<file path=xl/tables/table64.xml><?xml version="1.0" encoding="utf-8"?>
<table xmlns="http://schemas.openxmlformats.org/spreadsheetml/2006/main" id="68" name="Table5356575960616369" displayName="Table5356575960616369" ref="R739:S769" totalsRowShown="0">
  <autoFilter ref="R739:S769"/>
  <tableColumns count="2">
    <tableColumn id="1" name="Column1"/>
    <tableColumn id="2" name="Column2"/>
  </tableColumns>
  <tableStyleInfo name="TableStyleLight4" showFirstColumn="0" showLastColumn="0" showRowStripes="1" showColumnStripes="0"/>
</table>
</file>

<file path=xl/tables/table65.xml><?xml version="1.0" encoding="utf-8"?>
<table xmlns="http://schemas.openxmlformats.org/spreadsheetml/2006/main" id="69" name="Table5356575960616370" displayName="Table5356575960616370" ref="R771:S801" totalsRowShown="0">
  <autoFilter ref="R771:S801"/>
  <tableColumns count="2">
    <tableColumn id="1" name="Column1"/>
    <tableColumn id="2" name="Column2"/>
  </tableColumns>
  <tableStyleInfo name="TableStyleLight4" showFirstColumn="0" showLastColumn="0" showRowStripes="1" showColumnStripes="0"/>
</table>
</file>

<file path=xl/tables/table66.xml><?xml version="1.0" encoding="utf-8"?>
<table xmlns="http://schemas.openxmlformats.org/spreadsheetml/2006/main" id="70" name="Table5356575960616371" displayName="Table5356575960616371" ref="R803:S833" totalsRowShown="0">
  <autoFilter ref="R803:S833"/>
  <tableColumns count="2">
    <tableColumn id="1" name="Column1"/>
    <tableColumn id="2" name="Column2"/>
  </tableColumns>
  <tableStyleInfo name="TableStyleLight4" showFirstColumn="0" showLastColumn="0" showRowStripes="1" showColumnStripes="0"/>
</table>
</file>

<file path=xl/tables/table67.xml><?xml version="1.0" encoding="utf-8"?>
<table xmlns="http://schemas.openxmlformats.org/spreadsheetml/2006/main" id="71" name="Table5356575960616372" displayName="Table5356575960616372" ref="R835:S841" totalsRowShown="0">
  <autoFilter ref="R835:S841"/>
  <tableColumns count="2">
    <tableColumn id="1" name="Column1"/>
    <tableColumn id="2" name="Column2"/>
  </tableColumns>
  <tableStyleInfo name="TableStyleLight4" showFirstColumn="0" showLastColumn="0" showRowStripes="1" showColumnStripes="0"/>
</table>
</file>

<file path=xl/tables/table68.xml><?xml version="1.0" encoding="utf-8"?>
<table xmlns="http://schemas.openxmlformats.org/spreadsheetml/2006/main" id="72" name="Table535657596061637173" displayName="Table535657596061637173" ref="R843:S877" totalsRowShown="0">
  <autoFilter ref="R843:S877"/>
  <tableColumns count="2">
    <tableColumn id="1" name="Column1"/>
    <tableColumn id="2" name="Column2"/>
  </tableColumns>
  <tableStyleInfo name="TableStyleLight4" showFirstColumn="0" showLastColumn="0" showRowStripes="1" showColumnStripes="0"/>
</table>
</file>

<file path=xl/tables/table69.xml><?xml version="1.0" encoding="utf-8"?>
<table xmlns="http://schemas.openxmlformats.org/spreadsheetml/2006/main" id="73" name="Table53565759606163717374" displayName="Table53565759606163717374" ref="R879:S911" totalsRowShown="0">
  <autoFilter ref="R879:S911"/>
  <tableColumns count="2">
    <tableColumn id="1" name="Column1"/>
    <tableColumn id="2" name="Column2"/>
  </tableColumns>
  <tableStyleInfo name="TableStyleLight4" showFirstColumn="0" showLastColumn="0" showRowStripes="1" showColumnStripes="0"/>
</table>
</file>

<file path=xl/tables/table7.xml><?xml version="1.0" encoding="utf-8"?>
<table xmlns="http://schemas.openxmlformats.org/spreadsheetml/2006/main" id="2" name="TableHandbook" displayName="TableHandbook" ref="A3:BM296" totalsRowShown="0" headerRowDxfId="984" dataDxfId="982" headerRowBorderDxfId="983" tableBorderDxfId="981">
  <autoFilter ref="A3:BM296"/>
  <sortState ref="A4:BG289">
    <sortCondition ref="A3:A289"/>
  </sortState>
  <tableColumns count="65">
    <tableColumn id="1" name="UDC" dataDxfId="980"/>
    <tableColumn id="2" name="Ver" dataDxfId="979"/>
    <tableColumn id="3" name="OUA Cd" dataDxfId="978"/>
    <tableColumn id="4" name="Title" dataDxfId="977"/>
    <tableColumn id="5" name="Credits" dataDxfId="976"/>
    <tableColumn id="6" name="Pre-reqs" dataDxfId="975"/>
    <tableColumn id="12" name="S1BEN" dataDxfId="974">
      <calculatedColumnFormula>IFERROR(IF(VLOOKUP(TableHandbook[[#This Row],[UDC]],TableAvailabilities[],2,FALSE)&gt;0,"Y",""),"")</calculatedColumnFormula>
    </tableColumn>
    <tableColumn id="13" name="S1OnBEN" dataDxfId="973">
      <calculatedColumnFormula>IFERROR(IF(VLOOKUP(TableHandbook[[#This Row],[UDC]],TableAvailabilities[],3,FALSE)&gt;0,"Y",""),"")</calculatedColumnFormula>
    </tableColumn>
    <tableColumn id="7" name="S1OnKAL" dataDxfId="972">
      <calculatedColumnFormula>IFERROR(IF(VLOOKUP(TableHandbook[[#This Row],[UDC]],TableAvailabilities[],4,FALSE)&gt;0,"Y",""),"")</calculatedColumnFormula>
    </tableColumn>
    <tableColumn id="14" name="S2BEN" dataDxfId="971">
      <calculatedColumnFormula>IFERROR(IF(VLOOKUP(TableHandbook[[#This Row],[UDC]],TableAvailabilities[],5,FALSE)&gt;0,"Y",""),"")</calculatedColumnFormula>
    </tableColumn>
    <tableColumn id="11" name="S2OnBEN" dataDxfId="970">
      <calculatedColumnFormula>IFERROR(IF(VLOOKUP(TableHandbook[[#This Row],[UDC]],TableAvailabilities[],6,FALSE)&gt;0,"Y",""),"")</calculatedColumnFormula>
    </tableColumn>
    <tableColumn id="15" name="S2OnKAL" dataDxfId="969">
      <calculatedColumnFormula>IFERROR(IF(VLOOKUP(TableHandbook[[#This Row],[UDC]],TableAvailabilities[],7,FALSE)&gt;0,"Y",""),"")</calculatedColumnFormula>
    </tableColumn>
    <tableColumn id="16" name="Notes" dataDxfId="968"/>
    <tableColumn id="8" name="B-EDUC" dataDxfId="967">
      <calculatedColumnFormula>IFERROR(VLOOKUP(TableHandbook[[#This Row],[UDC]],TableBEDUC[],7,FALSE),"")</calculatedColumnFormula>
    </tableColumn>
    <tableColumn id="9" name="B-EDEC" dataDxfId="966">
      <calculatedColumnFormula>IFERROR(VLOOKUP(TableHandbook[[#This Row],[UDC]],TableBEDEC[],7,FALSE),"")</calculatedColumnFormula>
    </tableColumn>
    <tableColumn id="17" name="B-EDPR" dataDxfId="965">
      <calculatedColumnFormula>IFERROR(VLOOKUP(TableHandbook[[#This Row],[UDC]],TableBEDPR[],7,FALSE),"")</calculatedColumnFormula>
    </tableColumn>
    <tableColumn id="60" name="STRU-CATHL" dataDxfId="964">
      <calculatedColumnFormula>IFERROR(VLOOKUP(TableHandbook[[#This Row],[UDC]],TableSTRUCATHL[],7,FALSE),"")</calculatedColumnFormula>
    </tableColumn>
    <tableColumn id="61" name="STRU-ENGLL" dataDxfId="963">
      <calculatedColumnFormula>IFERROR(VLOOKUP(TableHandbook[[#This Row],[UDC]],TableSTRUENGLL[],7,FALSE),"")</calculatedColumnFormula>
    </tableColumn>
    <tableColumn id="62" name="STRU-INTBC" dataDxfId="962">
      <calculatedColumnFormula>IFERROR(VLOOKUP(TableHandbook[[#This Row],[UDC]],TableSTRUINTBC[],7,FALSE),"")</calculatedColumnFormula>
    </tableColumn>
    <tableColumn id="63" name="STRU-ISTEM" dataDxfId="961">
      <calculatedColumnFormula>IFERROR(VLOOKUP(TableHandbook[[#This Row],[UDC]],TableSTRUISTEM[],7,FALSE),"")</calculatedColumnFormula>
    </tableColumn>
    <tableColumn id="64" name="STRU-LITNU" dataDxfId="960">
      <calculatedColumnFormula>IFERROR(VLOOKUP(TableHandbook[[#This Row],[UDC]],TableSTRULITNU[],7,FALSE),"")</calculatedColumnFormula>
    </tableColumn>
    <tableColumn id="65" name="STRU-TECHS" dataDxfId="959">
      <calculatedColumnFormula>IFERROR(VLOOKUP(TableHandbook[[#This Row],[UDC]],TableSTRUTECHS[],7,FALSE),"")</calculatedColumnFormula>
    </tableColumn>
    <tableColumn id="10" name="B-EDSC" dataDxfId="958">
      <calculatedColumnFormula>IFERROR(VLOOKUP(TableHandbook[[#This Row],[UDC]],TableBEDSC[],7,FALSE),"")</calculatedColumnFormula>
    </tableColumn>
    <tableColumn id="18" name="MJRU-ARTDR" dataDxfId="957">
      <calculatedColumnFormula>IFERROR(VLOOKUP(TableHandbook[[#This Row],[UDC]],TableMJRUARTDR[],7,FALSE),"")</calculatedColumnFormula>
    </tableColumn>
    <tableColumn id="19" name="MJRU-ARTME" dataDxfId="956">
      <calculatedColumnFormula>IFERROR(VLOOKUP(TableHandbook[[#This Row],[UDC]],TableMJRUARTME[],7,FALSE),"")</calculatedColumnFormula>
    </tableColumn>
    <tableColumn id="20" name="MJRU-ARTVA" dataDxfId="955">
      <calculatedColumnFormula>IFERROR(VLOOKUP(TableHandbook[[#This Row],[UDC]],TableMJRUARTVA[],7,FALSE),"")</calculatedColumnFormula>
    </tableColumn>
    <tableColumn id="21" name="MJRU-ENGLT" dataDxfId="954">
      <calculatedColumnFormula>IFERROR(VLOOKUP(TableHandbook[[#This Row],[UDC]],TableMJRUENGLT[],7,FALSE),"")</calculatedColumnFormula>
    </tableColumn>
    <tableColumn id="22" name="MJRU-HLTPE" dataDxfId="953">
      <calculatedColumnFormula>IFERROR(VLOOKUP(TableHandbook[[#This Row],[UDC]],TableMJRUHLTPE[],7,FALSE),"")</calculatedColumnFormula>
    </tableColumn>
    <tableColumn id="23" name="MJRU-HUSEC" dataDxfId="952">
      <calculatedColumnFormula>IFERROR(VLOOKUP(TableHandbook[[#This Row],[UDC]],TableMJRUHUSEC[],7,FALSE),"")</calculatedColumnFormula>
    </tableColumn>
    <tableColumn id="24" name="MJRU-HUSGE" dataDxfId="951">
      <calculatedColumnFormula>IFERROR(VLOOKUP(TableHandbook[[#This Row],[UDC]],TableMJRUHUSGE[],7,FALSE),"")</calculatedColumnFormula>
    </tableColumn>
    <tableColumn id="25" name="MJRU-HUSHI" dataDxfId="950">
      <calculatedColumnFormula>IFERROR(VLOOKUP(TableHandbook[[#This Row],[UDC]],TableMJRUHUSHI[],7,FALSE),"")</calculatedColumnFormula>
    </tableColumn>
    <tableColumn id="26" name="MJRU-HUSPL" dataDxfId="949">
      <calculatedColumnFormula>IFERROR(VLOOKUP(TableHandbook[[#This Row],[UDC]],TableMJRUHUSPL[],7,FALSE),"")</calculatedColumnFormula>
    </tableColumn>
    <tableColumn id="27" name="MJRU-MATHT" dataDxfId="948">
      <calculatedColumnFormula>IFERROR(VLOOKUP(TableHandbook[[#This Row],[UDC]],TableMJRUMATHT[],7,FALSE),"")</calculatedColumnFormula>
    </tableColumn>
    <tableColumn id="28" name="MJRU-SCIBI" dataDxfId="947">
      <calculatedColumnFormula>IFERROR(VLOOKUP(TableHandbook[[#This Row],[UDC]],TableMJRUSCIBI[],7,FALSE),"")</calculatedColumnFormula>
    </tableColumn>
    <tableColumn id="29" name="MJRU-SCICH" dataDxfId="946">
      <calculatedColumnFormula>IFERROR(VLOOKUP(TableHandbook[[#This Row],[UDC]],TableMJRUSCICH[],7,FALSE),"")</calculatedColumnFormula>
    </tableColumn>
    <tableColumn id="30" name="MJRU-SCIHB" dataDxfId="945">
      <calculatedColumnFormula>IFERROR(VLOOKUP(TableHandbook[[#This Row],[UDC]],TableMJRUSCIHB[],7,FALSE),"")</calculatedColumnFormula>
    </tableColumn>
    <tableColumn id="31" name="MJRU-SCIPH" dataDxfId="944">
      <calculatedColumnFormula>IFERROR(VLOOKUP(TableHandbook[[#This Row],[UDC]],TableMJRUSCIPH[],7,FALSE),"")</calculatedColumnFormula>
    </tableColumn>
    <tableColumn id="32" name="MJRU-SCIPS" dataDxfId="943">
      <calculatedColumnFormula>IFERROR(VLOOKUP(TableHandbook[[#This Row],[UDC]],TableMJRUSCIPS[],7,FALSE),"")</calculatedColumnFormula>
    </tableColumn>
    <tableColumn id="34" name="Column1" dataDxfId="942"/>
    <tableColumn id="35" name="STRU-BIOLB" dataDxfId="941">
      <calculatedColumnFormula>IFERROR(VLOOKUP(TableHandbook[[#This Row],[UDC]],TableSTRUBIOLB[],7,FALSE),"")</calculatedColumnFormula>
    </tableColumn>
    <tableColumn id="36" name="STRU-BSCIM" dataDxfId="940">
      <calculatedColumnFormula>IFERROR(VLOOKUP(TableHandbook[[#This Row],[UDC]],TableSTRUBSCIM[],7,FALSE),"")</calculatedColumnFormula>
    </tableColumn>
    <tableColumn id="37" name="STRU-CHEMB" dataDxfId="939">
      <calculatedColumnFormula>IFERROR(VLOOKUP(TableHandbook[[#This Row],[UDC]],TableSTRUCHEMB[],7,FALSE),"")</calculatedColumnFormula>
    </tableColumn>
    <tableColumn id="33" name="STRU-ECOB1" dataDxfId="938">
      <calculatedColumnFormula>IFERROR(VLOOKUP(TableHandbook[[#This Row],[UDC]],TableSTRUECOB1[],7,FALSE),"")</calculatedColumnFormula>
    </tableColumn>
    <tableColumn id="38" name="STRU-EDART" dataDxfId="937">
      <calculatedColumnFormula>IFERROR(VLOOKUP(TableHandbook[[#This Row],[UDC]],TableSTRUEDART[],7,FALSE),"")</calculatedColumnFormula>
    </tableColumn>
    <tableColumn id="39" name="STRU-EDENG" dataDxfId="936">
      <calculatedColumnFormula>IFERROR(VLOOKUP(TableHandbook[[#This Row],[UDC]],TableSTRUEDENG[],7,FALSE),"")</calculatedColumnFormula>
    </tableColumn>
    <tableColumn id="40" name="STRU-EDHAS" dataDxfId="935">
      <calculatedColumnFormula>IFERROR(VLOOKUP(TableHandbook[[#This Row],[UDC]],TableSTRUEDHAS[],7,FALSE),"")</calculatedColumnFormula>
    </tableColumn>
    <tableColumn id="41" name="STRU-EDMAT" dataDxfId="934">
      <calculatedColumnFormula>IFERROR(VLOOKUP(TableHandbook[[#This Row],[UDC]],TableSTRUEDMAT[],7,FALSE),"")</calculatedColumnFormula>
    </tableColumn>
    <tableColumn id="42" name="STRU-EDSCI" dataDxfId="933">
      <calculatedColumnFormula>IFERROR(VLOOKUP(TableHandbook[[#This Row],[UDC]],TableSTRUEDSCI[],7,FALSE),"")</calculatedColumnFormula>
    </tableColumn>
    <tableColumn id="43" name="STRU-ENGLB" dataDxfId="932">
      <calculatedColumnFormula>IFERROR(VLOOKUP(TableHandbook[[#This Row],[UDC]],TableSTRUENGLB[],7,FALSE),"")</calculatedColumnFormula>
    </tableColumn>
    <tableColumn id="44" name="STRU-ENGLM" dataDxfId="931">
      <calculatedColumnFormula>IFERROR(VLOOKUP(TableHandbook[[#This Row],[UDC]],TableSTRUENGLM[],7,FALSE),"")</calculatedColumnFormula>
    </tableColumn>
    <tableColumn id="45" name="STRU-GEOB1" dataDxfId="930">
      <calculatedColumnFormula>IFERROR(VLOOKUP(TableHandbook[[#This Row],[UDC]],TableSTRUGEOB1[],7,FALSE),"")</calculatedColumnFormula>
    </tableColumn>
    <tableColumn id="46" name="STRU-HISB1" dataDxfId="929">
      <calculatedColumnFormula>IFERROR(VLOOKUP(TableHandbook[[#This Row],[UDC]],TableSTRUHISB1[],7,FALSE),"")</calculatedColumnFormula>
    </tableColumn>
    <tableColumn id="47" name="STRU-HUMAM" dataDxfId="928">
      <calculatedColumnFormula>IFERROR(VLOOKUP(TableHandbook[[#This Row],[UDC]],TableSTRUHUMAM[],7,FALSE),"")</calculatedColumnFormula>
    </tableColumn>
    <tableColumn id="48" name="STRU-HUMBB" dataDxfId="927">
      <calculatedColumnFormula>IFERROR(VLOOKUP(TableHandbook[[#This Row],[UDC]],TableSTRUHUMBB[],7,FALSE),"")</calculatedColumnFormula>
    </tableColumn>
    <tableColumn id="49" name="STRU-MATHB" dataDxfId="926">
      <calculatedColumnFormula>IFERROR(VLOOKUP(TableHandbook[[#This Row],[UDC]],TableSTRUMATHB[],7,FALSE),"")</calculatedColumnFormula>
    </tableColumn>
    <tableColumn id="50" name="STRU-MATHM" dataDxfId="925">
      <calculatedColumnFormula>IFERROR(VLOOKUP(TableHandbook[[#This Row],[UDC]],TableSTRUMATHM[],7,FALSE),"")</calculatedColumnFormula>
    </tableColumn>
    <tableColumn id="51" name="STRU-PARTB" dataDxfId="924">
      <calculatedColumnFormula>IFERROR(VLOOKUP(TableHandbook[[#This Row],[UDC]],TableSTRUPARTB[],7,FALSE),"")</calculatedColumnFormula>
    </tableColumn>
    <tableColumn id="52" name="STRU-PARTM" dataDxfId="923">
      <calculatedColumnFormula>IFERROR(VLOOKUP(TableHandbook[[#This Row],[UDC]],TableSTRUPARTM[],7,FALSE),"")</calculatedColumnFormula>
    </tableColumn>
    <tableColumn id="53" name="STRU-POLB1" dataDxfId="922">
      <calculatedColumnFormula>IFERROR(VLOOKUP(TableHandbook[[#This Row],[UDC]],TableSTRUPOLB1[],7,FALSE),"")</calculatedColumnFormula>
    </tableColumn>
    <tableColumn id="54" name="STRU-PSCIM" dataDxfId="921">
      <calculatedColumnFormula>IFERROR(VLOOKUP(TableHandbook[[#This Row],[UDC]],TableSTRUPSCIM[],7,FALSE),"")</calculatedColumnFormula>
    </tableColumn>
    <tableColumn id="55" name="STRU-PSYCB" dataDxfId="920">
      <calculatedColumnFormula>IFERROR(VLOOKUP(TableHandbook[[#This Row],[UDC]],TableSTRUPSYCB[],7,FALSE),"")</calculatedColumnFormula>
    </tableColumn>
    <tableColumn id="56" name="STRU-PSYCM" dataDxfId="919">
      <calculatedColumnFormula>IFERROR(VLOOKUP(TableHandbook[[#This Row],[UDC]],TableSTRUPSYCM[],7,FALSE),"")</calculatedColumnFormula>
    </tableColumn>
    <tableColumn id="57" name="STRU-SOSCM" dataDxfId="918">
      <calculatedColumnFormula>IFERROR(VLOOKUP(TableHandbook[[#This Row],[UDC]],TableSTRUSOSCM[],7,FALSE),"")</calculatedColumnFormula>
    </tableColumn>
    <tableColumn id="58" name="STRU-VARTB" dataDxfId="917">
      <calculatedColumnFormula>IFERROR(VLOOKUP(TableHandbook[[#This Row],[UDC]],TableSTRUVARTB[],7,FALSE),"")</calculatedColumnFormula>
    </tableColumn>
    <tableColumn id="59" name="STRU-VARTM" dataDxfId="916">
      <calculatedColumnFormula>IFERROR(VLOOKUP(TableHandbook[[#This Row],[UDC]],TableSTRUVARTM[],7,FALSE),"")</calculatedColumnFormula>
    </tableColumn>
  </tableColumns>
  <tableStyleInfo name="TableStyleLight8" showFirstColumn="0" showLastColumn="0" showRowStripes="1" showColumnStripes="0"/>
</table>
</file>

<file path=xl/tables/table70.xml><?xml version="1.0" encoding="utf-8"?>
<table xmlns="http://schemas.openxmlformats.org/spreadsheetml/2006/main" id="74" name="Table53565759606163717375" displayName="Table53565759606163717375" ref="R913:S921" totalsRowShown="0">
  <autoFilter ref="R913:S921"/>
  <tableColumns count="2">
    <tableColumn id="1" name="Column1"/>
    <tableColumn id="2" name="Column2"/>
  </tableColumns>
  <tableStyleInfo name="TableStyleLight4" showFirstColumn="0" showLastColumn="0" showRowStripes="1" showColumnStripes="0"/>
</table>
</file>

<file path=xl/tables/table71.xml><?xml version="1.0" encoding="utf-8"?>
<table xmlns="http://schemas.openxmlformats.org/spreadsheetml/2006/main" id="75" name="Table53565759606163717376" displayName="Table53565759606163717376" ref="R923:S953" totalsRowShown="0">
  <autoFilter ref="R923:S953"/>
  <tableColumns count="2">
    <tableColumn id="1" name="Column1"/>
    <tableColumn id="2" name="Column2"/>
  </tableColumns>
  <tableStyleInfo name="TableStyleLight4" showFirstColumn="0" showLastColumn="0" showRowStripes="1" showColumnStripes="0"/>
</table>
</file>

<file path=xl/tables/table72.xml><?xml version="1.0" encoding="utf-8"?>
<table xmlns="http://schemas.openxmlformats.org/spreadsheetml/2006/main" id="76" name="Table53565759606163717377" displayName="Table53565759606163717377" ref="R955:S983" totalsRowShown="0">
  <autoFilter ref="R955:S983"/>
  <tableColumns count="2">
    <tableColumn id="1" name="Column1"/>
    <tableColumn id="2" name="Column2"/>
  </tableColumns>
  <tableStyleInfo name="TableStyleLight4" showFirstColumn="0" showLastColumn="0" showRowStripes="1" showColumnStripes="0"/>
</table>
</file>

<file path=xl/tables/table73.xml><?xml version="1.0" encoding="utf-8"?>
<table xmlns="http://schemas.openxmlformats.org/spreadsheetml/2006/main" id="77" name="Table53565759606163717378" displayName="Table53565759606163717378" ref="R985:S992" totalsRowShown="0">
  <autoFilter ref="R985:S992"/>
  <tableColumns count="2">
    <tableColumn id="1" name="Column1"/>
    <tableColumn id="2" name="Column2"/>
  </tableColumns>
  <tableStyleInfo name="TableStyleLight4" showFirstColumn="0" showLastColumn="0" showRowStripes="1" showColumnStripes="0"/>
</table>
</file>

<file path=xl/tables/table74.xml><?xml version="1.0" encoding="utf-8"?>
<table xmlns="http://schemas.openxmlformats.org/spreadsheetml/2006/main" id="78" name="Table5356575960616371737779" displayName="Table5356575960616371737779" ref="R994:S1024" totalsRowShown="0">
  <autoFilter ref="R994:S1024"/>
  <tableColumns count="2">
    <tableColumn id="1" name="Column1"/>
    <tableColumn id="2" name="Column2"/>
  </tableColumns>
  <tableStyleInfo name="TableStyleLight4" showFirstColumn="0" showLastColumn="0" showRowStripes="1" showColumnStripes="0"/>
</table>
</file>

<file path=xl/tables/table75.xml><?xml version="1.0" encoding="utf-8"?>
<table xmlns="http://schemas.openxmlformats.org/spreadsheetml/2006/main" id="79" name="Table5356575960616371737780" displayName="Table5356575960616371737780" ref="R1026:S1032" totalsRowShown="0">
  <autoFilter ref="R1026:S1032"/>
  <tableColumns count="2">
    <tableColumn id="1" name="Column1"/>
    <tableColumn id="2" name="Column2"/>
  </tableColumns>
  <tableStyleInfo name="TableStyleLight4" showFirstColumn="0" showLastColumn="0" showRowStripes="1" showColumnStripes="0"/>
</table>
</file>

<file path=xl/tables/table76.xml><?xml version="1.0" encoding="utf-8"?>
<table xmlns="http://schemas.openxmlformats.org/spreadsheetml/2006/main" id="80" name="Table535657596061637173777981" displayName="Table535657596061637173777981" ref="R1034:S1064" totalsRowShown="0">
  <autoFilter ref="R1034:S1064"/>
  <tableColumns count="2">
    <tableColumn id="1" name="Column1"/>
    <tableColumn id="2" name="Column2"/>
  </tableColumns>
  <tableStyleInfo name="TableStyleLight4" showFirstColumn="0" showLastColumn="0" showRowStripes="1" showColumnStripes="0"/>
</table>
</file>

<file path=xl/tables/table77.xml><?xml version="1.0" encoding="utf-8"?>
<table xmlns="http://schemas.openxmlformats.org/spreadsheetml/2006/main" id="82" name="Table535657596061637173778083" displayName="Table535657596061637173778083" ref="R1066:S1072" totalsRowShown="0">
  <autoFilter ref="R1066:S1072"/>
  <tableColumns count="2">
    <tableColumn id="1" name="Column1"/>
    <tableColumn id="2" name="Column2"/>
  </tableColumns>
  <tableStyleInfo name="TableStyleLight4" showFirstColumn="0" showLastColumn="0" showRowStripes="1" showColumnStripes="0"/>
</table>
</file>

<file path=xl/tables/table78.xml><?xml version="1.0" encoding="utf-8"?>
<table xmlns="http://schemas.openxmlformats.org/spreadsheetml/2006/main" id="83" name="Table535657596061637173778084" displayName="Table535657596061637173778084" ref="R1074:S1104" totalsRowShown="0">
  <autoFilter ref="R1074:S1104"/>
  <tableColumns count="2">
    <tableColumn id="1" name="Column1"/>
    <tableColumn id="2" name="Column2"/>
  </tableColumns>
  <tableStyleInfo name="TableStyleLight4" showFirstColumn="0" showLastColumn="0" showRowStripes="1" showColumnStripes="0"/>
</table>
</file>

<file path=xl/tables/table79.xml><?xml version="1.0" encoding="utf-8"?>
<table xmlns="http://schemas.openxmlformats.org/spreadsheetml/2006/main" id="84" name="Table535657596061637173778085" displayName="Table535657596061637173778085" ref="R1106:S1114" totalsRowShown="0">
  <autoFilter ref="R1106:S1114"/>
  <tableColumns count="2">
    <tableColumn id="1" name="Column1"/>
    <tableColumn id="2" name="Column2"/>
  </tableColumns>
  <tableStyleInfo name="TableStyleLight4" showFirstColumn="0" showLastColumn="0" showRowStripes="1" showColumnStripes="0"/>
</table>
</file>

<file path=xl/tables/table8.xml><?xml version="1.0" encoding="utf-8"?>
<table xmlns="http://schemas.openxmlformats.org/spreadsheetml/2006/main" id="1" name="TableBEDUC" displayName="TableBEDUC" ref="A2:O54" totalsRowShown="0" headerRowDxfId="756">
  <autoFilter ref="A2:O54"/>
  <sortState ref="P3:AW6">
    <sortCondition ref="V2:V6"/>
  </sortState>
  <tableColumns count="15">
    <tableColumn id="1" name="UDC" dataDxfId="755">
      <calculatedColumnFormula>TableBEDUC[[#This Row],[Study Package Code]]</calculatedColumnFormula>
    </tableColumn>
    <tableColumn id="9" name="Version" dataDxfId="754">
      <calculatedColumnFormula>TableBEDUC[[#This Row],[Ver]]</calculatedColumnFormula>
    </tableColumn>
    <tableColumn id="10" name="OUA Code"/>
    <tableColumn id="11" name="Unit Title" dataDxfId="753">
      <calculatedColumnFormula>TableBEDUC[[#This Row],[Structure Line]]</calculatedColumnFormula>
    </tableColumn>
    <tableColumn id="12" name="CPs" dataDxfId="752">
      <calculatedColumnFormula>TableBEDUC[[#This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751"/>
    <tableColumn id="15" name="Discont." dataDxfId="750"/>
  </tableColumns>
  <tableStyleInfo name="TableStyleLight1" showFirstColumn="0" showLastColumn="0" showRowStripes="1" showColumnStripes="0"/>
</table>
</file>

<file path=xl/tables/table80.xml><?xml version="1.0" encoding="utf-8"?>
<table xmlns="http://schemas.openxmlformats.org/spreadsheetml/2006/main" id="85" name="Table535657596061637173778086" displayName="Table535657596061637173778086" ref="R1116:S1124" totalsRowShown="0">
  <autoFilter ref="R1116:S1124"/>
  <tableColumns count="2">
    <tableColumn id="1" name="Column1"/>
    <tableColumn id="2" name="Column2"/>
  </tableColumns>
  <tableStyleInfo name="TableStyleLight4" showFirstColumn="0" showLastColumn="0" showRowStripes="1" showColumnStripes="0"/>
</table>
</file>

<file path=xl/tables/table81.xml><?xml version="1.0" encoding="utf-8"?>
<table xmlns="http://schemas.openxmlformats.org/spreadsheetml/2006/main" id="86" name="Table535657596061637173778087" displayName="Table535657596061637173778087" ref="R1126:S1156" totalsRowShown="0">
  <autoFilter ref="R1126:S1156"/>
  <tableColumns count="2">
    <tableColumn id="1" name="Column1"/>
    <tableColumn id="2" name="Column2"/>
  </tableColumns>
  <tableStyleInfo name="TableStyleLight4" showFirstColumn="0" showLastColumn="0" showRowStripes="1" showColumnStripes="0"/>
</table>
</file>

<file path=xl/tables/table82.xml><?xml version="1.0" encoding="utf-8"?>
<table xmlns="http://schemas.openxmlformats.org/spreadsheetml/2006/main" id="87" name="Table535657596061637173778088" displayName="Table535657596061637173778088" ref="R1158:S1164" totalsRowShown="0">
  <autoFilter ref="R1158:S1164"/>
  <tableColumns count="2">
    <tableColumn id="1" name="Column1"/>
    <tableColumn id="2" name="Column2"/>
  </tableColumns>
  <tableStyleInfo name="TableStyleLight4" showFirstColumn="0" showLastColumn="0" showRowStripes="1" showColumnStripes="0"/>
</table>
</file>

<file path=xl/tables/table83.xml><?xml version="1.0" encoding="utf-8"?>
<table xmlns="http://schemas.openxmlformats.org/spreadsheetml/2006/main" id="53" name="Table53565754" displayName="Table53565754" ref="R2:S54" totalsRowShown="0">
  <autoFilter ref="R2:S54"/>
  <tableColumns count="2">
    <tableColumn id="1" name="Column1"/>
    <tableColumn id="2" name="Column2"/>
  </tableColumns>
  <tableStyleInfo name="TableStyleLight4" showFirstColumn="0" showLastColumn="0" showRowStripes="1" showColumnStripes="0"/>
</table>
</file>

<file path=xl/tables/table84.xml><?xml version="1.0" encoding="utf-8"?>
<table xmlns="http://schemas.openxmlformats.org/spreadsheetml/2006/main" id="54" name="Table5356575455" displayName="Table5356575455" ref="R56:S113" totalsRowShown="0">
  <autoFilter ref="R56:S113"/>
  <tableColumns count="2">
    <tableColumn id="1" name="Column1"/>
    <tableColumn id="2" name="Column2"/>
  </tableColumns>
  <tableStyleInfo name="TableStyleLight4" showFirstColumn="0" showLastColumn="0" showRowStripes="1" showColumnStripes="0"/>
</table>
</file>

<file path=xl/tables/table85.xml><?xml version="1.0" encoding="utf-8"?>
<table xmlns="http://schemas.openxmlformats.org/spreadsheetml/2006/main" id="55" name="Table5356575456" displayName="Table5356575456" ref="R115:S148" totalsRowShown="0">
  <autoFilter ref="R115:S148"/>
  <tableColumns count="2">
    <tableColumn id="1" name="Column1"/>
    <tableColumn id="2" name="Column2"/>
  </tableColumns>
  <tableStyleInfo name="TableStyleLight4" showFirstColumn="0" showLastColumn="0" showRowStripes="1" showColumnStripes="0"/>
</table>
</file>

<file path=xl/tables/table86.xml><?xml version="1.0" encoding="utf-8"?>
<table xmlns="http://schemas.openxmlformats.org/spreadsheetml/2006/main" id="61" name="Table53565762" displayName="Table53565762" ref="R181:S210" totalsRowShown="0">
  <autoFilter ref="R181:S210"/>
  <tableColumns count="2">
    <tableColumn id="1" name="Column1"/>
    <tableColumn id="2" name="Column2"/>
  </tableColumns>
  <tableStyleInfo name="TableStyleLight4" showFirstColumn="0" showLastColumn="0" showRowStripes="1" showColumnStripes="0"/>
</table>
</file>

<file path=xl/tables/table87.xml><?xml version="1.0" encoding="utf-8"?>
<table xmlns="http://schemas.openxmlformats.org/spreadsheetml/2006/main" id="81" name="Table53565782" displayName="Table53565782" ref="R212:S232" totalsRowShown="0">
  <autoFilter ref="R212:S232"/>
  <tableColumns count="2">
    <tableColumn id="1" name="Column1"/>
    <tableColumn id="2" name="Column2"/>
  </tableColumns>
  <tableStyleInfo name="TableStyleLight4" showFirstColumn="0" showLastColumn="0" showRowStripes="1" showColumnStripes="0"/>
</table>
</file>

<file path=xl/tables/table88.xml><?xml version="1.0" encoding="utf-8"?>
<table xmlns="http://schemas.openxmlformats.org/spreadsheetml/2006/main" id="88" name="Table5356578289" displayName="Table5356578289" ref="R234:S254" totalsRowShown="0">
  <autoFilter ref="R234:S254"/>
  <tableColumns count="2">
    <tableColumn id="1" name="Column1"/>
    <tableColumn id="2" name="Column2"/>
  </tableColumns>
  <tableStyleInfo name="TableStyleLight4" showFirstColumn="0" showLastColumn="0" showRowStripes="1" showColumnStripes="0"/>
</table>
</file>

<file path=xl/tables/table89.xml><?xml version="1.0" encoding="utf-8"?>
<table xmlns="http://schemas.openxmlformats.org/spreadsheetml/2006/main" id="89" name="Table535657828990" displayName="Table535657828990" ref="R256:S276" totalsRowShown="0">
  <autoFilter ref="R256:S276"/>
  <tableColumns count="2">
    <tableColumn id="1" name="Column1"/>
    <tableColumn id="2" name="Column2"/>
  </tableColumns>
  <tableStyleInfo name="TableStyleLight4" showFirstColumn="0" showLastColumn="0" showRowStripes="1" showColumnStripes="0"/>
</table>
</file>

<file path=xl/tables/table9.xml><?xml version="1.0" encoding="utf-8"?>
<table xmlns="http://schemas.openxmlformats.org/spreadsheetml/2006/main" id="6" name="TableBEDEC" displayName="TableBEDEC" ref="A56:O113" totalsRowShown="0" headerRowDxfId="749">
  <autoFilter ref="A56:O113"/>
  <sortState ref="P11:AW18">
    <sortCondition ref="U10:U18"/>
  </sortState>
  <tableColumns count="15">
    <tableColumn id="1" name="UDC" dataDxfId="748">
      <calculatedColumnFormula>TableBEDEC[[#This Row],[Study Package Code]]</calculatedColumnFormula>
    </tableColumn>
    <tableColumn id="9" name="Version" dataDxfId="747">
      <calculatedColumnFormula>TableBEDEC[[#This Row],[Ver]]</calculatedColumnFormula>
    </tableColumn>
    <tableColumn id="10" name="OUA Code"/>
    <tableColumn id="11" name="Unit Title" dataDxfId="746">
      <calculatedColumnFormula>TableBEDEC[[#This Row],[Structure Line]]</calculatedColumnFormula>
    </tableColumn>
    <tableColumn id="12" name="CPs" dataDxfId="745">
      <calculatedColumnFormula>TableBEDEC[[#This Row],[Credit Points]]</calculatedColumnFormula>
    </tableColumn>
    <tableColumn id="13" name="No." dataDxfId="744"/>
    <tableColumn id="2" name="Component Type" dataDxfId="743"/>
    <tableColumn id="3" name="Year Level" dataDxfId="742"/>
    <tableColumn id="4" name="Study Period" dataDxfId="741"/>
    <tableColumn id="5" name="Study Package Code" dataDxfId="740"/>
    <tableColumn id="6" name="Ver" dataDxfId="739"/>
    <tableColumn id="7" name="Structure Line" dataDxfId="738"/>
    <tableColumn id="8" name="Credit Points" dataDxfId="737"/>
    <tableColumn id="14" name="Effective" dataDxfId="736"/>
    <tableColumn id="15" name="Discont." dataDxfId="735"/>
  </tableColumns>
  <tableStyleInfo name="TableStyleLight1" showFirstColumn="0" showLastColumn="0" showRowStripes="1" showColumnStripes="0"/>
</table>
</file>

<file path=xl/tables/table90.xml><?xml version="1.0" encoding="utf-8"?>
<table xmlns="http://schemas.openxmlformats.org/spreadsheetml/2006/main" id="90" name="Table535657828991" displayName="Table535657828991" ref="R278:S300" totalsRowShown="0">
  <autoFilter ref="R278:S300"/>
  <tableColumns count="2">
    <tableColumn id="1" name="Column1"/>
    <tableColumn id="2" name="Column2"/>
  </tableColumns>
  <tableStyleInfo name="TableStyleLight4" showFirstColumn="0" showLastColumn="0" showRowStripes="1" showColumnStripes="0"/>
</table>
</file>

<file path=xl/tables/table91.xml><?xml version="1.0" encoding="utf-8"?>
<table xmlns="http://schemas.openxmlformats.org/spreadsheetml/2006/main" id="91" name="Table535657828992" displayName="Table535657828992" ref="R302:S318" totalsRowShown="0">
  <autoFilter ref="R302:S318"/>
  <tableColumns count="2">
    <tableColumn id="1" name="Column1"/>
    <tableColumn id="2" name="Column2"/>
  </tableColumns>
  <tableStyleInfo name="TableStyleLight4" showFirstColumn="0" showLastColumn="0" showRowStripes="1" showColumnStripes="0"/>
</table>
</file>

<file path=xl/tables/table92.xml><?xml version="1.0" encoding="utf-8"?>
<table xmlns="http://schemas.openxmlformats.org/spreadsheetml/2006/main" id="92" name="Table53565782899293" displayName="Table53565782899293" ref="R320:S340" totalsRowShown="0">
  <autoFilter ref="R320:S340"/>
  <tableColumns count="2">
    <tableColumn id="1" name="Column1"/>
    <tableColumn id="2" name="Column2"/>
  </tableColumns>
  <tableStyleInfo name="TableStyleLight4" showFirstColumn="0" showLastColumn="0" showRowStripes="1" showColumnStripes="0"/>
</table>
</file>

<file path=xl/tables/table93.xml><?xml version="1.0" encoding="utf-8"?>
<table xmlns="http://schemas.openxmlformats.org/spreadsheetml/2006/main" id="93" name="Table53565782899294" displayName="Table53565782899294" ref="R342:S362" totalsRowShown="0">
  <autoFilter ref="R342:S362"/>
  <tableColumns count="2">
    <tableColumn id="1" name="Column1"/>
    <tableColumn id="2" name="Column2"/>
  </tableColumns>
  <tableStyleInfo name="TableStyleLight4" showFirstColumn="0" showLastColumn="0" showRowStripes="1" showColumnStripes="0"/>
</table>
</file>

<file path=xl/tables/table94.xml><?xml version="1.0" encoding="utf-8"?>
<table xmlns="http://schemas.openxmlformats.org/spreadsheetml/2006/main" id="94" name="Table53565782899295" displayName="Table53565782899295" ref="R364:S384" totalsRowShown="0">
  <autoFilter ref="R364:S384"/>
  <tableColumns count="2">
    <tableColumn id="1" name="Column1"/>
    <tableColumn id="2" name="Column2"/>
  </tableColumns>
  <tableStyleInfo name="TableStyleLight4" showFirstColumn="0" showLastColumn="0" showRowStripes="1" showColumnStripes="0"/>
</table>
</file>

<file path=xl/tables/table95.xml><?xml version="1.0" encoding="utf-8"?>
<table xmlns="http://schemas.openxmlformats.org/spreadsheetml/2006/main" id="95" name="Table53565782899296" displayName="Table53565782899296" ref="R386:S408" totalsRowShown="0">
  <autoFilter ref="R386:S408"/>
  <tableColumns count="2">
    <tableColumn id="1" name="Column1"/>
    <tableColumn id="2" name="Column2"/>
  </tableColumns>
  <tableStyleInfo name="TableStyleLight4" showFirstColumn="0" showLastColumn="0" showRowStripes="1" showColumnStripes="0"/>
</table>
</file>

<file path=xl/tables/table96.xml><?xml version="1.0" encoding="utf-8"?>
<table xmlns="http://schemas.openxmlformats.org/spreadsheetml/2006/main" id="96" name="Table53565782899297" displayName="Table53565782899297" ref="R410:S431" totalsRowShown="0">
  <autoFilter ref="R410:S431"/>
  <tableColumns count="2">
    <tableColumn id="1" name="Column1"/>
    <tableColumn id="2" name="Column2"/>
  </tableColumns>
  <tableStyleInfo name="TableStyleLight4" showFirstColumn="0" showLastColumn="0" showRowStripes="1" showColumnStripes="0"/>
</table>
</file>

<file path=xl/tables/table97.xml><?xml version="1.0" encoding="utf-8"?>
<table xmlns="http://schemas.openxmlformats.org/spreadsheetml/2006/main" id="97" name="Table53565782899298" displayName="Table53565782899298" ref="R433:S454" totalsRowShown="0">
  <autoFilter ref="R433:S454"/>
  <tableColumns count="2">
    <tableColumn id="1" name="Column1"/>
    <tableColumn id="2" name="Column2"/>
  </tableColumns>
  <tableStyleInfo name="TableStyleLight4" showFirstColumn="0" showLastColumn="0" showRowStripes="1" showColumnStripes="0"/>
</table>
</file>

<file path=xl/tables/table98.xml><?xml version="1.0" encoding="utf-8"?>
<table xmlns="http://schemas.openxmlformats.org/spreadsheetml/2006/main" id="98" name="TableSTRUCATHL" displayName="TableSTRUCATHL" ref="A150:O153" totalsRowShown="0" headerRowDxfId="89">
  <autoFilter ref="A150:O153"/>
  <sortState ref="A151:S158">
    <sortCondition ref="O10:O18"/>
  </sortState>
  <tableColumns count="15">
    <tableColumn id="1" name="UDC" dataDxfId="88">
      <calculatedColumnFormula>TableSTRUCATHL[[#This Row],[Study Package Code]]</calculatedColumnFormula>
    </tableColumn>
    <tableColumn id="9" name="Version" dataDxfId="87">
      <calculatedColumnFormula>TableSTRUCATHL[[#This Row],[Ver]]</calculatedColumnFormula>
    </tableColumn>
    <tableColumn id="10" name="OUA Code"/>
    <tableColumn id="11" name="Unit Title" dataDxfId="86">
      <calculatedColumnFormula>TableSTRUCATHL[[#This Row],[Structure Line]]</calculatedColumnFormula>
    </tableColumn>
    <tableColumn id="12" name="CPs" dataDxfId="85">
      <calculatedColumnFormula>TableSTRUCATHL[[#This Row],[Credit Points]]</calculatedColumnFormula>
    </tableColumn>
    <tableColumn id="13" name="No." dataDxfId="84"/>
    <tableColumn id="2" name="Component Type" dataDxfId="83"/>
    <tableColumn id="3" name="Year Level" dataDxfId="82"/>
    <tableColumn id="4" name="Study Period" dataDxfId="81"/>
    <tableColumn id="5" name="Study Package Code" dataDxfId="80"/>
    <tableColumn id="6" name="Ver" dataDxfId="79"/>
    <tableColumn id="7" name="Structure Line" dataDxfId="78"/>
    <tableColumn id="8" name="Credit Points" dataDxfId="77"/>
    <tableColumn id="14" name="Effective" dataDxfId="76"/>
    <tableColumn id="15" name="Discont." dataDxfId="75"/>
  </tableColumns>
  <tableStyleInfo name="TableStyleLight1" showFirstColumn="0" showLastColumn="0" showRowStripes="1" showColumnStripes="0"/>
</table>
</file>

<file path=xl/tables/table99.xml><?xml version="1.0" encoding="utf-8"?>
<table xmlns="http://schemas.openxmlformats.org/spreadsheetml/2006/main" id="99" name="Table53565759606163100" displayName="Table53565759606163100" ref="R150:S153" totalsRowShown="0">
  <autoFilter ref="R150:S153"/>
  <tableColumns count="2">
    <tableColumn id="1" name="Column1"/>
    <tableColumn id="2" name="Column2"/>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1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tudents.connect.curtin.edu.au/" TargetMode="External"/><Relationship Id="rId1" Type="http://schemas.openxmlformats.org/officeDocument/2006/relationships/hyperlink" Target="https://students.connect.curtin.edu.au/"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7.bin"/><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6" Type="http://schemas.openxmlformats.org/officeDocument/2006/relationships/table" Target="../tables/table31.xml"/><Relationship Id="rId21" Type="http://schemas.openxmlformats.org/officeDocument/2006/relationships/table" Target="../tables/table26.xml"/><Relationship Id="rId42" Type="http://schemas.openxmlformats.org/officeDocument/2006/relationships/table" Target="../tables/table47.xml"/><Relationship Id="rId47" Type="http://schemas.openxmlformats.org/officeDocument/2006/relationships/table" Target="../tables/table52.xml"/><Relationship Id="rId63" Type="http://schemas.openxmlformats.org/officeDocument/2006/relationships/table" Target="../tables/table68.xml"/><Relationship Id="rId68" Type="http://schemas.openxmlformats.org/officeDocument/2006/relationships/table" Target="../tables/table73.xml"/><Relationship Id="rId84" Type="http://schemas.openxmlformats.org/officeDocument/2006/relationships/table" Target="../tables/table89.xml"/><Relationship Id="rId89" Type="http://schemas.openxmlformats.org/officeDocument/2006/relationships/table" Target="../tables/table94.xml"/><Relationship Id="rId7" Type="http://schemas.openxmlformats.org/officeDocument/2006/relationships/table" Target="../tables/table12.xml"/><Relationship Id="rId71" Type="http://schemas.openxmlformats.org/officeDocument/2006/relationships/table" Target="../tables/table76.xml"/><Relationship Id="rId92" Type="http://schemas.openxmlformats.org/officeDocument/2006/relationships/table" Target="../tables/table97.xml"/><Relationship Id="rId2" Type="http://schemas.openxmlformats.org/officeDocument/2006/relationships/vmlDrawing" Target="../drawings/vmlDrawing1.vml"/><Relationship Id="rId16" Type="http://schemas.openxmlformats.org/officeDocument/2006/relationships/table" Target="../tables/table21.xml"/><Relationship Id="rId29" Type="http://schemas.openxmlformats.org/officeDocument/2006/relationships/table" Target="../tables/table34.xml"/><Relationship Id="rId11" Type="http://schemas.openxmlformats.org/officeDocument/2006/relationships/table" Target="../tables/table16.xml"/><Relationship Id="rId24" Type="http://schemas.openxmlformats.org/officeDocument/2006/relationships/table" Target="../tables/table29.xml"/><Relationship Id="rId32" Type="http://schemas.openxmlformats.org/officeDocument/2006/relationships/table" Target="../tables/table37.xml"/><Relationship Id="rId37" Type="http://schemas.openxmlformats.org/officeDocument/2006/relationships/table" Target="../tables/table42.xml"/><Relationship Id="rId40" Type="http://schemas.openxmlformats.org/officeDocument/2006/relationships/table" Target="../tables/table45.xml"/><Relationship Id="rId45" Type="http://schemas.openxmlformats.org/officeDocument/2006/relationships/table" Target="../tables/table50.xml"/><Relationship Id="rId53" Type="http://schemas.openxmlformats.org/officeDocument/2006/relationships/table" Target="../tables/table58.xml"/><Relationship Id="rId58" Type="http://schemas.openxmlformats.org/officeDocument/2006/relationships/table" Target="../tables/table63.xml"/><Relationship Id="rId66" Type="http://schemas.openxmlformats.org/officeDocument/2006/relationships/table" Target="../tables/table71.xml"/><Relationship Id="rId74" Type="http://schemas.openxmlformats.org/officeDocument/2006/relationships/table" Target="../tables/table79.xml"/><Relationship Id="rId79" Type="http://schemas.openxmlformats.org/officeDocument/2006/relationships/table" Target="../tables/table84.xml"/><Relationship Id="rId87" Type="http://schemas.openxmlformats.org/officeDocument/2006/relationships/table" Target="../tables/table92.xml"/><Relationship Id="rId102" Type="http://schemas.openxmlformats.org/officeDocument/2006/relationships/table" Target="../tables/table107.xml"/><Relationship Id="rId5" Type="http://schemas.openxmlformats.org/officeDocument/2006/relationships/table" Target="../tables/table10.xml"/><Relationship Id="rId61" Type="http://schemas.openxmlformats.org/officeDocument/2006/relationships/table" Target="../tables/table66.xml"/><Relationship Id="rId82" Type="http://schemas.openxmlformats.org/officeDocument/2006/relationships/table" Target="../tables/table87.xml"/><Relationship Id="rId90" Type="http://schemas.openxmlformats.org/officeDocument/2006/relationships/table" Target="../tables/table95.xml"/><Relationship Id="rId95" Type="http://schemas.openxmlformats.org/officeDocument/2006/relationships/table" Target="../tables/table100.xml"/><Relationship Id="rId19" Type="http://schemas.openxmlformats.org/officeDocument/2006/relationships/table" Target="../tables/table24.xml"/><Relationship Id="rId14" Type="http://schemas.openxmlformats.org/officeDocument/2006/relationships/table" Target="../tables/table19.xml"/><Relationship Id="rId22" Type="http://schemas.openxmlformats.org/officeDocument/2006/relationships/table" Target="../tables/table27.xml"/><Relationship Id="rId27" Type="http://schemas.openxmlformats.org/officeDocument/2006/relationships/table" Target="../tables/table32.xml"/><Relationship Id="rId30" Type="http://schemas.openxmlformats.org/officeDocument/2006/relationships/table" Target="../tables/table35.xml"/><Relationship Id="rId35" Type="http://schemas.openxmlformats.org/officeDocument/2006/relationships/table" Target="../tables/table40.xml"/><Relationship Id="rId43" Type="http://schemas.openxmlformats.org/officeDocument/2006/relationships/table" Target="../tables/table48.xml"/><Relationship Id="rId48" Type="http://schemas.openxmlformats.org/officeDocument/2006/relationships/table" Target="../tables/table53.xml"/><Relationship Id="rId56" Type="http://schemas.openxmlformats.org/officeDocument/2006/relationships/table" Target="../tables/table61.xml"/><Relationship Id="rId64" Type="http://schemas.openxmlformats.org/officeDocument/2006/relationships/table" Target="../tables/table69.xml"/><Relationship Id="rId69" Type="http://schemas.openxmlformats.org/officeDocument/2006/relationships/table" Target="../tables/table74.xml"/><Relationship Id="rId77" Type="http://schemas.openxmlformats.org/officeDocument/2006/relationships/table" Target="../tables/table82.xml"/><Relationship Id="rId100" Type="http://schemas.openxmlformats.org/officeDocument/2006/relationships/table" Target="../tables/table105.xml"/><Relationship Id="rId105" Type="http://schemas.openxmlformats.org/officeDocument/2006/relationships/comments" Target="../comments1.xml"/><Relationship Id="rId8" Type="http://schemas.openxmlformats.org/officeDocument/2006/relationships/table" Target="../tables/table13.xml"/><Relationship Id="rId51" Type="http://schemas.openxmlformats.org/officeDocument/2006/relationships/table" Target="../tables/table56.xml"/><Relationship Id="rId72" Type="http://schemas.openxmlformats.org/officeDocument/2006/relationships/table" Target="../tables/table77.xml"/><Relationship Id="rId80" Type="http://schemas.openxmlformats.org/officeDocument/2006/relationships/table" Target="../tables/table85.xml"/><Relationship Id="rId85" Type="http://schemas.openxmlformats.org/officeDocument/2006/relationships/table" Target="../tables/table90.xml"/><Relationship Id="rId93" Type="http://schemas.openxmlformats.org/officeDocument/2006/relationships/table" Target="../tables/table98.xml"/><Relationship Id="rId98" Type="http://schemas.openxmlformats.org/officeDocument/2006/relationships/table" Target="../tables/table103.xml"/><Relationship Id="rId3" Type="http://schemas.openxmlformats.org/officeDocument/2006/relationships/table" Target="../tables/table8.xml"/><Relationship Id="rId12" Type="http://schemas.openxmlformats.org/officeDocument/2006/relationships/table" Target="../tables/table17.xml"/><Relationship Id="rId17" Type="http://schemas.openxmlformats.org/officeDocument/2006/relationships/table" Target="../tables/table22.xml"/><Relationship Id="rId25" Type="http://schemas.openxmlformats.org/officeDocument/2006/relationships/table" Target="../tables/table30.xml"/><Relationship Id="rId33" Type="http://schemas.openxmlformats.org/officeDocument/2006/relationships/table" Target="../tables/table38.xml"/><Relationship Id="rId38" Type="http://schemas.openxmlformats.org/officeDocument/2006/relationships/table" Target="../tables/table43.xml"/><Relationship Id="rId46" Type="http://schemas.openxmlformats.org/officeDocument/2006/relationships/table" Target="../tables/table51.xml"/><Relationship Id="rId59" Type="http://schemas.openxmlformats.org/officeDocument/2006/relationships/table" Target="../tables/table64.xml"/><Relationship Id="rId67" Type="http://schemas.openxmlformats.org/officeDocument/2006/relationships/table" Target="../tables/table72.xml"/><Relationship Id="rId103" Type="http://schemas.openxmlformats.org/officeDocument/2006/relationships/table" Target="../tables/table108.xml"/><Relationship Id="rId20" Type="http://schemas.openxmlformats.org/officeDocument/2006/relationships/table" Target="../tables/table25.xml"/><Relationship Id="rId41" Type="http://schemas.openxmlformats.org/officeDocument/2006/relationships/table" Target="../tables/table46.xml"/><Relationship Id="rId54" Type="http://schemas.openxmlformats.org/officeDocument/2006/relationships/table" Target="../tables/table59.xml"/><Relationship Id="rId62" Type="http://schemas.openxmlformats.org/officeDocument/2006/relationships/table" Target="../tables/table67.xml"/><Relationship Id="rId70" Type="http://schemas.openxmlformats.org/officeDocument/2006/relationships/table" Target="../tables/table75.xml"/><Relationship Id="rId75" Type="http://schemas.openxmlformats.org/officeDocument/2006/relationships/table" Target="../tables/table80.xml"/><Relationship Id="rId83" Type="http://schemas.openxmlformats.org/officeDocument/2006/relationships/table" Target="../tables/table88.xml"/><Relationship Id="rId88" Type="http://schemas.openxmlformats.org/officeDocument/2006/relationships/table" Target="../tables/table93.xml"/><Relationship Id="rId91" Type="http://schemas.openxmlformats.org/officeDocument/2006/relationships/table" Target="../tables/table96.xml"/><Relationship Id="rId96" Type="http://schemas.openxmlformats.org/officeDocument/2006/relationships/table" Target="../tables/table101.xml"/><Relationship Id="rId1" Type="http://schemas.openxmlformats.org/officeDocument/2006/relationships/printerSettings" Target="../printerSettings/printerSettings9.bin"/><Relationship Id="rId6" Type="http://schemas.openxmlformats.org/officeDocument/2006/relationships/table" Target="../tables/table11.xml"/><Relationship Id="rId15" Type="http://schemas.openxmlformats.org/officeDocument/2006/relationships/table" Target="../tables/table20.xml"/><Relationship Id="rId23" Type="http://schemas.openxmlformats.org/officeDocument/2006/relationships/table" Target="../tables/table28.xml"/><Relationship Id="rId28" Type="http://schemas.openxmlformats.org/officeDocument/2006/relationships/table" Target="../tables/table33.xml"/><Relationship Id="rId36" Type="http://schemas.openxmlformats.org/officeDocument/2006/relationships/table" Target="../tables/table41.xml"/><Relationship Id="rId49" Type="http://schemas.openxmlformats.org/officeDocument/2006/relationships/table" Target="../tables/table54.xml"/><Relationship Id="rId57" Type="http://schemas.openxmlformats.org/officeDocument/2006/relationships/table" Target="../tables/table62.xml"/><Relationship Id="rId10" Type="http://schemas.openxmlformats.org/officeDocument/2006/relationships/table" Target="../tables/table15.xml"/><Relationship Id="rId31" Type="http://schemas.openxmlformats.org/officeDocument/2006/relationships/table" Target="../tables/table36.xml"/><Relationship Id="rId44" Type="http://schemas.openxmlformats.org/officeDocument/2006/relationships/table" Target="../tables/table49.xml"/><Relationship Id="rId52" Type="http://schemas.openxmlformats.org/officeDocument/2006/relationships/table" Target="../tables/table57.xml"/><Relationship Id="rId60" Type="http://schemas.openxmlformats.org/officeDocument/2006/relationships/table" Target="../tables/table65.xml"/><Relationship Id="rId65" Type="http://schemas.openxmlformats.org/officeDocument/2006/relationships/table" Target="../tables/table70.xml"/><Relationship Id="rId73" Type="http://schemas.openxmlformats.org/officeDocument/2006/relationships/table" Target="../tables/table78.xml"/><Relationship Id="rId78" Type="http://schemas.openxmlformats.org/officeDocument/2006/relationships/table" Target="../tables/table83.xml"/><Relationship Id="rId81" Type="http://schemas.openxmlformats.org/officeDocument/2006/relationships/table" Target="../tables/table86.xml"/><Relationship Id="rId86" Type="http://schemas.openxmlformats.org/officeDocument/2006/relationships/table" Target="../tables/table91.xml"/><Relationship Id="rId94" Type="http://schemas.openxmlformats.org/officeDocument/2006/relationships/table" Target="../tables/table99.xml"/><Relationship Id="rId99" Type="http://schemas.openxmlformats.org/officeDocument/2006/relationships/table" Target="../tables/table104.xml"/><Relationship Id="rId101" Type="http://schemas.openxmlformats.org/officeDocument/2006/relationships/table" Target="../tables/table106.xml"/><Relationship Id="rId4" Type="http://schemas.openxmlformats.org/officeDocument/2006/relationships/table" Target="../tables/table9.xml"/><Relationship Id="rId9" Type="http://schemas.openxmlformats.org/officeDocument/2006/relationships/table" Target="../tables/table14.xml"/><Relationship Id="rId13" Type="http://schemas.openxmlformats.org/officeDocument/2006/relationships/table" Target="../tables/table18.xml"/><Relationship Id="rId18" Type="http://schemas.openxmlformats.org/officeDocument/2006/relationships/table" Target="../tables/table23.xml"/><Relationship Id="rId39" Type="http://schemas.openxmlformats.org/officeDocument/2006/relationships/table" Target="../tables/table44.xml"/><Relationship Id="rId34" Type="http://schemas.openxmlformats.org/officeDocument/2006/relationships/table" Target="../tables/table39.xml"/><Relationship Id="rId50" Type="http://schemas.openxmlformats.org/officeDocument/2006/relationships/table" Target="../tables/table55.xml"/><Relationship Id="rId55" Type="http://schemas.openxmlformats.org/officeDocument/2006/relationships/table" Target="../tables/table60.xml"/><Relationship Id="rId76" Type="http://schemas.openxmlformats.org/officeDocument/2006/relationships/table" Target="../tables/table81.xml"/><Relationship Id="rId97" Type="http://schemas.openxmlformats.org/officeDocument/2006/relationships/table" Target="../tables/table102.xml"/><Relationship Id="rId104" Type="http://schemas.openxmlformats.org/officeDocument/2006/relationships/table" Target="../tables/table10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Y69"/>
  <sheetViews>
    <sheetView showGridLines="0" topLeftCell="A3" zoomScaleNormal="100" workbookViewId="0">
      <selection activeCell="S4" sqref="S4"/>
    </sheetView>
  </sheetViews>
  <sheetFormatPr defaultColWidth="9" defaultRowHeight="15" x14ac:dyDescent="0.25"/>
  <cols>
    <col min="1" max="1" width="10" style="37" customWidth="1"/>
    <col min="2" max="2" width="3.25" style="37" customWidth="1"/>
    <col min="3" max="3" width="5.875" style="37" customWidth="1"/>
    <col min="4" max="4" width="52.25" style="36" customWidth="1"/>
    <col min="5" max="5" width="7" style="36" customWidth="1"/>
    <col min="6" max="6" width="26.5" style="36" customWidth="1"/>
    <col min="7" max="7" width="5.625" style="36" customWidth="1"/>
    <col min="8" max="11" width="4.625" style="36" customWidth="1"/>
    <col min="12" max="12" width="5.375" style="36" bestFit="1" customWidth="1"/>
    <col min="13" max="13" width="4.625" style="36" customWidth="1"/>
    <col min="14" max="14" width="15.625" style="36" customWidth="1"/>
    <col min="15" max="15" width="2.5" style="36" hidden="1" customWidth="1"/>
    <col min="16" max="16384" width="9" style="36"/>
  </cols>
  <sheetData>
    <row r="1" spans="1:25" hidden="1" x14ac:dyDescent="0.25">
      <c r="A1" s="163" t="s">
        <v>0</v>
      </c>
      <c r="B1" s="163" t="s">
        <v>1</v>
      </c>
      <c r="C1" s="163" t="s">
        <v>2</v>
      </c>
      <c r="D1" s="164" t="s">
        <v>3</v>
      </c>
      <c r="E1" s="164"/>
      <c r="F1" s="164" t="s">
        <v>4</v>
      </c>
      <c r="G1" s="164" t="s">
        <v>5</v>
      </c>
      <c r="H1" s="164" t="s">
        <v>6</v>
      </c>
      <c r="I1" s="164"/>
      <c r="J1" s="164"/>
      <c r="K1" s="164"/>
      <c r="L1" s="164"/>
      <c r="M1" s="164"/>
      <c r="N1" s="164" t="s">
        <v>7</v>
      </c>
    </row>
    <row r="2" spans="1:25" hidden="1" x14ac:dyDescent="0.25">
      <c r="A2" s="162"/>
      <c r="B2" s="162">
        <v>2</v>
      </c>
      <c r="C2" s="162">
        <v>3</v>
      </c>
      <c r="D2" s="162">
        <v>4</v>
      </c>
      <c r="E2" s="162"/>
      <c r="F2" s="162">
        <v>6</v>
      </c>
      <c r="G2" s="162">
        <v>5</v>
      </c>
      <c r="H2" s="162">
        <v>7</v>
      </c>
      <c r="I2" s="162">
        <v>8</v>
      </c>
      <c r="J2" s="162">
        <v>9</v>
      </c>
      <c r="K2" s="162">
        <v>10</v>
      </c>
      <c r="L2" s="162">
        <v>11</v>
      </c>
      <c r="M2" s="162">
        <v>12</v>
      </c>
      <c r="N2" s="162"/>
    </row>
    <row r="3" spans="1:25" ht="39.950000000000003" customHeight="1" x14ac:dyDescent="0.25">
      <c r="A3" s="501" t="s">
        <v>8</v>
      </c>
      <c r="B3" s="501"/>
      <c r="C3" s="501"/>
      <c r="D3" s="501"/>
      <c r="E3" s="310"/>
      <c r="F3" s="310"/>
      <c r="G3" s="310"/>
      <c r="H3" s="310"/>
      <c r="I3" s="310"/>
      <c r="J3" s="310"/>
      <c r="K3" s="310"/>
      <c r="L3" s="310"/>
      <c r="M3" s="310"/>
      <c r="N3" s="310"/>
    </row>
    <row r="4" spans="1:25" ht="26.25" x14ac:dyDescent="0.25">
      <c r="A4" s="134"/>
      <c r="B4" s="135"/>
      <c r="C4" s="135"/>
      <c r="D4" s="136"/>
      <c r="E4" s="137" t="s">
        <v>9</v>
      </c>
      <c r="F4" s="135"/>
      <c r="G4" s="138"/>
      <c r="H4" s="138"/>
      <c r="I4" s="138"/>
      <c r="J4" s="138"/>
      <c r="K4" s="138"/>
      <c r="L4" s="138"/>
      <c r="M4" s="138"/>
      <c r="N4" s="309" t="str">
        <f>CONCATENATE(VLOOKUP(D5,TableCourses[],2,FALSE),VLOOKUP(D6,TableStudyPeriods[],2,FALSE))</f>
        <v>B-EDUCSem1</v>
      </c>
      <c r="Q4" s="344" t="s">
        <v>955</v>
      </c>
      <c r="R4" s="345"/>
      <c r="S4" s="345"/>
      <c r="T4" s="345"/>
    </row>
    <row r="5" spans="1:25" ht="20.100000000000001" customHeight="1" x14ac:dyDescent="0.25">
      <c r="B5" s="38"/>
      <c r="C5" s="146" t="s">
        <v>10</v>
      </c>
      <c r="D5" s="285" t="s">
        <v>65</v>
      </c>
      <c r="E5" s="39"/>
      <c r="F5" s="146" t="s">
        <v>12</v>
      </c>
      <c r="G5" s="39" t="str">
        <f>IFERROR(CONCATENATE(VLOOKUP(D5,TableCourses[],2,FALSE)," ",VLOOKUP(D5,TableCourses[],3,FALSE)),"")</f>
        <v>B-EDUC v.2</v>
      </c>
      <c r="H5" s="39"/>
      <c r="I5" s="39"/>
      <c r="J5" s="39"/>
      <c r="K5" s="39"/>
      <c r="L5" s="39"/>
      <c r="M5" s="39"/>
      <c r="N5" s="40"/>
    </row>
    <row r="6" spans="1:25" ht="20.100000000000001" customHeight="1" x14ac:dyDescent="0.25">
      <c r="A6" s="41"/>
      <c r="B6" s="42"/>
      <c r="C6" s="146" t="s">
        <v>13</v>
      </c>
      <c r="D6" s="39" t="s">
        <v>95</v>
      </c>
      <c r="E6" s="43"/>
      <c r="F6" s="146" t="s">
        <v>14</v>
      </c>
      <c r="G6" s="39" t="str">
        <f>IFERROR(VLOOKUP($D$5,TableCourses[],4,FALSE),"")</f>
        <v xml:space="preserve">600 credit points required </v>
      </c>
      <c r="H6" s="104"/>
      <c r="I6" s="104"/>
      <c r="J6" s="104"/>
      <c r="K6" s="104"/>
      <c r="L6" s="104"/>
      <c r="M6" s="104"/>
      <c r="N6" s="104"/>
      <c r="O6" s="44"/>
      <c r="P6" s="44"/>
      <c r="Q6" s="44"/>
      <c r="R6" s="44"/>
      <c r="S6" s="44"/>
      <c r="T6" s="44"/>
      <c r="U6" s="44"/>
      <c r="V6" s="44"/>
      <c r="W6" s="44"/>
      <c r="X6" s="44"/>
      <c r="Y6" s="44"/>
    </row>
    <row r="7" spans="1:25" s="47" customFormat="1" ht="14.1" customHeight="1" x14ac:dyDescent="0.25">
      <c r="A7" s="167"/>
      <c r="B7" s="167"/>
      <c r="C7" s="167"/>
      <c r="D7" s="168"/>
      <c r="E7" s="169"/>
      <c r="F7" s="167"/>
      <c r="G7" s="167"/>
      <c r="H7" s="297" t="s">
        <v>15</v>
      </c>
      <c r="I7" s="170"/>
      <c r="J7" s="170"/>
      <c r="K7" s="170"/>
      <c r="L7" s="170"/>
      <c r="M7" s="171"/>
      <c r="N7" s="172"/>
      <c r="O7" s="45"/>
      <c r="P7" s="45"/>
      <c r="Q7" s="45"/>
      <c r="R7" s="46"/>
      <c r="S7" s="46"/>
      <c r="T7" s="46"/>
      <c r="U7" s="46"/>
      <c r="V7" s="46"/>
      <c r="W7" s="46"/>
      <c r="X7" s="46"/>
      <c r="Y7" s="46"/>
    </row>
    <row r="8" spans="1:25" s="47" customFormat="1" ht="21" x14ac:dyDescent="0.25">
      <c r="A8" s="167" t="s">
        <v>16</v>
      </c>
      <c r="B8" s="167"/>
      <c r="C8" s="167"/>
      <c r="D8" s="168" t="s">
        <v>3</v>
      </c>
      <c r="E8" s="173" t="s">
        <v>17</v>
      </c>
      <c r="F8" s="167" t="s">
        <v>18</v>
      </c>
      <c r="G8" s="167" t="s">
        <v>19</v>
      </c>
      <c r="H8" s="175" t="s">
        <v>921</v>
      </c>
      <c r="I8" s="173" t="s">
        <v>20</v>
      </c>
      <c r="J8" s="173" t="s">
        <v>21</v>
      </c>
      <c r="K8" s="173" t="s">
        <v>22</v>
      </c>
      <c r="L8" s="173" t="s">
        <v>23</v>
      </c>
      <c r="M8" s="176" t="s">
        <v>24</v>
      </c>
      <c r="N8" s="174" t="s">
        <v>25</v>
      </c>
      <c r="O8" s="45"/>
      <c r="P8" s="45"/>
      <c r="Q8" s="45"/>
      <c r="R8" s="46"/>
      <c r="S8" s="46"/>
      <c r="T8" s="46"/>
      <c r="U8" s="46"/>
      <c r="V8" s="46"/>
      <c r="W8" s="46"/>
      <c r="X8" s="46"/>
      <c r="Y8" s="46"/>
    </row>
    <row r="9" spans="1:25" s="50" customFormat="1" ht="20.100000000000001" customHeight="1" x14ac:dyDescent="0.15">
      <c r="A9" s="88" t="str">
        <f>IFERROR(IF(HLOOKUP($N$4,RangeUnitsets,O9,FALSE)=0,"",HLOOKUP($N$4,RangeUnitsets,O9,FALSE)),"")</f>
        <v>EDUC1021</v>
      </c>
      <c r="B9" s="82">
        <f>IFERROR(IF(VLOOKUP($A9,TableHandbook[],B$2,FALSE)=0,"",VLOOKUP($A9,TableHandbook[],B$2,FALSE)),"")</f>
        <v>1</v>
      </c>
      <c r="C9" s="82" t="str">
        <f>IFERROR(IF(VLOOKUP($A9,TableHandbook[],C$2,FALSE)=0,"",VLOOKUP($A9,TableHandbook[],C$2,FALSE)),"")</f>
        <v/>
      </c>
      <c r="D9" s="89" t="str">
        <f>IFERROR(IF(VLOOKUP($A9,TableHandbook[],D$2,FALSE)=0,"",VLOOKUP($A9,TableHandbook[],D$2,FALSE)),"")</f>
        <v>Child Development for Educators</v>
      </c>
      <c r="E9" s="82" t="str">
        <f>IF(OR(A9="",A9="--"),"",VLOOKUP($D$6,TableStudyPeriods[],2,FALSE))</f>
        <v>Sem1</v>
      </c>
      <c r="F9" s="81" t="str">
        <f>IFERROR(IF(VLOOKUP($A9,TableHandbook[],F$2,FALSE)=0,"",VLOOKUP($A9,TableHandbook[],F$2,FALSE)),"")</f>
        <v>Nil</v>
      </c>
      <c r="G9" s="82">
        <f>IFERROR(IF(VLOOKUP($A9,TableHandbook[],G$2,FALSE)=0,"",VLOOKUP($A9,TableHandbook[],G$2,FALSE)),"")</f>
        <v>25</v>
      </c>
      <c r="H9" s="92" t="str">
        <f>IFERROR(VLOOKUP($A9,TableHandbook[],H$2,FALSE),"")</f>
        <v>Y</v>
      </c>
      <c r="I9" s="82" t="str">
        <f>IFERROR(VLOOKUP($A9,TableHandbook[],I$2,FALSE),"")</f>
        <v>Y</v>
      </c>
      <c r="J9" s="82" t="str">
        <f>IFERROR(VLOOKUP($A9,TableHandbook[],J$2,FALSE),"")</f>
        <v>Y</v>
      </c>
      <c r="K9" s="82" t="str">
        <f>IFERROR(VLOOKUP($A9,TableHandbook[],K$2,FALSE),"")</f>
        <v/>
      </c>
      <c r="L9" s="82" t="str">
        <f>IFERROR(VLOOKUP($A9,TableHandbook[],L$2,FALSE),"")</f>
        <v/>
      </c>
      <c r="M9" s="93" t="str">
        <f>IFERROR(VLOOKUP($A9,TableHandbook[],M$2,FALSE),"")</f>
        <v/>
      </c>
      <c r="N9" s="90"/>
      <c r="O9" s="103">
        <v>2</v>
      </c>
      <c r="P9" s="48"/>
      <c r="Q9" s="48"/>
      <c r="R9" s="49"/>
      <c r="S9" s="49"/>
      <c r="T9" s="49"/>
      <c r="U9" s="49"/>
      <c r="V9" s="49"/>
      <c r="W9" s="49"/>
      <c r="X9" s="49"/>
      <c r="Y9" s="49"/>
    </row>
    <row r="10" spans="1:25" s="50" customFormat="1" ht="20.100000000000001" customHeight="1" x14ac:dyDescent="0.15">
      <c r="A10" s="88" t="str">
        <f>IFERROR(IF(HLOOKUP($N$4,RangeUnitsets,O10,FALSE)=0,"",HLOOKUP($N$4,RangeUnitsets,O10,FALSE)),"")</f>
        <v>EDUC1019</v>
      </c>
      <c r="B10" s="82">
        <f>IFERROR(IF(VLOOKUP($A10,TableHandbook[],B$2,FALSE)=0,"",VLOOKUP($A10,TableHandbook[],B$2,FALSE)),"")</f>
        <v>1</v>
      </c>
      <c r="C10" s="82" t="str">
        <f>IFERROR(IF(VLOOKUP($A10,TableHandbook[],C$2,FALSE)=0,"",VLOOKUP($A10,TableHandbook[],C$2,FALSE)),"")</f>
        <v/>
      </c>
      <c r="D10" s="89" t="str">
        <f>IFERROR(IF(VLOOKUP($A10,TableHandbook[],D$2,FALSE)=0,"",VLOOKUP($A10,TableHandbook[],D$2,FALSE)),"")</f>
        <v>Teaching and Learning in the Digital World</v>
      </c>
      <c r="E10" s="82" t="str">
        <f>IF(A10="","",E9)</f>
        <v>Sem1</v>
      </c>
      <c r="F10" s="81" t="str">
        <f>IFERROR(IF(VLOOKUP($A10,TableHandbook[],F$2,FALSE)=0,"",VLOOKUP($A10,TableHandbook[],F$2,FALSE)),"")</f>
        <v>Nil</v>
      </c>
      <c r="G10" s="82">
        <f>IFERROR(IF(VLOOKUP($A10,TableHandbook[],G$2,FALSE)=0,"",VLOOKUP($A10,TableHandbook[],G$2,FALSE)),"")</f>
        <v>25</v>
      </c>
      <c r="H10" s="92" t="str">
        <f>IFERROR(VLOOKUP($A10,TableHandbook[],H$2,FALSE),"")</f>
        <v>Y</v>
      </c>
      <c r="I10" s="82" t="str">
        <f>IFERROR(VLOOKUP($A10,TableHandbook[],I$2,FALSE),"")</f>
        <v>Y</v>
      </c>
      <c r="J10" s="82" t="str">
        <f>IFERROR(VLOOKUP($A10,TableHandbook[],J$2,FALSE),"")</f>
        <v>Y</v>
      </c>
      <c r="K10" s="82" t="str">
        <f>IFERROR(VLOOKUP($A10,TableHandbook[],K$2,FALSE),"")</f>
        <v>Y</v>
      </c>
      <c r="L10" s="82" t="str">
        <f>IFERROR(VLOOKUP($A10,TableHandbook[],L$2,FALSE),"")</f>
        <v>Y</v>
      </c>
      <c r="M10" s="93" t="str">
        <f>IFERROR(VLOOKUP($A10,TableHandbook[],M$2,FALSE),"")</f>
        <v/>
      </c>
      <c r="N10" s="90"/>
      <c r="O10" s="103">
        <v>3</v>
      </c>
      <c r="P10" s="48"/>
      <c r="Q10" s="48"/>
      <c r="R10" s="49"/>
      <c r="S10" s="49"/>
      <c r="T10" s="49"/>
      <c r="U10" s="49"/>
      <c r="V10" s="49"/>
      <c r="W10" s="49"/>
      <c r="X10" s="49"/>
      <c r="Y10" s="49"/>
    </row>
    <row r="11" spans="1:25" s="50" customFormat="1" ht="20.100000000000001" customHeight="1" x14ac:dyDescent="0.15">
      <c r="A11" s="290" t="str">
        <f>IFERROR(IF(HLOOKUP($N$4,RangeUnitsets,O11,FALSE)=0,"",HLOOKUP($N$4,RangeUnitsets,O11,FALSE)),"")</f>
        <v>EDUC1017</v>
      </c>
      <c r="B11" s="82">
        <f>IFERROR(IF(VLOOKUP($A11,TableHandbook[],B$2,FALSE)=0,"",VLOOKUP($A11,TableHandbook[],B$2,FALSE)),"")</f>
        <v>1</v>
      </c>
      <c r="C11" s="82" t="str">
        <f>IFERROR(IF(VLOOKUP($A11,TableHandbook[],C$2,FALSE)=0,"",VLOOKUP($A11,TableHandbook[],C$2,FALSE)),"")</f>
        <v/>
      </c>
      <c r="D11" s="89" t="str">
        <f>IFERROR(IF(VLOOKUP($A11,TableHandbook[],D$2,FALSE)=0,"",VLOOKUP($A11,TableHandbook[],D$2,FALSE)),"")</f>
        <v>The Professional Educator: Developing Teacher Identity</v>
      </c>
      <c r="E11" s="82" t="str">
        <f>IF(A11="","",E10)</f>
        <v>Sem1</v>
      </c>
      <c r="F11" s="81" t="str">
        <f>IFERROR(IF(VLOOKUP($A11,TableHandbook[],F$2,FALSE)=0,"",VLOOKUP($A11,TableHandbook[],F$2,FALSE)),"")</f>
        <v>Nil</v>
      </c>
      <c r="G11" s="82">
        <f>IFERROR(IF(VLOOKUP($A11,TableHandbook[],G$2,FALSE)=0,"",VLOOKUP($A11,TableHandbook[],G$2,FALSE)),"")</f>
        <v>25</v>
      </c>
      <c r="H11" s="92" t="str">
        <f>IFERROR(VLOOKUP($A11,TableHandbook[],H$2,FALSE),"")</f>
        <v>Y</v>
      </c>
      <c r="I11" s="82" t="str">
        <f>IFERROR(VLOOKUP($A11,TableHandbook[],I$2,FALSE),"")</f>
        <v>Y</v>
      </c>
      <c r="J11" s="82" t="str">
        <f>IFERROR(VLOOKUP($A11,TableHandbook[],J$2,FALSE),"")</f>
        <v>Y</v>
      </c>
      <c r="K11" s="82" t="str">
        <f>IFERROR(VLOOKUP($A11,TableHandbook[],K$2,FALSE),"")</f>
        <v>Y</v>
      </c>
      <c r="L11" s="82" t="str">
        <f>IFERROR(VLOOKUP($A11,TableHandbook[],L$2,FALSE),"")</f>
        <v>Y</v>
      </c>
      <c r="M11" s="93" t="str">
        <f>IFERROR(VLOOKUP($A11,TableHandbook[],M$2,FALSE),"")</f>
        <v/>
      </c>
      <c r="N11" s="91"/>
      <c r="O11" s="103">
        <v>4</v>
      </c>
      <c r="P11" s="48"/>
      <c r="Q11" s="48"/>
      <c r="R11" s="49"/>
      <c r="S11" s="49"/>
      <c r="T11" s="49"/>
      <c r="U11" s="49"/>
      <c r="V11" s="49"/>
      <c r="W11" s="49"/>
      <c r="X11" s="49"/>
      <c r="Y11" s="49"/>
    </row>
    <row r="12" spans="1:25" s="50" customFormat="1" ht="20.100000000000001" customHeight="1" x14ac:dyDescent="0.15">
      <c r="A12" s="88" t="str">
        <f>IFERROR(IF(HLOOKUP($N$4,RangeUnitsets,O12,FALSE)=0,"",HLOOKUP($N$4,RangeUnitsets,O12,FALSE)),"")</f>
        <v>AC-BEDUC1</v>
      </c>
      <c r="B12" s="82" t="str">
        <f>IFERROR(IF(VLOOKUP($A12,TableHandbook[],B$2,FALSE)=0,"",VLOOKUP($A12,TableHandbook[],B$2,FALSE)),"")</f>
        <v/>
      </c>
      <c r="C12" s="82" t="str">
        <f>IFERROR(IF(VLOOKUP($A12,TableHandbook[],C$2,FALSE)=0,"",VLOOKUP($A12,TableHandbook[],C$2,FALSE)),"")</f>
        <v/>
      </c>
      <c r="D12" s="89" t="str">
        <f>IFERROR(IF(VLOOKUP($A12,TableHandbook[],D$2,FALSE)=0,"",VLOOKUP($A12,TableHandbook[],D$2,FALSE)),"")</f>
        <v>Study either EDUC1023 or EDSC1009 (see below)</v>
      </c>
      <c r="E12" s="82" t="str">
        <f>IF(A12="","",E11)</f>
        <v>Sem1</v>
      </c>
      <c r="F12" s="81" t="str">
        <f>IFERROR(IF(VLOOKUP($A12,TableHandbook[],F$2,FALSE)=0,"",VLOOKUP($A12,TableHandbook[],F$2,FALSE)),"")</f>
        <v>See below</v>
      </c>
      <c r="G12" s="82">
        <f>IFERROR(IF(VLOOKUP($A12,TableHandbook[],G$2,FALSE)=0,"",VLOOKUP($A12,TableHandbook[],G$2,FALSE)),"")</f>
        <v>25</v>
      </c>
      <c r="H12" s="92" t="str">
        <f>IFERROR(VLOOKUP($A12,TableHandbook[],H$2,FALSE),"")</f>
        <v/>
      </c>
      <c r="I12" s="82" t="str">
        <f>IFERROR(VLOOKUP($A12,TableHandbook[],I$2,FALSE),"")</f>
        <v/>
      </c>
      <c r="J12" s="82" t="str">
        <f>IFERROR(VLOOKUP($A12,TableHandbook[],J$2,FALSE),"")</f>
        <v/>
      </c>
      <c r="K12" s="82" t="str">
        <f>IFERROR(VLOOKUP($A12,TableHandbook[],K$2,FALSE),"")</f>
        <v/>
      </c>
      <c r="L12" s="82" t="str">
        <f>IFERROR(VLOOKUP($A12,TableHandbook[],L$2,FALSE),"")</f>
        <v/>
      </c>
      <c r="M12" s="93" t="str">
        <f>IFERROR(VLOOKUP($A12,TableHandbook[],M$2,FALSE),"")</f>
        <v/>
      </c>
      <c r="N12" s="90"/>
      <c r="O12" s="103">
        <v>5</v>
      </c>
      <c r="P12" s="48"/>
      <c r="Q12" s="48"/>
      <c r="R12" s="49"/>
      <c r="S12" s="49"/>
      <c r="T12" s="49"/>
      <c r="U12" s="49"/>
      <c r="V12" s="49"/>
      <c r="W12" s="49"/>
      <c r="X12" s="49"/>
      <c r="Y12" s="49"/>
    </row>
    <row r="13" spans="1:25" s="50" customFormat="1" ht="5.0999999999999996" customHeight="1" x14ac:dyDescent="0.15">
      <c r="A13" s="139"/>
      <c r="B13" s="140"/>
      <c r="C13" s="140"/>
      <c r="D13" s="141"/>
      <c r="E13" s="140"/>
      <c r="F13" s="142"/>
      <c r="G13" s="140"/>
      <c r="H13" s="143"/>
      <c r="I13" s="140"/>
      <c r="J13" s="140"/>
      <c r="K13" s="140"/>
      <c r="L13" s="140"/>
      <c r="M13" s="144"/>
      <c r="N13" s="145"/>
      <c r="O13" s="51"/>
      <c r="P13" s="48"/>
      <c r="Q13" s="48"/>
      <c r="R13" s="48"/>
      <c r="S13" s="49"/>
      <c r="T13" s="49"/>
      <c r="U13" s="49"/>
      <c r="V13" s="49"/>
      <c r="W13" s="49"/>
      <c r="X13" s="49"/>
      <c r="Y13" s="49"/>
    </row>
    <row r="14" spans="1:25" s="50" customFormat="1" ht="20.100000000000001" customHeight="1" x14ac:dyDescent="0.15">
      <c r="A14" s="88" t="str">
        <f>IFERROR(IF(HLOOKUP($N$4,RangeUnitsets,O14,FALSE)=0,"",HLOOKUP($N$4,RangeUnitsets,O14,FALSE)),"")</f>
        <v>EDUC1027</v>
      </c>
      <c r="B14" s="84">
        <f>IFERROR(IF(VLOOKUP($A14,TableHandbook[],B$2,FALSE)=0,"",VLOOKUP($A14,TableHandbook[],B$2,FALSE)),"")</f>
        <v>1</v>
      </c>
      <c r="C14" s="84" t="str">
        <f>IFERROR(IF(VLOOKUP($A14,TableHandbook[],C$2,FALSE)=0,"",VLOOKUP($A14,TableHandbook[],C$2,FALSE)),"")</f>
        <v/>
      </c>
      <c r="D14" s="89" t="str">
        <f>IFERROR(IF(VLOOKUP($A14,TableHandbook[],D$2,FALSE)=0,"",VLOOKUP($A14,TableHandbook[],D$2,FALSE)),"")</f>
        <v>Educators Inquiring About the World</v>
      </c>
      <c r="E14" s="82" t="str">
        <f>IF(OR(A14="",A14="--"),"",VLOOKUP($D$6,TableStudyPeriods[],3,FALSE))</f>
        <v>Sem2</v>
      </c>
      <c r="F14" s="81" t="str">
        <f>IFERROR(IF(VLOOKUP($A14,TableHandbook[],F$2,FALSE)=0,"",VLOOKUP($A14,TableHandbook[],F$2,FALSE)),"")</f>
        <v>Nil</v>
      </c>
      <c r="G14" s="84">
        <f>IFERROR(IF(VLOOKUP($A14,TableHandbook[],G$2,FALSE)=0,"",VLOOKUP($A14,TableHandbook[],G$2,FALSE)),"")</f>
        <v>25</v>
      </c>
      <c r="H14" s="94" t="str">
        <f>IFERROR(VLOOKUP($A14,TableHandbook[],H$2,FALSE),"")</f>
        <v/>
      </c>
      <c r="I14" s="84" t="str">
        <f>IFERROR(VLOOKUP($A14,TableHandbook[],I$2,FALSE),"")</f>
        <v/>
      </c>
      <c r="J14" s="84" t="str">
        <f>IFERROR(VLOOKUP($A14,TableHandbook[],J$2,FALSE),"")</f>
        <v/>
      </c>
      <c r="K14" s="84" t="str">
        <f>IFERROR(VLOOKUP($A14,TableHandbook[],K$2,FALSE),"")</f>
        <v>Y</v>
      </c>
      <c r="L14" s="84" t="str">
        <f>IFERROR(VLOOKUP($A14,TableHandbook[],L$2,FALSE),"")</f>
        <v>Y</v>
      </c>
      <c r="M14" s="95" t="str">
        <f>IFERROR(VLOOKUP($A14,TableHandbook[],M$2,FALSE),"")</f>
        <v>Y</v>
      </c>
      <c r="N14" s="91"/>
      <c r="O14" s="103">
        <v>6</v>
      </c>
      <c r="P14" s="48"/>
      <c r="Q14" s="48"/>
      <c r="R14" s="49"/>
      <c r="S14" s="49"/>
      <c r="T14" s="49"/>
      <c r="U14" s="49"/>
      <c r="V14" s="49"/>
      <c r="W14" s="49"/>
      <c r="X14" s="49"/>
      <c r="Y14" s="49"/>
    </row>
    <row r="15" spans="1:25" s="54" customFormat="1" ht="20.100000000000001" customHeight="1" x14ac:dyDescent="0.15">
      <c r="A15" s="88" t="str">
        <f>IFERROR(IF(HLOOKUP($N$4,RangeUnitsets,O15,FALSE)=0,"",HLOOKUP($N$4,RangeUnitsets,O15,FALSE)),"")</f>
        <v>EDUC1025</v>
      </c>
      <c r="B15" s="84">
        <f>IFERROR(IF(VLOOKUP($A15,TableHandbook[],B$2,FALSE)=0,"",VLOOKUP($A15,TableHandbook[],B$2,FALSE)),"")</f>
        <v>1</v>
      </c>
      <c r="C15" s="84" t="str">
        <f>IFERROR(IF(VLOOKUP($A15,TableHandbook[],C$2,FALSE)=0,"",VLOOKUP($A15,TableHandbook[],C$2,FALSE)),"")</f>
        <v/>
      </c>
      <c r="D15" s="89" t="str">
        <f>IFERROR(IF(VLOOKUP($A15,TableHandbook[],D$2,FALSE)=0,"",VLOOKUP($A15,TableHandbook[],D$2,FALSE)),"")</f>
        <v>Exploring and Contesting Curriculum</v>
      </c>
      <c r="E15" s="82" t="str">
        <f>IF(A15="","",E14)</f>
        <v>Sem2</v>
      </c>
      <c r="F15" s="81" t="str">
        <f>IFERROR(IF(VLOOKUP($A15,TableHandbook[],F$2,FALSE)=0,"",VLOOKUP($A15,TableHandbook[],F$2,FALSE)),"")</f>
        <v>Nil</v>
      </c>
      <c r="G15" s="84">
        <f>IFERROR(IF(VLOOKUP($A15,TableHandbook[],G$2,FALSE)=0,"",VLOOKUP($A15,TableHandbook[],G$2,FALSE)),"")</f>
        <v>25</v>
      </c>
      <c r="H15" s="94" t="str">
        <f>IFERROR(VLOOKUP($A15,TableHandbook[],H$2,FALSE),"")</f>
        <v/>
      </c>
      <c r="I15" s="84" t="str">
        <f>IFERROR(VLOOKUP($A15,TableHandbook[],I$2,FALSE),"")</f>
        <v/>
      </c>
      <c r="J15" s="84" t="str">
        <f>IFERROR(VLOOKUP($A15,TableHandbook[],J$2,FALSE),"")</f>
        <v/>
      </c>
      <c r="K15" s="84" t="str">
        <f>IFERROR(VLOOKUP($A15,TableHandbook[],K$2,FALSE),"")</f>
        <v>Y</v>
      </c>
      <c r="L15" s="84" t="str">
        <f>IFERROR(VLOOKUP($A15,TableHandbook[],L$2,FALSE),"")</f>
        <v>Y</v>
      </c>
      <c r="M15" s="95" t="str">
        <f>IFERROR(VLOOKUP($A15,TableHandbook[],M$2,FALSE),"")</f>
        <v>Y</v>
      </c>
      <c r="N15" s="91"/>
      <c r="O15" s="103">
        <v>7</v>
      </c>
      <c r="P15" s="52"/>
      <c r="Q15" s="52"/>
      <c r="R15" s="53"/>
      <c r="S15" s="53"/>
      <c r="T15" s="53"/>
      <c r="U15" s="53"/>
      <c r="V15" s="53"/>
      <c r="W15" s="53"/>
      <c r="X15" s="53"/>
      <c r="Y15" s="53"/>
    </row>
    <row r="16" spans="1:25" s="54" customFormat="1" ht="20.100000000000001" customHeight="1" x14ac:dyDescent="0.15">
      <c r="A16" s="88" t="str">
        <f>IFERROR(IF(HLOOKUP($N$4,RangeUnitsets,O16,FALSE)=0,"",HLOOKUP($N$4,RangeUnitsets,O16,FALSE)),"")</f>
        <v>EDUC1029</v>
      </c>
      <c r="B16" s="84">
        <f>IFERROR(IF(VLOOKUP($A16,TableHandbook[],B$2,FALSE)=0,"",VLOOKUP($A16,TableHandbook[],B$2,FALSE)),"")</f>
        <v>1</v>
      </c>
      <c r="C16" s="84" t="str">
        <f>IFERROR(IF(VLOOKUP($A16,TableHandbook[],C$2,FALSE)=0,"",VLOOKUP($A16,TableHandbook[],C$2,FALSE)),"")</f>
        <v/>
      </c>
      <c r="D16" s="89" t="str">
        <f>IFERROR(IF(VLOOKUP($A16,TableHandbook[],D$2,FALSE)=0,"",VLOOKUP($A16,TableHandbook[],D$2,FALSE)),"")</f>
        <v>Performing Arts for Educators</v>
      </c>
      <c r="E16" s="82" t="str">
        <f>IF(A16="","",E15)</f>
        <v>Sem2</v>
      </c>
      <c r="F16" s="81" t="str">
        <f>IFERROR(IF(VLOOKUP($A16,TableHandbook[],F$2,FALSE)=0,"",VLOOKUP($A16,TableHandbook[],F$2,FALSE)),"")</f>
        <v>Nil</v>
      </c>
      <c r="G16" s="84">
        <f>IFERROR(IF(VLOOKUP($A16,TableHandbook[],G$2,FALSE)=0,"",VLOOKUP($A16,TableHandbook[],G$2,FALSE)),"")</f>
        <v>25</v>
      </c>
      <c r="H16" s="94" t="str">
        <f>IFERROR(VLOOKUP($A16,TableHandbook[],H$2,FALSE),"")</f>
        <v/>
      </c>
      <c r="I16" s="84" t="str">
        <f>IFERROR(VLOOKUP($A16,TableHandbook[],I$2,FALSE),"")</f>
        <v/>
      </c>
      <c r="J16" s="84" t="str">
        <f>IFERROR(VLOOKUP($A16,TableHandbook[],J$2,FALSE),"")</f>
        <v/>
      </c>
      <c r="K16" s="84" t="str">
        <f>IFERROR(VLOOKUP($A16,TableHandbook[],K$2,FALSE),"")</f>
        <v>Y</v>
      </c>
      <c r="L16" s="84" t="str">
        <f>IFERROR(VLOOKUP($A16,TableHandbook[],L$2,FALSE),"")</f>
        <v>Y</v>
      </c>
      <c r="M16" s="95" t="str">
        <f>IFERROR(VLOOKUP($A16,TableHandbook[],M$2,FALSE),"")</f>
        <v>Y</v>
      </c>
      <c r="N16" s="91"/>
      <c r="O16" s="103">
        <v>8</v>
      </c>
      <c r="P16" s="52"/>
      <c r="Q16" s="52"/>
      <c r="R16" s="53"/>
      <c r="S16" s="53"/>
      <c r="T16" s="53"/>
      <c r="U16" s="53"/>
      <c r="V16" s="53"/>
      <c r="W16" s="53"/>
      <c r="X16" s="53"/>
      <c r="Y16" s="53"/>
    </row>
    <row r="17" spans="1:25" s="54" customFormat="1" ht="20.100000000000001" customHeight="1" x14ac:dyDescent="0.15">
      <c r="A17" s="88" t="str">
        <f>IFERROR(IF(HLOOKUP($N$4,RangeUnitsets,O17,FALSE)=0,"",HLOOKUP($N$4,RangeUnitsets,O17,FALSE)),"")</f>
        <v>EDUC1031</v>
      </c>
      <c r="B17" s="84">
        <f>IFERROR(IF(VLOOKUP($A17,TableHandbook[],B$2,FALSE)=0,"",VLOOKUP($A17,TableHandbook[],B$2,FALSE)),"")</f>
        <v>1</v>
      </c>
      <c r="C17" s="84" t="str">
        <f>IFERROR(IF(VLOOKUP($A17,TableHandbook[],C$2,FALSE)=0,"",VLOOKUP($A17,TableHandbook[],C$2,FALSE)),"")</f>
        <v/>
      </c>
      <c r="D17" s="186" t="str">
        <f>IFERROR(IF(VLOOKUP($A17,TableHandbook[],D$2,FALSE)=0,"",VLOOKUP($A17,TableHandbook[],D$2,FALSE)),"")</f>
        <v>The Numerate Educator</v>
      </c>
      <c r="E17" s="84" t="str">
        <f>IF(A17="","",E16)</f>
        <v>Sem2</v>
      </c>
      <c r="F17" s="81" t="str">
        <f>IFERROR(IF(VLOOKUP($A17,TableHandbook[],F$2,FALSE)=0,"",VLOOKUP($A17,TableHandbook[],F$2,FALSE)),"")</f>
        <v>Nil</v>
      </c>
      <c r="G17" s="84">
        <f>IFERROR(IF(VLOOKUP($A17,TableHandbook[],G$2,FALSE)=0,"",VLOOKUP($A17,TableHandbook[],G$2,FALSE)),"")</f>
        <v>25</v>
      </c>
      <c r="H17" s="94" t="str">
        <f>IFERROR(VLOOKUP($A17,TableHandbook[],H$2,FALSE),"")</f>
        <v/>
      </c>
      <c r="I17" s="84" t="str">
        <f>IFERROR(VLOOKUP($A17,TableHandbook[],I$2,FALSE),"")</f>
        <v/>
      </c>
      <c r="J17" s="84" t="str">
        <f>IFERROR(VLOOKUP($A17,TableHandbook[],J$2,FALSE),"")</f>
        <v/>
      </c>
      <c r="K17" s="84" t="str">
        <f>IFERROR(VLOOKUP($A17,TableHandbook[],K$2,FALSE),"")</f>
        <v>Y</v>
      </c>
      <c r="L17" s="84" t="str">
        <f>IFERROR(VLOOKUP($A17,TableHandbook[],L$2,FALSE),"")</f>
        <v>Y</v>
      </c>
      <c r="M17" s="84" t="str">
        <f>IFERROR(VLOOKUP($A17,TableHandbook[],M$2,FALSE),"")</f>
        <v>Y</v>
      </c>
      <c r="N17" s="91"/>
      <c r="O17" s="103">
        <v>9</v>
      </c>
      <c r="P17" s="52"/>
      <c r="Q17" s="52"/>
      <c r="R17" s="53"/>
      <c r="S17" s="53"/>
      <c r="T17" s="53"/>
      <c r="U17" s="53"/>
      <c r="V17" s="53"/>
      <c r="W17" s="53"/>
      <c r="X17" s="53"/>
      <c r="Y17" s="53"/>
    </row>
    <row r="18" spans="1:25" s="47" customFormat="1" ht="21" x14ac:dyDescent="0.25">
      <c r="A18" s="167" t="s">
        <v>26</v>
      </c>
      <c r="B18" s="167"/>
      <c r="C18" s="167"/>
      <c r="D18" s="187" t="s">
        <v>3</v>
      </c>
      <c r="E18" s="173" t="s">
        <v>17</v>
      </c>
      <c r="F18" s="167" t="s">
        <v>18</v>
      </c>
      <c r="G18" s="167" t="s">
        <v>19</v>
      </c>
      <c r="H18" s="175" t="s">
        <v>921</v>
      </c>
      <c r="I18" s="173" t="s">
        <v>20</v>
      </c>
      <c r="J18" s="173" t="s">
        <v>21</v>
      </c>
      <c r="K18" s="173" t="s">
        <v>22</v>
      </c>
      <c r="L18" s="173" t="s">
        <v>23</v>
      </c>
      <c r="M18" s="176" t="s">
        <v>24</v>
      </c>
      <c r="N18" s="174" t="s">
        <v>25</v>
      </c>
      <c r="O18" s="45"/>
      <c r="P18" s="45"/>
      <c r="Q18" s="45"/>
      <c r="R18" s="46"/>
      <c r="S18" s="46"/>
      <c r="T18" s="46"/>
      <c r="U18" s="46"/>
      <c r="V18" s="46"/>
      <c r="W18" s="46"/>
      <c r="X18" s="46"/>
      <c r="Y18" s="46"/>
    </row>
    <row r="19" spans="1:25" s="50" customFormat="1" ht="20.100000000000001" customHeight="1" x14ac:dyDescent="0.15">
      <c r="A19" s="290" t="str">
        <f>IFERROR(IF(HLOOKUP($N$4,RangeUnitsets,O19,FALSE)=0,"",HLOOKUP($N$4,RangeUnitsets,O19,FALSE)),"")</f>
        <v>EDPR2016</v>
      </c>
      <c r="B19" s="84">
        <f>IFERROR(IF(VLOOKUP($A19,TableHandbook[],B$2,FALSE)=0,"",VLOOKUP($A19,TableHandbook[],B$2,FALSE)),"")</f>
        <v>1</v>
      </c>
      <c r="C19" s="84" t="str">
        <f>IFERROR(IF(VLOOKUP($A19,TableHandbook[],C$2,FALSE)=0,"",VLOOKUP($A19,TableHandbook[],C$2,FALSE)),"")</f>
        <v/>
      </c>
      <c r="D19" s="86" t="str">
        <f>IFERROR(IF(VLOOKUP($A19,TableHandbook[],D$2,FALSE)=0,"",VLOOKUP($A19,TableHandbook[],D$2,FALSE)),"")</f>
        <v>Health and Physical Education</v>
      </c>
      <c r="E19" s="84" t="str">
        <f>IF(OR(A19="",A19="--"),"",VLOOKUP($D$6,TableStudyPeriods[],2,FALSE))</f>
        <v>Sem1</v>
      </c>
      <c r="F19" s="81" t="str">
        <f>IFERROR(IF(VLOOKUP($A19,TableHandbook[],F$2,FALSE)=0,"",VLOOKUP($A19,TableHandbook[],F$2,FALSE)),"")</f>
        <v>100CP + EDUC1021</v>
      </c>
      <c r="G19" s="82">
        <f>IFERROR(IF(VLOOKUP($A19,TableHandbook[],G$2,FALSE)=0,"",VLOOKUP($A19,TableHandbook[],G$2,FALSE)),"")</f>
        <v>25</v>
      </c>
      <c r="H19" s="92" t="str">
        <f>IFERROR(VLOOKUP($A19,TableHandbook[],H$2,FALSE),"")</f>
        <v>Y</v>
      </c>
      <c r="I19" s="82" t="str">
        <f>IFERROR(VLOOKUP($A19,TableHandbook[],I$2,FALSE),"")</f>
        <v>Y</v>
      </c>
      <c r="J19" s="82" t="str">
        <f>IFERROR(VLOOKUP($A19,TableHandbook[],J$2,FALSE),"")</f>
        <v>Y</v>
      </c>
      <c r="K19" s="82" t="str">
        <f>IFERROR(VLOOKUP($A19,TableHandbook[],K$2,FALSE),"")</f>
        <v/>
      </c>
      <c r="L19" s="82" t="str">
        <f>IFERROR(VLOOKUP($A19,TableHandbook[],L$2,FALSE),"")</f>
        <v/>
      </c>
      <c r="M19" s="93" t="str">
        <f>IFERROR(VLOOKUP($A19,TableHandbook[],M$2,FALSE),"")</f>
        <v/>
      </c>
      <c r="N19" s="87"/>
      <c r="O19" s="103">
        <v>10</v>
      </c>
      <c r="P19" s="48"/>
      <c r="Q19" s="48"/>
      <c r="R19" s="49"/>
      <c r="S19" s="49"/>
      <c r="T19" s="49"/>
      <c r="U19" s="49"/>
      <c r="V19" s="49"/>
      <c r="W19" s="49"/>
      <c r="X19" s="49"/>
      <c r="Y19" s="49"/>
    </row>
    <row r="20" spans="1:25" s="50" customFormat="1" ht="19.5" customHeight="1" x14ac:dyDescent="0.15">
      <c r="A20" s="88" t="str">
        <f>IFERROR(IF(HLOOKUP($N$4,RangeUnitsets,O20,FALSE)=0,"",HLOOKUP($N$4,RangeUnitsets,O20,FALSE)),"")</f>
        <v>EDUC2007</v>
      </c>
      <c r="B20" s="84">
        <f>IFERROR(IF(VLOOKUP($A20,TableHandbook[],B$2,FALSE)=0,"",VLOOKUP($A20,TableHandbook[],B$2,FALSE)),"")</f>
        <v>1</v>
      </c>
      <c r="C20" s="84" t="str">
        <f>IFERROR(IF(VLOOKUP($A20,TableHandbook[],C$2,FALSE)=0,"",VLOOKUP($A20,TableHandbook[],C$2,FALSE)),"")</f>
        <v/>
      </c>
      <c r="D20" s="186" t="str">
        <f>IFERROR(IF(VLOOKUP($A20,TableHandbook[],D$2,FALSE)=0,"",VLOOKUP($A20,TableHandbook[],D$2,FALSE)),"")</f>
        <v>Teaching Language, Literacy and Literature in Junior Primary</v>
      </c>
      <c r="E20" s="84" t="str">
        <f>IF(A20="","",E19)</f>
        <v>Sem1</v>
      </c>
      <c r="F20" s="81" t="str">
        <f>IFERROR(IF(VLOOKUP($A20,TableHandbook[],F$2,FALSE)=0,"",VLOOKUP($A20,TableHandbook[],F$2,FALSE)),"")</f>
        <v>100CP + (EDSC1009 OR EDUC1023)</v>
      </c>
      <c r="G20" s="82">
        <f>IFERROR(IF(VLOOKUP($A20,TableHandbook[],G$2,FALSE)=0,"",VLOOKUP($A20,TableHandbook[],G$2,FALSE)),"")</f>
        <v>25</v>
      </c>
      <c r="H20" s="92" t="str">
        <f>IFERROR(VLOOKUP($A20,TableHandbook[],H$2,FALSE),"")</f>
        <v>Y</v>
      </c>
      <c r="I20" s="82" t="str">
        <f>IFERROR(VLOOKUP($A20,TableHandbook[],I$2,FALSE),"")</f>
        <v>Y</v>
      </c>
      <c r="J20" s="82" t="str">
        <f>IFERROR(VLOOKUP($A20,TableHandbook[],J$2,FALSE),"")</f>
        <v>Y</v>
      </c>
      <c r="K20" s="82" t="str">
        <f>IFERROR(VLOOKUP($A20,TableHandbook[],K$2,FALSE),"")</f>
        <v/>
      </c>
      <c r="L20" s="82" t="str">
        <f>IFERROR(VLOOKUP($A20,TableHandbook[],L$2,FALSE),"")</f>
        <v/>
      </c>
      <c r="M20" s="93" t="str">
        <f>IFERROR(VLOOKUP($A20,TableHandbook[],M$2,FALSE),"")</f>
        <v/>
      </c>
      <c r="N20" s="87"/>
      <c r="O20" s="103">
        <v>11</v>
      </c>
      <c r="P20" s="48"/>
      <c r="Q20" s="48"/>
      <c r="R20" s="49"/>
      <c r="S20" s="49"/>
      <c r="T20" s="49"/>
      <c r="U20" s="49"/>
      <c r="V20" s="49"/>
      <c r="W20" s="49"/>
      <c r="X20" s="49"/>
      <c r="Y20" s="49"/>
    </row>
    <row r="21" spans="1:25" s="50" customFormat="1" ht="20.100000000000001" customHeight="1" x14ac:dyDescent="0.15">
      <c r="A21" s="88" t="str">
        <f>IFERROR(IF(HLOOKUP($N$4,RangeUnitsets,O21,FALSE)=0,"",HLOOKUP($N$4,RangeUnitsets,O21,FALSE)),"")</f>
        <v>EDUC2005</v>
      </c>
      <c r="B21" s="84">
        <f>IFERROR(IF(VLOOKUP($A21,TableHandbook[],B$2,FALSE)=0,"",VLOOKUP($A21,TableHandbook[],B$2,FALSE)),"")</f>
        <v>1</v>
      </c>
      <c r="C21" s="84" t="str">
        <f>IFERROR(IF(VLOOKUP($A21,TableHandbook[],C$2,FALSE)=0,"",VLOOKUP($A21,TableHandbook[],C$2,FALSE)),"")</f>
        <v/>
      </c>
      <c r="D21" s="186" t="str">
        <f>IFERROR(IF(VLOOKUP($A21,TableHandbook[],D$2,FALSE)=0,"",VLOOKUP($A21,TableHandbook[],D$2,FALSE)),"")</f>
        <v>Learning Theories, Diversity and Differentiation</v>
      </c>
      <c r="E21" s="84" t="str">
        <f>IF(A21="","",E20)</f>
        <v>Sem1</v>
      </c>
      <c r="F21" s="81" t="str">
        <f>IFERROR(IF(VLOOKUP($A21,TableHandbook[],F$2,FALSE)=0,"",VLOOKUP($A21,TableHandbook[],F$2,FALSE)),"")</f>
        <v>50CP + EDUC1021</v>
      </c>
      <c r="G21" s="82">
        <f>IFERROR(IF(VLOOKUP($A21,TableHandbook[],G$2,FALSE)=0,"",VLOOKUP($A21,TableHandbook[],G$2,FALSE)),"")</f>
        <v>25</v>
      </c>
      <c r="H21" s="92" t="str">
        <f>IFERROR(VLOOKUP($A21,TableHandbook[],H$2,FALSE),"")</f>
        <v>Y</v>
      </c>
      <c r="I21" s="82" t="str">
        <f>IFERROR(VLOOKUP($A21,TableHandbook[],I$2,FALSE),"")</f>
        <v>Y</v>
      </c>
      <c r="J21" s="82" t="str">
        <f>IFERROR(VLOOKUP($A21,TableHandbook[],J$2,FALSE),"")</f>
        <v>Y</v>
      </c>
      <c r="K21" s="82" t="str">
        <f>IFERROR(VLOOKUP($A21,TableHandbook[],K$2,FALSE),"")</f>
        <v>Y</v>
      </c>
      <c r="L21" s="82" t="str">
        <f>IFERROR(VLOOKUP($A21,TableHandbook[],L$2,FALSE),"")</f>
        <v>Y</v>
      </c>
      <c r="M21" s="93" t="str">
        <f>IFERROR(VLOOKUP($A21,TableHandbook[],M$2,FALSE),"")</f>
        <v/>
      </c>
      <c r="N21" s="87"/>
      <c r="O21" s="103">
        <v>12</v>
      </c>
      <c r="P21" s="48"/>
      <c r="Q21" s="48"/>
      <c r="R21" s="49"/>
      <c r="S21" s="49"/>
      <c r="T21" s="49"/>
      <c r="U21" s="49"/>
      <c r="V21" s="49"/>
      <c r="W21" s="49"/>
      <c r="X21" s="49"/>
      <c r="Y21" s="49"/>
    </row>
    <row r="22" spans="1:25" s="50" customFormat="1" ht="20.100000000000001" customHeight="1" x14ac:dyDescent="0.15">
      <c r="A22" s="88" t="str">
        <f>IFERROR(IF(HLOOKUP($N$4,RangeUnitsets,O22,FALSE)=0,"",HLOOKUP($N$4,RangeUnitsets,O22,FALSE)),"")</f>
        <v>Option</v>
      </c>
      <c r="B22" s="84" t="str">
        <f>IFERROR(IF(VLOOKUP($A22,TableHandbook[],B$2,FALSE)=0,"",VLOOKUP($A22,TableHandbook[],B$2,FALSE)),"")</f>
        <v/>
      </c>
      <c r="C22" s="84" t="str">
        <f>IFERROR(IF(VLOOKUP($A22,TableHandbook[],C$2,FALSE)=0,"",VLOOKUP($A22,TableHandbook[],C$2,FALSE)),"")</f>
        <v/>
      </c>
      <c r="D22" s="186" t="str">
        <f>IFERROR(IF(VLOOKUP($A22,TableHandbook[],D$2,FALSE)=0,"",VLOOKUP($A22,TableHandbook[],D$2,FALSE)),"")</f>
        <v>Study an Option unit from the list below</v>
      </c>
      <c r="E22" s="84" t="str">
        <f>IF(A22="","",E21)</f>
        <v>Sem1</v>
      </c>
      <c r="F22" s="81" t="str">
        <f>IFERROR(IF(VLOOKUP($A22,TableHandbook[],F$2,FALSE)=0,"",VLOOKUP($A22,TableHandbook[],F$2,FALSE)),"")</f>
        <v>See below</v>
      </c>
      <c r="G22" s="82">
        <f>IFERROR(IF(VLOOKUP($A22,TableHandbook[],G$2,FALSE)=0,"",VLOOKUP($A22,TableHandbook[],G$2,FALSE)),"")</f>
        <v>25</v>
      </c>
      <c r="H22" s="92" t="str">
        <f>IFERROR(VLOOKUP($A22,TableHandbook[],H$2,FALSE),"")</f>
        <v/>
      </c>
      <c r="I22" s="82" t="str">
        <f>IFERROR(VLOOKUP($A22,TableHandbook[],I$2,FALSE),"")</f>
        <v/>
      </c>
      <c r="J22" s="82" t="str">
        <f>IFERROR(VLOOKUP($A22,TableHandbook[],J$2,FALSE),"")</f>
        <v/>
      </c>
      <c r="K22" s="82" t="str">
        <f>IFERROR(VLOOKUP($A22,TableHandbook[],K$2,FALSE),"")</f>
        <v/>
      </c>
      <c r="L22" s="82" t="str">
        <f>IFERROR(VLOOKUP($A22,TableHandbook[],L$2,FALSE),"")</f>
        <v/>
      </c>
      <c r="M22" s="93" t="str">
        <f>IFERROR(VLOOKUP($A22,TableHandbook[],M$2,FALSE),"")</f>
        <v/>
      </c>
      <c r="N22" s="87"/>
      <c r="O22" s="103">
        <v>13</v>
      </c>
      <c r="P22" s="48"/>
      <c r="Q22" s="48"/>
      <c r="R22" s="49"/>
      <c r="S22" s="49"/>
      <c r="T22" s="49"/>
      <c r="U22" s="49"/>
      <c r="V22" s="49"/>
      <c r="W22" s="49"/>
      <c r="X22" s="49"/>
      <c r="Y22" s="49"/>
    </row>
    <row r="23" spans="1:25" s="50" customFormat="1" ht="5.0999999999999996" customHeight="1" x14ac:dyDescent="0.15">
      <c r="A23" s="139"/>
      <c r="B23" s="140"/>
      <c r="C23" s="140"/>
      <c r="D23" s="141"/>
      <c r="E23" s="140"/>
      <c r="F23" s="142"/>
      <c r="G23" s="140"/>
      <c r="H23" s="143"/>
      <c r="I23" s="140"/>
      <c r="J23" s="140"/>
      <c r="K23" s="140"/>
      <c r="L23" s="140"/>
      <c r="M23" s="144"/>
      <c r="N23" s="145"/>
      <c r="O23" s="51"/>
      <c r="P23" s="48"/>
      <c r="Q23" s="48"/>
      <c r="R23" s="48"/>
      <c r="S23" s="49"/>
      <c r="T23" s="49"/>
      <c r="U23" s="49"/>
      <c r="V23" s="49"/>
      <c r="W23" s="49"/>
      <c r="X23" s="49"/>
      <c r="Y23" s="49"/>
    </row>
    <row r="24" spans="1:25" s="50" customFormat="1" ht="20.100000000000001" customHeight="1" x14ac:dyDescent="0.15">
      <c r="A24" s="88" t="str">
        <f>IFERROR(IF(HLOOKUP($N$4,RangeUnitsets,O24,FALSE)=0,"",HLOOKUP($N$4,RangeUnitsets,O24,FALSE)),"")</f>
        <v>EDPR2004</v>
      </c>
      <c r="B24" s="84">
        <f>IFERROR(IF(VLOOKUP($A24,TableHandbook[],B$2,FALSE)=0,"",VLOOKUP($A24,TableHandbook[],B$2,FALSE)),"")</f>
        <v>1</v>
      </c>
      <c r="C24" s="84" t="str">
        <f>IFERROR(IF(VLOOKUP($A24,TableHandbook[],C$2,FALSE)=0,"",VLOOKUP($A24,TableHandbook[],C$2,FALSE)),"")</f>
        <v/>
      </c>
      <c r="D24" s="186" t="str">
        <f>IFERROR(IF(VLOOKUP($A24,TableHandbook[],D$2,FALSE)=0,"",VLOOKUP($A24,TableHandbook[],D$2,FALSE)),"")</f>
        <v>Children as Mathematical Learners</v>
      </c>
      <c r="E24" s="84" t="str">
        <f>IF(OR(A24="",A24="--"),"",VLOOKUP($D$6,TableStudyPeriods[],3,FALSE))</f>
        <v>Sem2</v>
      </c>
      <c r="F24" s="81" t="str">
        <f>IFERROR(IF(VLOOKUP($A24,TableHandbook[],F$2,FALSE)=0,"",VLOOKUP($A24,TableHandbook[],F$2,FALSE)),"")</f>
        <v>100CP + (EDSC1009 OR EDUC1031)</v>
      </c>
      <c r="G24" s="82">
        <f>IFERROR(IF(VLOOKUP($A24,TableHandbook[],G$2,FALSE)=0,"",VLOOKUP($A24,TableHandbook[],G$2,FALSE)),"")</f>
        <v>25</v>
      </c>
      <c r="H24" s="92" t="str">
        <f>IFERROR(VLOOKUP($A24,TableHandbook[],H$2,FALSE),"")</f>
        <v/>
      </c>
      <c r="I24" s="82" t="str">
        <f>IFERROR(VLOOKUP($A24,TableHandbook[],I$2,FALSE),"")</f>
        <v/>
      </c>
      <c r="J24" s="82" t="str">
        <f>IFERROR(VLOOKUP($A24,TableHandbook[],J$2,FALSE),"")</f>
        <v/>
      </c>
      <c r="K24" s="82" t="str">
        <f>IFERROR(VLOOKUP($A24,TableHandbook[],K$2,FALSE),"")</f>
        <v>Y</v>
      </c>
      <c r="L24" s="82" t="str">
        <f>IFERROR(VLOOKUP($A24,TableHandbook[],L$2,FALSE),"")</f>
        <v>Y</v>
      </c>
      <c r="M24" s="93" t="str">
        <f>IFERROR(VLOOKUP($A24,TableHandbook[],M$2,FALSE),"")</f>
        <v>Y</v>
      </c>
      <c r="N24" s="87"/>
      <c r="O24" s="103">
        <v>14</v>
      </c>
      <c r="P24" s="48"/>
      <c r="Q24" s="48"/>
      <c r="R24" s="49"/>
      <c r="S24" s="49"/>
      <c r="T24" s="49"/>
      <c r="U24" s="49"/>
      <c r="V24" s="49"/>
      <c r="W24" s="49"/>
      <c r="X24" s="49"/>
      <c r="Y24" s="49"/>
    </row>
    <row r="25" spans="1:25" s="50" customFormat="1" ht="20.100000000000001" customHeight="1" x14ac:dyDescent="0.15">
      <c r="A25" s="88" t="str">
        <f>IFERROR(IF(HLOOKUP($N$4,RangeUnitsets,O25,FALSE)=0,"",HLOOKUP($N$4,RangeUnitsets,O25,FALSE)),"")</f>
        <v>EDPR2000</v>
      </c>
      <c r="B25" s="84">
        <f>IFERROR(IF(VLOOKUP($A25,TableHandbook[],B$2,FALSE)=0,"",VLOOKUP($A25,TableHandbook[],B$2,FALSE)),"")</f>
        <v>1</v>
      </c>
      <c r="C25" s="84" t="str">
        <f>IFERROR(IF(VLOOKUP($A25,TableHandbook[],C$2,FALSE)=0,"",VLOOKUP($A25,TableHandbook[],C$2,FALSE)),"")</f>
        <v/>
      </c>
      <c r="D25" s="186" t="str">
        <f>IFERROR(IF(VLOOKUP($A25,TableHandbook[],D$2,FALSE)=0,"",VLOOKUP($A25,TableHandbook[],D$2,FALSE)),"")</f>
        <v>Inquiry in the Science Classroom</v>
      </c>
      <c r="E25" s="84" t="str">
        <f>IF(A25="","",E24)</f>
        <v>Sem2</v>
      </c>
      <c r="F25" s="81" t="str">
        <f>IFERROR(IF(VLOOKUP($A25,TableHandbook[],F$2,FALSE)=0,"",VLOOKUP($A25,TableHandbook[],F$2,FALSE)),"")</f>
        <v>100CP + EDUC1027</v>
      </c>
      <c r="G25" s="82">
        <f>IFERROR(IF(VLOOKUP($A25,TableHandbook[],G$2,FALSE)=0,"",VLOOKUP($A25,TableHandbook[],G$2,FALSE)),"")</f>
        <v>25</v>
      </c>
      <c r="H25" s="92" t="str">
        <f>IFERROR(VLOOKUP($A25,TableHandbook[],H$2,FALSE),"")</f>
        <v/>
      </c>
      <c r="I25" s="82" t="str">
        <f>IFERROR(VLOOKUP($A25,TableHandbook[],I$2,FALSE),"")</f>
        <v/>
      </c>
      <c r="J25" s="82" t="str">
        <f>IFERROR(VLOOKUP($A25,TableHandbook[],J$2,FALSE),"")</f>
        <v/>
      </c>
      <c r="K25" s="82" t="str">
        <f>IFERROR(VLOOKUP($A25,TableHandbook[],K$2,FALSE),"")</f>
        <v>Y</v>
      </c>
      <c r="L25" s="82" t="str">
        <f>IFERROR(VLOOKUP($A25,TableHandbook[],L$2,FALSE),"")</f>
        <v>Y</v>
      </c>
      <c r="M25" s="93" t="str">
        <f>IFERROR(VLOOKUP($A25,TableHandbook[],M$2,FALSE),"")</f>
        <v>Y</v>
      </c>
      <c r="N25" s="87"/>
      <c r="O25" s="103">
        <v>15</v>
      </c>
      <c r="P25" s="48"/>
      <c r="Q25" s="48"/>
      <c r="R25" s="49"/>
      <c r="S25" s="49"/>
      <c r="T25" s="49"/>
      <c r="U25" s="49"/>
      <c r="V25" s="49"/>
      <c r="W25" s="49"/>
      <c r="X25" s="49"/>
      <c r="Y25" s="49"/>
    </row>
    <row r="26" spans="1:25" s="54" customFormat="1" ht="20.100000000000001" customHeight="1" x14ac:dyDescent="0.15">
      <c r="A26" s="88" t="str">
        <f>IFERROR(IF(HLOOKUP($N$4,RangeUnitsets,O26,FALSE)=0,"",HLOOKUP($N$4,RangeUnitsets,O26,FALSE)),"")</f>
        <v>EDSC1011</v>
      </c>
      <c r="B26" s="84">
        <f>IFERROR(IF(VLOOKUP($A26,TableHandbook[],B$2,FALSE)=0,"",VLOOKUP($A26,TableHandbook[],B$2,FALSE)),"")</f>
        <v>1</v>
      </c>
      <c r="C26" s="84" t="str">
        <f>IFERROR(IF(VLOOKUP($A26,TableHandbook[],C$2,FALSE)=0,"",VLOOKUP($A26,TableHandbook[],C$2,FALSE)),"")</f>
        <v/>
      </c>
      <c r="D26" s="186" t="str">
        <f>IFERROR(IF(VLOOKUP($A26,TableHandbook[],D$2,FALSE)=0,"",VLOOKUP($A26,TableHandbook[],D$2,FALSE)),"")</f>
        <v>Managing the Learning Environment</v>
      </c>
      <c r="E26" s="84" t="str">
        <f>IF(A26="","",E25)</f>
        <v>Sem2</v>
      </c>
      <c r="F26" s="81" t="str">
        <f>IFERROR(IF(VLOOKUP($A26,TableHandbook[],F$2,FALSE)=0,"",VLOOKUP($A26,TableHandbook[],F$2,FALSE)),"")</f>
        <v>Nil</v>
      </c>
      <c r="G26" s="82">
        <f>IFERROR(IF(VLOOKUP($A26,TableHandbook[],G$2,FALSE)=0,"",VLOOKUP($A26,TableHandbook[],G$2,FALSE)),"")</f>
        <v>25</v>
      </c>
      <c r="H26" s="92" t="str">
        <f>IFERROR(VLOOKUP($A26,TableHandbook[],H$2,FALSE),"")</f>
        <v/>
      </c>
      <c r="I26" s="82" t="str">
        <f>IFERROR(VLOOKUP($A26,TableHandbook[],I$2,FALSE),"")</f>
        <v/>
      </c>
      <c r="J26" s="82" t="str">
        <f>IFERROR(VLOOKUP($A26,TableHandbook[],J$2,FALSE),"")</f>
        <v/>
      </c>
      <c r="K26" s="82" t="str">
        <f>IFERROR(VLOOKUP($A26,TableHandbook[],K$2,FALSE),"")</f>
        <v>Y</v>
      </c>
      <c r="L26" s="82" t="str">
        <f>IFERROR(VLOOKUP($A26,TableHandbook[],L$2,FALSE),"")</f>
        <v>Y</v>
      </c>
      <c r="M26" s="93" t="str">
        <f>IFERROR(VLOOKUP($A26,TableHandbook[],M$2,FALSE),"")</f>
        <v/>
      </c>
      <c r="N26" s="87"/>
      <c r="O26" s="103">
        <v>16</v>
      </c>
      <c r="P26" s="52"/>
      <c r="Q26" s="52"/>
      <c r="R26" s="53"/>
      <c r="S26" s="53"/>
      <c r="T26" s="53"/>
      <c r="U26" s="53"/>
      <c r="V26" s="53"/>
      <c r="W26" s="53"/>
      <c r="X26" s="53"/>
      <c r="Y26" s="53"/>
    </row>
    <row r="27" spans="1:25" s="54" customFormat="1" ht="20.100000000000001" customHeight="1" x14ac:dyDescent="0.15">
      <c r="A27" s="88" t="str">
        <f>IFERROR(IF(HLOOKUP($N$4,RangeUnitsets,O27,FALSE)=0,"",HLOOKUP($N$4,RangeUnitsets,O27,FALSE)),"")</f>
        <v>Option</v>
      </c>
      <c r="B27" s="84" t="str">
        <f>IFERROR(IF(VLOOKUP($A27,TableHandbook[],B$2,FALSE)=0,"",VLOOKUP($A27,TableHandbook[],B$2,FALSE)),"")</f>
        <v/>
      </c>
      <c r="C27" s="84" t="str">
        <f>IFERROR(IF(VLOOKUP($A27,TableHandbook[],C$2,FALSE)=0,"",VLOOKUP($A27,TableHandbook[],C$2,FALSE)),"")</f>
        <v/>
      </c>
      <c r="D27" s="186" t="str">
        <f>IFERROR(IF(VLOOKUP($A27,TableHandbook[],D$2,FALSE)=0,"",VLOOKUP($A27,TableHandbook[],D$2,FALSE)),"")</f>
        <v>Study an Option unit from the list below</v>
      </c>
      <c r="E27" s="82" t="str">
        <f>IF(A27="","",E26)</f>
        <v>Sem2</v>
      </c>
      <c r="F27" s="81" t="str">
        <f>IFERROR(IF(VLOOKUP($A27,TableHandbook[],F$2,FALSE)=0,"",VLOOKUP($A27,TableHandbook[],F$2,FALSE)),"")</f>
        <v>See below</v>
      </c>
      <c r="G27" s="82">
        <f>IFERROR(IF(VLOOKUP($A27,TableHandbook[],G$2,FALSE)=0,"",VLOOKUP($A27,TableHandbook[],G$2,FALSE)),"")</f>
        <v>25</v>
      </c>
      <c r="H27" s="92" t="str">
        <f>IFERROR(VLOOKUP($A27,TableHandbook[],H$2,FALSE),"")</f>
        <v/>
      </c>
      <c r="I27" s="82" t="str">
        <f>IFERROR(VLOOKUP($A27,TableHandbook[],I$2,FALSE),"")</f>
        <v/>
      </c>
      <c r="J27" s="82" t="str">
        <f>IFERROR(VLOOKUP($A27,TableHandbook[],J$2,FALSE),"")</f>
        <v/>
      </c>
      <c r="K27" s="82" t="str">
        <f>IFERROR(VLOOKUP($A27,TableHandbook[],K$2,FALSE),"")</f>
        <v/>
      </c>
      <c r="L27" s="82" t="str">
        <f>IFERROR(VLOOKUP($A27,TableHandbook[],L$2,FALSE),"")</f>
        <v/>
      </c>
      <c r="M27" s="93" t="str">
        <f>IFERROR(VLOOKUP($A27,TableHandbook[],M$2,FALSE),"")</f>
        <v/>
      </c>
      <c r="N27" s="87"/>
      <c r="O27" s="103">
        <v>17</v>
      </c>
      <c r="P27" s="52"/>
      <c r="Q27" s="52"/>
      <c r="R27" s="53"/>
      <c r="S27" s="53"/>
      <c r="T27" s="53"/>
      <c r="U27" s="53"/>
      <c r="V27" s="53"/>
      <c r="W27" s="53"/>
      <c r="X27" s="53"/>
      <c r="Y27" s="53"/>
    </row>
    <row r="28" spans="1:25" s="47" customFormat="1" ht="21" x14ac:dyDescent="0.25">
      <c r="A28" s="167" t="s">
        <v>27</v>
      </c>
      <c r="B28" s="167"/>
      <c r="C28" s="167"/>
      <c r="D28" s="187" t="s">
        <v>3</v>
      </c>
      <c r="E28" s="173" t="s">
        <v>17</v>
      </c>
      <c r="F28" s="167" t="s">
        <v>18</v>
      </c>
      <c r="G28" s="167" t="s">
        <v>19</v>
      </c>
      <c r="H28" s="175" t="s">
        <v>921</v>
      </c>
      <c r="I28" s="173" t="s">
        <v>20</v>
      </c>
      <c r="J28" s="173" t="s">
        <v>21</v>
      </c>
      <c r="K28" s="173" t="s">
        <v>22</v>
      </c>
      <c r="L28" s="173" t="s">
        <v>23</v>
      </c>
      <c r="M28" s="176" t="s">
        <v>24</v>
      </c>
      <c r="N28" s="174" t="s">
        <v>25</v>
      </c>
      <c r="O28" s="45"/>
      <c r="P28" s="45"/>
      <c r="Q28" s="45"/>
      <c r="R28" s="46"/>
      <c r="S28" s="46"/>
      <c r="T28" s="46"/>
      <c r="U28" s="46"/>
      <c r="V28" s="46"/>
      <c r="W28" s="46"/>
      <c r="X28" s="46"/>
      <c r="Y28" s="46"/>
    </row>
    <row r="29" spans="1:25" s="50" customFormat="1" ht="20.100000000000001" customHeight="1" x14ac:dyDescent="0.15">
      <c r="A29" s="88" t="str">
        <f>IFERROR(IF(HLOOKUP($N$4,RangeUnitsets,O29,FALSE)=0,"",HLOOKUP($N$4,RangeUnitsets,O29,FALSE)),"")</f>
        <v>INED3001</v>
      </c>
      <c r="B29" s="84">
        <f>IFERROR(IF(VLOOKUP($A29,TableHandbook[],B$2,FALSE)=0,"",VLOOKUP($A29,TableHandbook[],B$2,FALSE)),"")</f>
        <v>1</v>
      </c>
      <c r="C29" s="84" t="str">
        <f>IFERROR(IF(VLOOKUP($A29,TableHandbook[],C$2,FALSE)=0,"",VLOOKUP($A29,TableHandbook[],C$2,FALSE)),"")</f>
        <v/>
      </c>
      <c r="D29" s="86" t="str">
        <f>IFERROR(IF(VLOOKUP($A29,TableHandbook[],D$2,FALSE)=0,"",VLOOKUP($A29,TableHandbook[],D$2,FALSE)),"")</f>
        <v>Indigenous Australian Education</v>
      </c>
      <c r="E29" s="84" t="str">
        <f>IF(OR(A29="",A29="--"),"",VLOOKUP($D$6,TableStudyPeriods[],2,FALSE))</f>
        <v>Sem1</v>
      </c>
      <c r="F29" s="81" t="str">
        <f>IFERROR(IF(VLOOKUP($A29,TableHandbook[],F$2,FALSE)=0,"",VLOOKUP($A29,TableHandbook[],F$2,FALSE)),"")</f>
        <v>300CP + EDUC1021 + EDUC2005</v>
      </c>
      <c r="G29" s="82">
        <f>IFERROR(IF(VLOOKUP($A29,TableHandbook[],G$2,FALSE)=0,"",VLOOKUP($A29,TableHandbook[],G$2,FALSE)),"")</f>
        <v>25</v>
      </c>
      <c r="H29" s="92" t="str">
        <f>IFERROR(VLOOKUP($A29,TableHandbook[],H$2,FALSE),"")</f>
        <v>Y</v>
      </c>
      <c r="I29" s="82" t="str">
        <f>IFERROR(VLOOKUP($A29,TableHandbook[],I$2,FALSE),"")</f>
        <v/>
      </c>
      <c r="J29" s="82" t="str">
        <f>IFERROR(VLOOKUP($A29,TableHandbook[],J$2,FALSE),"")</f>
        <v>Y</v>
      </c>
      <c r="K29" s="82" t="str">
        <f>IFERROR(VLOOKUP($A29,TableHandbook[],K$2,FALSE),"")</f>
        <v>Y</v>
      </c>
      <c r="L29" s="82" t="str">
        <f>IFERROR(VLOOKUP($A29,TableHandbook[],L$2,FALSE),"")</f>
        <v/>
      </c>
      <c r="M29" s="93" t="str">
        <f>IFERROR(VLOOKUP($A29,TableHandbook[],M$2,FALSE),"")</f>
        <v>Y</v>
      </c>
      <c r="N29" s="87"/>
      <c r="O29" s="103">
        <v>18</v>
      </c>
      <c r="P29" s="48"/>
      <c r="Q29" s="48"/>
      <c r="R29" s="49"/>
      <c r="S29" s="49"/>
      <c r="T29" s="49"/>
      <c r="U29" s="49"/>
      <c r="V29" s="49"/>
      <c r="W29" s="49"/>
      <c r="X29" s="49"/>
      <c r="Y29" s="49"/>
    </row>
    <row r="30" spans="1:25" s="50" customFormat="1" ht="19.5" customHeight="1" x14ac:dyDescent="0.15">
      <c r="A30" s="88" t="str">
        <f>IFERROR(IF(HLOOKUP($N$4,RangeUnitsets,O30,FALSE)=0,"",HLOOKUP($N$4,RangeUnitsets,O30,FALSE)),"")</f>
        <v>AC-BEDUC2</v>
      </c>
      <c r="B30" s="84" t="str">
        <f>IFERROR(IF(VLOOKUP($A30,TableHandbook[],B$2,FALSE)=0,"",VLOOKUP($A30,TableHandbook[],B$2,FALSE)),"")</f>
        <v/>
      </c>
      <c r="C30" s="84" t="str">
        <f>IFERROR(IF(VLOOKUP($A30,TableHandbook[],C$2,FALSE)=0,"",VLOOKUP($A30,TableHandbook[],C$2,FALSE)),"")</f>
        <v/>
      </c>
      <c r="D30" s="186" t="str">
        <f>IFERROR(IF(VLOOKUP($A30,TableHandbook[],D$2,FALSE)=0,"",VLOOKUP($A30,TableHandbook[],D$2,FALSE)),"")</f>
        <v>Study either EDPR3004 or EDSC3007 (see below)</v>
      </c>
      <c r="E30" s="84" t="str">
        <f>IF(A30="","",E29)</f>
        <v>Sem1</v>
      </c>
      <c r="F30" s="81" t="str">
        <f>IFERROR(IF(VLOOKUP($A30,TableHandbook[],F$2,FALSE)=0,"",VLOOKUP($A30,TableHandbook[],F$2,FALSE)),"")</f>
        <v>See below</v>
      </c>
      <c r="G30" s="82">
        <f>IFERROR(IF(VLOOKUP($A30,TableHandbook[],G$2,FALSE)=0,"",VLOOKUP($A30,TableHandbook[],G$2,FALSE)),"")</f>
        <v>25</v>
      </c>
      <c r="H30" s="92" t="str">
        <f>IFERROR(VLOOKUP($A30,TableHandbook[],H$2,FALSE),"")</f>
        <v/>
      </c>
      <c r="I30" s="82" t="str">
        <f>IFERROR(VLOOKUP($A30,TableHandbook[],I$2,FALSE),"")</f>
        <v/>
      </c>
      <c r="J30" s="82" t="str">
        <f>IFERROR(VLOOKUP($A30,TableHandbook[],J$2,FALSE),"")</f>
        <v/>
      </c>
      <c r="K30" s="82" t="str">
        <f>IFERROR(VLOOKUP($A30,TableHandbook[],K$2,FALSE),"")</f>
        <v/>
      </c>
      <c r="L30" s="82" t="str">
        <f>IFERROR(VLOOKUP($A30,TableHandbook[],L$2,FALSE),"")</f>
        <v/>
      </c>
      <c r="M30" s="93" t="str">
        <f>IFERROR(VLOOKUP($A30,TableHandbook[],M$2,FALSE),"")</f>
        <v/>
      </c>
      <c r="N30" s="87"/>
      <c r="O30" s="103">
        <v>19</v>
      </c>
      <c r="P30" s="48"/>
      <c r="Q30" s="48"/>
      <c r="R30" s="49"/>
      <c r="S30" s="49"/>
      <c r="T30" s="49"/>
      <c r="U30" s="49"/>
      <c r="V30" s="49"/>
      <c r="W30" s="49"/>
      <c r="X30" s="49"/>
      <c r="Y30" s="49"/>
    </row>
    <row r="31" spans="1:25" s="50" customFormat="1" ht="20.100000000000001" customHeight="1" x14ac:dyDescent="0.15">
      <c r="A31" s="88" t="str">
        <f>IFERROR(IF(HLOOKUP($N$4,RangeUnitsets,O31,FALSE)=0,"",HLOOKUP($N$4,RangeUnitsets,O31,FALSE)),"")</f>
        <v>Elective</v>
      </c>
      <c r="B31" s="84" t="str">
        <f>IFERROR(IF(VLOOKUP($A31,TableHandbook[],B$2,FALSE)=0,"",VLOOKUP($A31,TableHandbook[],B$2,FALSE)),"")</f>
        <v/>
      </c>
      <c r="C31" s="84" t="str">
        <f>IFERROR(IF(VLOOKUP($A31,TableHandbook[],C$2,FALSE)=0,"",VLOOKUP($A31,TableHandbook[],C$2,FALSE)),"")</f>
        <v/>
      </c>
      <c r="D31" s="186" t="str">
        <f>IFERROR(IF(VLOOKUP($A31,TableHandbook[],D$2,FALSE)=0,"",VLOOKUP($A31,TableHandbook[],D$2,FALSE)),"")</f>
        <v>Study an Elective unit</v>
      </c>
      <c r="E31" s="84" t="str">
        <f>IF(A31="","",E30)</f>
        <v>Sem1</v>
      </c>
      <c r="F31" s="81" t="str">
        <f>IFERROR(IF(VLOOKUP($A31,TableHandbook[],F$2,FALSE)=0,"",VLOOKUP($A31,TableHandbook[],F$2,FALSE)),"")</f>
        <v>See Handbook</v>
      </c>
      <c r="G31" s="82">
        <f>IFERROR(IF(VLOOKUP($A31,TableHandbook[],G$2,FALSE)=0,"",VLOOKUP($A31,TableHandbook[],G$2,FALSE)),"")</f>
        <v>25</v>
      </c>
      <c r="H31" s="92" t="str">
        <f>IFERROR(VLOOKUP($A31,TableHandbook[],H$2,FALSE),"")</f>
        <v/>
      </c>
      <c r="I31" s="82" t="str">
        <f>IFERROR(VLOOKUP($A31,TableHandbook[],I$2,FALSE),"")</f>
        <v/>
      </c>
      <c r="J31" s="82" t="str">
        <f>IFERROR(VLOOKUP($A31,TableHandbook[],J$2,FALSE),"")</f>
        <v/>
      </c>
      <c r="K31" s="82" t="str">
        <f>IFERROR(VLOOKUP($A31,TableHandbook[],K$2,FALSE),"")</f>
        <v/>
      </c>
      <c r="L31" s="82" t="str">
        <f>IFERROR(VLOOKUP($A31,TableHandbook[],L$2,FALSE),"")</f>
        <v/>
      </c>
      <c r="M31" s="93" t="str">
        <f>IFERROR(VLOOKUP($A31,TableHandbook[],M$2,FALSE),"")</f>
        <v/>
      </c>
      <c r="N31" s="87"/>
      <c r="O31" s="103">
        <v>20</v>
      </c>
      <c r="P31" s="48"/>
      <c r="Q31" s="48"/>
      <c r="R31" s="49"/>
      <c r="S31" s="49"/>
      <c r="T31" s="49"/>
      <c r="U31" s="49"/>
      <c r="V31" s="49"/>
      <c r="W31" s="49"/>
      <c r="X31" s="49"/>
      <c r="Y31" s="49"/>
    </row>
    <row r="32" spans="1:25" s="50" customFormat="1" ht="20.100000000000001" customHeight="1" x14ac:dyDescent="0.15">
      <c r="A32" s="88" t="str">
        <f>IFERROR(IF(HLOOKUP($N$4,RangeUnitsets,O32,FALSE)=0,"",HLOOKUP($N$4,RangeUnitsets,O32,FALSE)),"")</f>
        <v>Option</v>
      </c>
      <c r="B32" s="84" t="str">
        <f>IFERROR(IF(VLOOKUP($A32,TableHandbook[],B$2,FALSE)=0,"",VLOOKUP($A32,TableHandbook[],B$2,FALSE)),"")</f>
        <v/>
      </c>
      <c r="C32" s="84" t="str">
        <f>IFERROR(IF(VLOOKUP($A32,TableHandbook[],C$2,FALSE)=0,"",VLOOKUP($A32,TableHandbook[],C$2,FALSE)),"")</f>
        <v/>
      </c>
      <c r="D32" s="186" t="str">
        <f>IFERROR(IF(VLOOKUP($A32,TableHandbook[],D$2,FALSE)=0,"",VLOOKUP($A32,TableHandbook[],D$2,FALSE)),"")</f>
        <v>Study an Option unit from the list below</v>
      </c>
      <c r="E32" s="84" t="str">
        <f>IF(A32="","",E31)</f>
        <v>Sem1</v>
      </c>
      <c r="F32" s="81" t="str">
        <f>IFERROR(IF(VLOOKUP($A32,TableHandbook[],F$2,FALSE)=0,"",VLOOKUP($A32,TableHandbook[],F$2,FALSE)),"")</f>
        <v>See below</v>
      </c>
      <c r="G32" s="82">
        <f>IFERROR(IF(VLOOKUP($A32,TableHandbook[],G$2,FALSE)=0,"",VLOOKUP($A32,TableHandbook[],G$2,FALSE)),"")</f>
        <v>25</v>
      </c>
      <c r="H32" s="92" t="str">
        <f>IFERROR(VLOOKUP($A32,TableHandbook[],H$2,FALSE),"")</f>
        <v/>
      </c>
      <c r="I32" s="82" t="str">
        <f>IFERROR(VLOOKUP($A32,TableHandbook[],I$2,FALSE),"")</f>
        <v/>
      </c>
      <c r="J32" s="82" t="str">
        <f>IFERROR(VLOOKUP($A32,TableHandbook[],J$2,FALSE),"")</f>
        <v/>
      </c>
      <c r="K32" s="82" t="str">
        <f>IFERROR(VLOOKUP($A32,TableHandbook[],K$2,FALSE),"")</f>
        <v/>
      </c>
      <c r="L32" s="82" t="str">
        <f>IFERROR(VLOOKUP($A32,TableHandbook[],L$2,FALSE),"")</f>
        <v/>
      </c>
      <c r="M32" s="93" t="str">
        <f>IFERROR(VLOOKUP($A32,TableHandbook[],M$2,FALSE),"")</f>
        <v/>
      </c>
      <c r="N32" s="87"/>
      <c r="O32" s="103">
        <v>21</v>
      </c>
      <c r="P32" s="48"/>
      <c r="Q32" s="48"/>
      <c r="R32" s="49"/>
      <c r="S32" s="49"/>
      <c r="T32" s="49"/>
      <c r="U32" s="49"/>
      <c r="V32" s="49"/>
      <c r="W32" s="49"/>
      <c r="X32" s="49"/>
      <c r="Y32" s="49"/>
    </row>
    <row r="33" spans="1:25" s="50" customFormat="1" ht="5.0999999999999996" customHeight="1" x14ac:dyDescent="0.15">
      <c r="A33" s="139"/>
      <c r="B33" s="140"/>
      <c r="C33" s="140"/>
      <c r="D33" s="141"/>
      <c r="E33" s="140"/>
      <c r="F33" s="142"/>
      <c r="G33" s="140"/>
      <c r="H33" s="143"/>
      <c r="I33" s="140"/>
      <c r="J33" s="140"/>
      <c r="K33" s="140"/>
      <c r="L33" s="140"/>
      <c r="M33" s="144"/>
      <c r="N33" s="145"/>
      <c r="O33" s="51"/>
      <c r="P33" s="48"/>
      <c r="Q33" s="48"/>
      <c r="R33" s="48"/>
      <c r="S33" s="49"/>
      <c r="T33" s="49"/>
      <c r="U33" s="49"/>
      <c r="V33" s="49"/>
      <c r="W33" s="49"/>
      <c r="X33" s="49"/>
      <c r="Y33" s="49"/>
    </row>
    <row r="34" spans="1:25" s="50" customFormat="1" ht="20.100000000000001" customHeight="1" x14ac:dyDescent="0.15">
      <c r="A34" s="290" t="str">
        <f>IFERROR(IF(HLOOKUP($N$4,RangeUnitsets,O34,FALSE)=0,"",HLOOKUP($N$4,RangeUnitsets,O34,FALSE)),"")</f>
        <v>EDPR3003</v>
      </c>
      <c r="B34" s="84">
        <f>IFERROR(IF(VLOOKUP($A34,TableHandbook[],B$2,FALSE)=0,"",VLOOKUP($A34,TableHandbook[],B$2,FALSE)),"")</f>
        <v>2</v>
      </c>
      <c r="C34" s="84" t="str">
        <f>IFERROR(IF(VLOOKUP($A34,TableHandbook[],C$2,FALSE)=0,"",VLOOKUP($A34,TableHandbook[],C$2,FALSE)),"")</f>
        <v/>
      </c>
      <c r="D34" s="186" t="str">
        <f>IFERROR(IF(VLOOKUP($A34,TableHandbook[],D$2,FALSE)=0,"",VLOOKUP($A34,TableHandbook[],D$2,FALSE)),"")</f>
        <v>Inquiry in the Humanities and Social Sciences Classroom</v>
      </c>
      <c r="E34" s="84" t="str">
        <f>IF(OR(A34="",A34="--"),"",VLOOKUP($D$6,TableStudyPeriods[],3,FALSE))</f>
        <v>Sem2</v>
      </c>
      <c r="F34" s="81" t="str">
        <f>IFERROR(IF(VLOOKUP($A34,TableHandbook[],F$2,FALSE)=0,"",VLOOKUP($A34,TableHandbook[],F$2,FALSE)),"")</f>
        <v>150CP + EDUC1027</v>
      </c>
      <c r="G34" s="82">
        <f>IFERROR(IF(VLOOKUP($A34,TableHandbook[],G$2,FALSE)=0,"",VLOOKUP($A34,TableHandbook[],G$2,FALSE)),"")</f>
        <v>25</v>
      </c>
      <c r="H34" s="92" t="str">
        <f>IFERROR(VLOOKUP($A34,TableHandbook[],H$2,FALSE),"")</f>
        <v/>
      </c>
      <c r="I34" s="82" t="str">
        <f>IFERROR(VLOOKUP($A34,TableHandbook[],I$2,FALSE),"")</f>
        <v/>
      </c>
      <c r="J34" s="82" t="str">
        <f>IFERROR(VLOOKUP($A34,TableHandbook[],J$2,FALSE),"")</f>
        <v/>
      </c>
      <c r="K34" s="82" t="str">
        <f>IFERROR(VLOOKUP($A34,TableHandbook[],K$2,FALSE),"")</f>
        <v>Y</v>
      </c>
      <c r="L34" s="82" t="str">
        <f>IFERROR(VLOOKUP($A34,TableHandbook[],L$2,FALSE),"")</f>
        <v>Y</v>
      </c>
      <c r="M34" s="93" t="str">
        <f>IFERROR(VLOOKUP($A34,TableHandbook[],M$2,FALSE),"")</f>
        <v>Y</v>
      </c>
      <c r="N34" s="87"/>
      <c r="O34" s="103">
        <v>22</v>
      </c>
      <c r="P34" s="48"/>
      <c r="Q34" s="48"/>
      <c r="R34" s="49"/>
      <c r="S34" s="49"/>
      <c r="T34" s="49"/>
      <c r="U34" s="49"/>
      <c r="V34" s="49"/>
      <c r="W34" s="49"/>
      <c r="X34" s="49"/>
      <c r="Y34" s="49"/>
    </row>
    <row r="35" spans="1:25" s="50" customFormat="1" ht="20.100000000000001" customHeight="1" x14ac:dyDescent="0.15">
      <c r="A35" s="88" t="str">
        <f>IFERROR(IF(HLOOKUP($N$4,RangeUnitsets,O35,FALSE)=0,"",HLOOKUP($N$4,RangeUnitsets,O35,FALSE)),"")</f>
        <v>EDUC4048</v>
      </c>
      <c r="B35" s="84">
        <f>IFERROR(IF(VLOOKUP($A35,TableHandbook[],B$2,FALSE)=0,"",VLOOKUP($A35,TableHandbook[],B$2,FALSE)),"")</f>
        <v>1</v>
      </c>
      <c r="C35" s="84" t="str">
        <f>IFERROR(IF(VLOOKUP($A35,TableHandbook[],C$2,FALSE)=0,"",VLOOKUP($A35,TableHandbook[],C$2,FALSE)),"")</f>
        <v/>
      </c>
      <c r="D35" s="186" t="str">
        <f>IFERROR(IF(VLOOKUP($A35,TableHandbook[],D$2,FALSE)=0,"",VLOOKUP($A35,TableHandbook[],D$2,FALSE)),"")</f>
        <v>Mentoring, Coaching and Tutoring</v>
      </c>
      <c r="E35" s="84" t="str">
        <f>IF(A35="","",E34)</f>
        <v>Sem2</v>
      </c>
      <c r="F35" s="81" t="str">
        <f>IFERROR(IF(VLOOKUP($A35,TableHandbook[],F$2,FALSE)=0,"",VLOOKUP($A35,TableHandbook[],F$2,FALSE)),"")</f>
        <v>Nil</v>
      </c>
      <c r="G35" s="82">
        <f>IFERROR(IF(VLOOKUP($A35,TableHandbook[],G$2,FALSE)=0,"",VLOOKUP($A35,TableHandbook[],G$2,FALSE)),"")</f>
        <v>25</v>
      </c>
      <c r="H35" s="92" t="str">
        <f>IFERROR(VLOOKUP($A35,TableHandbook[],H$2,FALSE),"")</f>
        <v/>
      </c>
      <c r="I35" s="82" t="str">
        <f>IFERROR(VLOOKUP($A35,TableHandbook[],I$2,FALSE),"")</f>
        <v>Y</v>
      </c>
      <c r="J35" s="82" t="str">
        <f>IFERROR(VLOOKUP($A35,TableHandbook[],J$2,FALSE),"")</f>
        <v/>
      </c>
      <c r="K35" s="82" t="str">
        <f>IFERROR(VLOOKUP($A35,TableHandbook[],K$2,FALSE),"")</f>
        <v/>
      </c>
      <c r="L35" s="82" t="str">
        <f>IFERROR(VLOOKUP($A35,TableHandbook[],L$2,FALSE),"")</f>
        <v>Y</v>
      </c>
      <c r="M35" s="93" t="str">
        <f>IFERROR(VLOOKUP($A35,TableHandbook[],M$2,FALSE),"")</f>
        <v/>
      </c>
      <c r="N35" s="87"/>
      <c r="O35" s="103">
        <v>23</v>
      </c>
      <c r="P35" s="48"/>
      <c r="Q35" s="48"/>
      <c r="R35" s="49"/>
      <c r="S35" s="49"/>
      <c r="T35" s="49"/>
      <c r="U35" s="49"/>
      <c r="V35" s="49"/>
      <c r="W35" s="49"/>
      <c r="X35" s="49"/>
      <c r="Y35" s="49"/>
    </row>
    <row r="36" spans="1:25" s="54" customFormat="1" ht="20.100000000000001" customHeight="1" x14ac:dyDescent="0.15">
      <c r="A36" s="88" t="str">
        <f>IFERROR(IF(HLOOKUP($N$4,RangeUnitsets,O36,FALSE)=0,"",HLOOKUP($N$4,RangeUnitsets,O36,FALSE)),"")</f>
        <v>EDUC3002</v>
      </c>
      <c r="B36" s="84">
        <f>IFERROR(IF(VLOOKUP($A36,TableHandbook[],B$2,FALSE)=0,"",VLOOKUP($A36,TableHandbook[],B$2,FALSE)),"")</f>
        <v>1</v>
      </c>
      <c r="C36" s="84" t="str">
        <f>IFERROR(IF(VLOOKUP($A36,TableHandbook[],C$2,FALSE)=0,"",VLOOKUP($A36,TableHandbook[],C$2,FALSE)),"")</f>
        <v/>
      </c>
      <c r="D36" s="186" t="str">
        <f>IFERROR(IF(VLOOKUP($A36,TableHandbook[],D$2,FALSE)=0,"",VLOOKUP($A36,TableHandbook[],D$2,FALSE)),"")</f>
        <v>Reflection and Research in Education</v>
      </c>
      <c r="E36" s="84" t="str">
        <f>IF(A36="","",E35)</f>
        <v>Sem2</v>
      </c>
      <c r="F36" s="81" t="str">
        <f>IFERROR(IF(VLOOKUP($A36,TableHandbook[],F$2,FALSE)=0,"",VLOOKUP($A36,TableHandbook[],F$2,FALSE)),"")</f>
        <v>500CP</v>
      </c>
      <c r="G36" s="82">
        <f>IFERROR(IF(VLOOKUP($A36,TableHandbook[],G$2,FALSE)=0,"",VLOOKUP($A36,TableHandbook[],G$2,FALSE)),"")</f>
        <v>25</v>
      </c>
      <c r="H36" s="92" t="str">
        <f>IFERROR(VLOOKUP($A36,TableHandbook[],H$2,FALSE),"")</f>
        <v/>
      </c>
      <c r="I36" s="82" t="str">
        <f>IFERROR(VLOOKUP($A36,TableHandbook[],I$2,FALSE),"")</f>
        <v>Y</v>
      </c>
      <c r="J36" s="82" t="str">
        <f>IFERROR(VLOOKUP($A36,TableHandbook[],J$2,FALSE),"")</f>
        <v/>
      </c>
      <c r="K36" s="82" t="str">
        <f>IFERROR(VLOOKUP($A36,TableHandbook[],K$2,FALSE),"")</f>
        <v/>
      </c>
      <c r="L36" s="82" t="str">
        <f>IFERROR(VLOOKUP($A36,TableHandbook[],L$2,FALSE),"")</f>
        <v>Y</v>
      </c>
      <c r="M36" s="93" t="str">
        <f>IFERROR(VLOOKUP($A36,TableHandbook[],M$2,FALSE),"")</f>
        <v/>
      </c>
      <c r="N36" s="87"/>
      <c r="O36" s="103">
        <v>24</v>
      </c>
      <c r="P36" s="52"/>
      <c r="Q36" s="52"/>
      <c r="R36" s="53"/>
      <c r="S36" s="53"/>
      <c r="T36" s="53"/>
      <c r="U36" s="53"/>
      <c r="V36" s="53"/>
      <c r="W36" s="53"/>
      <c r="X36" s="53"/>
      <c r="Y36" s="53"/>
    </row>
    <row r="37" spans="1:25" s="54" customFormat="1" ht="20.100000000000001" customHeight="1" x14ac:dyDescent="0.15">
      <c r="A37" s="88" t="str">
        <f>IFERROR(IF(HLOOKUP($N$4,RangeUnitsets,O37,FALSE)=0,"",HLOOKUP($N$4,RangeUnitsets,O37,FALSE)),"")</f>
        <v>Option</v>
      </c>
      <c r="B37" s="84" t="str">
        <f>IFERROR(IF(VLOOKUP($A37,TableHandbook[],B$2,FALSE)=0,"",VLOOKUP($A37,TableHandbook[],B$2,FALSE)),"")</f>
        <v/>
      </c>
      <c r="C37" s="84" t="str">
        <f>IFERROR(IF(VLOOKUP($A37,TableHandbook[],C$2,FALSE)=0,"",VLOOKUP($A37,TableHandbook[],C$2,FALSE)),"")</f>
        <v/>
      </c>
      <c r="D37" s="186" t="str">
        <f>IFERROR(IF(VLOOKUP($A37,TableHandbook[],D$2,FALSE)=0,"",VLOOKUP($A37,TableHandbook[],D$2,FALSE)),"")</f>
        <v>Study an Option unit from the list below</v>
      </c>
      <c r="E37" s="82" t="str">
        <f>IF(A37="","",E36)</f>
        <v>Sem2</v>
      </c>
      <c r="F37" s="81" t="str">
        <f>IFERROR(IF(VLOOKUP($A37,TableHandbook[],F$2,FALSE)=0,"",VLOOKUP($A37,TableHandbook[],F$2,FALSE)),"")</f>
        <v>See below</v>
      </c>
      <c r="G37" s="82">
        <f>IFERROR(IF(VLOOKUP($A37,TableHandbook[],G$2,FALSE)=0,"",VLOOKUP($A37,TableHandbook[],G$2,FALSE)),"")</f>
        <v>25</v>
      </c>
      <c r="H37" s="92" t="str">
        <f>IFERROR(VLOOKUP($A37,TableHandbook[],H$2,FALSE),"")</f>
        <v/>
      </c>
      <c r="I37" s="82" t="str">
        <f>IFERROR(VLOOKUP($A37,TableHandbook[],I$2,FALSE),"")</f>
        <v/>
      </c>
      <c r="J37" s="82" t="str">
        <f>IFERROR(VLOOKUP($A37,TableHandbook[],J$2,FALSE),"")</f>
        <v/>
      </c>
      <c r="K37" s="82" t="str">
        <f>IFERROR(VLOOKUP($A37,TableHandbook[],K$2,FALSE),"")</f>
        <v/>
      </c>
      <c r="L37" s="82" t="str">
        <f>IFERROR(VLOOKUP($A37,TableHandbook[],L$2,FALSE),"")</f>
        <v/>
      </c>
      <c r="M37" s="93" t="str">
        <f>IFERROR(VLOOKUP($A37,TableHandbook[],M$2,FALSE),"")</f>
        <v/>
      </c>
      <c r="N37" s="87"/>
      <c r="O37" s="103">
        <v>25</v>
      </c>
      <c r="P37" s="52"/>
      <c r="Q37" s="52"/>
      <c r="R37" s="53"/>
      <c r="S37" s="53"/>
      <c r="T37" s="53"/>
      <c r="U37" s="53"/>
      <c r="V37" s="53"/>
      <c r="W37" s="53"/>
      <c r="X37" s="53"/>
      <c r="Y37" s="53"/>
    </row>
    <row r="38" spans="1:25" s="62" customFormat="1" ht="13.9" customHeight="1" x14ac:dyDescent="0.2">
      <c r="A38" s="63"/>
      <c r="B38" s="63"/>
      <c r="C38" s="63"/>
      <c r="D38" s="64"/>
      <c r="E38" s="64"/>
      <c r="F38" s="59"/>
      <c r="G38" s="59"/>
      <c r="H38" s="59"/>
      <c r="I38" s="59"/>
      <c r="J38" s="59"/>
      <c r="K38" s="59"/>
      <c r="L38" s="59"/>
      <c r="M38" s="59"/>
      <c r="N38" s="59"/>
      <c r="O38" s="60"/>
      <c r="P38" s="60"/>
      <c r="Q38" s="60"/>
      <c r="R38" s="61"/>
      <c r="S38" s="61"/>
      <c r="T38" s="61"/>
      <c r="U38" s="61"/>
      <c r="V38" s="61"/>
      <c r="W38" s="61"/>
      <c r="X38" s="61"/>
      <c r="Y38" s="61"/>
    </row>
    <row r="39" spans="1:25" ht="16.5" x14ac:dyDescent="0.25">
      <c r="A39" s="311" t="s">
        <v>29</v>
      </c>
      <c r="B39" s="312"/>
      <c r="C39" s="312"/>
      <c r="D39" s="313"/>
      <c r="E39" s="314"/>
      <c r="F39" s="314"/>
      <c r="G39" s="314"/>
      <c r="H39" s="315" t="s">
        <v>15</v>
      </c>
      <c r="I39" s="316"/>
      <c r="J39" s="316"/>
      <c r="K39" s="316"/>
      <c r="L39" s="311"/>
      <c r="M39" s="311"/>
      <c r="N39" s="322" t="str">
        <f>VLOOKUP(D5,TableCourses[],2,FALSE)</f>
        <v>B-EDUC</v>
      </c>
      <c r="O39" s="44"/>
      <c r="P39" s="44"/>
      <c r="Q39" s="44"/>
      <c r="R39" s="44"/>
      <c r="S39" s="44"/>
      <c r="T39" s="44"/>
      <c r="U39" s="44"/>
      <c r="V39" s="44"/>
      <c r="W39" s="44"/>
      <c r="X39" s="44"/>
      <c r="Y39" s="44"/>
    </row>
    <row r="40" spans="1:25" s="66" customFormat="1" ht="21" x14ac:dyDescent="0.25">
      <c r="A40" s="317"/>
      <c r="B40" s="317"/>
      <c r="C40" s="317"/>
      <c r="D40" s="318" t="s">
        <v>3</v>
      </c>
      <c r="E40" s="317"/>
      <c r="F40" s="317" t="s">
        <v>18</v>
      </c>
      <c r="G40" s="317" t="s">
        <v>19</v>
      </c>
      <c r="H40" s="319" t="s">
        <v>921</v>
      </c>
      <c r="I40" s="320" t="s">
        <v>20</v>
      </c>
      <c r="J40" s="320" t="s">
        <v>21</v>
      </c>
      <c r="K40" s="320" t="s">
        <v>22</v>
      </c>
      <c r="L40" s="320" t="s">
        <v>23</v>
      </c>
      <c r="M40" s="320" t="s">
        <v>24</v>
      </c>
      <c r="N40" s="321" t="s">
        <v>25</v>
      </c>
      <c r="O40" s="65"/>
      <c r="P40" s="65"/>
      <c r="Q40" s="65"/>
      <c r="R40" s="65"/>
      <c r="S40" s="65"/>
      <c r="T40" s="65"/>
      <c r="U40" s="65"/>
      <c r="V40" s="65"/>
      <c r="W40" s="65"/>
      <c r="X40" s="65"/>
      <c r="Y40" s="65"/>
    </row>
    <row r="41" spans="1:25" x14ac:dyDescent="0.25">
      <c r="A41" s="67" t="str">
        <f t="shared" ref="A41:A66" si="0">IFERROR(IF(HLOOKUP($N$39,RangeOptions,$O41,FALSE)=0,"",HLOOKUP($N$39,RangeOptions,$O41,FALSE)),"")</f>
        <v>AC-BEDUC1</v>
      </c>
      <c r="B41" s="68" t="str">
        <f>IFERROR(IF(VLOOKUP($A41,TableHandbook[],2,FALSE)=0,"",VLOOKUP($A41,TableHandbook[],2,FALSE)),"")</f>
        <v/>
      </c>
      <c r="C41" s="69" t="str">
        <f>IFERROR(IF(VLOOKUP($A41,TableHandbook[],3,FALSE)=0,"",VLOOKUP($A41,TableHandbook[],3,FALSE)),"")</f>
        <v/>
      </c>
      <c r="D41" s="70" t="str">
        <f>IFERROR(IF(VLOOKUP($A41,TableHandbook[],4,FALSE)=0,"",VLOOKUP($A41,TableHandbook[],4,FALSE)),"")</f>
        <v>Study either EDUC1023 or EDSC1009 (see below)</v>
      </c>
      <c r="E41" s="70"/>
      <c r="F41" s="71" t="str">
        <f>IFERROR(IF(VLOOKUP($A41,TableHandbook[],6,FALSE)=0,"",VLOOKUP($A41,TableHandbook[],6,FALSE)),"")</f>
        <v>See below</v>
      </c>
      <c r="G41" s="71">
        <f>IFERROR(IF(VLOOKUP($A41,TableHandbook[],5,FALSE)=0,"",VLOOKUP($A41,TableHandbook[],5,FALSE)),"")</f>
        <v>25</v>
      </c>
      <c r="H41" s="92" t="str">
        <f>IFERROR(VLOOKUP($A41,TableHandbook[],H$2,FALSE),"")</f>
        <v/>
      </c>
      <c r="I41" s="82" t="str">
        <f>IFERROR(VLOOKUP($A41,TableHandbook[],I$2,FALSE),"")</f>
        <v/>
      </c>
      <c r="J41" s="82" t="str">
        <f>IFERROR(VLOOKUP($A41,TableHandbook[],J$2,FALSE),"")</f>
        <v/>
      </c>
      <c r="K41" s="82" t="str">
        <f>IFERROR(VLOOKUP($A41,TableHandbook[],K$2,FALSE),"")</f>
        <v/>
      </c>
      <c r="L41" s="82" t="str">
        <f>IFERROR(VLOOKUP($A41,TableHandbook[],L$2,FALSE),"")</f>
        <v/>
      </c>
      <c r="M41" s="93" t="str">
        <f>IFERROR(VLOOKUP($A41,TableHandbook[],M$2,FALSE),"")</f>
        <v/>
      </c>
      <c r="N41" s="83"/>
      <c r="O41" s="103">
        <v>2</v>
      </c>
      <c r="P41" s="44"/>
      <c r="Q41" s="44"/>
      <c r="R41" s="44"/>
      <c r="S41" s="44"/>
      <c r="T41" s="44"/>
      <c r="U41" s="44"/>
      <c r="V41" s="44"/>
      <c r="W41" s="44"/>
      <c r="X41" s="44"/>
      <c r="Y41" s="44"/>
    </row>
    <row r="42" spans="1:25" x14ac:dyDescent="0.25">
      <c r="A42" s="67" t="str">
        <f t="shared" si="0"/>
        <v>EDSC1009</v>
      </c>
      <c r="B42" s="68">
        <f>IFERROR(IF(VLOOKUP($A42,TableHandbook[],2,FALSE)=0,"",VLOOKUP($A42,TableHandbook[],2,FALSE)),"")</f>
        <v>1</v>
      </c>
      <c r="C42" s="69" t="str">
        <f>IFERROR(IF(VLOOKUP($A42,TableHandbook[],3,FALSE)=0,"",VLOOKUP($A42,TableHandbook[],3,FALSE)),"")</f>
        <v/>
      </c>
      <c r="D42" s="69" t="str">
        <f>IFERROR(IF(VLOOKUP($A42,TableHandbook[],4,FALSE)=0,"",VLOOKUP($A42,TableHandbook[],4,FALSE)),"")</f>
        <v>Literacy and Numeracy Across the Curriculum</v>
      </c>
      <c r="E42" s="70"/>
      <c r="F42" s="71" t="str">
        <f>IFERROR(IF(VLOOKUP($A42,TableHandbook[],6,FALSE)=0,"",VLOOKUP($A42,TableHandbook[],6,FALSE)),"")</f>
        <v>Nil</v>
      </c>
      <c r="G42" s="71">
        <f>IFERROR(IF(VLOOKUP($A42,TableHandbook[],5,FALSE)=0,"",VLOOKUP($A42,TableHandbook[],5,FALSE)),"")</f>
        <v>25</v>
      </c>
      <c r="H42" s="92" t="str">
        <f>IFERROR(VLOOKUP($A42,TableHandbook[],H$2,FALSE),"")</f>
        <v>Y</v>
      </c>
      <c r="I42" s="82" t="str">
        <f>IFERROR(VLOOKUP($A42,TableHandbook[],I$2,FALSE),"")</f>
        <v>Y</v>
      </c>
      <c r="J42" s="82" t="str">
        <f>IFERROR(VLOOKUP($A42,TableHandbook[],J$2,FALSE),"")</f>
        <v/>
      </c>
      <c r="K42" s="82" t="str">
        <f>IFERROR(VLOOKUP($A42,TableHandbook[],K$2,FALSE),"")</f>
        <v/>
      </c>
      <c r="L42" s="82" t="str">
        <f>IFERROR(VLOOKUP($A42,TableHandbook[],L$2,FALSE),"")</f>
        <v/>
      </c>
      <c r="M42" s="93" t="str">
        <f>IFERROR(VLOOKUP($A42,TableHandbook[],M$2,FALSE),"")</f>
        <v/>
      </c>
      <c r="N42" s="83"/>
      <c r="O42" s="103">
        <v>3</v>
      </c>
      <c r="P42" s="44"/>
      <c r="Q42" s="44"/>
      <c r="R42" s="44"/>
      <c r="S42" s="44"/>
      <c r="T42" s="44"/>
      <c r="U42" s="44"/>
      <c r="V42" s="44"/>
      <c r="W42" s="44"/>
      <c r="X42" s="44"/>
      <c r="Y42" s="44"/>
    </row>
    <row r="43" spans="1:25" x14ac:dyDescent="0.25">
      <c r="A43" s="67" t="str">
        <f t="shared" si="0"/>
        <v>EDUC1023</v>
      </c>
      <c r="B43" s="68">
        <f>IFERROR(IF(VLOOKUP($A43,TableHandbook[],2,FALSE)=0,"",VLOOKUP($A43,TableHandbook[],2,FALSE)),"")</f>
        <v>1</v>
      </c>
      <c r="C43" s="69" t="str">
        <f>IFERROR(IF(VLOOKUP($A43,TableHandbook[],3,FALSE)=0,"",VLOOKUP($A43,TableHandbook[],3,FALSE)),"")</f>
        <v/>
      </c>
      <c r="D43" s="69" t="str">
        <f>IFERROR(IF(VLOOKUP($A43,TableHandbook[],4,FALSE)=0,"",VLOOKUP($A43,TableHandbook[],4,FALSE)),"")</f>
        <v>Introducing Language, Literacy and Literature for Educators</v>
      </c>
      <c r="E43" s="70"/>
      <c r="F43" s="71" t="str">
        <f>IFERROR(IF(VLOOKUP($A43,TableHandbook[],6,FALSE)=0,"",VLOOKUP($A43,TableHandbook[],6,FALSE)),"")</f>
        <v>Nil</v>
      </c>
      <c r="G43" s="71">
        <f>IFERROR(IF(VLOOKUP($A43,TableHandbook[],5,FALSE)=0,"",VLOOKUP($A43,TableHandbook[],5,FALSE)),"")</f>
        <v>25</v>
      </c>
      <c r="H43" s="92" t="str">
        <f>IFERROR(VLOOKUP($A43,TableHandbook[],H$2,FALSE),"")</f>
        <v>Y</v>
      </c>
      <c r="I43" s="82" t="str">
        <f>IFERROR(VLOOKUP($A43,TableHandbook[],I$2,FALSE),"")</f>
        <v>Y</v>
      </c>
      <c r="J43" s="82" t="str">
        <f>IFERROR(VLOOKUP($A43,TableHandbook[],J$2,FALSE),"")</f>
        <v>Y</v>
      </c>
      <c r="K43" s="82" t="str">
        <f>IFERROR(VLOOKUP($A43,TableHandbook[],K$2,FALSE),"")</f>
        <v/>
      </c>
      <c r="L43" s="82" t="str">
        <f>IFERROR(VLOOKUP($A43,TableHandbook[],L$2,FALSE),"")</f>
        <v/>
      </c>
      <c r="M43" s="93" t="str">
        <f>IFERROR(VLOOKUP($A43,TableHandbook[],M$2,FALSE),"")</f>
        <v/>
      </c>
      <c r="N43" s="83"/>
      <c r="O43" s="103">
        <v>4</v>
      </c>
      <c r="P43" s="44"/>
      <c r="Q43" s="44"/>
      <c r="R43" s="44"/>
      <c r="S43" s="44"/>
      <c r="T43" s="44"/>
      <c r="U43" s="44"/>
      <c r="V43" s="44"/>
      <c r="W43" s="44"/>
      <c r="X43" s="44"/>
      <c r="Y43" s="44"/>
    </row>
    <row r="44" spans="1:25" x14ac:dyDescent="0.25">
      <c r="A44" s="67" t="str">
        <f t="shared" si="0"/>
        <v/>
      </c>
      <c r="B44" s="68" t="str">
        <f>IFERROR(IF(VLOOKUP($A44,TableHandbook[],2,FALSE)=0,"",VLOOKUP($A44,TableHandbook[],2,FALSE)),"")</f>
        <v/>
      </c>
      <c r="C44" s="69" t="str">
        <f>IFERROR(IF(VLOOKUP($A44,TableHandbook[],3,FALSE)=0,"",VLOOKUP($A44,TableHandbook[],3,FALSE)),"")</f>
        <v/>
      </c>
      <c r="D44" s="69" t="str">
        <f>IFERROR(IF(VLOOKUP($A44,TableHandbook[],4,FALSE)=0,"",VLOOKUP($A44,TableHandbook[],4,FALSE)),"")</f>
        <v/>
      </c>
      <c r="E44" s="70"/>
      <c r="F44" s="71" t="str">
        <f>IFERROR(IF(VLOOKUP($A44,TableHandbook[],6,FALSE)=0,"",VLOOKUP($A44,TableHandbook[],6,FALSE)),"")</f>
        <v/>
      </c>
      <c r="G44" s="71" t="str">
        <f>IFERROR(IF(VLOOKUP($A44,TableHandbook[],5,FALSE)=0,"",VLOOKUP($A44,TableHandbook[],5,FALSE)),"")</f>
        <v/>
      </c>
      <c r="H44" s="92" t="str">
        <f>IFERROR(VLOOKUP($A44,TableHandbook[],H$2,FALSE),"")</f>
        <v/>
      </c>
      <c r="I44" s="82" t="str">
        <f>IFERROR(VLOOKUP($A44,TableHandbook[],I$2,FALSE),"")</f>
        <v/>
      </c>
      <c r="J44" s="82" t="str">
        <f>IFERROR(VLOOKUP($A44,TableHandbook[],J$2,FALSE),"")</f>
        <v/>
      </c>
      <c r="K44" s="82" t="str">
        <f>IFERROR(VLOOKUP($A44,TableHandbook[],K$2,FALSE),"")</f>
        <v/>
      </c>
      <c r="L44" s="82" t="str">
        <f>IFERROR(VLOOKUP($A44,TableHandbook[],L$2,FALSE),"")</f>
        <v/>
      </c>
      <c r="M44" s="93" t="str">
        <f>IFERROR(VLOOKUP($A44,TableHandbook[],M$2,FALSE),"")</f>
        <v/>
      </c>
      <c r="N44" s="83"/>
      <c r="O44" s="103">
        <v>5</v>
      </c>
      <c r="P44" s="44"/>
      <c r="Q44" s="44"/>
      <c r="R44" s="44"/>
      <c r="S44" s="44"/>
      <c r="T44" s="44"/>
      <c r="U44" s="44"/>
      <c r="V44" s="44"/>
      <c r="W44" s="44"/>
      <c r="X44" s="44"/>
      <c r="Y44" s="44"/>
    </row>
    <row r="45" spans="1:25" x14ac:dyDescent="0.25">
      <c r="A45" s="67" t="str">
        <f t="shared" si="0"/>
        <v>AC-BEDUC2</v>
      </c>
      <c r="B45" s="68" t="str">
        <f>IFERROR(IF(VLOOKUP($A45,TableHandbook[],2,FALSE)=0,"",VLOOKUP($A45,TableHandbook[],2,FALSE)),"")</f>
        <v/>
      </c>
      <c r="C45" s="69" t="str">
        <f>IFERROR(IF(VLOOKUP($A45,TableHandbook[],3,FALSE)=0,"",VLOOKUP($A45,TableHandbook[],3,FALSE)),"")</f>
        <v/>
      </c>
      <c r="D45" s="69" t="str">
        <f>IFERROR(IF(VLOOKUP($A45,TableHandbook[],4,FALSE)=0,"",VLOOKUP($A45,TableHandbook[],4,FALSE)),"")</f>
        <v>Study either EDPR3004 or EDSC3007 (see below)</v>
      </c>
      <c r="E45" s="70"/>
      <c r="F45" s="71" t="str">
        <f>IFERROR(IF(VLOOKUP($A45,TableHandbook[],6,FALSE)=0,"",VLOOKUP($A45,TableHandbook[],6,FALSE)),"")</f>
        <v>See below</v>
      </c>
      <c r="G45" s="71">
        <f>IFERROR(IF(VLOOKUP($A45,TableHandbook[],5,FALSE)=0,"",VLOOKUP($A45,TableHandbook[],5,FALSE)),"")</f>
        <v>25</v>
      </c>
      <c r="H45" s="92" t="str">
        <f>IFERROR(VLOOKUP($A45,TableHandbook[],H$2,FALSE),"")</f>
        <v/>
      </c>
      <c r="I45" s="82" t="str">
        <f>IFERROR(VLOOKUP($A45,TableHandbook[],I$2,FALSE),"")</f>
        <v/>
      </c>
      <c r="J45" s="82" t="str">
        <f>IFERROR(VLOOKUP($A45,TableHandbook[],J$2,FALSE),"")</f>
        <v/>
      </c>
      <c r="K45" s="82" t="str">
        <f>IFERROR(VLOOKUP($A45,TableHandbook[],K$2,FALSE),"")</f>
        <v/>
      </c>
      <c r="L45" s="82" t="str">
        <f>IFERROR(VLOOKUP($A45,TableHandbook[],L$2,FALSE),"")</f>
        <v/>
      </c>
      <c r="M45" s="93" t="str">
        <f>IFERROR(VLOOKUP($A45,TableHandbook[],M$2,FALSE),"")</f>
        <v/>
      </c>
      <c r="N45" s="83"/>
      <c r="O45" s="103">
        <v>6</v>
      </c>
      <c r="P45" s="44"/>
      <c r="Q45" s="44"/>
      <c r="R45" s="44"/>
      <c r="S45" s="44"/>
      <c r="T45" s="44"/>
      <c r="U45" s="44"/>
      <c r="V45" s="44"/>
      <c r="W45" s="44"/>
      <c r="X45" s="44"/>
      <c r="Y45" s="44"/>
    </row>
    <row r="46" spans="1:25" x14ac:dyDescent="0.25">
      <c r="A46" s="67" t="str">
        <f t="shared" si="0"/>
        <v>EDPR3004</v>
      </c>
      <c r="B46" s="68">
        <f>IFERROR(IF(VLOOKUP($A46,TableHandbook[],2,FALSE)=0,"",VLOOKUP($A46,TableHandbook[],2,FALSE)),"")</f>
        <v>1</v>
      </c>
      <c r="C46" s="69" t="str">
        <f>IFERROR(IF(VLOOKUP($A46,TableHandbook[],3,FALSE)=0,"",VLOOKUP($A46,TableHandbook[],3,FALSE)),"")</f>
        <v/>
      </c>
      <c r="D46" s="69" t="str">
        <f>IFERROR(IF(VLOOKUP($A46,TableHandbook[],4,FALSE)=0,"",VLOOKUP($A46,TableHandbook[],4,FALSE)),"")</f>
        <v>Cultural Contexts in Primary Education</v>
      </c>
      <c r="E46" s="70"/>
      <c r="F46" s="71" t="str">
        <f>IFERROR(IF(VLOOKUP($A46,TableHandbook[],6,FALSE)=0,"",VLOOKUP($A46,TableHandbook[],6,FALSE)),"")</f>
        <v>300CP + EDUC1025</v>
      </c>
      <c r="G46" s="71">
        <f>IFERROR(IF(VLOOKUP($A46,TableHandbook[],5,FALSE)=0,"",VLOOKUP($A46,TableHandbook[],5,FALSE)),"")</f>
        <v>25</v>
      </c>
      <c r="H46" s="92" t="str">
        <f>IFERROR(VLOOKUP($A46,TableHandbook[],H$2,FALSE),"")</f>
        <v>Y</v>
      </c>
      <c r="I46" s="82" t="str">
        <f>IFERROR(VLOOKUP($A46,TableHandbook[],I$2,FALSE),"")</f>
        <v>Y</v>
      </c>
      <c r="J46" s="82" t="str">
        <f>IFERROR(VLOOKUP($A46,TableHandbook[],J$2,FALSE),"")</f>
        <v>Y</v>
      </c>
      <c r="K46" s="82" t="str">
        <f>IFERROR(VLOOKUP($A46,TableHandbook[],K$2,FALSE),"")</f>
        <v/>
      </c>
      <c r="L46" s="82" t="str">
        <f>IFERROR(VLOOKUP($A46,TableHandbook[],L$2,FALSE),"")</f>
        <v/>
      </c>
      <c r="M46" s="93" t="str">
        <f>IFERROR(VLOOKUP($A46,TableHandbook[],M$2,FALSE),"")</f>
        <v/>
      </c>
      <c r="N46" s="83"/>
      <c r="O46" s="103">
        <v>7</v>
      </c>
      <c r="P46" s="44"/>
      <c r="Q46" s="44"/>
      <c r="R46" s="44"/>
      <c r="S46" s="44"/>
      <c r="T46" s="44"/>
      <c r="U46" s="44"/>
      <c r="V46" s="44"/>
      <c r="W46" s="44"/>
      <c r="X46" s="44"/>
      <c r="Y46" s="44"/>
    </row>
    <row r="47" spans="1:25" x14ac:dyDescent="0.25">
      <c r="A47" s="67" t="str">
        <f t="shared" si="0"/>
        <v>EDSC3007</v>
      </c>
      <c r="B47" s="68">
        <f>IFERROR(IF(VLOOKUP($A47,TableHandbook[],2,FALSE)=0,"",VLOOKUP($A47,TableHandbook[],2,FALSE)),"")</f>
        <v>1</v>
      </c>
      <c r="C47" s="69" t="str">
        <f>IFERROR(IF(VLOOKUP($A47,TableHandbook[],3,FALSE)=0,"",VLOOKUP($A47,TableHandbook[],3,FALSE)),"")</f>
        <v/>
      </c>
      <c r="D47" s="69" t="str">
        <f>IFERROR(IF(VLOOKUP($A47,TableHandbook[],4,FALSE)=0,"",VLOOKUP($A47,TableHandbook[],4,FALSE)),"")</f>
        <v>Curriculum and Culture in Secondary Schools</v>
      </c>
      <c r="E47" s="69"/>
      <c r="F47" s="71" t="str">
        <f>IFERROR(IF(VLOOKUP($A47,TableHandbook[],6,FALSE)=0,"",VLOOKUP($A47,TableHandbook[],6,FALSE)),"")</f>
        <v>300CP</v>
      </c>
      <c r="G47" s="130">
        <f>IFERROR(IF(VLOOKUP($A47,TableHandbook[],5,FALSE)=0,"",VLOOKUP($A47,TableHandbook[],5,FALSE)),"")</f>
        <v>25</v>
      </c>
      <c r="H47" s="92" t="str">
        <f>IFERROR(VLOOKUP($A47,TableHandbook[],H$2,FALSE),"")</f>
        <v>Y</v>
      </c>
      <c r="I47" s="82" t="str">
        <f>IFERROR(VLOOKUP($A47,TableHandbook[],I$2,FALSE),"")</f>
        <v>Y</v>
      </c>
      <c r="J47" s="82" t="str">
        <f>IFERROR(VLOOKUP($A47,TableHandbook[],J$2,FALSE),"")</f>
        <v/>
      </c>
      <c r="K47" s="82" t="str">
        <f>IFERROR(VLOOKUP($A47,TableHandbook[],K$2,FALSE),"")</f>
        <v/>
      </c>
      <c r="L47" s="82" t="str">
        <f>IFERROR(VLOOKUP($A47,TableHandbook[],L$2,FALSE),"")</f>
        <v/>
      </c>
      <c r="M47" s="93" t="str">
        <f>IFERROR(VLOOKUP($A47,TableHandbook[],M$2,FALSE),"")</f>
        <v/>
      </c>
      <c r="N47" s="85"/>
      <c r="O47" s="103">
        <v>8</v>
      </c>
      <c r="P47" s="44"/>
      <c r="Q47" s="44"/>
      <c r="R47" s="44"/>
      <c r="S47" s="44"/>
      <c r="T47" s="44"/>
      <c r="U47" s="44"/>
      <c r="V47" s="44"/>
      <c r="W47" s="44"/>
      <c r="X47" s="44"/>
      <c r="Y47" s="44"/>
    </row>
    <row r="48" spans="1:25" x14ac:dyDescent="0.25">
      <c r="A48" s="67" t="str">
        <f t="shared" si="0"/>
        <v xml:space="preserve"> </v>
      </c>
      <c r="B48" s="68" t="str">
        <f>IFERROR(IF(VLOOKUP($A48,TableHandbook[],2,FALSE)=0,"",VLOOKUP($A48,TableHandbook[],2,FALSE)),"")</f>
        <v/>
      </c>
      <c r="C48" s="69" t="str">
        <f>IFERROR(IF(VLOOKUP($A48,TableHandbook[],3,FALSE)=0,"",VLOOKUP($A48,TableHandbook[],3,FALSE)),"")</f>
        <v/>
      </c>
      <c r="D48" s="69" t="str">
        <f>IFERROR(IF(VLOOKUP($A48,TableHandbook[],4,FALSE)=0,"",VLOOKUP($A48,TableHandbook[],4,FALSE)),"")</f>
        <v/>
      </c>
      <c r="E48" s="70"/>
      <c r="F48" s="71" t="str">
        <f>IFERROR(IF(VLOOKUP($A48,TableHandbook[],6,FALSE)=0,"",VLOOKUP($A48,TableHandbook[],6,FALSE)),"")</f>
        <v/>
      </c>
      <c r="G48" s="71" t="str">
        <f>IFERROR(IF(VLOOKUP($A48,TableHandbook[],5,FALSE)=0,"",VLOOKUP($A48,TableHandbook[],5,FALSE)),"")</f>
        <v/>
      </c>
      <c r="H48" s="92" t="str">
        <f>IFERROR(VLOOKUP($A48,TableHandbook[],H$2,FALSE),"")</f>
        <v/>
      </c>
      <c r="I48" s="82" t="str">
        <f>IFERROR(VLOOKUP($A48,TableHandbook[],I$2,FALSE),"")</f>
        <v/>
      </c>
      <c r="J48" s="82" t="str">
        <f>IFERROR(VLOOKUP($A48,TableHandbook[],J$2,FALSE),"")</f>
        <v/>
      </c>
      <c r="K48" s="82" t="str">
        <f>IFERROR(VLOOKUP($A48,TableHandbook[],K$2,FALSE),"")</f>
        <v/>
      </c>
      <c r="L48" s="82" t="str">
        <f>IFERROR(VLOOKUP($A48,TableHandbook[],L$2,FALSE),"")</f>
        <v/>
      </c>
      <c r="M48" s="93" t="str">
        <f>IFERROR(VLOOKUP($A48,TableHandbook[],M$2,FALSE),"")</f>
        <v/>
      </c>
      <c r="N48" s="85"/>
      <c r="O48" s="103">
        <v>9</v>
      </c>
      <c r="P48" s="44"/>
      <c r="Q48" s="44"/>
      <c r="R48" s="44"/>
      <c r="S48" s="44"/>
      <c r="T48" s="44"/>
      <c r="U48" s="44"/>
      <c r="V48" s="44"/>
      <c r="W48" s="44"/>
      <c r="X48" s="44"/>
      <c r="Y48" s="44"/>
    </row>
    <row r="49" spans="1:25" x14ac:dyDescent="0.25">
      <c r="A49" s="67" t="str">
        <f t="shared" si="0"/>
        <v>OptBEDUC</v>
      </c>
      <c r="B49" s="68" t="str">
        <f>IFERROR(IF(VLOOKUP($A49,TableHandbook[],2,FALSE)=0,"",VLOOKUP($A49,TableHandbook[],2,FALSE)),"")</f>
        <v/>
      </c>
      <c r="C49" s="69" t="str">
        <f>IFERROR(IF(VLOOKUP($A49,TableHandbook[],3,FALSE)=0,"",VLOOKUP($A49,TableHandbook[],3,FALSE)),"")</f>
        <v/>
      </c>
      <c r="D49" s="69" t="str">
        <f>IFERROR(IF(VLOOKUP($A49,TableHandbook[],4,FALSE)=0,"",VLOOKUP($A49,TableHandbook[],4,FALSE)),"")</f>
        <v>Study any FOUR options from the list below:</v>
      </c>
      <c r="E49" s="70"/>
      <c r="F49" s="71" t="str">
        <f>IFERROR(IF(VLOOKUP($A49,TableHandbook[],6,FALSE)=0,"",VLOOKUP($A49,TableHandbook[],6,FALSE)),"")</f>
        <v/>
      </c>
      <c r="G49" s="71" t="str">
        <f>IFERROR(IF(VLOOKUP($A49,TableHandbook[],5,FALSE)=0,"",VLOOKUP($A49,TableHandbook[],5,FALSE)),"")</f>
        <v/>
      </c>
      <c r="H49" s="92" t="str">
        <f>IFERROR(VLOOKUP($A49,TableHandbook[],H$2,FALSE),"")</f>
        <v/>
      </c>
      <c r="I49" s="82" t="str">
        <f>IFERROR(VLOOKUP($A49,TableHandbook[],I$2,FALSE),"")</f>
        <v/>
      </c>
      <c r="J49" s="82" t="str">
        <f>IFERROR(VLOOKUP($A49,TableHandbook[],J$2,FALSE),"")</f>
        <v/>
      </c>
      <c r="K49" s="82" t="str">
        <f>IFERROR(VLOOKUP($A49,TableHandbook[],K$2,FALSE),"")</f>
        <v/>
      </c>
      <c r="L49" s="82" t="str">
        <f>IFERROR(VLOOKUP($A49,TableHandbook[],L$2,FALSE),"")</f>
        <v/>
      </c>
      <c r="M49" s="93" t="str">
        <f>IFERROR(VLOOKUP($A49,TableHandbook[],M$2,FALSE),"")</f>
        <v/>
      </c>
      <c r="N49" s="83"/>
      <c r="O49" s="103">
        <v>10</v>
      </c>
      <c r="P49" s="44"/>
      <c r="Q49" s="44"/>
      <c r="R49" s="44"/>
      <c r="S49" s="44"/>
      <c r="T49" s="44"/>
      <c r="U49" s="44"/>
      <c r="V49" s="44"/>
      <c r="W49" s="44"/>
      <c r="X49" s="44"/>
      <c r="Y49" s="44"/>
    </row>
    <row r="50" spans="1:25" x14ac:dyDescent="0.25">
      <c r="A50" s="67" t="str">
        <f t="shared" si="0"/>
        <v>CTED4001</v>
      </c>
      <c r="B50" s="68">
        <f>IFERROR(IF(VLOOKUP($A50,TableHandbook[],2,FALSE)=0,"",VLOOKUP($A50,TableHandbook[],2,FALSE)),"")</f>
        <v>2</v>
      </c>
      <c r="C50" s="69" t="str">
        <f>IFERROR(IF(VLOOKUP($A50,TableHandbook[],3,FALSE)=0,"",VLOOKUP($A50,TableHandbook[],3,FALSE)),"")</f>
        <v/>
      </c>
      <c r="D50" s="69" t="str">
        <f>IFERROR(IF(VLOOKUP($A50,TableHandbook[],4,FALSE)=0,"",VLOOKUP($A50,TableHandbook[],4,FALSE)),"")</f>
        <v>Teaching About Sacraments in Catholic Schools</v>
      </c>
      <c r="E50" s="70"/>
      <c r="F50" s="71" t="str">
        <f>IFERROR(IF(VLOOKUP($A50,TableHandbook[],6,FALSE)=0,"",VLOOKUP($A50,TableHandbook[],6,FALSE)),"")</f>
        <v>Nil</v>
      </c>
      <c r="G50" s="71">
        <f>IFERROR(IF(VLOOKUP($A50,TableHandbook[],5,FALSE)=0,"",VLOOKUP($A50,TableHandbook[],5,FALSE)),"")</f>
        <v>25</v>
      </c>
      <c r="H50" s="92" t="str">
        <f>IFERROR(VLOOKUP($A50,TableHandbook[],H$2,FALSE),"")</f>
        <v>Y</v>
      </c>
      <c r="I50" s="82" t="str">
        <f>IFERROR(VLOOKUP($A50,TableHandbook[],I$2,FALSE),"")</f>
        <v>Y</v>
      </c>
      <c r="J50" s="82" t="str">
        <f>IFERROR(VLOOKUP($A50,TableHandbook[],J$2,FALSE),"")</f>
        <v>Y</v>
      </c>
      <c r="K50" s="82" t="str">
        <f>IFERROR(VLOOKUP($A50,TableHandbook[],K$2,FALSE),"")</f>
        <v/>
      </c>
      <c r="L50" s="82" t="str">
        <f>IFERROR(VLOOKUP($A50,TableHandbook[],L$2,FALSE),"")</f>
        <v/>
      </c>
      <c r="M50" s="93" t="str">
        <f>IFERROR(VLOOKUP($A50,TableHandbook[],M$2,FALSE),"")</f>
        <v/>
      </c>
      <c r="N50" s="83"/>
      <c r="O50" s="103">
        <v>11</v>
      </c>
      <c r="P50" s="44"/>
      <c r="Q50" s="44"/>
      <c r="R50" s="44"/>
      <c r="S50" s="44"/>
      <c r="T50" s="44"/>
      <c r="U50" s="44"/>
      <c r="V50" s="44"/>
      <c r="W50" s="44"/>
      <c r="X50" s="44"/>
      <c r="Y50" s="44"/>
    </row>
    <row r="51" spans="1:25" x14ac:dyDescent="0.25">
      <c r="A51" s="67" t="str">
        <f t="shared" si="0"/>
        <v>CTED4006</v>
      </c>
      <c r="B51" s="68">
        <f>IFERROR(IF(VLOOKUP($A51,TableHandbook[],2,FALSE)=0,"",VLOOKUP($A51,TableHandbook[],2,FALSE)),"")</f>
        <v>1</v>
      </c>
      <c r="C51" s="69" t="str">
        <f>IFERROR(IF(VLOOKUP($A51,TableHandbook[],3,FALSE)=0,"",VLOOKUP($A51,TableHandbook[],3,FALSE)),"")</f>
        <v/>
      </c>
      <c r="D51" s="69" t="str">
        <f>IFERROR(IF(VLOOKUP($A51,TableHandbook[],4,FALSE)=0,"",VLOOKUP($A51,TableHandbook[],4,FALSE)),"")</f>
        <v>Teaching About Jesus in Catholic Schools</v>
      </c>
      <c r="E51" s="69"/>
      <c r="F51" s="71" t="str">
        <f>IFERROR(IF(VLOOKUP($A51,TableHandbook[],6,FALSE)=0,"",VLOOKUP($A51,TableHandbook[],6,FALSE)),"")</f>
        <v>Nil</v>
      </c>
      <c r="G51" s="71">
        <f>IFERROR(IF(VLOOKUP($A51,TableHandbook[],5,FALSE)=0,"",VLOOKUP($A51,TableHandbook[],5,FALSE)),"")</f>
        <v>25</v>
      </c>
      <c r="H51" s="92" t="str">
        <f>IFERROR(VLOOKUP($A51,TableHandbook[],H$2,FALSE),"")</f>
        <v/>
      </c>
      <c r="I51" s="82" t="str">
        <f>IFERROR(VLOOKUP($A51,TableHandbook[],I$2,FALSE),"")</f>
        <v/>
      </c>
      <c r="J51" s="82" t="str">
        <f>IFERROR(VLOOKUP($A51,TableHandbook[],J$2,FALSE),"")</f>
        <v/>
      </c>
      <c r="K51" s="82" t="str">
        <f>IFERROR(VLOOKUP($A51,TableHandbook[],K$2,FALSE),"")</f>
        <v>Y</v>
      </c>
      <c r="L51" s="82" t="str">
        <f>IFERROR(VLOOKUP($A51,TableHandbook[],L$2,FALSE),"")</f>
        <v>Y</v>
      </c>
      <c r="M51" s="93" t="str">
        <f>IFERROR(VLOOKUP($A51,TableHandbook[],M$2,FALSE),"")</f>
        <v>Y</v>
      </c>
      <c r="N51" s="83"/>
      <c r="O51" s="103">
        <v>12</v>
      </c>
      <c r="P51" s="44"/>
      <c r="Q51" s="44"/>
      <c r="R51" s="44"/>
      <c r="S51" s="44"/>
      <c r="T51" s="44"/>
      <c r="U51" s="44"/>
      <c r="V51" s="44"/>
      <c r="W51" s="44"/>
      <c r="X51" s="44"/>
      <c r="Y51" s="44"/>
    </row>
    <row r="52" spans="1:25" x14ac:dyDescent="0.25">
      <c r="A52" s="67" t="str">
        <f t="shared" si="0"/>
        <v>CTED4008</v>
      </c>
      <c r="B52" s="68">
        <f>IFERROR(IF(VLOOKUP($A52,TableHandbook[],2,FALSE)=0,"",VLOOKUP($A52,TableHandbook[],2,FALSE)),"")</f>
        <v>1</v>
      </c>
      <c r="C52" s="69" t="str">
        <f>IFERROR(IF(VLOOKUP($A52,TableHandbook[],3,FALSE)=0,"",VLOOKUP($A52,TableHandbook[],3,FALSE)),"")</f>
        <v/>
      </c>
      <c r="D52" s="69" t="str">
        <f>IFERROR(IF(VLOOKUP($A52,TableHandbook[],4,FALSE)=0,"",VLOOKUP($A52,TableHandbook[],4,FALSE)),"")</f>
        <v>Teaching About the Gospels in Catholic Schools</v>
      </c>
      <c r="E52" s="69"/>
      <c r="F52" s="71" t="str">
        <f>IFERROR(IF(VLOOKUP($A52,TableHandbook[],6,FALSE)=0,"",VLOOKUP($A52,TableHandbook[],6,FALSE)),"")</f>
        <v>Nil</v>
      </c>
      <c r="G52" s="71">
        <f>IFERROR(IF(VLOOKUP($A52,TableHandbook[],5,FALSE)=0,"",VLOOKUP($A52,TableHandbook[],5,FALSE)),"")</f>
        <v>25</v>
      </c>
      <c r="H52" s="92" t="str">
        <f>IFERROR(VLOOKUP($A52,TableHandbook[],H$2,FALSE),"")</f>
        <v>Y</v>
      </c>
      <c r="I52" s="82" t="str">
        <f>IFERROR(VLOOKUP($A52,TableHandbook[],I$2,FALSE),"")</f>
        <v>Y</v>
      </c>
      <c r="J52" s="82" t="str">
        <f>IFERROR(VLOOKUP($A52,TableHandbook[],J$2,FALSE),"")</f>
        <v>Y</v>
      </c>
      <c r="K52" s="82" t="str">
        <f>IFERROR(VLOOKUP($A52,TableHandbook[],K$2,FALSE),"")</f>
        <v/>
      </c>
      <c r="L52" s="82" t="str">
        <f>IFERROR(VLOOKUP($A52,TableHandbook[],L$2,FALSE),"")</f>
        <v/>
      </c>
      <c r="M52" s="93" t="str">
        <f>IFERROR(VLOOKUP($A52,TableHandbook[],M$2,FALSE),"")</f>
        <v/>
      </c>
      <c r="N52" s="83"/>
      <c r="O52" s="103">
        <v>13</v>
      </c>
      <c r="P52" s="44"/>
      <c r="Q52" s="44"/>
      <c r="R52" s="44"/>
      <c r="S52" s="44"/>
      <c r="T52" s="44"/>
      <c r="U52" s="44"/>
      <c r="V52" s="44"/>
      <c r="W52" s="44"/>
      <c r="X52" s="44"/>
      <c r="Y52" s="44"/>
    </row>
    <row r="53" spans="1:25" x14ac:dyDescent="0.25">
      <c r="A53" s="67" t="str">
        <f t="shared" si="0"/>
        <v>EDUC4012</v>
      </c>
      <c r="B53" s="68">
        <f>IFERROR(IF(VLOOKUP($A53,TableHandbook[],2,FALSE)=0,"",VLOOKUP($A53,TableHandbook[],2,FALSE)),"")</f>
        <v>2</v>
      </c>
      <c r="C53" s="69" t="str">
        <f>IFERROR(IF(VLOOKUP($A53,TableHandbook[],3,FALSE)=0,"",VLOOKUP($A53,TableHandbook[],3,FALSE)),"")</f>
        <v/>
      </c>
      <c r="D53" s="69" t="str">
        <f>IFERROR(IF(VLOOKUP($A53,TableHandbook[],4,FALSE)=0,"",VLOOKUP($A53,TableHandbook[],4,FALSE)),"")</f>
        <v>Relationships and Sexuality Education</v>
      </c>
      <c r="E53" s="69"/>
      <c r="F53" s="71" t="str">
        <f>IFERROR(IF(VLOOKUP($A53,TableHandbook[],6,FALSE)=0,"",VLOOKUP($A53,TableHandbook[],6,FALSE)),"")</f>
        <v>Nil</v>
      </c>
      <c r="G53" s="71">
        <f>IFERROR(IF(VLOOKUP($A53,TableHandbook[],5,FALSE)=0,"",VLOOKUP($A53,TableHandbook[],5,FALSE)),"")</f>
        <v>25</v>
      </c>
      <c r="H53" s="92" t="str">
        <f>IFERROR(VLOOKUP($A53,TableHandbook[],H$2,FALSE),"")</f>
        <v>Y</v>
      </c>
      <c r="I53" s="82" t="str">
        <f>IFERROR(VLOOKUP($A53,TableHandbook[],I$2,FALSE),"")</f>
        <v>Y</v>
      </c>
      <c r="J53" s="82" t="str">
        <f>IFERROR(VLOOKUP($A53,TableHandbook[],J$2,FALSE),"")</f>
        <v/>
      </c>
      <c r="K53" s="82" t="str">
        <f>IFERROR(VLOOKUP($A53,TableHandbook[],K$2,FALSE),"")</f>
        <v/>
      </c>
      <c r="L53" s="82" t="str">
        <f>IFERROR(VLOOKUP($A53,TableHandbook[],L$2,FALSE),"")</f>
        <v/>
      </c>
      <c r="M53" s="93" t="str">
        <f>IFERROR(VLOOKUP($A53,TableHandbook[],M$2,FALSE),"")</f>
        <v/>
      </c>
      <c r="N53" s="83"/>
      <c r="O53" s="103">
        <v>14</v>
      </c>
      <c r="P53" s="44"/>
      <c r="Q53" s="44"/>
      <c r="R53" s="44"/>
      <c r="S53" s="44"/>
      <c r="T53" s="44"/>
      <c r="U53" s="44"/>
      <c r="V53" s="44"/>
      <c r="W53" s="44"/>
      <c r="X53" s="44"/>
      <c r="Y53" s="44"/>
    </row>
    <row r="54" spans="1:25" x14ac:dyDescent="0.25">
      <c r="A54" s="67" t="str">
        <f t="shared" si="0"/>
        <v>EDUC4014</v>
      </c>
      <c r="B54" s="68">
        <f>IFERROR(IF(VLOOKUP($A54,TableHandbook[],2,FALSE)=0,"",VLOOKUP($A54,TableHandbook[],2,FALSE)),"")</f>
        <v>1</v>
      </c>
      <c r="C54" s="69" t="str">
        <f>IFERROR(IF(VLOOKUP($A54,TableHandbook[],3,FALSE)=0,"",VLOOKUP($A54,TableHandbook[],3,FALSE)),"")</f>
        <v/>
      </c>
      <c r="D54" s="69" t="str">
        <f>IFERROR(IF(VLOOKUP($A54,TableHandbook[],4,FALSE)=0,"",VLOOKUP($A54,TableHandbook[],4,FALSE)),"")</f>
        <v>Diverse Abilities and Curriculum Differentiation</v>
      </c>
      <c r="E54" s="69"/>
      <c r="F54" s="71" t="str">
        <f>IFERROR(IF(VLOOKUP($A54,TableHandbook[],6,FALSE)=0,"",VLOOKUP($A54,TableHandbook[],6,FALSE)),"")</f>
        <v>Nil</v>
      </c>
      <c r="G54" s="71">
        <f>IFERROR(IF(VLOOKUP($A54,TableHandbook[],5,FALSE)=0,"",VLOOKUP($A54,TableHandbook[],5,FALSE)),"")</f>
        <v>25</v>
      </c>
      <c r="H54" s="92" t="str">
        <f>IFERROR(VLOOKUP($A54,TableHandbook[],H$2,FALSE),"")</f>
        <v/>
      </c>
      <c r="I54" s="82" t="str">
        <f>IFERROR(VLOOKUP($A54,TableHandbook[],I$2,FALSE),"")</f>
        <v>Y</v>
      </c>
      <c r="J54" s="82" t="str">
        <f>IFERROR(VLOOKUP($A54,TableHandbook[],J$2,FALSE),"")</f>
        <v/>
      </c>
      <c r="K54" s="82" t="str">
        <f>IFERROR(VLOOKUP($A54,TableHandbook[],K$2,FALSE),"")</f>
        <v/>
      </c>
      <c r="L54" s="82" t="str">
        <f>IFERROR(VLOOKUP($A54,TableHandbook[],L$2,FALSE),"")</f>
        <v/>
      </c>
      <c r="M54" s="93" t="str">
        <f>IFERROR(VLOOKUP($A54,TableHandbook[],M$2,FALSE),"")</f>
        <v/>
      </c>
      <c r="N54" s="83"/>
      <c r="O54" s="103">
        <v>15</v>
      </c>
      <c r="P54" s="44"/>
      <c r="Q54" s="44"/>
      <c r="R54" s="44"/>
      <c r="S54" s="44"/>
      <c r="T54" s="44"/>
      <c r="U54" s="44"/>
      <c r="V54" s="44"/>
      <c r="W54" s="44"/>
      <c r="X54" s="44"/>
      <c r="Y54" s="44"/>
    </row>
    <row r="55" spans="1:25" x14ac:dyDescent="0.25">
      <c r="A55" s="67" t="str">
        <f t="shared" si="0"/>
        <v>EDUC4020</v>
      </c>
      <c r="B55" s="68">
        <f>IFERROR(IF(VLOOKUP($A55,TableHandbook[],2,FALSE)=0,"",VLOOKUP($A55,TableHandbook[],2,FALSE)),"")</f>
        <v>1</v>
      </c>
      <c r="C55" s="69" t="str">
        <f>IFERROR(IF(VLOOKUP($A55,TableHandbook[],3,FALSE)=0,"",VLOOKUP($A55,TableHandbook[],3,FALSE)),"")</f>
        <v/>
      </c>
      <c r="D55" s="69" t="str">
        <f>IFERROR(IF(VLOOKUP($A55,TableHandbook[],4,FALSE)=0,"",VLOOKUP($A55,TableHandbook[],4,FALSE)),"")</f>
        <v>Supporting Literacy and Numeracy Development for Diverse Learners</v>
      </c>
      <c r="E55" s="69"/>
      <c r="F55" s="71" t="str">
        <f>IFERROR(IF(VLOOKUP($A55,TableHandbook[],6,FALSE)=0,"",VLOOKUP($A55,TableHandbook[],6,FALSE)),"")</f>
        <v>Nil</v>
      </c>
      <c r="G55" s="71">
        <f>IFERROR(IF(VLOOKUP($A55,TableHandbook[],5,FALSE)=0,"",VLOOKUP($A55,TableHandbook[],5,FALSE)),"")</f>
        <v>25</v>
      </c>
      <c r="H55" s="92" t="str">
        <f>IFERROR(VLOOKUP($A55,TableHandbook[],H$2,FALSE),"")</f>
        <v/>
      </c>
      <c r="I55" s="82" t="str">
        <f>IFERROR(VLOOKUP($A55,TableHandbook[],I$2,FALSE),"")</f>
        <v/>
      </c>
      <c r="J55" s="82" t="str">
        <f>IFERROR(VLOOKUP($A55,TableHandbook[],J$2,FALSE),"")</f>
        <v/>
      </c>
      <c r="K55" s="82" t="str">
        <f>IFERROR(VLOOKUP($A55,TableHandbook[],K$2,FALSE),"")</f>
        <v>Y</v>
      </c>
      <c r="L55" s="82" t="str">
        <f>IFERROR(VLOOKUP($A55,TableHandbook[],L$2,FALSE),"")</f>
        <v>Y</v>
      </c>
      <c r="M55" s="93" t="str">
        <f>IFERROR(VLOOKUP($A55,TableHandbook[],M$2,FALSE),"")</f>
        <v/>
      </c>
      <c r="N55" s="83"/>
      <c r="O55" s="103">
        <v>16</v>
      </c>
      <c r="P55" s="44"/>
      <c r="Q55" s="44"/>
      <c r="R55" s="44"/>
      <c r="S55" s="44"/>
      <c r="T55" s="44"/>
      <c r="U55" s="44"/>
      <c r="V55" s="44"/>
      <c r="W55" s="44"/>
      <c r="X55" s="44"/>
      <c r="Y55" s="44"/>
    </row>
    <row r="56" spans="1:25" x14ac:dyDescent="0.25">
      <c r="A56" s="67" t="str">
        <f t="shared" si="0"/>
        <v>EDUC4021</v>
      </c>
      <c r="B56" s="68">
        <f>IFERROR(IF(VLOOKUP($A56,TableHandbook[],2,FALSE)=0,"",VLOOKUP($A56,TableHandbook[],2,FALSE)),"")</f>
        <v>1</v>
      </c>
      <c r="C56" s="69" t="str">
        <f>IFERROR(IF(VLOOKUP($A56,TableHandbook[],3,FALSE)=0,"",VLOOKUP($A56,TableHandbook[],3,FALSE)),"")</f>
        <v/>
      </c>
      <c r="D56" s="69" t="str">
        <f>IFERROR(IF(VLOOKUP($A56,TableHandbook[],4,FALSE)=0,"",VLOOKUP($A56,TableHandbook[],4,FALSE)),"")</f>
        <v>Project-based iSTEM Education</v>
      </c>
      <c r="E56" s="69"/>
      <c r="F56" s="71" t="str">
        <f>IFERROR(IF(VLOOKUP($A56,TableHandbook[],6,FALSE)=0,"",VLOOKUP($A56,TableHandbook[],6,FALSE)),"")</f>
        <v>Nil</v>
      </c>
      <c r="G56" s="71">
        <f>IFERROR(IF(VLOOKUP($A56,TableHandbook[],5,FALSE)=0,"",VLOOKUP($A56,TableHandbook[],5,FALSE)),"")</f>
        <v>25</v>
      </c>
      <c r="H56" s="92" t="str">
        <f>IFERROR(VLOOKUP($A56,TableHandbook[],H$2,FALSE),"")</f>
        <v/>
      </c>
      <c r="I56" s="82" t="str">
        <f>IFERROR(VLOOKUP($A56,TableHandbook[],I$2,FALSE),"")</f>
        <v/>
      </c>
      <c r="J56" s="82" t="str">
        <f>IFERROR(VLOOKUP($A56,TableHandbook[],J$2,FALSE),"")</f>
        <v/>
      </c>
      <c r="K56" s="82" t="str">
        <f>IFERROR(VLOOKUP($A56,TableHandbook[],K$2,FALSE),"")</f>
        <v>Y</v>
      </c>
      <c r="L56" s="82" t="str">
        <f>IFERROR(VLOOKUP($A56,TableHandbook[],L$2,FALSE),"")</f>
        <v>Y</v>
      </c>
      <c r="M56" s="93" t="str">
        <f>IFERROR(VLOOKUP($A56,TableHandbook[],M$2,FALSE),"")</f>
        <v/>
      </c>
      <c r="N56" s="83"/>
      <c r="O56" s="103">
        <v>17</v>
      </c>
      <c r="P56" s="44"/>
      <c r="Q56" s="44"/>
      <c r="R56" s="44"/>
      <c r="S56" s="44"/>
      <c r="T56" s="44"/>
      <c r="U56" s="44"/>
      <c r="V56" s="44"/>
      <c r="W56" s="44"/>
      <c r="X56" s="44"/>
      <c r="Y56" s="44"/>
    </row>
    <row r="57" spans="1:25" x14ac:dyDescent="0.25">
      <c r="A57" s="67" t="str">
        <f t="shared" si="0"/>
        <v>EDUC4022</v>
      </c>
      <c r="B57" s="68">
        <f>IFERROR(IF(VLOOKUP($A57,TableHandbook[],2,FALSE)=0,"",VLOOKUP($A57,TableHandbook[],2,FALSE)),"")</f>
        <v>1</v>
      </c>
      <c r="C57" s="69" t="str">
        <f>IFERROR(IF(VLOOKUP($A57,TableHandbook[],3,FALSE)=0,"",VLOOKUP($A57,TableHandbook[],3,FALSE)),"")</f>
        <v/>
      </c>
      <c r="D57" s="69" t="str">
        <f>IFERROR(IF(VLOOKUP($A57,TableHandbook[],4,FALSE)=0,"",VLOOKUP($A57,TableHandbook[],4,FALSE)),"")</f>
        <v>Creative Literacies</v>
      </c>
      <c r="E57" s="69"/>
      <c r="F57" s="71" t="str">
        <f>IFERROR(IF(VLOOKUP($A57,TableHandbook[],6,FALSE)=0,"",VLOOKUP($A57,TableHandbook[],6,FALSE)),"")</f>
        <v>Nil</v>
      </c>
      <c r="G57" s="71">
        <f>IFERROR(IF(VLOOKUP($A57,TableHandbook[],5,FALSE)=0,"",VLOOKUP($A57,TableHandbook[],5,FALSE)),"")</f>
        <v>25</v>
      </c>
      <c r="H57" s="92" t="str">
        <f>IFERROR(VLOOKUP($A57,TableHandbook[],H$2,FALSE),"")</f>
        <v>Y</v>
      </c>
      <c r="I57" s="82" t="str">
        <f>IFERROR(VLOOKUP($A57,TableHandbook[],I$2,FALSE),"")</f>
        <v>Y</v>
      </c>
      <c r="J57" s="82" t="str">
        <f>IFERROR(VLOOKUP($A57,TableHandbook[],J$2,FALSE),"")</f>
        <v/>
      </c>
      <c r="K57" s="82" t="str">
        <f>IFERROR(VLOOKUP($A57,TableHandbook[],K$2,FALSE),"")</f>
        <v/>
      </c>
      <c r="L57" s="82" t="str">
        <f>IFERROR(VLOOKUP($A57,TableHandbook[],L$2,FALSE),"")</f>
        <v/>
      </c>
      <c r="M57" s="93" t="str">
        <f>IFERROR(VLOOKUP($A57,TableHandbook[],M$2,FALSE),"")</f>
        <v/>
      </c>
      <c r="N57" s="83"/>
      <c r="O57" s="103">
        <v>18</v>
      </c>
      <c r="P57" s="44"/>
      <c r="Q57" s="44"/>
      <c r="R57" s="44"/>
      <c r="S57" s="44"/>
      <c r="T57" s="44"/>
      <c r="U57" s="44"/>
      <c r="V57" s="44"/>
      <c r="W57" s="44"/>
      <c r="X57" s="44"/>
      <c r="Y57" s="44"/>
    </row>
    <row r="58" spans="1:25" x14ac:dyDescent="0.25">
      <c r="A58" s="67" t="str">
        <f t="shared" si="0"/>
        <v>EDUC4023</v>
      </c>
      <c r="B58" s="68">
        <f>IFERROR(IF(VLOOKUP($A58,TableHandbook[],2,FALSE)=0,"",VLOOKUP($A58,TableHandbook[],2,FALSE)),"")</f>
        <v>1</v>
      </c>
      <c r="C58" s="69" t="str">
        <f>IFERROR(IF(VLOOKUP($A58,TableHandbook[],3,FALSE)=0,"",VLOOKUP($A58,TableHandbook[],3,FALSE)),"")</f>
        <v/>
      </c>
      <c r="D58" s="69" t="str">
        <f>IFERROR(IF(VLOOKUP($A58,TableHandbook[],4,FALSE)=0,"",VLOOKUP($A58,TableHandbook[],4,FALSE)),"")</f>
        <v>Creating and Responding to Literature</v>
      </c>
      <c r="E58" s="69"/>
      <c r="F58" s="71" t="str">
        <f>IFERROR(IF(VLOOKUP($A58,TableHandbook[],6,FALSE)=0,"",VLOOKUP($A58,TableHandbook[],6,FALSE)),"")</f>
        <v>Nil</v>
      </c>
      <c r="G58" s="71">
        <f>IFERROR(IF(VLOOKUP($A58,TableHandbook[],5,FALSE)=0,"",VLOOKUP($A58,TableHandbook[],5,FALSE)),"")</f>
        <v>25</v>
      </c>
      <c r="H58" s="92" t="str">
        <f>IFERROR(VLOOKUP($A58,TableHandbook[],H$2,FALSE),"")</f>
        <v/>
      </c>
      <c r="I58" s="82" t="str">
        <f>IFERROR(VLOOKUP($A58,TableHandbook[],I$2,FALSE),"")</f>
        <v/>
      </c>
      <c r="J58" s="82" t="str">
        <f>IFERROR(VLOOKUP($A58,TableHandbook[],J$2,FALSE),"")</f>
        <v/>
      </c>
      <c r="K58" s="82" t="str">
        <f>IFERROR(VLOOKUP($A58,TableHandbook[],K$2,FALSE),"")</f>
        <v>Y</v>
      </c>
      <c r="L58" s="82" t="str">
        <f>IFERROR(VLOOKUP($A58,TableHandbook[],L$2,FALSE),"")</f>
        <v>Y</v>
      </c>
      <c r="M58" s="93" t="str">
        <f>IFERROR(VLOOKUP($A58,TableHandbook[],M$2,FALSE),"")</f>
        <v/>
      </c>
      <c r="N58" s="83"/>
      <c r="O58" s="103">
        <v>19</v>
      </c>
      <c r="P58" s="44"/>
      <c r="Q58" s="44"/>
      <c r="R58" s="44"/>
      <c r="S58" s="44"/>
      <c r="T58" s="44"/>
      <c r="U58" s="44"/>
      <c r="V58" s="44"/>
      <c r="W58" s="44"/>
      <c r="X58" s="44"/>
      <c r="Y58" s="44"/>
    </row>
    <row r="59" spans="1:25" x14ac:dyDescent="0.25">
      <c r="A59" s="67" t="str">
        <f t="shared" si="0"/>
        <v>EDUC4029</v>
      </c>
      <c r="B59" s="68">
        <f>IFERROR(IF(VLOOKUP($A59,TableHandbook[],2,FALSE)=0,"",VLOOKUP($A59,TableHandbook[],2,FALSE)),"")</f>
        <v>1</v>
      </c>
      <c r="C59" s="69" t="str">
        <f>IFERROR(IF(VLOOKUP($A59,TableHandbook[],3,FALSE)=0,"",VLOOKUP($A59,TableHandbook[],3,FALSE)),"")</f>
        <v/>
      </c>
      <c r="D59" s="69" t="str">
        <f>IFERROR(IF(VLOOKUP($A59,TableHandbook[],4,FALSE)=0,"",VLOOKUP($A59,TableHandbook[],4,FALSE)),"")</f>
        <v>Technologies: Coding for Teachers</v>
      </c>
      <c r="E59" s="69"/>
      <c r="F59" s="71" t="str">
        <f>IFERROR(IF(VLOOKUP($A59,TableHandbook[],6,FALSE)=0,"",VLOOKUP($A59,TableHandbook[],6,FALSE)),"")</f>
        <v>Nil</v>
      </c>
      <c r="G59" s="71">
        <f>IFERROR(IF(VLOOKUP($A59,TableHandbook[],5,FALSE)=0,"",VLOOKUP($A59,TableHandbook[],5,FALSE)),"")</f>
        <v>25</v>
      </c>
      <c r="H59" s="92" t="str">
        <f>IFERROR(VLOOKUP($A59,TableHandbook[],H$2,FALSE),"")</f>
        <v/>
      </c>
      <c r="I59" s="82" t="str">
        <f>IFERROR(VLOOKUP($A59,TableHandbook[],I$2,FALSE),"")</f>
        <v/>
      </c>
      <c r="J59" s="82" t="str">
        <f>IFERROR(VLOOKUP($A59,TableHandbook[],J$2,FALSE),"")</f>
        <v/>
      </c>
      <c r="K59" s="82" t="str">
        <f>IFERROR(VLOOKUP($A59,TableHandbook[],K$2,FALSE),"")</f>
        <v>Y</v>
      </c>
      <c r="L59" s="82" t="str">
        <f>IFERROR(VLOOKUP($A59,TableHandbook[],L$2,FALSE),"")</f>
        <v>Y</v>
      </c>
      <c r="M59" s="93" t="str">
        <f>IFERROR(VLOOKUP($A59,TableHandbook[],M$2,FALSE),"")</f>
        <v/>
      </c>
      <c r="N59" s="83"/>
      <c r="O59" s="103">
        <v>20</v>
      </c>
      <c r="P59" s="44"/>
      <c r="Q59" s="44"/>
      <c r="R59" s="44"/>
      <c r="S59" s="44"/>
      <c r="T59" s="44"/>
      <c r="U59" s="44"/>
      <c r="V59" s="44"/>
      <c r="W59" s="44"/>
      <c r="X59" s="44"/>
      <c r="Y59" s="44"/>
    </row>
    <row r="60" spans="1:25" x14ac:dyDescent="0.25">
      <c r="A60" s="67" t="str">
        <f t="shared" si="0"/>
        <v>EDUC4032</v>
      </c>
      <c r="B60" s="68">
        <f>IFERROR(IF(VLOOKUP($A60,TableHandbook[],2,FALSE)=0,"",VLOOKUP($A60,TableHandbook[],2,FALSE)),"")</f>
        <v>1</v>
      </c>
      <c r="C60" s="69" t="str">
        <f>IFERROR(IF(VLOOKUP($A60,TableHandbook[],3,FALSE)=0,"",VLOOKUP($A60,TableHandbook[],3,FALSE)),"")</f>
        <v/>
      </c>
      <c r="D60" s="69" t="str">
        <f>IFERROR(IF(VLOOKUP($A60,TableHandbook[],4,FALSE)=0,"",VLOOKUP($A60,TableHandbook[],4,FALSE)),"")</f>
        <v>iSTEM Education through Digital Stories</v>
      </c>
      <c r="E60" s="69"/>
      <c r="F60" s="71" t="str">
        <f>IFERROR(IF(VLOOKUP($A60,TableHandbook[],6,FALSE)=0,"",VLOOKUP($A60,TableHandbook[],6,FALSE)),"")</f>
        <v>Nil</v>
      </c>
      <c r="G60" s="71">
        <f>IFERROR(IF(VLOOKUP($A60,TableHandbook[],5,FALSE)=0,"",VLOOKUP($A60,TableHandbook[],5,FALSE)),"")</f>
        <v>25</v>
      </c>
      <c r="H60" s="92" t="str">
        <f>IFERROR(VLOOKUP($A60,TableHandbook[],H$2,FALSE),"")</f>
        <v/>
      </c>
      <c r="I60" s="82" t="str">
        <f>IFERROR(VLOOKUP($A60,TableHandbook[],I$2,FALSE),"")</f>
        <v>Y</v>
      </c>
      <c r="J60" s="82" t="str">
        <f>IFERROR(VLOOKUP($A60,TableHandbook[],J$2,FALSE),"")</f>
        <v/>
      </c>
      <c r="K60" s="82" t="str">
        <f>IFERROR(VLOOKUP($A60,TableHandbook[],K$2,FALSE),"")</f>
        <v/>
      </c>
      <c r="L60" s="82" t="str">
        <f>IFERROR(VLOOKUP($A60,TableHandbook[],L$2,FALSE),"")</f>
        <v/>
      </c>
      <c r="M60" s="93" t="str">
        <f>IFERROR(VLOOKUP($A60,TableHandbook[],M$2,FALSE),"")</f>
        <v/>
      </c>
      <c r="N60" s="83"/>
      <c r="O60" s="103">
        <v>21</v>
      </c>
      <c r="P60" s="44"/>
      <c r="Q60" s="44"/>
      <c r="R60" s="44"/>
      <c r="S60" s="44"/>
      <c r="T60" s="44"/>
      <c r="U60" s="44"/>
      <c r="V60" s="44"/>
      <c r="W60" s="44"/>
      <c r="X60" s="44"/>
      <c r="Y60" s="44"/>
    </row>
    <row r="61" spans="1:25" x14ac:dyDescent="0.25">
      <c r="A61" s="67" t="str">
        <f t="shared" si="0"/>
        <v>EDUC4034</v>
      </c>
      <c r="B61" s="68">
        <f>IFERROR(IF(VLOOKUP($A61,TableHandbook[],2,FALSE)=0,"",VLOOKUP($A61,TableHandbook[],2,FALSE)),"")</f>
        <v>1</v>
      </c>
      <c r="C61" s="69" t="str">
        <f>IFERROR(IF(VLOOKUP($A61,TableHandbook[],3,FALSE)=0,"",VLOOKUP($A61,TableHandbook[],3,FALSE)),"")</f>
        <v/>
      </c>
      <c r="D61" s="69" t="str">
        <f>IFERROR(IF(VLOOKUP($A61,TableHandbook[],4,FALSE)=0,"",VLOOKUP($A61,TableHandbook[],4,FALSE)),"")</f>
        <v>iSTEM: Social Issues</v>
      </c>
      <c r="E61" s="69"/>
      <c r="F61" s="71" t="str">
        <f>IFERROR(IF(VLOOKUP($A61,TableHandbook[],6,FALSE)=0,"",VLOOKUP($A61,TableHandbook[],6,FALSE)),"")</f>
        <v>Nil</v>
      </c>
      <c r="G61" s="71">
        <f>IFERROR(IF(VLOOKUP($A61,TableHandbook[],5,FALSE)=0,"",VLOOKUP($A61,TableHandbook[],5,FALSE)),"")</f>
        <v>25</v>
      </c>
      <c r="H61" s="92" t="str">
        <f>IFERROR(VLOOKUP($A61,TableHandbook[],H$2,FALSE),"")</f>
        <v>Y</v>
      </c>
      <c r="I61" s="82" t="str">
        <f>IFERROR(VLOOKUP($A61,TableHandbook[],I$2,FALSE),"")</f>
        <v>Y</v>
      </c>
      <c r="J61" s="82" t="str">
        <f>IFERROR(VLOOKUP($A61,TableHandbook[],J$2,FALSE),"")</f>
        <v/>
      </c>
      <c r="K61" s="82" t="str">
        <f>IFERROR(VLOOKUP($A61,TableHandbook[],K$2,FALSE),"")</f>
        <v/>
      </c>
      <c r="L61" s="82" t="str">
        <f>IFERROR(VLOOKUP($A61,TableHandbook[],L$2,FALSE),"")</f>
        <v/>
      </c>
      <c r="M61" s="93" t="str">
        <f>IFERROR(VLOOKUP($A61,TableHandbook[],M$2,FALSE),"")</f>
        <v/>
      </c>
      <c r="N61" s="83"/>
      <c r="O61" s="103">
        <v>22</v>
      </c>
      <c r="P61" s="44"/>
      <c r="Q61" s="44"/>
      <c r="R61" s="44"/>
      <c r="S61" s="44"/>
      <c r="T61" s="44"/>
      <c r="U61" s="44"/>
      <c r="V61" s="44"/>
      <c r="W61" s="44"/>
      <c r="X61" s="44"/>
      <c r="Y61" s="44"/>
    </row>
    <row r="62" spans="1:25" x14ac:dyDescent="0.25">
      <c r="A62" s="67" t="str">
        <f t="shared" si="0"/>
        <v>EDUC4036</v>
      </c>
      <c r="B62" s="68">
        <f>IFERROR(IF(VLOOKUP($A62,TableHandbook[],2,FALSE)=0,"",VLOOKUP($A62,TableHandbook[],2,FALSE)),"")</f>
        <v>1</v>
      </c>
      <c r="C62" s="69" t="str">
        <f>IFERROR(IF(VLOOKUP($A62,TableHandbook[],3,FALSE)=0,"",VLOOKUP($A62,TableHandbook[],3,FALSE)),"")</f>
        <v/>
      </c>
      <c r="D62" s="69" t="str">
        <f>IFERROR(IF(VLOOKUP($A62,TableHandbook[],4,FALSE)=0,"",VLOOKUP($A62,TableHandbook[],4,FALSE)),"")</f>
        <v>Language and Diversity</v>
      </c>
      <c r="E62" s="69"/>
      <c r="F62" s="71" t="str">
        <f>IFERROR(IF(VLOOKUP($A62,TableHandbook[],6,FALSE)=0,"",VLOOKUP($A62,TableHandbook[],6,FALSE)),"")</f>
        <v>Nil</v>
      </c>
      <c r="G62" s="71">
        <f>IFERROR(IF(VLOOKUP($A62,TableHandbook[],5,FALSE)=0,"",VLOOKUP($A62,TableHandbook[],5,FALSE)),"")</f>
        <v>25</v>
      </c>
      <c r="H62" s="92" t="str">
        <f>IFERROR(VLOOKUP($A62,TableHandbook[],H$2,FALSE),"")</f>
        <v/>
      </c>
      <c r="I62" s="82" t="str">
        <f>IFERROR(VLOOKUP($A62,TableHandbook[],I$2,FALSE),"")</f>
        <v>Y</v>
      </c>
      <c r="J62" s="82" t="str">
        <f>IFERROR(VLOOKUP($A62,TableHandbook[],J$2,FALSE),"")</f>
        <v/>
      </c>
      <c r="K62" s="82" t="str">
        <f>IFERROR(VLOOKUP($A62,TableHandbook[],K$2,FALSE),"")</f>
        <v/>
      </c>
      <c r="L62" s="82" t="str">
        <f>IFERROR(VLOOKUP($A62,TableHandbook[],L$2,FALSE),"")</f>
        <v/>
      </c>
      <c r="M62" s="93" t="str">
        <f>IFERROR(VLOOKUP($A62,TableHandbook[],M$2,FALSE),"")</f>
        <v/>
      </c>
      <c r="N62" s="83"/>
      <c r="O62" s="103">
        <v>23</v>
      </c>
      <c r="P62" s="44"/>
      <c r="Q62" s="44"/>
      <c r="R62" s="44"/>
      <c r="S62" s="44"/>
      <c r="T62" s="44"/>
      <c r="U62" s="44"/>
      <c r="V62" s="44"/>
      <c r="W62" s="44"/>
      <c r="X62" s="44"/>
      <c r="Y62" s="44"/>
    </row>
    <row r="63" spans="1:25" x14ac:dyDescent="0.25">
      <c r="A63" s="67" t="str">
        <f t="shared" si="0"/>
        <v>EDUC4038</v>
      </c>
      <c r="B63" s="68">
        <f>IFERROR(IF(VLOOKUP($A63,TableHandbook[],2,FALSE)=0,"",VLOOKUP($A63,TableHandbook[],2,FALSE)),"")</f>
        <v>1</v>
      </c>
      <c r="C63" s="69" t="str">
        <f>IFERROR(IF(VLOOKUP($A63,TableHandbook[],3,FALSE)=0,"",VLOOKUP($A63,TableHandbook[],3,FALSE)),"")</f>
        <v/>
      </c>
      <c r="D63" s="69" t="str">
        <f>IFERROR(IF(VLOOKUP($A63,TableHandbook[],4,FALSE)=0,"",VLOOKUP($A63,TableHandbook[],4,FALSE)),"")</f>
        <v>Technologies: Design Solutions</v>
      </c>
      <c r="E63" s="69"/>
      <c r="F63" s="71" t="str">
        <f>IFERROR(IF(VLOOKUP($A63,TableHandbook[],6,FALSE)=0,"",VLOOKUP($A63,TableHandbook[],6,FALSE)),"")</f>
        <v>Nil</v>
      </c>
      <c r="G63" s="71">
        <f>IFERROR(IF(VLOOKUP($A63,TableHandbook[],5,FALSE)=0,"",VLOOKUP($A63,TableHandbook[],5,FALSE)),"")</f>
        <v>25</v>
      </c>
      <c r="H63" s="92" t="str">
        <f>IFERROR(VLOOKUP($A63,TableHandbook[],H$2,FALSE),"")</f>
        <v>Y</v>
      </c>
      <c r="I63" s="82" t="str">
        <f>IFERROR(VLOOKUP($A63,TableHandbook[],I$2,FALSE),"")</f>
        <v>Y</v>
      </c>
      <c r="J63" s="82" t="str">
        <f>IFERROR(VLOOKUP($A63,TableHandbook[],J$2,FALSE),"")</f>
        <v/>
      </c>
      <c r="K63" s="82" t="str">
        <f>IFERROR(VLOOKUP($A63,TableHandbook[],K$2,FALSE),"")</f>
        <v/>
      </c>
      <c r="L63" s="82" t="str">
        <f>IFERROR(VLOOKUP($A63,TableHandbook[],L$2,FALSE),"")</f>
        <v/>
      </c>
      <c r="M63" s="93" t="str">
        <f>IFERROR(VLOOKUP($A63,TableHandbook[],M$2,FALSE),"")</f>
        <v/>
      </c>
      <c r="N63" s="83"/>
      <c r="O63" s="103">
        <v>24</v>
      </c>
      <c r="P63" s="44"/>
      <c r="Q63" s="44"/>
      <c r="R63" s="44"/>
      <c r="S63" s="44"/>
      <c r="T63" s="44"/>
      <c r="U63" s="44"/>
      <c r="V63" s="44"/>
      <c r="W63" s="44"/>
      <c r="X63" s="44"/>
      <c r="Y63" s="44"/>
    </row>
    <row r="64" spans="1:25" x14ac:dyDescent="0.25">
      <c r="A64" s="67" t="str">
        <f t="shared" si="0"/>
        <v>EDUC4042</v>
      </c>
      <c r="B64" s="68">
        <f>IFERROR(IF(VLOOKUP($A64,TableHandbook[],2,FALSE)=0,"",VLOOKUP($A64,TableHandbook[],2,FALSE)),"")</f>
        <v>1</v>
      </c>
      <c r="C64" s="69" t="str">
        <f>IFERROR(IF(VLOOKUP($A64,TableHandbook[],3,FALSE)=0,"",VLOOKUP($A64,TableHandbook[],3,FALSE)),"")</f>
        <v/>
      </c>
      <c r="D64" s="69" t="str">
        <f>IFERROR(IF(VLOOKUP($A64,TableHandbook[],4,FALSE)=0,"",VLOOKUP($A64,TableHandbook[],4,FALSE)),"")</f>
        <v>Alternative Approaches to Teaching Literacy and Numeracy</v>
      </c>
      <c r="E64" s="69"/>
      <c r="F64" s="71" t="str">
        <f>IFERROR(IF(VLOOKUP($A64,TableHandbook[],6,FALSE)=0,"",VLOOKUP($A64,TableHandbook[],6,FALSE)),"")</f>
        <v>Nil</v>
      </c>
      <c r="G64" s="71">
        <f>IFERROR(IF(VLOOKUP($A64,TableHandbook[],5,FALSE)=0,"",VLOOKUP($A64,TableHandbook[],5,FALSE)),"")</f>
        <v>25</v>
      </c>
      <c r="H64" s="92" t="str">
        <f>IFERROR(VLOOKUP($A64,TableHandbook[],H$2,FALSE),"")</f>
        <v/>
      </c>
      <c r="I64" s="82" t="str">
        <f>IFERROR(VLOOKUP($A64,TableHandbook[],I$2,FALSE),"")</f>
        <v>Y</v>
      </c>
      <c r="J64" s="82" t="str">
        <f>IFERROR(VLOOKUP($A64,TableHandbook[],J$2,FALSE),"")</f>
        <v/>
      </c>
      <c r="K64" s="82" t="str">
        <f>IFERROR(VLOOKUP($A64,TableHandbook[],K$2,FALSE),"")</f>
        <v/>
      </c>
      <c r="L64" s="82" t="str">
        <f>IFERROR(VLOOKUP($A64,TableHandbook[],L$2,FALSE),"")</f>
        <v/>
      </c>
      <c r="M64" s="93" t="str">
        <f>IFERROR(VLOOKUP($A64,TableHandbook[],M$2,FALSE),"")</f>
        <v/>
      </c>
      <c r="N64" s="83"/>
      <c r="O64" s="103">
        <v>25</v>
      </c>
      <c r="P64" s="44"/>
      <c r="Q64" s="44"/>
      <c r="R64" s="44"/>
      <c r="S64" s="44"/>
      <c r="T64" s="44"/>
      <c r="U64" s="44"/>
      <c r="V64" s="44"/>
      <c r="W64" s="44"/>
      <c r="X64" s="44"/>
      <c r="Y64" s="44"/>
    </row>
    <row r="65" spans="1:25" x14ac:dyDescent="0.25">
      <c r="A65" s="67" t="str">
        <f t="shared" si="0"/>
        <v>EDUC4044</v>
      </c>
      <c r="B65" s="68">
        <f>IFERROR(IF(VLOOKUP($A65,TableHandbook[],2,FALSE)=0,"",VLOOKUP($A65,TableHandbook[],2,FALSE)),"")</f>
        <v>2</v>
      </c>
      <c r="C65" s="69" t="str">
        <f>IFERROR(IF(VLOOKUP($A65,TableHandbook[],3,FALSE)=0,"",VLOOKUP($A65,TableHandbook[],3,FALSE)),"")</f>
        <v/>
      </c>
      <c r="D65" s="69" t="str">
        <f>IFERROR(IF(VLOOKUP($A65,TableHandbook[],4,FALSE)=0,"",VLOOKUP($A65,TableHandbook[],4,FALSE)),"")</f>
        <v>Literacy and Numeracy for First Nations Peoples of Australia</v>
      </c>
      <c r="E65" s="69"/>
      <c r="F65" s="71" t="str">
        <f>IFERROR(IF(VLOOKUP($A65,TableHandbook[],6,FALSE)=0,"",VLOOKUP($A65,TableHandbook[],6,FALSE)),"")</f>
        <v>Nil</v>
      </c>
      <c r="G65" s="71">
        <f>IFERROR(IF(VLOOKUP($A65,TableHandbook[],5,FALSE)=0,"",VLOOKUP($A65,TableHandbook[],5,FALSE)),"")</f>
        <v>25</v>
      </c>
      <c r="H65" s="92" t="str">
        <f>IFERROR(VLOOKUP($A65,TableHandbook[],H$2,FALSE),"")</f>
        <v/>
      </c>
      <c r="I65" s="82" t="str">
        <f>IFERROR(VLOOKUP($A65,TableHandbook[],I$2,FALSE),"")</f>
        <v/>
      </c>
      <c r="J65" s="82" t="str">
        <f>IFERROR(VLOOKUP($A65,TableHandbook[],J$2,FALSE),"")</f>
        <v/>
      </c>
      <c r="K65" s="82" t="str">
        <f>IFERROR(VLOOKUP($A65,TableHandbook[],K$2,FALSE),"")</f>
        <v>Y</v>
      </c>
      <c r="L65" s="82" t="str">
        <f>IFERROR(VLOOKUP($A65,TableHandbook[],L$2,FALSE),"")</f>
        <v>Y</v>
      </c>
      <c r="M65" s="93" t="str">
        <f>IFERROR(VLOOKUP($A65,TableHandbook[],M$2,FALSE),"")</f>
        <v/>
      </c>
      <c r="N65" s="83"/>
      <c r="O65" s="103">
        <v>26</v>
      </c>
      <c r="P65" s="44"/>
      <c r="Q65" s="44"/>
      <c r="R65" s="44"/>
      <c r="S65" s="44"/>
      <c r="T65" s="44"/>
      <c r="U65" s="44"/>
      <c r="V65" s="44"/>
      <c r="W65" s="44"/>
      <c r="X65" s="44"/>
      <c r="Y65" s="44"/>
    </row>
    <row r="66" spans="1:25" x14ac:dyDescent="0.25">
      <c r="A66" s="67" t="str">
        <f t="shared" si="0"/>
        <v>EDUC4046</v>
      </c>
      <c r="B66" s="68">
        <f>IFERROR(IF(VLOOKUP($A66,TableHandbook[],2,FALSE)=0,"",VLOOKUP($A66,TableHandbook[],2,FALSE)),"")</f>
        <v>1</v>
      </c>
      <c r="C66" s="69" t="str">
        <f>IFERROR(IF(VLOOKUP($A66,TableHandbook[],3,FALSE)=0,"",VLOOKUP($A66,TableHandbook[],3,FALSE)),"")</f>
        <v/>
      </c>
      <c r="D66" s="69" t="str">
        <f>IFERROR(IF(VLOOKUP($A66,TableHandbook[],4,FALSE)=0,"",VLOOKUP($A66,TableHandbook[],4,FALSE)),"")</f>
        <v>Technologies: Digital Solutions</v>
      </c>
      <c r="E66" s="69"/>
      <c r="F66" s="71" t="str">
        <f>IFERROR(IF(VLOOKUP($A66,TableHandbook[],6,FALSE)=0,"",VLOOKUP($A66,TableHandbook[],6,FALSE)),"")</f>
        <v>Nil</v>
      </c>
      <c r="G66" s="71">
        <f>IFERROR(IF(VLOOKUP($A66,TableHandbook[],5,FALSE)=0,"",VLOOKUP($A66,TableHandbook[],5,FALSE)),"")</f>
        <v>25</v>
      </c>
      <c r="H66" s="92" t="str">
        <f>IFERROR(VLOOKUP($A66,TableHandbook[],H$2,FALSE),"")</f>
        <v/>
      </c>
      <c r="I66" s="82" t="str">
        <f>IFERROR(VLOOKUP($A66,TableHandbook[],I$2,FALSE),"")</f>
        <v>Y</v>
      </c>
      <c r="J66" s="82" t="str">
        <f>IFERROR(VLOOKUP($A66,TableHandbook[],J$2,FALSE),"")</f>
        <v/>
      </c>
      <c r="K66" s="82" t="str">
        <f>IFERROR(VLOOKUP($A66,TableHandbook[],K$2,FALSE),"")</f>
        <v/>
      </c>
      <c r="L66" s="82" t="str">
        <f>IFERROR(VLOOKUP($A66,TableHandbook[],L$2,FALSE),"")</f>
        <v/>
      </c>
      <c r="M66" s="93" t="str">
        <f>IFERROR(VLOOKUP($A66,TableHandbook[],M$2,FALSE),"")</f>
        <v/>
      </c>
      <c r="N66" s="83"/>
      <c r="O66" s="103">
        <v>27</v>
      </c>
      <c r="P66" s="44"/>
      <c r="Q66" s="44"/>
      <c r="R66" s="44"/>
      <c r="S66" s="44"/>
      <c r="T66" s="44"/>
      <c r="U66" s="44"/>
      <c r="V66" s="44"/>
      <c r="W66" s="44"/>
      <c r="X66" s="44"/>
      <c r="Y66" s="44"/>
    </row>
    <row r="67" spans="1:25" s="44" customFormat="1" ht="32.25" customHeight="1" x14ac:dyDescent="0.25">
      <c r="A67" s="502" t="s">
        <v>30</v>
      </c>
      <c r="B67" s="502"/>
      <c r="C67" s="502"/>
      <c r="D67" s="502"/>
      <c r="E67" s="502"/>
      <c r="F67" s="502"/>
      <c r="G67" s="502"/>
      <c r="H67" s="502"/>
      <c r="I67" s="502"/>
      <c r="J67" s="502"/>
      <c r="K67" s="502"/>
      <c r="L67" s="502"/>
      <c r="M67" s="502"/>
      <c r="N67" s="502"/>
    </row>
    <row r="68" spans="1:25" s="57" customFormat="1" ht="24.95" customHeight="1" x14ac:dyDescent="0.3">
      <c r="A68" s="148" t="s">
        <v>31</v>
      </c>
      <c r="B68" s="148"/>
      <c r="C68" s="148"/>
      <c r="D68" s="149"/>
      <c r="E68" s="149"/>
      <c r="F68" s="149"/>
      <c r="G68" s="149"/>
      <c r="H68" s="149"/>
      <c r="I68" s="149"/>
      <c r="J68" s="149"/>
      <c r="K68" s="149"/>
      <c r="L68" s="149"/>
      <c r="M68" s="149"/>
      <c r="N68" s="149"/>
      <c r="O68" s="55"/>
      <c r="P68" s="55"/>
      <c r="Q68" s="55"/>
      <c r="R68" s="56"/>
      <c r="S68" s="56"/>
      <c r="T68" s="56"/>
      <c r="U68" s="56"/>
      <c r="V68" s="56"/>
      <c r="W68" s="56"/>
      <c r="X68" s="56"/>
      <c r="Y68" s="56"/>
    </row>
    <row r="69" spans="1:25" s="44" customFormat="1" ht="15" customHeight="1" x14ac:dyDescent="0.25">
      <c r="A69" s="58" t="s">
        <v>32</v>
      </c>
      <c r="B69" s="58"/>
      <c r="C69" s="58"/>
      <c r="D69" s="58"/>
      <c r="E69" s="72"/>
      <c r="F69" s="59"/>
      <c r="G69" s="73"/>
      <c r="H69" s="73"/>
      <c r="I69" s="73"/>
      <c r="J69" s="73"/>
      <c r="K69" s="73"/>
      <c r="L69" s="73"/>
      <c r="M69" s="73"/>
      <c r="N69" s="73" t="s">
        <v>33</v>
      </c>
    </row>
  </sheetData>
  <sheetProtection formatCells="0"/>
  <mergeCells count="2">
    <mergeCell ref="A3:D3"/>
    <mergeCell ref="A67:N67"/>
  </mergeCells>
  <conditionalFormatting sqref="A41:N66">
    <cfRule type="expression" dxfId="1108" priority="1">
      <formula>LEFT($D41,8)="Bachelor"</formula>
    </cfRule>
    <cfRule type="expression" dxfId="1107" priority="2">
      <formula>RIGHT($D41,7)="Options"</formula>
    </cfRule>
    <cfRule type="expression" dxfId="1106" priority="3">
      <formula>LEFT($D41,5)="Study"</formula>
    </cfRule>
  </conditionalFormatting>
  <conditionalFormatting sqref="D5:D6">
    <cfRule type="containsText" dxfId="1105" priority="4" operator="containsText" text="Choose">
      <formula>NOT(ISERROR(SEARCH("Choose",D5)))</formula>
    </cfRule>
  </conditionalFormatting>
  <dataValidations count="1">
    <dataValidation type="list" allowBlank="1" showInputMessage="1" showErrorMessage="1" sqref="N23 N13 N33"/>
  </dataValidations>
  <hyperlinks>
    <hyperlink ref="A68:N68"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57" orientation="portrait" r:id="rId2"/>
  <rowBreaks count="1" manualBreakCount="1">
    <brk id="37" max="10"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Unitsets!$A$13:$A$15</xm:f>
          </x14:formula1>
          <xm:sqref>D6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203"/>
  <sheetViews>
    <sheetView topLeftCell="A97" workbookViewId="0">
      <selection activeCell="D9" sqref="D9"/>
    </sheetView>
  </sheetViews>
  <sheetFormatPr defaultRowHeight="15.75" x14ac:dyDescent="0.25"/>
  <cols>
    <col min="1" max="1" width="39.625" bestFit="1" customWidth="1"/>
    <col min="2" max="2" width="9.875" bestFit="1" customWidth="1"/>
    <col min="3" max="3" width="12.5" bestFit="1" customWidth="1"/>
    <col min="4" max="4" width="17.75" bestFit="1" customWidth="1"/>
    <col min="5" max="5" width="10.625" bestFit="1" customWidth="1"/>
    <col min="6" max="6" width="13.5" bestFit="1" customWidth="1"/>
    <col min="7" max="7" width="18.75" bestFit="1" customWidth="1"/>
    <col min="8" max="8" width="18.875" bestFit="1" customWidth="1"/>
    <col min="9" max="9" width="13.5" bestFit="1" customWidth="1"/>
    <col min="10" max="10" width="18.75" bestFit="1" customWidth="1"/>
  </cols>
  <sheetData>
    <row r="1" spans="1:10" x14ac:dyDescent="0.25">
      <c r="A1" t="s">
        <v>904</v>
      </c>
      <c r="D1" s="295" t="s">
        <v>905</v>
      </c>
      <c r="E1" s="296">
        <v>45250</v>
      </c>
    </row>
    <row r="2" spans="1:10" x14ac:dyDescent="0.25">
      <c r="B2" t="s">
        <v>528</v>
      </c>
      <c r="E2" t="s">
        <v>529</v>
      </c>
      <c r="H2" t="s">
        <v>906</v>
      </c>
    </row>
    <row r="3" spans="1:10" x14ac:dyDescent="0.25">
      <c r="A3" t="s">
        <v>907</v>
      </c>
      <c r="B3" t="s">
        <v>908</v>
      </c>
      <c r="C3" t="s">
        <v>909</v>
      </c>
      <c r="D3" t="s">
        <v>910</v>
      </c>
      <c r="E3" t="s">
        <v>911</v>
      </c>
      <c r="F3" t="s">
        <v>912</v>
      </c>
      <c r="G3" t="s">
        <v>913</v>
      </c>
      <c r="H3" t="s">
        <v>914</v>
      </c>
      <c r="I3" t="s">
        <v>915</v>
      </c>
      <c r="J3" t="s">
        <v>916</v>
      </c>
    </row>
    <row r="4" spans="1:10" x14ac:dyDescent="0.25">
      <c r="A4" t="s">
        <v>309</v>
      </c>
      <c r="E4">
        <v>1</v>
      </c>
    </row>
    <row r="5" spans="1:10" x14ac:dyDescent="0.25">
      <c r="A5" t="s">
        <v>307</v>
      </c>
      <c r="E5">
        <v>1</v>
      </c>
      <c r="F5">
        <v>1</v>
      </c>
    </row>
    <row r="6" spans="1:10" x14ac:dyDescent="0.25">
      <c r="A6" t="s">
        <v>355</v>
      </c>
      <c r="E6">
        <v>1</v>
      </c>
      <c r="F6">
        <v>1</v>
      </c>
    </row>
    <row r="7" spans="1:10" x14ac:dyDescent="0.25">
      <c r="A7" t="s">
        <v>503</v>
      </c>
      <c r="B7">
        <v>1</v>
      </c>
    </row>
    <row r="8" spans="1:10" x14ac:dyDescent="0.25">
      <c r="A8" t="s">
        <v>504</v>
      </c>
      <c r="B8">
        <v>1</v>
      </c>
      <c r="C8">
        <v>1</v>
      </c>
    </row>
    <row r="9" spans="1:10" x14ac:dyDescent="0.25">
      <c r="A9" t="s">
        <v>335</v>
      </c>
      <c r="B9">
        <v>1</v>
      </c>
    </row>
    <row r="10" spans="1:10" x14ac:dyDescent="0.25">
      <c r="A10" t="s">
        <v>333</v>
      </c>
      <c r="B10">
        <v>1</v>
      </c>
      <c r="C10">
        <v>1</v>
      </c>
      <c r="E10">
        <v>1</v>
      </c>
      <c r="F10">
        <v>1</v>
      </c>
    </row>
    <row r="11" spans="1:10" x14ac:dyDescent="0.25">
      <c r="A11" t="s">
        <v>401</v>
      </c>
      <c r="B11">
        <v>1</v>
      </c>
      <c r="C11">
        <v>1</v>
      </c>
    </row>
    <row r="12" spans="1:10" x14ac:dyDescent="0.25">
      <c r="A12" t="s">
        <v>356</v>
      </c>
      <c r="E12">
        <v>1</v>
      </c>
    </row>
    <row r="13" spans="1:10" x14ac:dyDescent="0.25">
      <c r="A13" t="s">
        <v>310</v>
      </c>
      <c r="B13">
        <v>1</v>
      </c>
      <c r="E13">
        <v>1</v>
      </c>
    </row>
    <row r="14" spans="1:10" x14ac:dyDescent="0.25">
      <c r="A14" t="s">
        <v>478</v>
      </c>
      <c r="B14">
        <v>1</v>
      </c>
      <c r="E14">
        <v>1</v>
      </c>
    </row>
    <row r="15" spans="1:10" x14ac:dyDescent="0.25">
      <c r="A15" t="s">
        <v>336</v>
      </c>
      <c r="B15">
        <v>1</v>
      </c>
      <c r="E15">
        <v>1</v>
      </c>
    </row>
    <row r="16" spans="1:10" x14ac:dyDescent="0.25">
      <c r="A16" t="s">
        <v>498</v>
      </c>
      <c r="B16">
        <v>1</v>
      </c>
    </row>
    <row r="17" spans="1:7" x14ac:dyDescent="0.25">
      <c r="A17" t="s">
        <v>490</v>
      </c>
      <c r="E17">
        <v>1</v>
      </c>
    </row>
    <row r="18" spans="1:7" x14ac:dyDescent="0.25">
      <c r="A18" t="s">
        <v>373</v>
      </c>
      <c r="B18">
        <v>1</v>
      </c>
    </row>
    <row r="19" spans="1:7" x14ac:dyDescent="0.25">
      <c r="A19" t="s">
        <v>357</v>
      </c>
      <c r="E19">
        <v>1</v>
      </c>
    </row>
    <row r="20" spans="1:7" x14ac:dyDescent="0.25">
      <c r="A20" t="s">
        <v>512</v>
      </c>
      <c r="E20">
        <v>1</v>
      </c>
    </row>
    <row r="21" spans="1:7" x14ac:dyDescent="0.25">
      <c r="A21" t="s">
        <v>387</v>
      </c>
      <c r="E21">
        <v>1</v>
      </c>
    </row>
    <row r="22" spans="1:7" x14ac:dyDescent="0.25">
      <c r="A22" t="s">
        <v>404</v>
      </c>
      <c r="B22">
        <v>1</v>
      </c>
    </row>
    <row r="23" spans="1:7" x14ac:dyDescent="0.25">
      <c r="A23" t="s">
        <v>475</v>
      </c>
      <c r="B23">
        <v>2</v>
      </c>
      <c r="C23">
        <v>1</v>
      </c>
      <c r="E23">
        <v>2</v>
      </c>
      <c r="F23">
        <v>1</v>
      </c>
    </row>
    <row r="24" spans="1:7" x14ac:dyDescent="0.25">
      <c r="A24" t="s">
        <v>150</v>
      </c>
      <c r="B24">
        <v>1</v>
      </c>
      <c r="C24">
        <v>1</v>
      </c>
      <c r="D24">
        <v>1</v>
      </c>
    </row>
    <row r="25" spans="1:7" x14ac:dyDescent="0.25">
      <c r="A25" t="s">
        <v>152</v>
      </c>
      <c r="E25">
        <v>1</v>
      </c>
      <c r="F25">
        <v>1</v>
      </c>
      <c r="G25">
        <v>1</v>
      </c>
    </row>
    <row r="26" spans="1:7" x14ac:dyDescent="0.25">
      <c r="A26" t="s">
        <v>154</v>
      </c>
      <c r="B26">
        <v>1</v>
      </c>
      <c r="C26">
        <v>1</v>
      </c>
      <c r="D26">
        <v>1</v>
      </c>
    </row>
    <row r="27" spans="1:7" x14ac:dyDescent="0.25">
      <c r="A27" t="s">
        <v>303</v>
      </c>
      <c r="E27">
        <v>1</v>
      </c>
      <c r="F27">
        <v>1</v>
      </c>
    </row>
    <row r="28" spans="1:7" x14ac:dyDescent="0.25">
      <c r="A28" t="s">
        <v>479</v>
      </c>
      <c r="B28">
        <v>1</v>
      </c>
    </row>
    <row r="29" spans="1:7" x14ac:dyDescent="0.25">
      <c r="A29" t="s">
        <v>489</v>
      </c>
      <c r="E29">
        <v>1</v>
      </c>
    </row>
    <row r="30" spans="1:7" x14ac:dyDescent="0.25">
      <c r="A30" t="s">
        <v>415</v>
      </c>
      <c r="B30">
        <v>1</v>
      </c>
    </row>
    <row r="31" spans="1:7" x14ac:dyDescent="0.25">
      <c r="A31" t="s">
        <v>304</v>
      </c>
      <c r="B31">
        <v>1</v>
      </c>
      <c r="C31">
        <v>1</v>
      </c>
      <c r="D31">
        <v>1</v>
      </c>
      <c r="E31">
        <v>1</v>
      </c>
      <c r="F31">
        <v>1</v>
      </c>
      <c r="G31">
        <v>1</v>
      </c>
    </row>
    <row r="32" spans="1:7" x14ac:dyDescent="0.25">
      <c r="A32" t="s">
        <v>352</v>
      </c>
      <c r="E32">
        <v>1</v>
      </c>
      <c r="F32">
        <v>1</v>
      </c>
    </row>
    <row r="33" spans="1:7" x14ac:dyDescent="0.25">
      <c r="A33" t="s">
        <v>330</v>
      </c>
      <c r="B33">
        <v>1</v>
      </c>
      <c r="C33">
        <v>1</v>
      </c>
    </row>
    <row r="34" spans="1:7" x14ac:dyDescent="0.25">
      <c r="A34" t="s">
        <v>368</v>
      </c>
      <c r="B34">
        <v>1</v>
      </c>
    </row>
    <row r="35" spans="1:7" x14ac:dyDescent="0.25">
      <c r="A35" t="s">
        <v>382</v>
      </c>
      <c r="E35">
        <v>1</v>
      </c>
    </row>
    <row r="36" spans="1:7" x14ac:dyDescent="0.25">
      <c r="A36" t="s">
        <v>398</v>
      </c>
      <c r="E36">
        <v>1</v>
      </c>
    </row>
    <row r="37" spans="1:7" x14ac:dyDescent="0.25">
      <c r="A37" t="s">
        <v>89</v>
      </c>
      <c r="E37">
        <v>1</v>
      </c>
      <c r="F37">
        <v>1</v>
      </c>
      <c r="G37">
        <v>1</v>
      </c>
    </row>
    <row r="38" spans="1:7" x14ac:dyDescent="0.25">
      <c r="A38" t="s">
        <v>103</v>
      </c>
      <c r="B38">
        <v>1</v>
      </c>
      <c r="C38">
        <v>1</v>
      </c>
      <c r="D38">
        <v>1</v>
      </c>
    </row>
    <row r="39" spans="1:7" x14ac:dyDescent="0.25">
      <c r="A39" t="s">
        <v>94</v>
      </c>
      <c r="E39">
        <v>1</v>
      </c>
      <c r="F39">
        <v>1</v>
      </c>
      <c r="G39">
        <v>1</v>
      </c>
    </row>
    <row r="40" spans="1:7" x14ac:dyDescent="0.25">
      <c r="A40" t="s">
        <v>100</v>
      </c>
      <c r="E40">
        <v>1</v>
      </c>
      <c r="F40">
        <v>1</v>
      </c>
      <c r="G40">
        <v>1</v>
      </c>
    </row>
    <row r="41" spans="1:7" x14ac:dyDescent="0.25">
      <c r="A41" t="s">
        <v>99</v>
      </c>
      <c r="B41">
        <v>1</v>
      </c>
      <c r="C41">
        <v>1</v>
      </c>
      <c r="D41">
        <v>1</v>
      </c>
    </row>
    <row r="42" spans="1:7" x14ac:dyDescent="0.25">
      <c r="A42" t="s">
        <v>104</v>
      </c>
      <c r="E42">
        <v>1</v>
      </c>
      <c r="F42">
        <v>1</v>
      </c>
      <c r="G42">
        <v>1</v>
      </c>
    </row>
    <row r="43" spans="1:7" x14ac:dyDescent="0.25">
      <c r="A43" t="s">
        <v>113</v>
      </c>
      <c r="B43">
        <v>1</v>
      </c>
      <c r="C43">
        <v>1</v>
      </c>
      <c r="D43">
        <v>1</v>
      </c>
    </row>
    <row r="44" spans="1:7" x14ac:dyDescent="0.25">
      <c r="A44" t="s">
        <v>126</v>
      </c>
      <c r="E44">
        <v>1</v>
      </c>
      <c r="F44">
        <v>1</v>
      </c>
      <c r="G44">
        <v>1</v>
      </c>
    </row>
    <row r="45" spans="1:7" x14ac:dyDescent="0.25">
      <c r="A45" t="s">
        <v>125</v>
      </c>
      <c r="B45">
        <v>1</v>
      </c>
      <c r="C45">
        <v>1</v>
      </c>
      <c r="D45">
        <v>1</v>
      </c>
    </row>
    <row r="46" spans="1:7" x14ac:dyDescent="0.25">
      <c r="A46" t="s">
        <v>118</v>
      </c>
      <c r="B46">
        <v>1</v>
      </c>
      <c r="C46">
        <v>1</v>
      </c>
      <c r="D46">
        <v>1</v>
      </c>
    </row>
    <row r="47" spans="1:7" x14ac:dyDescent="0.25">
      <c r="A47" t="s">
        <v>114</v>
      </c>
      <c r="E47">
        <v>1</v>
      </c>
      <c r="F47">
        <v>1</v>
      </c>
      <c r="G47">
        <v>1</v>
      </c>
    </row>
    <row r="48" spans="1:7" x14ac:dyDescent="0.25">
      <c r="A48" t="s">
        <v>123</v>
      </c>
      <c r="E48">
        <v>1</v>
      </c>
      <c r="F48">
        <v>1</v>
      </c>
      <c r="G48">
        <v>1</v>
      </c>
    </row>
    <row r="49" spans="1:7" x14ac:dyDescent="0.25">
      <c r="A49" t="s">
        <v>132</v>
      </c>
      <c r="B49">
        <v>1</v>
      </c>
      <c r="C49">
        <v>1</v>
      </c>
      <c r="D49">
        <v>1</v>
      </c>
      <c r="E49">
        <v>1</v>
      </c>
      <c r="F49">
        <v>1</v>
      </c>
      <c r="G49">
        <v>1</v>
      </c>
    </row>
    <row r="50" spans="1:7" x14ac:dyDescent="0.25">
      <c r="A50" t="s">
        <v>127</v>
      </c>
      <c r="B50">
        <v>1</v>
      </c>
      <c r="C50">
        <v>1</v>
      </c>
      <c r="D50">
        <v>1</v>
      </c>
    </row>
    <row r="51" spans="1:7" x14ac:dyDescent="0.25">
      <c r="A51" t="s">
        <v>93</v>
      </c>
      <c r="E51">
        <v>1</v>
      </c>
      <c r="F51">
        <v>1</v>
      </c>
      <c r="G51">
        <v>1</v>
      </c>
    </row>
    <row r="52" spans="1:7" x14ac:dyDescent="0.25">
      <c r="A52" t="s">
        <v>87</v>
      </c>
      <c r="E52">
        <v>1</v>
      </c>
      <c r="F52">
        <v>1</v>
      </c>
      <c r="G52">
        <v>1</v>
      </c>
    </row>
    <row r="53" spans="1:7" x14ac:dyDescent="0.25">
      <c r="A53" t="s">
        <v>105</v>
      </c>
      <c r="B53">
        <v>1</v>
      </c>
      <c r="C53">
        <v>1</v>
      </c>
      <c r="D53">
        <v>1</v>
      </c>
    </row>
    <row r="54" spans="1:7" x14ac:dyDescent="0.25">
      <c r="A54" t="s">
        <v>106</v>
      </c>
      <c r="E54">
        <v>1</v>
      </c>
      <c r="F54">
        <v>1</v>
      </c>
      <c r="G54">
        <v>1</v>
      </c>
    </row>
    <row r="55" spans="1:7" x14ac:dyDescent="0.25">
      <c r="A55" t="s">
        <v>85</v>
      </c>
      <c r="B55">
        <v>1</v>
      </c>
      <c r="C55">
        <v>1</v>
      </c>
      <c r="D55">
        <v>1</v>
      </c>
    </row>
    <row r="56" spans="1:7" x14ac:dyDescent="0.25">
      <c r="A56" t="s">
        <v>124</v>
      </c>
      <c r="B56">
        <v>1</v>
      </c>
      <c r="C56">
        <v>1</v>
      </c>
      <c r="D56">
        <v>1</v>
      </c>
    </row>
    <row r="57" spans="1:7" x14ac:dyDescent="0.25">
      <c r="A57" t="s">
        <v>120</v>
      </c>
      <c r="E57">
        <v>1</v>
      </c>
      <c r="F57">
        <v>1</v>
      </c>
      <c r="G57">
        <v>1</v>
      </c>
    </row>
    <row r="58" spans="1:7" x14ac:dyDescent="0.25">
      <c r="A58" t="s">
        <v>112</v>
      </c>
      <c r="E58">
        <v>1</v>
      </c>
      <c r="F58">
        <v>1</v>
      </c>
      <c r="G58">
        <v>1</v>
      </c>
    </row>
    <row r="59" spans="1:7" x14ac:dyDescent="0.25">
      <c r="A59" t="s">
        <v>115</v>
      </c>
      <c r="B59">
        <v>1</v>
      </c>
      <c r="C59">
        <v>1</v>
      </c>
      <c r="D59">
        <v>1</v>
      </c>
    </row>
    <row r="60" spans="1:7" x14ac:dyDescent="0.25">
      <c r="A60" t="s">
        <v>128</v>
      </c>
      <c r="E60">
        <v>1</v>
      </c>
      <c r="F60">
        <v>1</v>
      </c>
      <c r="G60">
        <v>1</v>
      </c>
    </row>
    <row r="61" spans="1:7" x14ac:dyDescent="0.25">
      <c r="A61" t="s">
        <v>119</v>
      </c>
      <c r="B61">
        <v>1</v>
      </c>
      <c r="C61">
        <v>1</v>
      </c>
      <c r="D61">
        <v>1</v>
      </c>
    </row>
    <row r="62" spans="1:7" x14ac:dyDescent="0.25">
      <c r="A62" t="s">
        <v>134</v>
      </c>
      <c r="B62">
        <v>1</v>
      </c>
      <c r="C62">
        <v>1</v>
      </c>
      <c r="D62">
        <v>1</v>
      </c>
      <c r="E62">
        <v>1</v>
      </c>
      <c r="F62">
        <v>1</v>
      </c>
      <c r="G62">
        <v>1</v>
      </c>
    </row>
    <row r="63" spans="1:7" x14ac:dyDescent="0.25">
      <c r="A63" t="s">
        <v>133</v>
      </c>
      <c r="B63">
        <v>1</v>
      </c>
      <c r="C63">
        <v>1</v>
      </c>
      <c r="D63">
        <v>1</v>
      </c>
      <c r="E63">
        <v>1</v>
      </c>
      <c r="F63">
        <v>1</v>
      </c>
      <c r="G63">
        <v>1</v>
      </c>
    </row>
    <row r="64" spans="1:7" x14ac:dyDescent="0.25">
      <c r="A64" t="s">
        <v>140</v>
      </c>
      <c r="B64">
        <v>1</v>
      </c>
      <c r="C64">
        <v>1</v>
      </c>
    </row>
    <row r="65" spans="1:6" x14ac:dyDescent="0.25">
      <c r="A65" t="s">
        <v>98</v>
      </c>
      <c r="E65">
        <v>1</v>
      </c>
      <c r="F65">
        <v>1</v>
      </c>
    </row>
    <row r="66" spans="1:6" x14ac:dyDescent="0.25">
      <c r="A66" t="s">
        <v>217</v>
      </c>
      <c r="B66">
        <v>1</v>
      </c>
      <c r="C66">
        <v>1</v>
      </c>
    </row>
    <row r="67" spans="1:6" x14ac:dyDescent="0.25">
      <c r="A67" t="s">
        <v>225</v>
      </c>
      <c r="E67">
        <v>1</v>
      </c>
      <c r="F67">
        <v>1</v>
      </c>
    </row>
    <row r="68" spans="1:6" x14ac:dyDescent="0.25">
      <c r="A68" t="s">
        <v>239</v>
      </c>
      <c r="E68">
        <v>1</v>
      </c>
      <c r="F68">
        <v>1</v>
      </c>
    </row>
    <row r="69" spans="1:6" x14ac:dyDescent="0.25">
      <c r="A69" t="s">
        <v>146</v>
      </c>
      <c r="B69">
        <v>1</v>
      </c>
      <c r="C69">
        <v>1</v>
      </c>
    </row>
    <row r="70" spans="1:6" x14ac:dyDescent="0.25">
      <c r="A70" t="s">
        <v>360</v>
      </c>
      <c r="B70">
        <v>1</v>
      </c>
      <c r="C70">
        <v>1</v>
      </c>
    </row>
    <row r="71" spans="1:6" x14ac:dyDescent="0.25">
      <c r="A71" t="s">
        <v>405</v>
      </c>
      <c r="B71">
        <v>1</v>
      </c>
    </row>
    <row r="72" spans="1:6" x14ac:dyDescent="0.25">
      <c r="A72" t="s">
        <v>342</v>
      </c>
      <c r="E72">
        <v>1</v>
      </c>
      <c r="F72">
        <v>1</v>
      </c>
    </row>
    <row r="73" spans="1:6" x14ac:dyDescent="0.25">
      <c r="A73" t="s">
        <v>321</v>
      </c>
      <c r="B73">
        <v>1</v>
      </c>
      <c r="C73">
        <v>1</v>
      </c>
    </row>
    <row r="74" spans="1:6" x14ac:dyDescent="0.25">
      <c r="A74" t="s">
        <v>344</v>
      </c>
      <c r="E74">
        <v>1</v>
      </c>
      <c r="F74">
        <v>1</v>
      </c>
    </row>
    <row r="75" spans="1:6" x14ac:dyDescent="0.25">
      <c r="A75" t="s">
        <v>317</v>
      </c>
      <c r="B75">
        <v>1</v>
      </c>
      <c r="C75">
        <v>1</v>
      </c>
    </row>
    <row r="76" spans="1:6" x14ac:dyDescent="0.25">
      <c r="A76" t="s">
        <v>340</v>
      </c>
      <c r="E76">
        <v>1</v>
      </c>
      <c r="F76">
        <v>1</v>
      </c>
    </row>
    <row r="77" spans="1:6" x14ac:dyDescent="0.25">
      <c r="A77" t="s">
        <v>320</v>
      </c>
      <c r="B77">
        <v>1</v>
      </c>
      <c r="C77">
        <v>1</v>
      </c>
    </row>
    <row r="78" spans="1:6" x14ac:dyDescent="0.25">
      <c r="A78" t="s">
        <v>343</v>
      </c>
      <c r="E78">
        <v>1</v>
      </c>
      <c r="F78">
        <v>1</v>
      </c>
    </row>
    <row r="79" spans="1:6" x14ac:dyDescent="0.25">
      <c r="A79" t="s">
        <v>341</v>
      </c>
      <c r="E79">
        <v>1</v>
      </c>
      <c r="F79">
        <v>1</v>
      </c>
    </row>
    <row r="80" spans="1:6" x14ac:dyDescent="0.25">
      <c r="A80" t="s">
        <v>319</v>
      </c>
      <c r="B80">
        <v>1</v>
      </c>
      <c r="C80">
        <v>1</v>
      </c>
    </row>
    <row r="81" spans="1:7" x14ac:dyDescent="0.25">
      <c r="A81" t="s">
        <v>318</v>
      </c>
      <c r="B81">
        <v>1</v>
      </c>
      <c r="C81">
        <v>1</v>
      </c>
    </row>
    <row r="82" spans="1:7" x14ac:dyDescent="0.25">
      <c r="A82" t="s">
        <v>316</v>
      </c>
      <c r="B82">
        <v>1</v>
      </c>
      <c r="C82">
        <v>1</v>
      </c>
    </row>
    <row r="83" spans="1:7" x14ac:dyDescent="0.25">
      <c r="A83" t="s">
        <v>339</v>
      </c>
      <c r="E83">
        <v>1</v>
      </c>
      <c r="F83">
        <v>1</v>
      </c>
    </row>
    <row r="84" spans="1:7" x14ac:dyDescent="0.25">
      <c r="A84" t="s">
        <v>56</v>
      </c>
      <c r="B84">
        <v>1</v>
      </c>
      <c r="C84">
        <v>1</v>
      </c>
      <c r="D84">
        <v>1</v>
      </c>
      <c r="E84">
        <v>1</v>
      </c>
      <c r="F84">
        <v>1</v>
      </c>
    </row>
    <row r="85" spans="1:7" x14ac:dyDescent="0.25">
      <c r="A85" t="s">
        <v>54</v>
      </c>
      <c r="B85">
        <v>1</v>
      </c>
      <c r="C85">
        <v>1</v>
      </c>
      <c r="D85">
        <v>1</v>
      </c>
      <c r="E85">
        <v>1</v>
      </c>
      <c r="F85">
        <v>1</v>
      </c>
    </row>
    <row r="86" spans="1:7" x14ac:dyDescent="0.25">
      <c r="A86" t="s">
        <v>51</v>
      </c>
      <c r="B86">
        <v>1</v>
      </c>
      <c r="C86">
        <v>1</v>
      </c>
      <c r="D86">
        <v>1</v>
      </c>
    </row>
    <row r="87" spans="1:7" x14ac:dyDescent="0.25">
      <c r="A87" t="s">
        <v>64</v>
      </c>
      <c r="B87">
        <v>1</v>
      </c>
      <c r="C87">
        <v>1</v>
      </c>
      <c r="D87">
        <v>1</v>
      </c>
    </row>
    <row r="88" spans="1:7" x14ac:dyDescent="0.25">
      <c r="A88" t="s">
        <v>58</v>
      </c>
      <c r="E88">
        <v>1</v>
      </c>
      <c r="F88">
        <v>1</v>
      </c>
      <c r="G88">
        <v>1</v>
      </c>
    </row>
    <row r="89" spans="1:7" x14ac:dyDescent="0.25">
      <c r="A89" t="s">
        <v>53</v>
      </c>
      <c r="E89">
        <v>1</v>
      </c>
      <c r="F89">
        <v>1</v>
      </c>
      <c r="G89">
        <v>1</v>
      </c>
    </row>
    <row r="90" spans="1:7" x14ac:dyDescent="0.25">
      <c r="A90" t="s">
        <v>55</v>
      </c>
      <c r="E90">
        <v>1</v>
      </c>
      <c r="F90">
        <v>1</v>
      </c>
      <c r="G90">
        <v>1</v>
      </c>
    </row>
    <row r="91" spans="1:7" x14ac:dyDescent="0.25">
      <c r="A91" t="s">
        <v>59</v>
      </c>
      <c r="E91">
        <v>1</v>
      </c>
      <c r="F91">
        <v>1</v>
      </c>
      <c r="G91">
        <v>1</v>
      </c>
    </row>
    <row r="92" spans="1:7" x14ac:dyDescent="0.25">
      <c r="A92" t="s">
        <v>90</v>
      </c>
      <c r="B92">
        <v>1</v>
      </c>
      <c r="C92">
        <v>1</v>
      </c>
      <c r="D92">
        <v>1</v>
      </c>
      <c r="E92">
        <v>1</v>
      </c>
      <c r="F92">
        <v>1</v>
      </c>
    </row>
    <row r="93" spans="1:7" x14ac:dyDescent="0.25">
      <c r="A93" t="s">
        <v>88</v>
      </c>
      <c r="B93">
        <v>1</v>
      </c>
      <c r="C93">
        <v>1</v>
      </c>
      <c r="D93">
        <v>1</v>
      </c>
    </row>
    <row r="94" spans="1:7" x14ac:dyDescent="0.25">
      <c r="A94" t="s">
        <v>122</v>
      </c>
      <c r="C94">
        <v>1</v>
      </c>
      <c r="F94">
        <v>1</v>
      </c>
    </row>
    <row r="95" spans="1:7" x14ac:dyDescent="0.25">
      <c r="A95" t="s">
        <v>156</v>
      </c>
      <c r="B95">
        <v>1</v>
      </c>
      <c r="C95">
        <v>1</v>
      </c>
    </row>
    <row r="96" spans="1:7" x14ac:dyDescent="0.25">
      <c r="A96" t="s">
        <v>158</v>
      </c>
      <c r="C96">
        <v>1</v>
      </c>
    </row>
    <row r="97" spans="1:12" x14ac:dyDescent="0.25">
      <c r="A97" t="s">
        <v>153</v>
      </c>
      <c r="E97">
        <v>1</v>
      </c>
      <c r="F97">
        <v>1</v>
      </c>
    </row>
    <row r="98" spans="1:12" x14ac:dyDescent="0.25">
      <c r="A98" t="s">
        <v>142</v>
      </c>
      <c r="E98">
        <v>1</v>
      </c>
      <c r="F98">
        <v>1</v>
      </c>
    </row>
    <row r="99" spans="1:12" x14ac:dyDescent="0.25">
      <c r="A99" t="s">
        <v>147</v>
      </c>
      <c r="B99">
        <v>1</v>
      </c>
      <c r="C99">
        <v>1</v>
      </c>
    </row>
    <row r="100" spans="1:12" x14ac:dyDescent="0.25">
      <c r="A100" t="s">
        <v>148</v>
      </c>
      <c r="E100">
        <v>1</v>
      </c>
      <c r="F100">
        <v>1</v>
      </c>
    </row>
    <row r="101" spans="1:12" x14ac:dyDescent="0.25">
      <c r="A101" t="s">
        <v>160</v>
      </c>
      <c r="E101">
        <v>1</v>
      </c>
      <c r="F101">
        <v>1</v>
      </c>
    </row>
    <row r="102" spans="1:12" x14ac:dyDescent="0.25">
      <c r="A102" t="s">
        <v>143</v>
      </c>
      <c r="C102">
        <v>1</v>
      </c>
    </row>
    <row r="103" spans="1:12" x14ac:dyDescent="0.25">
      <c r="A103" t="s">
        <v>144</v>
      </c>
      <c r="B103">
        <v>1</v>
      </c>
      <c r="C103">
        <v>1</v>
      </c>
    </row>
    <row r="104" spans="1:12" x14ac:dyDescent="0.25">
      <c r="A104" t="s">
        <v>149</v>
      </c>
      <c r="C104">
        <v>1</v>
      </c>
    </row>
    <row r="105" spans="1:12" x14ac:dyDescent="0.25">
      <c r="A105" t="s">
        <v>161</v>
      </c>
      <c r="B105">
        <v>1</v>
      </c>
      <c r="C105">
        <v>1</v>
      </c>
    </row>
    <row r="106" spans="1:12" x14ac:dyDescent="0.25">
      <c r="A106" s="188" t="s">
        <v>136</v>
      </c>
      <c r="L106" s="188" t="s">
        <v>917</v>
      </c>
    </row>
    <row r="107" spans="1:12" x14ac:dyDescent="0.25">
      <c r="A107" t="s">
        <v>155</v>
      </c>
      <c r="C107">
        <v>1</v>
      </c>
    </row>
    <row r="108" spans="1:12" x14ac:dyDescent="0.25">
      <c r="A108" t="s">
        <v>157</v>
      </c>
      <c r="E108">
        <v>1</v>
      </c>
      <c r="F108">
        <v>1</v>
      </c>
    </row>
    <row r="109" spans="1:12" x14ac:dyDescent="0.25">
      <c r="A109" t="s">
        <v>162</v>
      </c>
      <c r="C109">
        <v>1</v>
      </c>
    </row>
    <row r="110" spans="1:12" x14ac:dyDescent="0.25">
      <c r="A110" t="s">
        <v>117</v>
      </c>
      <c r="C110">
        <v>1</v>
      </c>
      <c r="F110">
        <v>1</v>
      </c>
    </row>
    <row r="111" spans="1:12" x14ac:dyDescent="0.25">
      <c r="A111" t="s">
        <v>135</v>
      </c>
      <c r="B111">
        <v>1</v>
      </c>
      <c r="C111">
        <v>1</v>
      </c>
      <c r="D111">
        <v>1</v>
      </c>
      <c r="E111">
        <v>1</v>
      </c>
      <c r="F111">
        <v>1</v>
      </c>
      <c r="G111">
        <v>1</v>
      </c>
    </row>
    <row r="112" spans="1:12" x14ac:dyDescent="0.25">
      <c r="A112" t="s">
        <v>511</v>
      </c>
      <c r="E112">
        <v>1</v>
      </c>
    </row>
    <row r="113" spans="1:6" x14ac:dyDescent="0.25">
      <c r="A113" t="s">
        <v>386</v>
      </c>
      <c r="E113">
        <v>1</v>
      </c>
    </row>
    <row r="114" spans="1:6" x14ac:dyDescent="0.25">
      <c r="A114" t="s">
        <v>496</v>
      </c>
      <c r="B114">
        <v>1</v>
      </c>
    </row>
    <row r="115" spans="1:6" x14ac:dyDescent="0.25">
      <c r="A115" t="s">
        <v>484</v>
      </c>
      <c r="B115">
        <v>3</v>
      </c>
      <c r="C115">
        <v>3</v>
      </c>
      <c r="E115">
        <v>3</v>
      </c>
      <c r="F115">
        <v>3</v>
      </c>
    </row>
    <row r="116" spans="1:6" x14ac:dyDescent="0.25">
      <c r="A116" t="s">
        <v>403</v>
      </c>
      <c r="B116">
        <v>1</v>
      </c>
    </row>
    <row r="117" spans="1:6" x14ac:dyDescent="0.25">
      <c r="A117" t="s">
        <v>331</v>
      </c>
      <c r="B117">
        <v>1</v>
      </c>
      <c r="C117">
        <v>1</v>
      </c>
    </row>
    <row r="118" spans="1:6" x14ac:dyDescent="0.25">
      <c r="A118" t="s">
        <v>369</v>
      </c>
      <c r="B118">
        <v>1</v>
      </c>
      <c r="C118">
        <v>1</v>
      </c>
    </row>
    <row r="119" spans="1:6" x14ac:dyDescent="0.25">
      <c r="A119" t="s">
        <v>399</v>
      </c>
      <c r="B119">
        <v>1</v>
      </c>
      <c r="C119">
        <v>1</v>
      </c>
    </row>
    <row r="120" spans="1:6" x14ac:dyDescent="0.25">
      <c r="A120" t="s">
        <v>332</v>
      </c>
      <c r="B120">
        <v>1</v>
      </c>
      <c r="C120">
        <v>1</v>
      </c>
    </row>
    <row r="121" spans="1:6" x14ac:dyDescent="0.25">
      <c r="A121" t="s">
        <v>354</v>
      </c>
      <c r="E121">
        <v>1</v>
      </c>
      <c r="F121">
        <v>1</v>
      </c>
    </row>
    <row r="122" spans="1:6" x14ac:dyDescent="0.25">
      <c r="A122" t="s">
        <v>370</v>
      </c>
      <c r="B122">
        <v>1</v>
      </c>
      <c r="C122">
        <v>1</v>
      </c>
    </row>
    <row r="123" spans="1:6" x14ac:dyDescent="0.25">
      <c r="A123" t="s">
        <v>384</v>
      </c>
      <c r="E123">
        <v>1</v>
      </c>
      <c r="F123">
        <v>1</v>
      </c>
    </row>
    <row r="124" spans="1:6" x14ac:dyDescent="0.25">
      <c r="A124" t="s">
        <v>400</v>
      </c>
      <c r="B124">
        <v>1</v>
      </c>
      <c r="C124">
        <v>1</v>
      </c>
    </row>
    <row r="125" spans="1:6" x14ac:dyDescent="0.25">
      <c r="A125" t="s">
        <v>510</v>
      </c>
      <c r="E125">
        <v>1</v>
      </c>
      <c r="F125">
        <v>1</v>
      </c>
    </row>
    <row r="126" spans="1:6" x14ac:dyDescent="0.25">
      <c r="A126" t="s">
        <v>311</v>
      </c>
      <c r="B126">
        <v>3</v>
      </c>
      <c r="C126">
        <v>3</v>
      </c>
      <c r="E126">
        <v>3</v>
      </c>
      <c r="F126">
        <v>3</v>
      </c>
    </row>
    <row r="127" spans="1:6" x14ac:dyDescent="0.25">
      <c r="A127" t="s">
        <v>337</v>
      </c>
      <c r="B127">
        <v>3</v>
      </c>
      <c r="C127">
        <v>3</v>
      </c>
      <c r="E127">
        <v>3</v>
      </c>
      <c r="F127">
        <v>3</v>
      </c>
    </row>
    <row r="128" spans="1:6" x14ac:dyDescent="0.25">
      <c r="A128" t="s">
        <v>298</v>
      </c>
      <c r="E128">
        <v>2</v>
      </c>
    </row>
    <row r="129" spans="1:7" x14ac:dyDescent="0.25">
      <c r="A129" t="s">
        <v>476</v>
      </c>
      <c r="B129">
        <v>1</v>
      </c>
    </row>
    <row r="130" spans="1:7" x14ac:dyDescent="0.25">
      <c r="A130" t="s">
        <v>506</v>
      </c>
      <c r="B130">
        <v>1</v>
      </c>
    </row>
    <row r="131" spans="1:7" x14ac:dyDescent="0.25">
      <c r="A131" t="s">
        <v>416</v>
      </c>
      <c r="E131">
        <v>1</v>
      </c>
    </row>
    <row r="132" spans="1:7" x14ac:dyDescent="0.25">
      <c r="A132" t="s">
        <v>358</v>
      </c>
      <c r="E132">
        <v>1</v>
      </c>
    </row>
    <row r="133" spans="1:7" x14ac:dyDescent="0.25">
      <c r="A133" t="s">
        <v>419</v>
      </c>
      <c r="B133">
        <v>1</v>
      </c>
    </row>
    <row r="134" spans="1:7" x14ac:dyDescent="0.25">
      <c r="A134" t="s">
        <v>501</v>
      </c>
      <c r="B134">
        <v>1</v>
      </c>
    </row>
    <row r="135" spans="1:7" x14ac:dyDescent="0.25">
      <c r="A135" t="s">
        <v>363</v>
      </c>
      <c r="B135">
        <v>1</v>
      </c>
    </row>
    <row r="136" spans="1:7" x14ac:dyDescent="0.25">
      <c r="A136" t="s">
        <v>414</v>
      </c>
      <c r="B136">
        <v>1</v>
      </c>
      <c r="E136">
        <v>1</v>
      </c>
    </row>
    <row r="137" spans="1:7" x14ac:dyDescent="0.25">
      <c r="A137" t="s">
        <v>417</v>
      </c>
      <c r="B137">
        <v>1</v>
      </c>
      <c r="E137">
        <v>1</v>
      </c>
    </row>
    <row r="138" spans="1:7" x14ac:dyDescent="0.25">
      <c r="A138" t="s">
        <v>110</v>
      </c>
      <c r="B138">
        <v>1</v>
      </c>
      <c r="D138">
        <v>1</v>
      </c>
      <c r="E138">
        <v>1</v>
      </c>
      <c r="G138">
        <v>1</v>
      </c>
    </row>
    <row r="139" spans="1:7" x14ac:dyDescent="0.25">
      <c r="A139" t="s">
        <v>306</v>
      </c>
      <c r="E139">
        <v>1</v>
      </c>
      <c r="F139">
        <v>1</v>
      </c>
    </row>
    <row r="140" spans="1:7" x14ac:dyDescent="0.25">
      <c r="A140" t="s">
        <v>329</v>
      </c>
      <c r="B140">
        <v>1</v>
      </c>
      <c r="C140">
        <v>1</v>
      </c>
    </row>
    <row r="141" spans="1:7" x14ac:dyDescent="0.25">
      <c r="A141" t="s">
        <v>367</v>
      </c>
      <c r="B141">
        <v>1</v>
      </c>
      <c r="C141">
        <v>1</v>
      </c>
    </row>
    <row r="142" spans="1:7" x14ac:dyDescent="0.25">
      <c r="A142" t="s">
        <v>351</v>
      </c>
      <c r="E142">
        <v>1</v>
      </c>
      <c r="F142">
        <v>1</v>
      </c>
    </row>
    <row r="143" spans="1:7" x14ac:dyDescent="0.25">
      <c r="A143" t="s">
        <v>397</v>
      </c>
      <c r="B143">
        <v>1</v>
      </c>
      <c r="C143">
        <v>1</v>
      </c>
    </row>
    <row r="144" spans="1:7" x14ac:dyDescent="0.25">
      <c r="A144" t="s">
        <v>381</v>
      </c>
      <c r="E144">
        <v>1</v>
      </c>
      <c r="F144">
        <v>1</v>
      </c>
    </row>
    <row r="145" spans="1:6" x14ac:dyDescent="0.25">
      <c r="A145" t="s">
        <v>525</v>
      </c>
      <c r="B145">
        <v>2</v>
      </c>
      <c r="E145">
        <v>2</v>
      </c>
    </row>
    <row r="146" spans="1:6" x14ac:dyDescent="0.25">
      <c r="A146" t="s">
        <v>299</v>
      </c>
      <c r="B146">
        <v>2</v>
      </c>
      <c r="E146">
        <v>2</v>
      </c>
    </row>
    <row r="147" spans="1:6" x14ac:dyDescent="0.25">
      <c r="A147" t="s">
        <v>308</v>
      </c>
      <c r="B147">
        <v>1</v>
      </c>
      <c r="E147">
        <v>1</v>
      </c>
    </row>
    <row r="148" spans="1:6" x14ac:dyDescent="0.25">
      <c r="A148" t="s">
        <v>347</v>
      </c>
      <c r="E148">
        <v>1</v>
      </c>
    </row>
    <row r="149" spans="1:6" x14ac:dyDescent="0.25">
      <c r="A149" t="s">
        <v>325</v>
      </c>
      <c r="B149">
        <v>1</v>
      </c>
    </row>
    <row r="150" spans="1:6" x14ac:dyDescent="0.25">
      <c r="A150" t="s">
        <v>378</v>
      </c>
      <c r="E150">
        <v>1</v>
      </c>
    </row>
    <row r="151" spans="1:6" x14ac:dyDescent="0.25">
      <c r="A151" t="s">
        <v>402</v>
      </c>
      <c r="B151">
        <v>1</v>
      </c>
    </row>
    <row r="152" spans="1:6" x14ac:dyDescent="0.25">
      <c r="A152" t="s">
        <v>481</v>
      </c>
      <c r="B152">
        <v>2</v>
      </c>
      <c r="E152">
        <v>2</v>
      </c>
    </row>
    <row r="153" spans="1:6" x14ac:dyDescent="0.25">
      <c r="A153" t="s">
        <v>513</v>
      </c>
      <c r="E153">
        <v>1</v>
      </c>
    </row>
    <row r="154" spans="1:6" x14ac:dyDescent="0.25">
      <c r="A154" t="s">
        <v>388</v>
      </c>
      <c r="F154">
        <v>1</v>
      </c>
    </row>
    <row r="155" spans="1:6" x14ac:dyDescent="0.25">
      <c r="A155" t="s">
        <v>305</v>
      </c>
      <c r="E155">
        <v>1</v>
      </c>
      <c r="F155">
        <v>1</v>
      </c>
    </row>
    <row r="156" spans="1:6" x14ac:dyDescent="0.25">
      <c r="A156" t="s">
        <v>353</v>
      </c>
      <c r="E156">
        <v>1</v>
      </c>
      <c r="F156">
        <v>1</v>
      </c>
    </row>
    <row r="157" spans="1:6" x14ac:dyDescent="0.25">
      <c r="A157" t="s">
        <v>383</v>
      </c>
      <c r="E157">
        <v>1</v>
      </c>
      <c r="F157">
        <v>1</v>
      </c>
    </row>
    <row r="158" spans="1:6" x14ac:dyDescent="0.25">
      <c r="A158" t="s">
        <v>477</v>
      </c>
      <c r="B158">
        <v>1</v>
      </c>
    </row>
    <row r="159" spans="1:6" x14ac:dyDescent="0.25">
      <c r="A159" t="s">
        <v>488</v>
      </c>
      <c r="E159">
        <v>1</v>
      </c>
    </row>
    <row r="160" spans="1:6" x14ac:dyDescent="0.25">
      <c r="A160" t="s">
        <v>408</v>
      </c>
      <c r="B160">
        <v>1</v>
      </c>
    </row>
    <row r="161" spans="1:6" x14ac:dyDescent="0.25">
      <c r="A161" t="s">
        <v>495</v>
      </c>
      <c r="B161">
        <v>1</v>
      </c>
    </row>
    <row r="162" spans="1:6" x14ac:dyDescent="0.25">
      <c r="A162" t="s">
        <v>393</v>
      </c>
      <c r="B162">
        <v>1</v>
      </c>
    </row>
    <row r="163" spans="1:6" x14ac:dyDescent="0.25">
      <c r="A163" t="s">
        <v>385</v>
      </c>
      <c r="E163">
        <v>1</v>
      </c>
      <c r="F163">
        <v>1</v>
      </c>
    </row>
    <row r="164" spans="1:6" x14ac:dyDescent="0.25">
      <c r="A164" t="s">
        <v>338</v>
      </c>
      <c r="B164">
        <v>3</v>
      </c>
      <c r="C164">
        <v>2</v>
      </c>
      <c r="D164">
        <v>2</v>
      </c>
      <c r="E164">
        <v>2</v>
      </c>
      <c r="F164">
        <v>2</v>
      </c>
    </row>
    <row r="165" spans="1:6" x14ac:dyDescent="0.25">
      <c r="A165" t="s">
        <v>312</v>
      </c>
      <c r="E165">
        <v>1</v>
      </c>
      <c r="F165">
        <v>1</v>
      </c>
    </row>
    <row r="166" spans="1:6" x14ac:dyDescent="0.25">
      <c r="A166" t="s">
        <v>375</v>
      </c>
      <c r="B166">
        <v>1</v>
      </c>
      <c r="C166">
        <v>1</v>
      </c>
    </row>
    <row r="167" spans="1:6" x14ac:dyDescent="0.25">
      <c r="A167" t="s">
        <v>515</v>
      </c>
      <c r="E167">
        <v>1</v>
      </c>
      <c r="F167">
        <v>1</v>
      </c>
    </row>
    <row r="168" spans="1:6" x14ac:dyDescent="0.25">
      <c r="A168" t="s">
        <v>521</v>
      </c>
      <c r="E168">
        <v>1</v>
      </c>
      <c r="F168">
        <v>1</v>
      </c>
    </row>
    <row r="169" spans="1:6" x14ac:dyDescent="0.25">
      <c r="A169" t="s">
        <v>389</v>
      </c>
      <c r="E169">
        <v>1</v>
      </c>
      <c r="F169">
        <v>1</v>
      </c>
    </row>
    <row r="170" spans="1:6" x14ac:dyDescent="0.25">
      <c r="A170" t="s">
        <v>392</v>
      </c>
      <c r="B170">
        <v>1</v>
      </c>
    </row>
    <row r="171" spans="1:6" x14ac:dyDescent="0.25">
      <c r="A171" t="s">
        <v>406</v>
      </c>
      <c r="B171">
        <v>1</v>
      </c>
      <c r="C171">
        <v>1</v>
      </c>
    </row>
    <row r="172" spans="1:6" x14ac:dyDescent="0.25">
      <c r="A172" t="s">
        <v>473</v>
      </c>
      <c r="B172">
        <v>1</v>
      </c>
      <c r="C172">
        <v>1</v>
      </c>
      <c r="E172">
        <v>1</v>
      </c>
      <c r="F172">
        <v>1</v>
      </c>
    </row>
    <row r="173" spans="1:6" x14ac:dyDescent="0.25">
      <c r="A173" t="s">
        <v>487</v>
      </c>
      <c r="E173">
        <v>1</v>
      </c>
    </row>
    <row r="174" spans="1:6" x14ac:dyDescent="0.25">
      <c r="A174" t="s">
        <v>346</v>
      </c>
      <c r="E174">
        <v>1</v>
      </c>
    </row>
    <row r="175" spans="1:6" x14ac:dyDescent="0.25">
      <c r="A175" t="s">
        <v>494</v>
      </c>
      <c r="B175">
        <v>1</v>
      </c>
    </row>
    <row r="176" spans="1:6" x14ac:dyDescent="0.25">
      <c r="A176" t="s">
        <v>377</v>
      </c>
      <c r="E176">
        <v>1</v>
      </c>
    </row>
    <row r="177" spans="1:6" x14ac:dyDescent="0.25">
      <c r="A177" t="s">
        <v>301</v>
      </c>
      <c r="B177">
        <v>1</v>
      </c>
      <c r="E177">
        <v>1</v>
      </c>
    </row>
    <row r="178" spans="1:6" x14ac:dyDescent="0.25">
      <c r="A178" t="s">
        <v>380</v>
      </c>
      <c r="E178">
        <v>1</v>
      </c>
      <c r="F178">
        <v>1</v>
      </c>
    </row>
    <row r="179" spans="1:6" x14ac:dyDescent="0.25">
      <c r="A179" t="s">
        <v>327</v>
      </c>
      <c r="B179">
        <v>1</v>
      </c>
      <c r="E179">
        <v>1</v>
      </c>
    </row>
    <row r="180" spans="1:6" x14ac:dyDescent="0.25">
      <c r="A180" t="s">
        <v>349</v>
      </c>
      <c r="B180">
        <v>1</v>
      </c>
      <c r="E180">
        <v>1</v>
      </c>
    </row>
    <row r="181" spans="1:6" x14ac:dyDescent="0.25">
      <c r="A181" t="s">
        <v>365</v>
      </c>
      <c r="B181">
        <v>1</v>
      </c>
    </row>
    <row r="182" spans="1:6" x14ac:dyDescent="0.25">
      <c r="A182" t="s">
        <v>514</v>
      </c>
      <c r="E182">
        <v>1</v>
      </c>
    </row>
    <row r="183" spans="1:6" x14ac:dyDescent="0.25">
      <c r="A183" t="s">
        <v>395</v>
      </c>
      <c r="B183">
        <v>1</v>
      </c>
    </row>
    <row r="184" spans="1:6" x14ac:dyDescent="0.25">
      <c r="A184" t="s">
        <v>334</v>
      </c>
      <c r="B184">
        <v>1</v>
      </c>
      <c r="E184">
        <v>1</v>
      </c>
    </row>
    <row r="185" spans="1:6" x14ac:dyDescent="0.25">
      <c r="A185" t="s">
        <v>502</v>
      </c>
      <c r="B185">
        <v>1</v>
      </c>
    </row>
    <row r="186" spans="1:6" x14ac:dyDescent="0.25">
      <c r="A186" t="s">
        <v>482</v>
      </c>
      <c r="B186">
        <v>1</v>
      </c>
    </row>
    <row r="187" spans="1:6" x14ac:dyDescent="0.25">
      <c r="A187" t="s">
        <v>326</v>
      </c>
      <c r="B187">
        <v>1</v>
      </c>
    </row>
    <row r="188" spans="1:6" x14ac:dyDescent="0.25">
      <c r="A188" t="s">
        <v>300</v>
      </c>
      <c r="E188">
        <v>1</v>
      </c>
    </row>
    <row r="189" spans="1:6" x14ac:dyDescent="0.25">
      <c r="A189" t="s">
        <v>348</v>
      </c>
      <c r="E189">
        <v>1</v>
      </c>
    </row>
    <row r="190" spans="1:6" x14ac:dyDescent="0.25">
      <c r="A190" t="s">
        <v>364</v>
      </c>
      <c r="B190">
        <v>1</v>
      </c>
      <c r="E190">
        <v>1</v>
      </c>
    </row>
    <row r="191" spans="1:6" x14ac:dyDescent="0.25">
      <c r="A191" t="s">
        <v>483</v>
      </c>
      <c r="B191">
        <v>1</v>
      </c>
    </row>
    <row r="192" spans="1:6" x14ac:dyDescent="0.25">
      <c r="A192" t="s">
        <v>394</v>
      </c>
      <c r="B192">
        <v>1</v>
      </c>
    </row>
    <row r="193" spans="1:5" x14ac:dyDescent="0.25">
      <c r="A193" t="s">
        <v>379</v>
      </c>
      <c r="E193">
        <v>1</v>
      </c>
    </row>
    <row r="194" spans="1:5" x14ac:dyDescent="0.25">
      <c r="A194" t="s">
        <v>328</v>
      </c>
      <c r="B194">
        <v>1</v>
      </c>
      <c r="E194">
        <v>1</v>
      </c>
    </row>
    <row r="195" spans="1:5" x14ac:dyDescent="0.25">
      <c r="A195" t="s">
        <v>302</v>
      </c>
      <c r="E195">
        <v>1</v>
      </c>
    </row>
    <row r="196" spans="1:5" x14ac:dyDescent="0.25">
      <c r="A196" t="s">
        <v>485</v>
      </c>
      <c r="B196">
        <v>1</v>
      </c>
    </row>
    <row r="197" spans="1:5" x14ac:dyDescent="0.25">
      <c r="A197" t="s">
        <v>350</v>
      </c>
      <c r="E197">
        <v>1</v>
      </c>
    </row>
    <row r="198" spans="1:5" x14ac:dyDescent="0.25">
      <c r="A198" t="s">
        <v>492</v>
      </c>
      <c r="E198">
        <v>1</v>
      </c>
    </row>
    <row r="199" spans="1:5" x14ac:dyDescent="0.25">
      <c r="A199" t="s">
        <v>366</v>
      </c>
      <c r="B199">
        <v>1</v>
      </c>
    </row>
    <row r="200" spans="1:5" x14ac:dyDescent="0.25">
      <c r="A200" t="s">
        <v>409</v>
      </c>
      <c r="B200">
        <v>1</v>
      </c>
      <c r="E200">
        <v>1</v>
      </c>
    </row>
    <row r="201" spans="1:5" x14ac:dyDescent="0.25">
      <c r="A201" t="s">
        <v>396</v>
      </c>
      <c r="B201">
        <v>1</v>
      </c>
    </row>
    <row r="202" spans="1:5" x14ac:dyDescent="0.25">
      <c r="A202" t="s">
        <v>516</v>
      </c>
      <c r="E202">
        <v>1</v>
      </c>
    </row>
    <row r="203" spans="1:5" x14ac:dyDescent="0.25">
      <c r="A203" t="s">
        <v>418</v>
      </c>
      <c r="B203">
        <v>1</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Y81"/>
  <sheetViews>
    <sheetView showGridLines="0" tabSelected="1" topLeftCell="A3" zoomScaleNormal="100" workbookViewId="0">
      <selection activeCell="D6" sqref="D6"/>
    </sheetView>
  </sheetViews>
  <sheetFormatPr defaultColWidth="9" defaultRowHeight="15" x14ac:dyDescent="0.25"/>
  <cols>
    <col min="1" max="1" width="11.375" style="37" customWidth="1"/>
    <col min="2" max="2" width="3.25" style="37" customWidth="1"/>
    <col min="3" max="3" width="5.875" style="37" customWidth="1"/>
    <col min="4" max="4" width="52.25" style="36" customWidth="1"/>
    <col min="5" max="5" width="7" style="36" customWidth="1"/>
    <col min="6" max="6" width="22.625" style="36" customWidth="1"/>
    <col min="7" max="7" width="5.625" style="36" customWidth="1"/>
    <col min="8" max="11" width="4.625" style="36" customWidth="1"/>
    <col min="12" max="12" width="5.375" style="36" bestFit="1" customWidth="1"/>
    <col min="13" max="13" width="4.625" style="36" customWidth="1"/>
    <col min="14" max="14" width="15.625" style="36" customWidth="1"/>
    <col min="15" max="15" width="2.5" style="36" hidden="1" customWidth="1"/>
    <col min="16" max="16384" width="9" style="36"/>
  </cols>
  <sheetData>
    <row r="1" spans="1:25" hidden="1" x14ac:dyDescent="0.25">
      <c r="A1" s="163" t="s">
        <v>0</v>
      </c>
      <c r="B1" s="163" t="s">
        <v>1</v>
      </c>
      <c r="C1" s="163" t="s">
        <v>2</v>
      </c>
      <c r="D1" s="164" t="s">
        <v>3</v>
      </c>
      <c r="E1" s="164"/>
      <c r="F1" s="164" t="s">
        <v>4</v>
      </c>
      <c r="G1" s="164" t="s">
        <v>5</v>
      </c>
      <c r="H1" s="164" t="s">
        <v>6</v>
      </c>
      <c r="I1" s="164"/>
      <c r="J1" s="164"/>
      <c r="K1" s="164"/>
      <c r="L1" s="164"/>
      <c r="M1" s="164"/>
      <c r="N1" s="164" t="s">
        <v>7</v>
      </c>
    </row>
    <row r="2" spans="1:25" hidden="1" x14ac:dyDescent="0.25">
      <c r="A2" s="162"/>
      <c r="B2" s="162">
        <v>2</v>
      </c>
      <c r="C2" s="162">
        <v>3</v>
      </c>
      <c r="D2" s="162">
        <v>4</v>
      </c>
      <c r="E2" s="162"/>
      <c r="F2" s="162">
        <v>6</v>
      </c>
      <c r="G2" s="162">
        <v>5</v>
      </c>
      <c r="H2" s="162">
        <v>7</v>
      </c>
      <c r="I2" s="162">
        <v>8</v>
      </c>
      <c r="J2" s="162">
        <v>9</v>
      </c>
      <c r="K2" s="162">
        <v>10</v>
      </c>
      <c r="L2" s="162">
        <v>11</v>
      </c>
      <c r="M2" s="162">
        <v>12</v>
      </c>
      <c r="N2" s="162"/>
    </row>
    <row r="3" spans="1:25" ht="39.950000000000003" customHeight="1" x14ac:dyDescent="0.25">
      <c r="A3" s="503" t="s">
        <v>8</v>
      </c>
      <c r="B3" s="503"/>
      <c r="C3" s="503"/>
      <c r="D3" s="503"/>
      <c r="E3" s="346"/>
      <c r="F3" s="346"/>
      <c r="G3" s="346"/>
      <c r="H3" s="346"/>
      <c r="I3" s="346"/>
      <c r="J3" s="346"/>
      <c r="K3" s="346"/>
      <c r="L3" s="346"/>
      <c r="M3" s="346"/>
      <c r="N3" s="346"/>
      <c r="O3" s="347"/>
      <c r="P3" s="347"/>
      <c r="Q3" s="347"/>
      <c r="R3" s="347"/>
      <c r="S3" s="347"/>
      <c r="T3" s="347"/>
      <c r="U3" s="347"/>
      <c r="V3" s="347"/>
      <c r="W3" s="347"/>
    </row>
    <row r="4" spans="1:25" ht="26.25" x14ac:dyDescent="0.25">
      <c r="A4" s="348"/>
      <c r="B4" s="349"/>
      <c r="C4" s="349"/>
      <c r="D4" s="350"/>
      <c r="E4" s="351" t="s">
        <v>9</v>
      </c>
      <c r="F4" s="349"/>
      <c r="G4" s="352"/>
      <c r="H4" s="352"/>
      <c r="I4" s="352"/>
      <c r="J4" s="352"/>
      <c r="K4" s="352"/>
      <c r="L4" s="352"/>
      <c r="M4" s="352"/>
      <c r="N4" s="353" t="e">
        <f>CONCATENATE(VLOOKUP(D5,TableCourses[],2,FALSE),VLOOKUP(D6,TableStudyPeriods[],2,FALSE))</f>
        <v>#N/A</v>
      </c>
      <c r="O4" s="347"/>
      <c r="P4" s="347"/>
      <c r="Q4" s="347"/>
      <c r="R4" s="347"/>
      <c r="S4" s="347"/>
      <c r="T4" s="347"/>
      <c r="U4" s="347"/>
      <c r="V4" s="347"/>
      <c r="W4" s="347"/>
    </row>
    <row r="5" spans="1:25" ht="20.100000000000001" customHeight="1" x14ac:dyDescent="0.25">
      <c r="A5" s="354"/>
      <c r="B5" s="355"/>
      <c r="C5" s="356" t="s">
        <v>10</v>
      </c>
      <c r="D5" s="357" t="s">
        <v>71</v>
      </c>
      <c r="E5" s="358"/>
      <c r="F5" s="356" t="s">
        <v>12</v>
      </c>
      <c r="G5" s="358" t="str">
        <f>IFERROR(CONCATENATE(VLOOKUP(D5,TableCourses[],2,FALSE)," ",VLOOKUP(D5,TableCourses[],3,FALSE)),"")</f>
        <v>B-EDEC v.2</v>
      </c>
      <c r="H5" s="358"/>
      <c r="I5" s="358"/>
      <c r="J5" s="358"/>
      <c r="K5" s="358"/>
      <c r="L5" s="358"/>
      <c r="M5" s="358"/>
      <c r="N5" s="359"/>
      <c r="O5" s="347"/>
      <c r="P5" s="347"/>
      <c r="Q5" s="347"/>
      <c r="R5" s="347"/>
      <c r="S5" s="347"/>
      <c r="T5" s="347"/>
      <c r="U5" s="347"/>
      <c r="V5" s="347"/>
      <c r="W5" s="347"/>
    </row>
    <row r="6" spans="1:25" ht="20.100000000000001" customHeight="1" x14ac:dyDescent="0.25">
      <c r="A6" s="360"/>
      <c r="B6" s="361"/>
      <c r="C6" s="356" t="s">
        <v>13</v>
      </c>
      <c r="D6" s="430" t="s">
        <v>952</v>
      </c>
      <c r="E6" s="362"/>
      <c r="F6" s="356" t="s">
        <v>14</v>
      </c>
      <c r="G6" s="358" t="str">
        <f>IFERROR(VLOOKUP($D$5,TableCourses[],4,FALSE),"")</f>
        <v xml:space="preserve">800 credit points required </v>
      </c>
      <c r="H6" s="363"/>
      <c r="I6" s="363"/>
      <c r="J6" s="363"/>
      <c r="K6" s="363"/>
      <c r="L6" s="363"/>
      <c r="M6" s="363"/>
      <c r="N6" s="363"/>
      <c r="O6" s="347"/>
      <c r="P6" s="347"/>
      <c r="Q6" s="347"/>
      <c r="R6" s="347"/>
      <c r="S6" s="347"/>
      <c r="T6" s="347"/>
      <c r="U6" s="347"/>
      <c r="V6" s="347"/>
      <c r="W6" s="347"/>
      <c r="X6" s="44"/>
      <c r="Y6" s="44"/>
    </row>
    <row r="7" spans="1:25" s="47" customFormat="1" ht="14.1" customHeight="1" x14ac:dyDescent="0.25">
      <c r="A7" s="364"/>
      <c r="B7" s="364"/>
      <c r="C7" s="364"/>
      <c r="D7" s="365"/>
      <c r="E7" s="366"/>
      <c r="F7" s="364"/>
      <c r="G7" s="364"/>
      <c r="H7" s="367" t="s">
        <v>15</v>
      </c>
      <c r="I7" s="368"/>
      <c r="J7" s="368"/>
      <c r="K7" s="368"/>
      <c r="L7" s="368"/>
      <c r="M7" s="369"/>
      <c r="N7" s="366"/>
      <c r="O7" s="370"/>
      <c r="P7" s="370"/>
      <c r="Q7" s="370"/>
      <c r="R7" s="371"/>
      <c r="S7" s="371"/>
      <c r="T7" s="371"/>
      <c r="U7" s="371"/>
      <c r="V7" s="371"/>
      <c r="W7" s="371"/>
      <c r="X7" s="46"/>
      <c r="Y7" s="46"/>
    </row>
    <row r="8" spans="1:25" s="47" customFormat="1" ht="21" x14ac:dyDescent="0.25">
      <c r="A8" s="364" t="s">
        <v>16</v>
      </c>
      <c r="B8" s="364"/>
      <c r="C8" s="364"/>
      <c r="D8" s="365" t="s">
        <v>3</v>
      </c>
      <c r="E8" s="372" t="s">
        <v>17</v>
      </c>
      <c r="F8" s="364" t="s">
        <v>18</v>
      </c>
      <c r="G8" s="364" t="s">
        <v>19</v>
      </c>
      <c r="H8" s="373" t="s">
        <v>921</v>
      </c>
      <c r="I8" s="372" t="s">
        <v>20</v>
      </c>
      <c r="J8" s="372" t="s">
        <v>21</v>
      </c>
      <c r="K8" s="372" t="s">
        <v>22</v>
      </c>
      <c r="L8" s="372" t="s">
        <v>23</v>
      </c>
      <c r="M8" s="374" t="s">
        <v>24</v>
      </c>
      <c r="N8" s="364" t="s">
        <v>25</v>
      </c>
      <c r="O8" s="370"/>
      <c r="P8" s="370"/>
      <c r="Q8" s="370"/>
      <c r="R8" s="371"/>
      <c r="S8" s="371"/>
      <c r="T8" s="371"/>
      <c r="U8" s="371"/>
      <c r="V8" s="371"/>
      <c r="W8" s="371"/>
      <c r="X8" s="46"/>
      <c r="Y8" s="46"/>
    </row>
    <row r="9" spans="1:25" s="50" customFormat="1" ht="24" customHeight="1" x14ac:dyDescent="0.15">
      <c r="A9" s="375" t="str">
        <f>IFERROR(IF(HLOOKUP($N$4,RangeUnitsets,O9,FALSE)=0,"",HLOOKUP($N$4,RangeUnitsets,O9,FALSE)),"")</f>
        <v/>
      </c>
      <c r="B9" s="376" t="str">
        <f>IFERROR(IF(VLOOKUP($A9,TableHandbook[],B$2,FALSE)=0,"",VLOOKUP($A9,TableHandbook[],B$2,FALSE)),"")</f>
        <v/>
      </c>
      <c r="C9" s="376" t="str">
        <f>IFERROR(IF(VLOOKUP($A9,TableHandbook[],C$2,FALSE)=0,"",VLOOKUP($A9,TableHandbook[],C$2,FALSE)),"")</f>
        <v/>
      </c>
      <c r="D9" s="377" t="str">
        <f>IFERROR(IF(VLOOKUP($A9,TableHandbook[],D$2,FALSE)=0,"",VLOOKUP($A9,TableHandbook[],D$2,FALSE)),"")</f>
        <v/>
      </c>
      <c r="E9" s="376" t="str">
        <f>IF(OR(A9="",A9="--"),"",VLOOKUP($D$6,TableStudyPeriods[],2,FALSE))</f>
        <v/>
      </c>
      <c r="F9" s="378" t="str">
        <f>IFERROR(IF(VLOOKUP($A9,TableHandbook[],F$2,FALSE)=0,"",VLOOKUP($A9,TableHandbook[],F$2,FALSE)),"")</f>
        <v/>
      </c>
      <c r="G9" s="376" t="str">
        <f>IFERROR(IF(VLOOKUP($A9,TableHandbook[],G$2,FALSE)=0,"",VLOOKUP($A9,TableHandbook[],G$2,FALSE)),"")</f>
        <v/>
      </c>
      <c r="H9" s="379" t="str">
        <f>IFERROR(VLOOKUP($A9,TableHandbook[],H$2,FALSE),"")</f>
        <v/>
      </c>
      <c r="I9" s="376" t="str">
        <f>IFERROR(VLOOKUP($A9,TableHandbook[],I$2,FALSE),"")</f>
        <v/>
      </c>
      <c r="J9" s="376" t="str">
        <f>IFERROR(VLOOKUP($A9,TableHandbook[],J$2,FALSE),"")</f>
        <v/>
      </c>
      <c r="K9" s="376" t="str">
        <f>IFERROR(VLOOKUP($A9,TableHandbook[],K$2,FALSE),"")</f>
        <v/>
      </c>
      <c r="L9" s="376" t="str">
        <f>IFERROR(VLOOKUP($A9,TableHandbook[],L$2,FALSE),"")</f>
        <v/>
      </c>
      <c r="M9" s="380" t="str">
        <f>IFERROR(VLOOKUP($A9,TableHandbook[],M$2,FALSE),"")</f>
        <v/>
      </c>
      <c r="N9" s="90"/>
      <c r="O9" s="381">
        <v>2</v>
      </c>
      <c r="P9" s="382"/>
      <c r="Q9" s="382"/>
      <c r="R9" s="383"/>
      <c r="S9" s="383"/>
      <c r="T9" s="383"/>
      <c r="U9" s="383"/>
      <c r="V9" s="383"/>
      <c r="W9" s="383"/>
      <c r="X9" s="49"/>
      <c r="Y9" s="49"/>
    </row>
    <row r="10" spans="1:25" s="50" customFormat="1" ht="24" customHeight="1" x14ac:dyDescent="0.15">
      <c r="A10" s="375" t="str">
        <f>IFERROR(IF(HLOOKUP($N$4,RangeUnitsets,O10,FALSE)=0,"",HLOOKUP($N$4,RangeUnitsets,O10,FALSE)),"")</f>
        <v/>
      </c>
      <c r="B10" s="376" t="str">
        <f>IFERROR(IF(VLOOKUP($A10,TableHandbook[],B$2,FALSE)=0,"",VLOOKUP($A10,TableHandbook[],B$2,FALSE)),"")</f>
        <v/>
      </c>
      <c r="C10" s="376" t="str">
        <f>IFERROR(IF(VLOOKUP($A10,TableHandbook[],C$2,FALSE)=0,"",VLOOKUP($A10,TableHandbook[],C$2,FALSE)),"")</f>
        <v/>
      </c>
      <c r="D10" s="377" t="str">
        <f>IFERROR(IF(VLOOKUP($A10,TableHandbook[],D$2,FALSE)=0,"",VLOOKUP($A10,TableHandbook[],D$2,FALSE)),"")</f>
        <v/>
      </c>
      <c r="E10" s="376" t="str">
        <f>IF(A10="","",E9)</f>
        <v/>
      </c>
      <c r="F10" s="378" t="str">
        <f>IFERROR(IF(VLOOKUP($A10,TableHandbook[],F$2,FALSE)=0,"",VLOOKUP($A10,TableHandbook[],F$2,FALSE)),"")</f>
        <v/>
      </c>
      <c r="G10" s="376" t="str">
        <f>IFERROR(IF(VLOOKUP($A10,TableHandbook[],G$2,FALSE)=0,"",VLOOKUP($A10,TableHandbook[],G$2,FALSE)),"")</f>
        <v/>
      </c>
      <c r="H10" s="379" t="str">
        <f>IFERROR(VLOOKUP($A10,TableHandbook[],H$2,FALSE),"")</f>
        <v/>
      </c>
      <c r="I10" s="376" t="str">
        <f>IFERROR(VLOOKUP($A10,TableHandbook[],I$2,FALSE),"")</f>
        <v/>
      </c>
      <c r="J10" s="376" t="str">
        <f>IFERROR(VLOOKUP($A10,TableHandbook[],J$2,FALSE),"")</f>
        <v/>
      </c>
      <c r="K10" s="376" t="str">
        <f>IFERROR(VLOOKUP($A10,TableHandbook[],K$2,FALSE),"")</f>
        <v/>
      </c>
      <c r="L10" s="376" t="str">
        <f>IFERROR(VLOOKUP($A10,TableHandbook[],L$2,FALSE),"")</f>
        <v/>
      </c>
      <c r="M10" s="380" t="str">
        <f>IFERROR(VLOOKUP($A10,TableHandbook[],M$2,FALSE),"")</f>
        <v/>
      </c>
      <c r="N10" s="90"/>
      <c r="O10" s="381">
        <v>3</v>
      </c>
      <c r="P10" s="382"/>
      <c r="Q10" s="382"/>
      <c r="R10" s="383"/>
      <c r="S10" s="383"/>
      <c r="T10" s="383"/>
      <c r="U10" s="383"/>
      <c r="V10" s="383"/>
      <c r="W10" s="383"/>
      <c r="X10" s="49"/>
      <c r="Y10" s="49"/>
    </row>
    <row r="11" spans="1:25" s="50" customFormat="1" ht="24" customHeight="1" x14ac:dyDescent="0.15">
      <c r="A11" s="384" t="str">
        <f>IFERROR(IF(HLOOKUP($N$4,RangeUnitsets,O11,FALSE)=0,"",HLOOKUP($N$4,RangeUnitsets,O11,FALSE)),"")</f>
        <v/>
      </c>
      <c r="B11" s="376" t="str">
        <f>IFERROR(IF(VLOOKUP($A11,TableHandbook[],B$2,FALSE)=0,"",VLOOKUP($A11,TableHandbook[],B$2,FALSE)),"")</f>
        <v/>
      </c>
      <c r="C11" s="376" t="str">
        <f>IFERROR(IF(VLOOKUP($A11,TableHandbook[],C$2,FALSE)=0,"",VLOOKUP($A11,TableHandbook[],C$2,FALSE)),"")</f>
        <v/>
      </c>
      <c r="D11" s="377" t="str">
        <f>IFERROR(IF(VLOOKUP($A11,TableHandbook[],D$2,FALSE)=0,"",VLOOKUP($A11,TableHandbook[],D$2,FALSE)),"")</f>
        <v/>
      </c>
      <c r="E11" s="376" t="str">
        <f>IF(A11="","",E10)</f>
        <v/>
      </c>
      <c r="F11" s="378" t="str">
        <f>IFERROR(IF(VLOOKUP($A11,TableHandbook[],F$2,FALSE)=0,"",VLOOKUP($A11,TableHandbook[],F$2,FALSE)),"")</f>
        <v/>
      </c>
      <c r="G11" s="376" t="str">
        <f>IFERROR(IF(VLOOKUP($A11,TableHandbook[],G$2,FALSE)=0,"",VLOOKUP($A11,TableHandbook[],G$2,FALSE)),"")</f>
        <v/>
      </c>
      <c r="H11" s="379" t="str">
        <f>IFERROR(VLOOKUP($A11,TableHandbook[],H$2,FALSE),"")</f>
        <v/>
      </c>
      <c r="I11" s="376" t="str">
        <f>IFERROR(VLOOKUP($A11,TableHandbook[],I$2,FALSE),"")</f>
        <v/>
      </c>
      <c r="J11" s="376" t="str">
        <f>IFERROR(VLOOKUP($A11,TableHandbook[],J$2,FALSE),"")</f>
        <v/>
      </c>
      <c r="K11" s="376" t="str">
        <f>IFERROR(VLOOKUP($A11,TableHandbook[],K$2,FALSE),"")</f>
        <v/>
      </c>
      <c r="L11" s="376" t="str">
        <f>IFERROR(VLOOKUP($A11,TableHandbook[],L$2,FALSE),"")</f>
        <v/>
      </c>
      <c r="M11" s="380" t="str">
        <f>IFERROR(VLOOKUP($A11,TableHandbook[],M$2,FALSE),"")</f>
        <v/>
      </c>
      <c r="N11" s="91"/>
      <c r="O11" s="381">
        <v>4</v>
      </c>
      <c r="P11" s="382"/>
      <c r="Q11" s="382"/>
      <c r="R11" s="383"/>
      <c r="S11" s="383"/>
      <c r="T11" s="383"/>
      <c r="U11" s="383"/>
      <c r="V11" s="383"/>
      <c r="W11" s="383"/>
      <c r="X11" s="49"/>
      <c r="Y11" s="49"/>
    </row>
    <row r="12" spans="1:25" s="50" customFormat="1" ht="24" customHeight="1" x14ac:dyDescent="0.15">
      <c r="A12" s="375" t="str">
        <f>IFERROR(IF(HLOOKUP($N$4,RangeUnitsets,O12,FALSE)=0,"",HLOOKUP($N$4,RangeUnitsets,O12,FALSE)),"")</f>
        <v/>
      </c>
      <c r="B12" s="376" t="str">
        <f>IFERROR(IF(VLOOKUP($A12,TableHandbook[],B$2,FALSE)=0,"",VLOOKUP($A12,TableHandbook[],B$2,FALSE)),"")</f>
        <v/>
      </c>
      <c r="C12" s="376" t="str">
        <f>IFERROR(IF(VLOOKUP($A12,TableHandbook[],C$2,FALSE)=0,"",VLOOKUP($A12,TableHandbook[],C$2,FALSE)),"")</f>
        <v/>
      </c>
      <c r="D12" s="377" t="str">
        <f>IFERROR(IF(VLOOKUP($A12,TableHandbook[],D$2,FALSE)=0,"",VLOOKUP($A12,TableHandbook[],D$2,FALSE)),"")</f>
        <v/>
      </c>
      <c r="E12" s="376" t="str">
        <f>IF(A12="","",E11)</f>
        <v/>
      </c>
      <c r="F12" s="378" t="str">
        <f>IFERROR(IF(VLOOKUP($A12,TableHandbook[],F$2,FALSE)=0,"",VLOOKUP($A12,TableHandbook[],F$2,FALSE)),"")</f>
        <v/>
      </c>
      <c r="G12" s="376" t="str">
        <f>IFERROR(IF(VLOOKUP($A12,TableHandbook[],G$2,FALSE)=0,"",VLOOKUP($A12,TableHandbook[],G$2,FALSE)),"")</f>
        <v/>
      </c>
      <c r="H12" s="379" t="str">
        <f>IFERROR(VLOOKUP($A12,TableHandbook[],H$2,FALSE),"")</f>
        <v/>
      </c>
      <c r="I12" s="376" t="str">
        <f>IFERROR(VLOOKUP($A12,TableHandbook[],I$2,FALSE),"")</f>
        <v/>
      </c>
      <c r="J12" s="376" t="str">
        <f>IFERROR(VLOOKUP($A12,TableHandbook[],J$2,FALSE),"")</f>
        <v/>
      </c>
      <c r="K12" s="376" t="str">
        <f>IFERROR(VLOOKUP($A12,TableHandbook[],K$2,FALSE),"")</f>
        <v/>
      </c>
      <c r="L12" s="376" t="str">
        <f>IFERROR(VLOOKUP($A12,TableHandbook[],L$2,FALSE),"")</f>
        <v/>
      </c>
      <c r="M12" s="380" t="str">
        <f>IFERROR(VLOOKUP($A12,TableHandbook[],M$2,FALSE),"")</f>
        <v/>
      </c>
      <c r="N12" s="90"/>
      <c r="O12" s="381">
        <v>5</v>
      </c>
      <c r="P12" s="382"/>
      <c r="Q12" s="382"/>
      <c r="R12" s="383"/>
      <c r="S12" s="383"/>
      <c r="T12" s="383"/>
      <c r="U12" s="383"/>
      <c r="V12" s="383"/>
      <c r="W12" s="383"/>
      <c r="X12" s="49"/>
      <c r="Y12" s="49"/>
    </row>
    <row r="13" spans="1:25" s="50" customFormat="1" ht="5.0999999999999996" customHeight="1" x14ac:dyDescent="0.15">
      <c r="A13" s="386"/>
      <c r="B13" s="387"/>
      <c r="C13" s="387"/>
      <c r="D13" s="388"/>
      <c r="E13" s="387"/>
      <c r="F13" s="389"/>
      <c r="G13" s="387"/>
      <c r="H13" s="390"/>
      <c r="I13" s="387"/>
      <c r="J13" s="387"/>
      <c r="K13" s="387"/>
      <c r="L13" s="387"/>
      <c r="M13" s="391"/>
      <c r="N13" s="391"/>
      <c r="O13" s="392"/>
      <c r="P13" s="382"/>
      <c r="Q13" s="382"/>
      <c r="R13" s="382"/>
      <c r="S13" s="383"/>
      <c r="T13" s="383"/>
      <c r="U13" s="383"/>
      <c r="V13" s="383"/>
      <c r="W13" s="383"/>
      <c r="X13" s="49"/>
      <c r="Y13" s="49"/>
    </row>
    <row r="14" spans="1:25" s="50" customFormat="1" ht="24" customHeight="1" x14ac:dyDescent="0.15">
      <c r="A14" s="375" t="str">
        <f>IFERROR(IF(HLOOKUP($N$4,RangeUnitsets,O14,FALSE)=0,"",HLOOKUP($N$4,RangeUnitsets,O14,FALSE)),"")</f>
        <v/>
      </c>
      <c r="B14" s="393" t="str">
        <f>IFERROR(IF(VLOOKUP($A14,TableHandbook[],B$2,FALSE)=0,"",VLOOKUP($A14,TableHandbook[],B$2,FALSE)),"")</f>
        <v/>
      </c>
      <c r="C14" s="393" t="str">
        <f>IFERROR(IF(VLOOKUP($A14,TableHandbook[],C$2,FALSE)=0,"",VLOOKUP($A14,TableHandbook[],C$2,FALSE)),"")</f>
        <v/>
      </c>
      <c r="D14" s="377" t="str">
        <f>IFERROR(IF(VLOOKUP($A14,TableHandbook[],D$2,FALSE)=0,"",VLOOKUP($A14,TableHandbook[],D$2,FALSE)),"")</f>
        <v/>
      </c>
      <c r="E14" s="376" t="str">
        <f>IF(OR(A14="",A14="--"),"",VLOOKUP($D$6,TableStudyPeriods[],3,FALSE))</f>
        <v/>
      </c>
      <c r="F14" s="378" t="str">
        <f>IFERROR(IF(VLOOKUP($A14,TableHandbook[],F$2,FALSE)=0,"",VLOOKUP($A14,TableHandbook[],F$2,FALSE)),"")</f>
        <v/>
      </c>
      <c r="G14" s="393" t="str">
        <f>IFERROR(IF(VLOOKUP($A14,TableHandbook[],G$2,FALSE)=0,"",VLOOKUP($A14,TableHandbook[],G$2,FALSE)),"")</f>
        <v/>
      </c>
      <c r="H14" s="394" t="str">
        <f>IFERROR(VLOOKUP($A14,TableHandbook[],H$2,FALSE),"")</f>
        <v/>
      </c>
      <c r="I14" s="393" t="str">
        <f>IFERROR(VLOOKUP($A14,TableHandbook[],I$2,FALSE),"")</f>
        <v/>
      </c>
      <c r="J14" s="393" t="str">
        <f>IFERROR(VLOOKUP($A14,TableHandbook[],J$2,FALSE),"")</f>
        <v/>
      </c>
      <c r="K14" s="393" t="str">
        <f>IFERROR(VLOOKUP($A14,TableHandbook[],K$2,FALSE),"")</f>
        <v/>
      </c>
      <c r="L14" s="393" t="str">
        <f>IFERROR(VLOOKUP($A14,TableHandbook[],L$2,FALSE),"")</f>
        <v/>
      </c>
      <c r="M14" s="395" t="str">
        <f>IFERROR(VLOOKUP($A14,TableHandbook[],M$2,FALSE),"")</f>
        <v/>
      </c>
      <c r="N14" s="91"/>
      <c r="O14" s="381">
        <v>6</v>
      </c>
      <c r="P14" s="382"/>
      <c r="Q14" s="382"/>
      <c r="R14" s="383"/>
      <c r="S14" s="383"/>
      <c r="T14" s="383"/>
      <c r="U14" s="383"/>
      <c r="V14" s="383"/>
      <c r="W14" s="383"/>
      <c r="X14" s="49"/>
      <c r="Y14" s="49"/>
    </row>
    <row r="15" spans="1:25" s="54" customFormat="1" ht="24" customHeight="1" x14ac:dyDescent="0.15">
      <c r="A15" s="375" t="str">
        <f>IFERROR(IF(HLOOKUP($N$4,RangeUnitsets,O15,FALSE)=0,"",HLOOKUP($N$4,RangeUnitsets,O15,FALSE)),"")</f>
        <v/>
      </c>
      <c r="B15" s="393" t="str">
        <f>IFERROR(IF(VLOOKUP($A15,TableHandbook[],B$2,FALSE)=0,"",VLOOKUP($A15,TableHandbook[],B$2,FALSE)),"")</f>
        <v/>
      </c>
      <c r="C15" s="393" t="str">
        <f>IFERROR(IF(VLOOKUP($A15,TableHandbook[],C$2,FALSE)=0,"",VLOOKUP($A15,TableHandbook[],C$2,FALSE)),"")</f>
        <v/>
      </c>
      <c r="D15" s="377" t="str">
        <f>IFERROR(IF(VLOOKUP($A15,TableHandbook[],D$2,FALSE)=0,"",VLOOKUP($A15,TableHandbook[],D$2,FALSE)),"")</f>
        <v/>
      </c>
      <c r="E15" s="376" t="str">
        <f>IF(A15="","",E14)</f>
        <v/>
      </c>
      <c r="F15" s="378" t="str">
        <f>IFERROR(IF(VLOOKUP($A15,TableHandbook[],F$2,FALSE)=0,"",VLOOKUP($A15,TableHandbook[],F$2,FALSE)),"")</f>
        <v/>
      </c>
      <c r="G15" s="393" t="str">
        <f>IFERROR(IF(VLOOKUP($A15,TableHandbook[],G$2,FALSE)=0,"",VLOOKUP($A15,TableHandbook[],G$2,FALSE)),"")</f>
        <v/>
      </c>
      <c r="H15" s="394" t="str">
        <f>IFERROR(VLOOKUP($A15,TableHandbook[],H$2,FALSE),"")</f>
        <v/>
      </c>
      <c r="I15" s="393" t="str">
        <f>IFERROR(VLOOKUP($A15,TableHandbook[],I$2,FALSE),"")</f>
        <v/>
      </c>
      <c r="J15" s="393" t="str">
        <f>IFERROR(VLOOKUP($A15,TableHandbook[],J$2,FALSE),"")</f>
        <v/>
      </c>
      <c r="K15" s="393" t="str">
        <f>IFERROR(VLOOKUP($A15,TableHandbook[],K$2,FALSE),"")</f>
        <v/>
      </c>
      <c r="L15" s="393" t="str">
        <f>IFERROR(VLOOKUP($A15,TableHandbook[],L$2,FALSE),"")</f>
        <v/>
      </c>
      <c r="M15" s="395" t="str">
        <f>IFERROR(VLOOKUP($A15,TableHandbook[],M$2,FALSE),"")</f>
        <v/>
      </c>
      <c r="N15" s="91"/>
      <c r="O15" s="381">
        <v>7</v>
      </c>
      <c r="P15" s="396"/>
      <c r="Q15" s="396"/>
      <c r="R15" s="397"/>
      <c r="S15" s="397"/>
      <c r="T15" s="397"/>
      <c r="U15" s="397"/>
      <c r="V15" s="397"/>
      <c r="W15" s="397"/>
      <c r="X15" s="53"/>
      <c r="Y15" s="53"/>
    </row>
    <row r="16" spans="1:25" s="54" customFormat="1" ht="24" customHeight="1" x14ac:dyDescent="0.15">
      <c r="A16" s="375" t="str">
        <f>IFERROR(IF(HLOOKUP($N$4,RangeUnitsets,O16,FALSE)=0,"",HLOOKUP($N$4,RangeUnitsets,O16,FALSE)),"")</f>
        <v/>
      </c>
      <c r="B16" s="393" t="str">
        <f>IFERROR(IF(VLOOKUP($A16,TableHandbook[],B$2,FALSE)=0,"",VLOOKUP($A16,TableHandbook[],B$2,FALSE)),"")</f>
        <v/>
      </c>
      <c r="C16" s="393" t="str">
        <f>IFERROR(IF(VLOOKUP($A16,TableHandbook[],C$2,FALSE)=0,"",VLOOKUP($A16,TableHandbook[],C$2,FALSE)),"")</f>
        <v/>
      </c>
      <c r="D16" s="377" t="str">
        <f>IFERROR(IF(VLOOKUP($A16,TableHandbook[],D$2,FALSE)=0,"",VLOOKUP($A16,TableHandbook[],D$2,FALSE)),"")</f>
        <v/>
      </c>
      <c r="E16" s="376" t="str">
        <f>IF(A16="","",E15)</f>
        <v/>
      </c>
      <c r="F16" s="378" t="str">
        <f>IFERROR(IF(VLOOKUP($A16,TableHandbook[],F$2,FALSE)=0,"",VLOOKUP($A16,TableHandbook[],F$2,FALSE)),"")</f>
        <v/>
      </c>
      <c r="G16" s="393" t="str">
        <f>IFERROR(IF(VLOOKUP($A16,TableHandbook[],G$2,FALSE)=0,"",VLOOKUP($A16,TableHandbook[],G$2,FALSE)),"")</f>
        <v/>
      </c>
      <c r="H16" s="394" t="str">
        <f>IFERROR(VLOOKUP($A16,TableHandbook[],H$2,FALSE),"")</f>
        <v/>
      </c>
      <c r="I16" s="393" t="str">
        <f>IFERROR(VLOOKUP($A16,TableHandbook[],I$2,FALSE),"")</f>
        <v/>
      </c>
      <c r="J16" s="393" t="str">
        <f>IFERROR(VLOOKUP($A16,TableHandbook[],J$2,FALSE),"")</f>
        <v/>
      </c>
      <c r="K16" s="393" t="str">
        <f>IFERROR(VLOOKUP($A16,TableHandbook[],K$2,FALSE),"")</f>
        <v/>
      </c>
      <c r="L16" s="393" t="str">
        <f>IFERROR(VLOOKUP($A16,TableHandbook[],L$2,FALSE),"")</f>
        <v/>
      </c>
      <c r="M16" s="395" t="str">
        <f>IFERROR(VLOOKUP($A16,TableHandbook[],M$2,FALSE),"")</f>
        <v/>
      </c>
      <c r="N16" s="91"/>
      <c r="O16" s="381">
        <v>8</v>
      </c>
      <c r="P16" s="396"/>
      <c r="Q16" s="396"/>
      <c r="R16" s="397"/>
      <c r="S16" s="397"/>
      <c r="T16" s="397"/>
      <c r="U16" s="397"/>
      <c r="V16" s="397"/>
      <c r="W16" s="397"/>
      <c r="X16" s="53"/>
      <c r="Y16" s="53"/>
    </row>
    <row r="17" spans="1:25" s="54" customFormat="1" ht="24" customHeight="1" x14ac:dyDescent="0.15">
      <c r="A17" s="375" t="str">
        <f>IFERROR(IF(HLOOKUP($N$4,RangeUnitsets,O17,FALSE)=0,"",HLOOKUP($N$4,RangeUnitsets,O17,FALSE)),"")</f>
        <v/>
      </c>
      <c r="B17" s="393" t="str">
        <f>IFERROR(IF(VLOOKUP($A17,TableHandbook[],B$2,FALSE)=0,"",VLOOKUP($A17,TableHandbook[],B$2,FALSE)),"")</f>
        <v/>
      </c>
      <c r="C17" s="393" t="str">
        <f>IFERROR(IF(VLOOKUP($A17,TableHandbook[],C$2,FALSE)=0,"",VLOOKUP($A17,TableHandbook[],C$2,FALSE)),"")</f>
        <v/>
      </c>
      <c r="D17" s="398" t="str">
        <f>IFERROR(IF(VLOOKUP($A17,TableHandbook[],D$2,FALSE)=0,"",VLOOKUP($A17,TableHandbook[],D$2,FALSE)),"")</f>
        <v/>
      </c>
      <c r="E17" s="393" t="str">
        <f>IF(A17="","",E16)</f>
        <v/>
      </c>
      <c r="F17" s="378" t="str">
        <f>IFERROR(IF(VLOOKUP($A17,TableHandbook[],F$2,FALSE)=0,"",VLOOKUP($A17,TableHandbook[],F$2,FALSE)),"")</f>
        <v/>
      </c>
      <c r="G17" s="393" t="str">
        <f>IFERROR(IF(VLOOKUP($A17,TableHandbook[],G$2,FALSE)=0,"",VLOOKUP($A17,TableHandbook[],G$2,FALSE)),"")</f>
        <v/>
      </c>
      <c r="H17" s="394" t="str">
        <f>IFERROR(VLOOKUP($A17,TableHandbook[],H$2,FALSE),"")</f>
        <v/>
      </c>
      <c r="I17" s="393" t="str">
        <f>IFERROR(VLOOKUP($A17,TableHandbook[],I$2,FALSE),"")</f>
        <v/>
      </c>
      <c r="J17" s="393" t="str">
        <f>IFERROR(VLOOKUP($A17,TableHandbook[],J$2,FALSE),"")</f>
        <v/>
      </c>
      <c r="K17" s="393" t="str">
        <f>IFERROR(VLOOKUP($A17,TableHandbook[],K$2,FALSE),"")</f>
        <v/>
      </c>
      <c r="L17" s="393" t="str">
        <f>IFERROR(VLOOKUP($A17,TableHandbook[],L$2,FALSE),"")</f>
        <v/>
      </c>
      <c r="M17" s="395" t="str">
        <f>IFERROR(VLOOKUP($A17,TableHandbook[],M$2,FALSE),"")</f>
        <v/>
      </c>
      <c r="N17" s="91"/>
      <c r="O17" s="381">
        <v>9</v>
      </c>
      <c r="P17" s="396"/>
      <c r="Q17" s="396"/>
      <c r="R17" s="397"/>
      <c r="S17" s="397"/>
      <c r="T17" s="397"/>
      <c r="U17" s="397"/>
      <c r="V17" s="397"/>
      <c r="W17" s="397"/>
      <c r="X17" s="53"/>
      <c r="Y17" s="53"/>
    </row>
    <row r="18" spans="1:25" s="47" customFormat="1" ht="21" x14ac:dyDescent="0.25">
      <c r="A18" s="364" t="s">
        <v>26</v>
      </c>
      <c r="B18" s="364"/>
      <c r="C18" s="364"/>
      <c r="D18" s="399" t="s">
        <v>3</v>
      </c>
      <c r="E18" s="372" t="s">
        <v>17</v>
      </c>
      <c r="F18" s="364" t="s">
        <v>18</v>
      </c>
      <c r="G18" s="364" t="s">
        <v>19</v>
      </c>
      <c r="H18" s="373" t="s">
        <v>921</v>
      </c>
      <c r="I18" s="372" t="s">
        <v>20</v>
      </c>
      <c r="J18" s="372" t="s">
        <v>21</v>
      </c>
      <c r="K18" s="372" t="s">
        <v>22</v>
      </c>
      <c r="L18" s="372" t="s">
        <v>23</v>
      </c>
      <c r="M18" s="374" t="s">
        <v>24</v>
      </c>
      <c r="N18" s="364" t="s">
        <v>25</v>
      </c>
      <c r="O18" s="370"/>
      <c r="P18" s="370"/>
      <c r="Q18" s="370"/>
      <c r="R18" s="371"/>
      <c r="S18" s="371"/>
      <c r="T18" s="371"/>
      <c r="U18" s="371"/>
      <c r="V18" s="371"/>
      <c r="W18" s="371"/>
      <c r="X18" s="46"/>
      <c r="Y18" s="46"/>
    </row>
    <row r="19" spans="1:25" s="50" customFormat="1" ht="24" customHeight="1" x14ac:dyDescent="0.15">
      <c r="A19" s="384" t="str">
        <f>IFERROR(IF(HLOOKUP($N$4,RangeUnitsets,O19,FALSE)=0,"",HLOOKUP($N$4,RangeUnitsets,O19,FALSE)),"")</f>
        <v/>
      </c>
      <c r="B19" s="393" t="str">
        <f>IFERROR(IF(VLOOKUP($A19,TableHandbook[],B$2,FALSE)=0,"",VLOOKUP($A19,TableHandbook[],B$2,FALSE)),"")</f>
        <v/>
      </c>
      <c r="C19" s="393" t="str">
        <f>IFERROR(IF(VLOOKUP($A19,TableHandbook[],C$2,FALSE)=0,"",VLOOKUP($A19,TableHandbook[],C$2,FALSE)),"")</f>
        <v/>
      </c>
      <c r="D19" s="400" t="str">
        <f>IFERROR(IF(VLOOKUP($A19,TableHandbook[],D$2,FALSE)=0,"",VLOOKUP($A19,TableHandbook[],D$2,FALSE)),"")</f>
        <v/>
      </c>
      <c r="E19" s="393" t="str">
        <f>IF(OR(A19="",A19="--"),"",VLOOKUP($D$6,TableStudyPeriods[],2,FALSE))</f>
        <v/>
      </c>
      <c r="F19" s="378" t="str">
        <f>IFERROR(IF(VLOOKUP($A19,TableHandbook[],F$2,FALSE)=0,"",VLOOKUP($A19,TableHandbook[],F$2,FALSE)),"")</f>
        <v/>
      </c>
      <c r="G19" s="376" t="str">
        <f>IFERROR(IF(VLOOKUP($A19,TableHandbook[],G$2,FALSE)=0,"",VLOOKUP($A19,TableHandbook[],G$2,FALSE)),"")</f>
        <v/>
      </c>
      <c r="H19" s="379" t="str">
        <f>IFERROR(VLOOKUP($A19,TableHandbook[],H$2,FALSE),"")</f>
        <v/>
      </c>
      <c r="I19" s="376" t="str">
        <f>IFERROR(VLOOKUP($A19,TableHandbook[],I$2,FALSE),"")</f>
        <v/>
      </c>
      <c r="J19" s="376" t="str">
        <f>IFERROR(VLOOKUP($A19,TableHandbook[],J$2,FALSE),"")</f>
        <v/>
      </c>
      <c r="K19" s="376" t="str">
        <f>IFERROR(VLOOKUP($A19,TableHandbook[],K$2,FALSE),"")</f>
        <v/>
      </c>
      <c r="L19" s="376" t="str">
        <f>IFERROR(VLOOKUP($A19,TableHandbook[],L$2,FALSE),"")</f>
        <v/>
      </c>
      <c r="M19" s="380" t="str">
        <f>IFERROR(VLOOKUP($A19,TableHandbook[],M$2,FALSE),"")</f>
        <v/>
      </c>
      <c r="N19" s="87"/>
      <c r="O19" s="381">
        <v>10</v>
      </c>
      <c r="P19" s="382"/>
      <c r="Q19" s="382"/>
      <c r="R19" s="383"/>
      <c r="S19" s="383"/>
      <c r="T19" s="383"/>
      <c r="U19" s="383"/>
      <c r="V19" s="383"/>
      <c r="W19" s="383"/>
      <c r="X19" s="49"/>
      <c r="Y19" s="49"/>
    </row>
    <row r="20" spans="1:25" s="50" customFormat="1" ht="24" customHeight="1" x14ac:dyDescent="0.15">
      <c r="A20" s="375" t="str">
        <f>IFERROR(IF(HLOOKUP($N$4,RangeUnitsets,O20,FALSE)=0,"",HLOOKUP($N$4,RangeUnitsets,O20,FALSE)),"")</f>
        <v/>
      </c>
      <c r="B20" s="393" t="str">
        <f>IFERROR(IF(VLOOKUP($A20,TableHandbook[],B$2,FALSE)=0,"",VLOOKUP($A20,TableHandbook[],B$2,FALSE)),"")</f>
        <v/>
      </c>
      <c r="C20" s="393" t="str">
        <f>IFERROR(IF(VLOOKUP($A20,TableHandbook[],C$2,FALSE)=0,"",VLOOKUP($A20,TableHandbook[],C$2,FALSE)),"")</f>
        <v/>
      </c>
      <c r="D20" s="398" t="str">
        <f>IFERROR(IF(VLOOKUP($A20,TableHandbook[],D$2,FALSE)=0,"",VLOOKUP($A20,TableHandbook[],D$2,FALSE)),"")</f>
        <v/>
      </c>
      <c r="E20" s="393" t="str">
        <f>IF(A20="","",E19)</f>
        <v/>
      </c>
      <c r="F20" s="378" t="str">
        <f>IFERROR(IF(VLOOKUP($A20,TableHandbook[],F$2,FALSE)=0,"",VLOOKUP($A20,TableHandbook[],F$2,FALSE)),"")</f>
        <v/>
      </c>
      <c r="G20" s="376" t="str">
        <f>IFERROR(IF(VLOOKUP($A20,TableHandbook[],G$2,FALSE)=0,"",VLOOKUP($A20,TableHandbook[],G$2,FALSE)),"")</f>
        <v/>
      </c>
      <c r="H20" s="379" t="str">
        <f>IFERROR(VLOOKUP($A20,TableHandbook[],H$2,FALSE),"")</f>
        <v/>
      </c>
      <c r="I20" s="376" t="str">
        <f>IFERROR(VLOOKUP($A20,TableHandbook[],I$2,FALSE),"")</f>
        <v/>
      </c>
      <c r="J20" s="376" t="str">
        <f>IFERROR(VLOOKUP($A20,TableHandbook[],J$2,FALSE),"")</f>
        <v/>
      </c>
      <c r="K20" s="376" t="str">
        <f>IFERROR(VLOOKUP($A20,TableHandbook[],K$2,FALSE),"")</f>
        <v/>
      </c>
      <c r="L20" s="376" t="str">
        <f>IFERROR(VLOOKUP($A20,TableHandbook[],L$2,FALSE),"")</f>
        <v/>
      </c>
      <c r="M20" s="380" t="str">
        <f>IFERROR(VLOOKUP($A20,TableHandbook[],M$2,FALSE),"")</f>
        <v/>
      </c>
      <c r="N20" s="87"/>
      <c r="O20" s="381">
        <v>11</v>
      </c>
      <c r="P20" s="382"/>
      <c r="Q20" s="382"/>
      <c r="R20" s="383"/>
      <c r="S20" s="383"/>
      <c r="T20" s="383"/>
      <c r="U20" s="383"/>
      <c r="V20" s="383"/>
      <c r="W20" s="383"/>
      <c r="X20" s="49"/>
      <c r="Y20" s="49"/>
    </row>
    <row r="21" spans="1:25" s="50" customFormat="1" ht="24" customHeight="1" x14ac:dyDescent="0.15">
      <c r="A21" s="375" t="str">
        <f>IFERROR(IF(HLOOKUP($N$4,RangeUnitsets,O21,FALSE)=0,"",HLOOKUP($N$4,RangeUnitsets,O21,FALSE)),"")</f>
        <v/>
      </c>
      <c r="B21" s="393" t="str">
        <f>IFERROR(IF(VLOOKUP($A21,TableHandbook[],B$2,FALSE)=0,"",VLOOKUP($A21,TableHandbook[],B$2,FALSE)),"")</f>
        <v/>
      </c>
      <c r="C21" s="393" t="str">
        <f>IFERROR(IF(VLOOKUP($A21,TableHandbook[],C$2,FALSE)=0,"",VLOOKUP($A21,TableHandbook[],C$2,FALSE)),"")</f>
        <v/>
      </c>
      <c r="D21" s="398" t="str">
        <f>IFERROR(IF(VLOOKUP($A21,TableHandbook[],D$2,FALSE)=0,"",VLOOKUP($A21,TableHandbook[],D$2,FALSE)),"")</f>
        <v/>
      </c>
      <c r="E21" s="393" t="str">
        <f>IF(A21="","",E20)</f>
        <v/>
      </c>
      <c r="F21" s="378" t="str">
        <f>IFERROR(IF(VLOOKUP($A21,TableHandbook[],F$2,FALSE)=0,"",VLOOKUP($A21,TableHandbook[],F$2,FALSE)),"")</f>
        <v/>
      </c>
      <c r="G21" s="376" t="str">
        <f>IFERROR(IF(VLOOKUP($A21,TableHandbook[],G$2,FALSE)=0,"",VLOOKUP($A21,TableHandbook[],G$2,FALSE)),"")</f>
        <v/>
      </c>
      <c r="H21" s="379" t="str">
        <f>IFERROR(VLOOKUP($A21,TableHandbook[],H$2,FALSE),"")</f>
        <v/>
      </c>
      <c r="I21" s="376" t="str">
        <f>IFERROR(VLOOKUP($A21,TableHandbook[],I$2,FALSE),"")</f>
        <v/>
      </c>
      <c r="J21" s="376" t="str">
        <f>IFERROR(VLOOKUP($A21,TableHandbook[],J$2,FALSE),"")</f>
        <v/>
      </c>
      <c r="K21" s="376" t="str">
        <f>IFERROR(VLOOKUP($A21,TableHandbook[],K$2,FALSE),"")</f>
        <v/>
      </c>
      <c r="L21" s="376" t="str">
        <f>IFERROR(VLOOKUP($A21,TableHandbook[],L$2,FALSE),"")</f>
        <v/>
      </c>
      <c r="M21" s="380" t="str">
        <f>IFERROR(VLOOKUP($A21,TableHandbook[],M$2,FALSE),"")</f>
        <v/>
      </c>
      <c r="N21" s="87"/>
      <c r="O21" s="381">
        <v>12</v>
      </c>
      <c r="P21" s="382"/>
      <c r="Q21" s="382"/>
      <c r="R21" s="383"/>
      <c r="S21" s="383"/>
      <c r="T21" s="383"/>
      <c r="U21" s="383"/>
      <c r="V21" s="383"/>
      <c r="W21" s="383"/>
      <c r="X21" s="49"/>
      <c r="Y21" s="49"/>
    </row>
    <row r="22" spans="1:25" s="50" customFormat="1" ht="24" customHeight="1" x14ac:dyDescent="0.15">
      <c r="A22" s="375" t="str">
        <f>IFERROR(IF(HLOOKUP($N$4,RangeUnitsets,O22,FALSE)=0,"",HLOOKUP($N$4,RangeUnitsets,O22,FALSE)),"")</f>
        <v/>
      </c>
      <c r="B22" s="393" t="str">
        <f>IFERROR(IF(VLOOKUP($A22,TableHandbook[],B$2,FALSE)=0,"",VLOOKUP($A22,TableHandbook[],B$2,FALSE)),"")</f>
        <v/>
      </c>
      <c r="C22" s="393" t="str">
        <f>IFERROR(IF(VLOOKUP($A22,TableHandbook[],C$2,FALSE)=0,"",VLOOKUP($A22,TableHandbook[],C$2,FALSE)),"")</f>
        <v/>
      </c>
      <c r="D22" s="398" t="str">
        <f>IFERROR(IF(VLOOKUP($A22,TableHandbook[],D$2,FALSE)=0,"",VLOOKUP($A22,TableHandbook[],D$2,FALSE)),"")</f>
        <v/>
      </c>
      <c r="E22" s="393" t="str">
        <f>IF(A22="","",E21)</f>
        <v/>
      </c>
      <c r="F22" s="378" t="str">
        <f>IFERROR(IF(VLOOKUP($A22,TableHandbook[],F$2,FALSE)=0,"",VLOOKUP($A22,TableHandbook[],F$2,FALSE)),"")</f>
        <v/>
      </c>
      <c r="G22" s="376" t="str">
        <f>IFERROR(IF(VLOOKUP($A22,TableHandbook[],G$2,FALSE)=0,"",VLOOKUP($A22,TableHandbook[],G$2,FALSE)),"")</f>
        <v/>
      </c>
      <c r="H22" s="379" t="str">
        <f>IFERROR(VLOOKUP($A22,TableHandbook[],H$2,FALSE),"")</f>
        <v/>
      </c>
      <c r="I22" s="376" t="str">
        <f>IFERROR(VLOOKUP($A22,TableHandbook[],I$2,FALSE),"")</f>
        <v/>
      </c>
      <c r="J22" s="376" t="str">
        <f>IFERROR(VLOOKUP($A22,TableHandbook[],J$2,FALSE),"")</f>
        <v/>
      </c>
      <c r="K22" s="376" t="str">
        <f>IFERROR(VLOOKUP($A22,TableHandbook[],K$2,FALSE),"")</f>
        <v/>
      </c>
      <c r="L22" s="376" t="str">
        <f>IFERROR(VLOOKUP($A22,TableHandbook[],L$2,FALSE),"")</f>
        <v/>
      </c>
      <c r="M22" s="380" t="str">
        <f>IFERROR(VLOOKUP($A22,TableHandbook[],M$2,FALSE),"")</f>
        <v/>
      </c>
      <c r="N22" s="87"/>
      <c r="O22" s="381">
        <v>13</v>
      </c>
      <c r="P22" s="382"/>
      <c r="Q22" s="382"/>
      <c r="R22" s="383"/>
      <c r="S22" s="383"/>
      <c r="T22" s="383"/>
      <c r="U22" s="383"/>
      <c r="V22" s="383"/>
      <c r="W22" s="383"/>
      <c r="X22" s="49"/>
      <c r="Y22" s="49"/>
    </row>
    <row r="23" spans="1:25" s="50" customFormat="1" ht="5.0999999999999996" customHeight="1" x14ac:dyDescent="0.15">
      <c r="A23" s="386"/>
      <c r="B23" s="387"/>
      <c r="C23" s="387"/>
      <c r="D23" s="388"/>
      <c r="E23" s="387"/>
      <c r="F23" s="389"/>
      <c r="G23" s="387"/>
      <c r="H23" s="390"/>
      <c r="I23" s="387"/>
      <c r="J23" s="387"/>
      <c r="K23" s="387"/>
      <c r="L23" s="387"/>
      <c r="M23" s="391"/>
      <c r="N23" s="391"/>
      <c r="O23" s="392"/>
      <c r="P23" s="382"/>
      <c r="Q23" s="382"/>
      <c r="R23" s="382"/>
      <c r="S23" s="383"/>
      <c r="T23" s="383"/>
      <c r="U23" s="383"/>
      <c r="V23" s="383"/>
      <c r="W23" s="383"/>
      <c r="X23" s="49"/>
      <c r="Y23" s="49"/>
    </row>
    <row r="24" spans="1:25" s="50" customFormat="1" ht="24" customHeight="1" x14ac:dyDescent="0.15">
      <c r="A24" s="375" t="str">
        <f>IFERROR(IF(HLOOKUP($N$4,RangeUnitsets,O24,FALSE)=0,"",HLOOKUP($N$4,RangeUnitsets,O24,FALSE)),"")</f>
        <v/>
      </c>
      <c r="B24" s="393" t="str">
        <f>IFERROR(IF(VLOOKUP($A24,TableHandbook[],B$2,FALSE)=0,"",VLOOKUP($A24,TableHandbook[],B$2,FALSE)),"")</f>
        <v/>
      </c>
      <c r="C24" s="393" t="str">
        <f>IFERROR(IF(VLOOKUP($A24,TableHandbook[],C$2,FALSE)=0,"",VLOOKUP($A24,TableHandbook[],C$2,FALSE)),"")</f>
        <v/>
      </c>
      <c r="D24" s="398" t="str">
        <f>IFERROR(IF(VLOOKUP($A24,TableHandbook[],D$2,FALSE)=0,"",VLOOKUP($A24,TableHandbook[],D$2,FALSE)),"")</f>
        <v/>
      </c>
      <c r="E24" s="393" t="str">
        <f>IF(OR(A24="",A24="--"),"",VLOOKUP($D$6,TableStudyPeriods[],3,FALSE))</f>
        <v/>
      </c>
      <c r="F24" s="378" t="str">
        <f>IFERROR(IF(VLOOKUP($A24,TableHandbook[],F$2,FALSE)=0,"",VLOOKUP($A24,TableHandbook[],F$2,FALSE)),"")</f>
        <v/>
      </c>
      <c r="G24" s="376" t="str">
        <f>IFERROR(IF(VLOOKUP($A24,TableHandbook[],G$2,FALSE)=0,"",VLOOKUP($A24,TableHandbook[],G$2,FALSE)),"")</f>
        <v/>
      </c>
      <c r="H24" s="379" t="str">
        <f>IFERROR(VLOOKUP($A24,TableHandbook[],H$2,FALSE),"")</f>
        <v/>
      </c>
      <c r="I24" s="376" t="str">
        <f>IFERROR(VLOOKUP($A24,TableHandbook[],I$2,FALSE),"")</f>
        <v/>
      </c>
      <c r="J24" s="376" t="str">
        <f>IFERROR(VLOOKUP($A24,TableHandbook[],J$2,FALSE),"")</f>
        <v/>
      </c>
      <c r="K24" s="376" t="str">
        <f>IFERROR(VLOOKUP($A24,TableHandbook[],K$2,FALSE),"")</f>
        <v/>
      </c>
      <c r="L24" s="376" t="str">
        <f>IFERROR(VLOOKUP($A24,TableHandbook[],L$2,FALSE),"")</f>
        <v/>
      </c>
      <c r="M24" s="380" t="str">
        <f>IFERROR(VLOOKUP($A24,TableHandbook[],M$2,FALSE),"")</f>
        <v/>
      </c>
      <c r="N24" s="87"/>
      <c r="O24" s="381">
        <v>14</v>
      </c>
      <c r="P24" s="382"/>
      <c r="Q24" s="382"/>
      <c r="R24" s="383"/>
      <c r="S24" s="383"/>
      <c r="T24" s="383"/>
      <c r="U24" s="383"/>
      <c r="V24" s="383"/>
      <c r="W24" s="383"/>
      <c r="X24" s="49"/>
      <c r="Y24" s="49"/>
    </row>
    <row r="25" spans="1:25" s="50" customFormat="1" ht="24" customHeight="1" x14ac:dyDescent="0.15">
      <c r="A25" s="375" t="str">
        <f>IFERROR(IF(HLOOKUP($N$4,RangeUnitsets,O25,FALSE)=0,"",HLOOKUP($N$4,RangeUnitsets,O25,FALSE)),"")</f>
        <v/>
      </c>
      <c r="B25" s="393" t="str">
        <f>IFERROR(IF(VLOOKUP($A25,TableHandbook[],B$2,FALSE)=0,"",VLOOKUP($A25,TableHandbook[],B$2,FALSE)),"")</f>
        <v/>
      </c>
      <c r="C25" s="393" t="str">
        <f>IFERROR(IF(VLOOKUP($A25,TableHandbook[],C$2,FALSE)=0,"",VLOOKUP($A25,TableHandbook[],C$2,FALSE)),"")</f>
        <v/>
      </c>
      <c r="D25" s="398" t="str">
        <f>IFERROR(IF(VLOOKUP($A25,TableHandbook[],D$2,FALSE)=0,"",VLOOKUP($A25,TableHandbook[],D$2,FALSE)),"")</f>
        <v/>
      </c>
      <c r="E25" s="393" t="str">
        <f>IF(A25="","",E24)</f>
        <v/>
      </c>
      <c r="F25" s="378" t="str">
        <f>IFERROR(IF(VLOOKUP($A25,TableHandbook[],F$2,FALSE)=0,"",VLOOKUP($A25,TableHandbook[],F$2,FALSE)),"")</f>
        <v/>
      </c>
      <c r="G25" s="376" t="str">
        <f>IFERROR(IF(VLOOKUP($A25,TableHandbook[],G$2,FALSE)=0,"",VLOOKUP($A25,TableHandbook[],G$2,FALSE)),"")</f>
        <v/>
      </c>
      <c r="H25" s="379" t="str">
        <f>IFERROR(VLOOKUP($A25,TableHandbook[],H$2,FALSE),"")</f>
        <v/>
      </c>
      <c r="I25" s="376" t="str">
        <f>IFERROR(VLOOKUP($A25,TableHandbook[],I$2,FALSE),"")</f>
        <v/>
      </c>
      <c r="J25" s="376" t="str">
        <f>IFERROR(VLOOKUP($A25,TableHandbook[],J$2,FALSE),"")</f>
        <v/>
      </c>
      <c r="K25" s="376" t="str">
        <f>IFERROR(VLOOKUP($A25,TableHandbook[],K$2,FALSE),"")</f>
        <v/>
      </c>
      <c r="L25" s="376" t="str">
        <f>IFERROR(VLOOKUP($A25,TableHandbook[],L$2,FALSE),"")</f>
        <v/>
      </c>
      <c r="M25" s="380" t="str">
        <f>IFERROR(VLOOKUP($A25,TableHandbook[],M$2,FALSE),"")</f>
        <v/>
      </c>
      <c r="N25" s="87"/>
      <c r="O25" s="381">
        <v>15</v>
      </c>
      <c r="P25" s="382"/>
      <c r="Q25" s="382"/>
      <c r="R25" s="383"/>
      <c r="S25" s="383"/>
      <c r="T25" s="383"/>
      <c r="U25" s="383"/>
      <c r="V25" s="383"/>
      <c r="W25" s="383"/>
      <c r="X25" s="49"/>
      <c r="Y25" s="49"/>
    </row>
    <row r="26" spans="1:25" s="54" customFormat="1" ht="24" customHeight="1" x14ac:dyDescent="0.15">
      <c r="A26" s="375" t="str">
        <f>IFERROR(IF(HLOOKUP($N$4,RangeUnitsets,O26,FALSE)=0,"",HLOOKUP($N$4,RangeUnitsets,O26,FALSE)),"")</f>
        <v/>
      </c>
      <c r="B26" s="393" t="str">
        <f>IFERROR(IF(VLOOKUP($A26,TableHandbook[],B$2,FALSE)=0,"",VLOOKUP($A26,TableHandbook[],B$2,FALSE)),"")</f>
        <v/>
      </c>
      <c r="C26" s="393" t="str">
        <f>IFERROR(IF(VLOOKUP($A26,TableHandbook[],C$2,FALSE)=0,"",VLOOKUP($A26,TableHandbook[],C$2,FALSE)),"")</f>
        <v/>
      </c>
      <c r="D26" s="398" t="str">
        <f>IFERROR(IF(VLOOKUP($A26,TableHandbook[],D$2,FALSE)=0,"",VLOOKUP($A26,TableHandbook[],D$2,FALSE)),"")</f>
        <v/>
      </c>
      <c r="E26" s="393" t="str">
        <f>IF(A26="","",E25)</f>
        <v/>
      </c>
      <c r="F26" s="378" t="str">
        <f>IFERROR(IF(VLOOKUP($A26,TableHandbook[],F$2,FALSE)=0,"",VLOOKUP($A26,TableHandbook[],F$2,FALSE)),"")</f>
        <v/>
      </c>
      <c r="G26" s="376" t="str">
        <f>IFERROR(IF(VLOOKUP($A26,TableHandbook[],G$2,FALSE)=0,"",VLOOKUP($A26,TableHandbook[],G$2,FALSE)),"")</f>
        <v/>
      </c>
      <c r="H26" s="379" t="str">
        <f>IFERROR(VLOOKUP($A26,TableHandbook[],H$2,FALSE),"")</f>
        <v/>
      </c>
      <c r="I26" s="376" t="str">
        <f>IFERROR(VLOOKUP($A26,TableHandbook[],I$2,FALSE),"")</f>
        <v/>
      </c>
      <c r="J26" s="376" t="str">
        <f>IFERROR(VLOOKUP($A26,TableHandbook[],J$2,FALSE),"")</f>
        <v/>
      </c>
      <c r="K26" s="376" t="str">
        <f>IFERROR(VLOOKUP($A26,TableHandbook[],K$2,FALSE),"")</f>
        <v/>
      </c>
      <c r="L26" s="376" t="str">
        <f>IFERROR(VLOOKUP($A26,TableHandbook[],L$2,FALSE),"")</f>
        <v/>
      </c>
      <c r="M26" s="380" t="str">
        <f>IFERROR(VLOOKUP($A26,TableHandbook[],M$2,FALSE),"")</f>
        <v/>
      </c>
      <c r="N26" s="87"/>
      <c r="O26" s="381">
        <v>16</v>
      </c>
      <c r="P26" s="396"/>
      <c r="Q26" s="396"/>
      <c r="R26" s="397"/>
      <c r="S26" s="397"/>
      <c r="T26" s="397"/>
      <c r="U26" s="397"/>
      <c r="V26" s="397"/>
      <c r="W26" s="397"/>
      <c r="X26" s="53"/>
      <c r="Y26" s="53"/>
    </row>
    <row r="27" spans="1:25" s="54" customFormat="1" ht="24" customHeight="1" x14ac:dyDescent="0.15">
      <c r="A27" s="375" t="str">
        <f>IFERROR(IF(HLOOKUP($N$4,RangeUnitsets,O27,FALSE)=0,"",HLOOKUP($N$4,RangeUnitsets,O27,FALSE)),"")</f>
        <v/>
      </c>
      <c r="B27" s="393" t="str">
        <f>IFERROR(IF(VLOOKUP($A27,TableHandbook[],B$2,FALSE)=0,"",VLOOKUP($A27,TableHandbook[],B$2,FALSE)),"")</f>
        <v/>
      </c>
      <c r="C27" s="393" t="str">
        <f>IFERROR(IF(VLOOKUP($A27,TableHandbook[],C$2,FALSE)=0,"",VLOOKUP($A27,TableHandbook[],C$2,FALSE)),"")</f>
        <v/>
      </c>
      <c r="D27" s="398" t="str">
        <f>IFERROR(IF(VLOOKUP($A27,TableHandbook[],D$2,FALSE)=0,"",VLOOKUP($A27,TableHandbook[],D$2,FALSE)),"")</f>
        <v/>
      </c>
      <c r="E27" s="376" t="str">
        <f>IF(A27="","",E26)</f>
        <v/>
      </c>
      <c r="F27" s="378" t="str">
        <f>IFERROR(IF(VLOOKUP($A27,TableHandbook[],F$2,FALSE)=0,"",VLOOKUP($A27,TableHandbook[],F$2,FALSE)),"")</f>
        <v/>
      </c>
      <c r="G27" s="376" t="str">
        <f>IFERROR(IF(VLOOKUP($A27,TableHandbook[],G$2,FALSE)=0,"",VLOOKUP($A27,TableHandbook[],G$2,FALSE)),"")</f>
        <v/>
      </c>
      <c r="H27" s="379" t="str">
        <f>IFERROR(VLOOKUP($A27,TableHandbook[],H$2,FALSE),"")</f>
        <v/>
      </c>
      <c r="I27" s="376" t="str">
        <f>IFERROR(VLOOKUP($A27,TableHandbook[],I$2,FALSE),"")</f>
        <v/>
      </c>
      <c r="J27" s="376" t="str">
        <f>IFERROR(VLOOKUP($A27,TableHandbook[],J$2,FALSE),"")</f>
        <v/>
      </c>
      <c r="K27" s="376" t="str">
        <f>IFERROR(VLOOKUP($A27,TableHandbook[],K$2,FALSE),"")</f>
        <v/>
      </c>
      <c r="L27" s="376" t="str">
        <f>IFERROR(VLOOKUP($A27,TableHandbook[],L$2,FALSE),"")</f>
        <v/>
      </c>
      <c r="M27" s="380" t="str">
        <f>IFERROR(VLOOKUP($A27,TableHandbook[],M$2,FALSE),"")</f>
        <v/>
      </c>
      <c r="N27" s="87"/>
      <c r="O27" s="381">
        <v>17</v>
      </c>
      <c r="P27" s="396"/>
      <c r="Q27" s="396"/>
      <c r="R27" s="397"/>
      <c r="S27" s="397"/>
      <c r="T27" s="397"/>
      <c r="U27" s="397"/>
      <c r="V27" s="397"/>
      <c r="W27" s="397"/>
      <c r="X27" s="53"/>
      <c r="Y27" s="53"/>
    </row>
    <row r="28" spans="1:25" s="47" customFormat="1" ht="21" x14ac:dyDescent="0.25">
      <c r="A28" s="364" t="s">
        <v>27</v>
      </c>
      <c r="B28" s="364"/>
      <c r="C28" s="364"/>
      <c r="D28" s="399" t="s">
        <v>3</v>
      </c>
      <c r="E28" s="372" t="s">
        <v>17</v>
      </c>
      <c r="F28" s="364" t="s">
        <v>18</v>
      </c>
      <c r="G28" s="364" t="s">
        <v>19</v>
      </c>
      <c r="H28" s="373" t="s">
        <v>921</v>
      </c>
      <c r="I28" s="372" t="s">
        <v>20</v>
      </c>
      <c r="J28" s="372" t="s">
        <v>21</v>
      </c>
      <c r="K28" s="372" t="s">
        <v>22</v>
      </c>
      <c r="L28" s="372" t="s">
        <v>23</v>
      </c>
      <c r="M28" s="374" t="s">
        <v>24</v>
      </c>
      <c r="N28" s="364" t="s">
        <v>25</v>
      </c>
      <c r="O28" s="370"/>
      <c r="P28" s="370"/>
      <c r="Q28" s="370"/>
      <c r="R28" s="371"/>
      <c r="S28" s="371"/>
      <c r="T28" s="371"/>
      <c r="U28" s="371"/>
      <c r="V28" s="371"/>
      <c r="W28" s="371"/>
      <c r="X28" s="46"/>
      <c r="Y28" s="46"/>
    </row>
    <row r="29" spans="1:25" s="50" customFormat="1" ht="24" customHeight="1" x14ac:dyDescent="0.15">
      <c r="A29" s="375" t="str">
        <f>IFERROR(IF(HLOOKUP($N$4,RangeUnitsets,O29,FALSE)=0,"",HLOOKUP($N$4,RangeUnitsets,O29,FALSE)),"")</f>
        <v/>
      </c>
      <c r="B29" s="393" t="str">
        <f>IFERROR(IF(VLOOKUP($A29,TableHandbook[],B$2,FALSE)=0,"",VLOOKUP($A29,TableHandbook[],B$2,FALSE)),"")</f>
        <v/>
      </c>
      <c r="C29" s="393" t="str">
        <f>IFERROR(IF(VLOOKUP($A29,TableHandbook[],C$2,FALSE)=0,"",VLOOKUP($A29,TableHandbook[],C$2,FALSE)),"")</f>
        <v/>
      </c>
      <c r="D29" s="400" t="str">
        <f>IFERROR(IF(VLOOKUP($A29,TableHandbook[],D$2,FALSE)=0,"",VLOOKUP($A29,TableHandbook[],D$2,FALSE)),"")</f>
        <v/>
      </c>
      <c r="E29" s="393" t="str">
        <f>IF(OR(A29="",A29="--"),"",VLOOKUP($D$6,TableStudyPeriods[],2,FALSE))</f>
        <v/>
      </c>
      <c r="F29" s="378" t="str">
        <f>IFERROR(IF(VLOOKUP($A29,TableHandbook[],F$2,FALSE)=0,"",VLOOKUP($A29,TableHandbook[],F$2,FALSE)),"")</f>
        <v/>
      </c>
      <c r="G29" s="376" t="str">
        <f>IFERROR(IF(VLOOKUP($A29,TableHandbook[],G$2,FALSE)=0,"",VLOOKUP($A29,TableHandbook[],G$2,FALSE)),"")</f>
        <v/>
      </c>
      <c r="H29" s="379" t="str">
        <f>IFERROR(VLOOKUP($A29,TableHandbook[],H$2,FALSE),"")</f>
        <v/>
      </c>
      <c r="I29" s="376" t="str">
        <f>IFERROR(VLOOKUP($A29,TableHandbook[],I$2,FALSE),"")</f>
        <v/>
      </c>
      <c r="J29" s="376" t="str">
        <f>IFERROR(VLOOKUP($A29,TableHandbook[],J$2,FALSE),"")</f>
        <v/>
      </c>
      <c r="K29" s="376" t="str">
        <f>IFERROR(VLOOKUP($A29,TableHandbook[],K$2,FALSE),"")</f>
        <v/>
      </c>
      <c r="L29" s="376" t="str">
        <f>IFERROR(VLOOKUP($A29,TableHandbook[],L$2,FALSE),"")</f>
        <v/>
      </c>
      <c r="M29" s="380" t="str">
        <f>IFERROR(VLOOKUP($A29,TableHandbook[],M$2,FALSE),"")</f>
        <v/>
      </c>
      <c r="N29" s="87"/>
      <c r="O29" s="381">
        <v>18</v>
      </c>
      <c r="P29" s="382"/>
      <c r="Q29" s="382"/>
      <c r="R29" s="383"/>
      <c r="S29" s="383"/>
      <c r="T29" s="383"/>
      <c r="U29" s="383"/>
      <c r="V29" s="383"/>
      <c r="W29" s="383"/>
      <c r="X29" s="49"/>
      <c r="Y29" s="49"/>
    </row>
    <row r="30" spans="1:25" s="50" customFormat="1" ht="24" customHeight="1" x14ac:dyDescent="0.15">
      <c r="A30" s="375" t="str">
        <f>IFERROR(IF(HLOOKUP($N$4,RangeUnitsets,O30,FALSE)=0,"",HLOOKUP($N$4,RangeUnitsets,O30,FALSE)),"")</f>
        <v/>
      </c>
      <c r="B30" s="393" t="str">
        <f>IFERROR(IF(VLOOKUP($A30,TableHandbook[],B$2,FALSE)=0,"",VLOOKUP($A30,TableHandbook[],B$2,FALSE)),"")</f>
        <v/>
      </c>
      <c r="C30" s="393" t="str">
        <f>IFERROR(IF(VLOOKUP($A30,TableHandbook[],C$2,FALSE)=0,"",VLOOKUP($A30,TableHandbook[],C$2,FALSE)),"")</f>
        <v/>
      </c>
      <c r="D30" s="398" t="str">
        <f>IFERROR(IF(VLOOKUP($A30,TableHandbook[],D$2,FALSE)=0,"",VLOOKUP($A30,TableHandbook[],D$2,FALSE)),"")</f>
        <v/>
      </c>
      <c r="E30" s="393" t="str">
        <f>IF(A30="","",E29)</f>
        <v/>
      </c>
      <c r="F30" s="378" t="str">
        <f>IFERROR(IF(VLOOKUP($A30,TableHandbook[],F$2,FALSE)=0,"",VLOOKUP($A30,TableHandbook[],F$2,FALSE)),"")</f>
        <v/>
      </c>
      <c r="G30" s="376" t="str">
        <f>IFERROR(IF(VLOOKUP($A30,TableHandbook[],G$2,FALSE)=0,"",VLOOKUP($A30,TableHandbook[],G$2,FALSE)),"")</f>
        <v/>
      </c>
      <c r="H30" s="379" t="str">
        <f>IFERROR(VLOOKUP($A30,TableHandbook[],H$2,FALSE),"")</f>
        <v/>
      </c>
      <c r="I30" s="376" t="str">
        <f>IFERROR(VLOOKUP($A30,TableHandbook[],I$2,FALSE),"")</f>
        <v/>
      </c>
      <c r="J30" s="376" t="str">
        <f>IFERROR(VLOOKUP($A30,TableHandbook[],J$2,FALSE),"")</f>
        <v/>
      </c>
      <c r="K30" s="376" t="str">
        <f>IFERROR(VLOOKUP($A30,TableHandbook[],K$2,FALSE),"")</f>
        <v/>
      </c>
      <c r="L30" s="376" t="str">
        <f>IFERROR(VLOOKUP($A30,TableHandbook[],L$2,FALSE),"")</f>
        <v/>
      </c>
      <c r="M30" s="380" t="str">
        <f>IFERROR(VLOOKUP($A30,TableHandbook[],M$2,FALSE),"")</f>
        <v/>
      </c>
      <c r="N30" s="87"/>
      <c r="O30" s="381">
        <v>19</v>
      </c>
      <c r="P30" s="382"/>
      <c r="Q30" s="382"/>
      <c r="R30" s="383"/>
      <c r="S30" s="383"/>
      <c r="T30" s="383"/>
      <c r="U30" s="383"/>
      <c r="V30" s="383"/>
      <c r="W30" s="383"/>
      <c r="X30" s="49"/>
      <c r="Y30" s="49"/>
    </row>
    <row r="31" spans="1:25" s="50" customFormat="1" ht="24" customHeight="1" x14ac:dyDescent="0.15">
      <c r="A31" s="375" t="str">
        <f>IFERROR(IF(HLOOKUP($N$4,RangeUnitsets,O31,FALSE)=0,"",HLOOKUP($N$4,RangeUnitsets,O31,FALSE)),"")</f>
        <v/>
      </c>
      <c r="B31" s="393" t="str">
        <f>IFERROR(IF(VLOOKUP($A31,TableHandbook[],B$2,FALSE)=0,"",VLOOKUP($A31,TableHandbook[],B$2,FALSE)),"")</f>
        <v/>
      </c>
      <c r="C31" s="393" t="str">
        <f>IFERROR(IF(VLOOKUP($A31,TableHandbook[],C$2,FALSE)=0,"",VLOOKUP($A31,TableHandbook[],C$2,FALSE)),"")</f>
        <v/>
      </c>
      <c r="D31" s="398" t="str">
        <f>IFERROR(IF(VLOOKUP($A31,TableHandbook[],D$2,FALSE)=0,"",VLOOKUP($A31,TableHandbook[],D$2,FALSE)),"")</f>
        <v/>
      </c>
      <c r="E31" s="393" t="str">
        <f>IF(A31="","",E30)</f>
        <v/>
      </c>
      <c r="F31" s="378" t="str">
        <f>IFERROR(IF(VLOOKUP($A31,TableHandbook[],F$2,FALSE)=0,"",VLOOKUP($A31,TableHandbook[],F$2,FALSE)),"")</f>
        <v/>
      </c>
      <c r="G31" s="376" t="str">
        <f>IFERROR(IF(VLOOKUP($A31,TableHandbook[],G$2,FALSE)=0,"",VLOOKUP($A31,TableHandbook[],G$2,FALSE)),"")</f>
        <v/>
      </c>
      <c r="H31" s="379" t="str">
        <f>IFERROR(VLOOKUP($A31,TableHandbook[],H$2,FALSE),"")</f>
        <v/>
      </c>
      <c r="I31" s="376" t="str">
        <f>IFERROR(VLOOKUP($A31,TableHandbook[],I$2,FALSE),"")</f>
        <v/>
      </c>
      <c r="J31" s="376" t="str">
        <f>IFERROR(VLOOKUP($A31,TableHandbook[],J$2,FALSE),"")</f>
        <v/>
      </c>
      <c r="K31" s="376" t="str">
        <f>IFERROR(VLOOKUP($A31,TableHandbook[],K$2,FALSE),"")</f>
        <v/>
      </c>
      <c r="L31" s="376" t="str">
        <f>IFERROR(VLOOKUP($A31,TableHandbook[],L$2,FALSE),"")</f>
        <v/>
      </c>
      <c r="M31" s="380" t="str">
        <f>IFERROR(VLOOKUP($A31,TableHandbook[],M$2,FALSE),"")</f>
        <v/>
      </c>
      <c r="N31" s="87"/>
      <c r="O31" s="381">
        <v>20</v>
      </c>
      <c r="P31" s="382"/>
      <c r="Q31" s="382"/>
      <c r="R31" s="383"/>
      <c r="S31" s="383"/>
      <c r="T31" s="383"/>
      <c r="U31" s="383"/>
      <c r="V31" s="383"/>
      <c r="W31" s="383"/>
      <c r="X31" s="49"/>
      <c r="Y31" s="49"/>
    </row>
    <row r="32" spans="1:25" s="50" customFormat="1" ht="24" customHeight="1" x14ac:dyDescent="0.15">
      <c r="A32" s="375" t="str">
        <f>IFERROR(IF(HLOOKUP($N$4,RangeUnitsets,O32,FALSE)=0,"",HLOOKUP($N$4,RangeUnitsets,O32,FALSE)),"")</f>
        <v/>
      </c>
      <c r="B32" s="393" t="str">
        <f>IFERROR(IF(VLOOKUP($A32,TableHandbook[],B$2,FALSE)=0,"",VLOOKUP($A32,TableHandbook[],B$2,FALSE)),"")</f>
        <v/>
      </c>
      <c r="C32" s="393" t="str">
        <f>IFERROR(IF(VLOOKUP($A32,TableHandbook[],C$2,FALSE)=0,"",VLOOKUP($A32,TableHandbook[],C$2,FALSE)),"")</f>
        <v/>
      </c>
      <c r="D32" s="398" t="str">
        <f>IFERROR(IF(VLOOKUP($A32,TableHandbook[],D$2,FALSE)=0,"",VLOOKUP($A32,TableHandbook[],D$2,FALSE)),"")</f>
        <v/>
      </c>
      <c r="E32" s="393" t="str">
        <f>IF(A32="","",E31)</f>
        <v/>
      </c>
      <c r="F32" s="378" t="str">
        <f>IFERROR(IF(VLOOKUP($A32,TableHandbook[],F$2,FALSE)=0,"",VLOOKUP($A32,TableHandbook[],F$2,FALSE)),"")</f>
        <v/>
      </c>
      <c r="G32" s="376" t="str">
        <f>IFERROR(IF(VLOOKUP($A32,TableHandbook[],G$2,FALSE)=0,"",VLOOKUP($A32,TableHandbook[],G$2,FALSE)),"")</f>
        <v/>
      </c>
      <c r="H32" s="379" t="str">
        <f>IFERROR(VLOOKUP($A32,TableHandbook[],H$2,FALSE),"")</f>
        <v/>
      </c>
      <c r="I32" s="376" t="str">
        <f>IFERROR(VLOOKUP($A32,TableHandbook[],I$2,FALSE),"")</f>
        <v/>
      </c>
      <c r="J32" s="376" t="str">
        <f>IFERROR(VLOOKUP($A32,TableHandbook[],J$2,FALSE),"")</f>
        <v/>
      </c>
      <c r="K32" s="376" t="str">
        <f>IFERROR(VLOOKUP($A32,TableHandbook[],K$2,FALSE),"")</f>
        <v/>
      </c>
      <c r="L32" s="376" t="str">
        <f>IFERROR(VLOOKUP($A32,TableHandbook[],L$2,FALSE),"")</f>
        <v/>
      </c>
      <c r="M32" s="380" t="str">
        <f>IFERROR(VLOOKUP($A32,TableHandbook[],M$2,FALSE),"")</f>
        <v/>
      </c>
      <c r="N32" s="87"/>
      <c r="O32" s="381">
        <v>21</v>
      </c>
      <c r="P32" s="382"/>
      <c r="Q32" s="382"/>
      <c r="R32" s="383"/>
      <c r="S32" s="383"/>
      <c r="T32" s="383"/>
      <c r="U32" s="383"/>
      <c r="V32" s="383"/>
      <c r="W32" s="383"/>
      <c r="X32" s="49"/>
      <c r="Y32" s="49"/>
    </row>
    <row r="33" spans="1:25" s="50" customFormat="1" ht="5.0999999999999996" customHeight="1" x14ac:dyDescent="0.15">
      <c r="A33" s="386"/>
      <c r="B33" s="387"/>
      <c r="C33" s="387"/>
      <c r="D33" s="388"/>
      <c r="E33" s="387"/>
      <c r="F33" s="389"/>
      <c r="G33" s="387"/>
      <c r="H33" s="390"/>
      <c r="I33" s="387"/>
      <c r="J33" s="387"/>
      <c r="K33" s="387"/>
      <c r="L33" s="387"/>
      <c r="M33" s="391"/>
      <c r="N33" s="391"/>
      <c r="O33" s="392"/>
      <c r="P33" s="382"/>
      <c r="Q33" s="382"/>
      <c r="R33" s="382"/>
      <c r="S33" s="383"/>
      <c r="T33" s="383"/>
      <c r="U33" s="383"/>
      <c r="V33" s="383"/>
      <c r="W33" s="383"/>
      <c r="X33" s="49"/>
      <c r="Y33" s="49"/>
    </row>
    <row r="34" spans="1:25" s="50" customFormat="1" ht="24" customHeight="1" x14ac:dyDescent="0.15">
      <c r="A34" s="384" t="str">
        <f>IFERROR(IF(HLOOKUP($N$4,RangeUnitsets,O34,FALSE)=0,"",HLOOKUP($N$4,RangeUnitsets,O34,FALSE)),"")</f>
        <v/>
      </c>
      <c r="B34" s="393" t="str">
        <f>IFERROR(IF(VLOOKUP($A34,TableHandbook[],B$2,FALSE)=0,"",VLOOKUP($A34,TableHandbook[],B$2,FALSE)),"")</f>
        <v/>
      </c>
      <c r="C34" s="393" t="str">
        <f>IFERROR(IF(VLOOKUP($A34,TableHandbook[],C$2,FALSE)=0,"",VLOOKUP($A34,TableHandbook[],C$2,FALSE)),"")</f>
        <v/>
      </c>
      <c r="D34" s="398" t="str">
        <f>IFERROR(IF(VLOOKUP($A34,TableHandbook[],D$2,FALSE)=0,"",VLOOKUP($A34,TableHandbook[],D$2,FALSE)),"")</f>
        <v/>
      </c>
      <c r="E34" s="393" t="str">
        <f>IF(OR(A34="",A34="--"),"",VLOOKUP($D$6,TableStudyPeriods[],3,FALSE))</f>
        <v/>
      </c>
      <c r="F34" s="378" t="str">
        <f>IFERROR(IF(VLOOKUP($A34,TableHandbook[],F$2,FALSE)=0,"",VLOOKUP($A34,TableHandbook[],F$2,FALSE)),"")</f>
        <v/>
      </c>
      <c r="G34" s="376" t="str">
        <f>IFERROR(IF(VLOOKUP($A34,TableHandbook[],G$2,FALSE)=0,"",VLOOKUP($A34,TableHandbook[],G$2,FALSE)),"")</f>
        <v/>
      </c>
      <c r="H34" s="379" t="str">
        <f>IFERROR(VLOOKUP($A34,TableHandbook[],H$2,FALSE),"")</f>
        <v/>
      </c>
      <c r="I34" s="376" t="str">
        <f>IFERROR(VLOOKUP($A34,TableHandbook[],I$2,FALSE),"")</f>
        <v/>
      </c>
      <c r="J34" s="376" t="str">
        <f>IFERROR(VLOOKUP($A34,TableHandbook[],J$2,FALSE),"")</f>
        <v/>
      </c>
      <c r="K34" s="376" t="str">
        <f>IFERROR(VLOOKUP($A34,TableHandbook[],K$2,FALSE),"")</f>
        <v/>
      </c>
      <c r="L34" s="376" t="str">
        <f>IFERROR(VLOOKUP($A34,TableHandbook[],L$2,FALSE),"")</f>
        <v/>
      </c>
      <c r="M34" s="380" t="str">
        <f>IFERROR(VLOOKUP($A34,TableHandbook[],M$2,FALSE),"")</f>
        <v/>
      </c>
      <c r="N34" s="87"/>
      <c r="O34" s="381">
        <v>22</v>
      </c>
      <c r="P34" s="382"/>
      <c r="Q34" s="382"/>
      <c r="R34" s="383"/>
      <c r="S34" s="383"/>
      <c r="T34" s="383"/>
      <c r="U34" s="383"/>
      <c r="V34" s="383"/>
      <c r="W34" s="383"/>
      <c r="X34" s="49"/>
      <c r="Y34" s="49"/>
    </row>
    <row r="35" spans="1:25" s="50" customFormat="1" ht="24" customHeight="1" x14ac:dyDescent="0.15">
      <c r="A35" s="375" t="str">
        <f>IFERROR(IF(HLOOKUP($N$4,RangeUnitsets,O35,FALSE)=0,"",HLOOKUP($N$4,RangeUnitsets,O35,FALSE)),"")</f>
        <v/>
      </c>
      <c r="B35" s="393" t="str">
        <f>IFERROR(IF(VLOOKUP($A35,TableHandbook[],B$2,FALSE)=0,"",VLOOKUP($A35,TableHandbook[],B$2,FALSE)),"")</f>
        <v/>
      </c>
      <c r="C35" s="393" t="str">
        <f>IFERROR(IF(VLOOKUP($A35,TableHandbook[],C$2,FALSE)=0,"",VLOOKUP($A35,TableHandbook[],C$2,FALSE)),"")</f>
        <v/>
      </c>
      <c r="D35" s="398" t="str">
        <f>IFERROR(IF(VLOOKUP($A35,TableHandbook[],D$2,FALSE)=0,"",VLOOKUP($A35,TableHandbook[],D$2,FALSE)),"")</f>
        <v/>
      </c>
      <c r="E35" s="393" t="str">
        <f>IF(A35="","",E34)</f>
        <v/>
      </c>
      <c r="F35" s="378" t="str">
        <f>IFERROR(IF(VLOOKUP($A35,TableHandbook[],F$2,FALSE)=0,"",VLOOKUP($A35,TableHandbook[],F$2,FALSE)),"")</f>
        <v/>
      </c>
      <c r="G35" s="376" t="str">
        <f>IFERROR(IF(VLOOKUP($A35,TableHandbook[],G$2,FALSE)=0,"",VLOOKUP($A35,TableHandbook[],G$2,FALSE)),"")</f>
        <v/>
      </c>
      <c r="H35" s="379" t="str">
        <f>IFERROR(VLOOKUP($A35,TableHandbook[],H$2,FALSE),"")</f>
        <v/>
      </c>
      <c r="I35" s="376" t="str">
        <f>IFERROR(VLOOKUP($A35,TableHandbook[],I$2,FALSE),"")</f>
        <v/>
      </c>
      <c r="J35" s="376" t="str">
        <f>IFERROR(VLOOKUP($A35,TableHandbook[],J$2,FALSE),"")</f>
        <v/>
      </c>
      <c r="K35" s="376" t="str">
        <f>IFERROR(VLOOKUP($A35,TableHandbook[],K$2,FALSE),"")</f>
        <v/>
      </c>
      <c r="L35" s="376" t="str">
        <f>IFERROR(VLOOKUP($A35,TableHandbook[],L$2,FALSE),"")</f>
        <v/>
      </c>
      <c r="M35" s="380" t="str">
        <f>IFERROR(VLOOKUP($A35,TableHandbook[],M$2,FALSE),"")</f>
        <v/>
      </c>
      <c r="N35" s="87"/>
      <c r="O35" s="381">
        <v>23</v>
      </c>
      <c r="P35" s="382"/>
      <c r="Q35" s="382"/>
      <c r="R35" s="383"/>
      <c r="S35" s="383"/>
      <c r="T35" s="383"/>
      <c r="U35" s="383"/>
      <c r="V35" s="383"/>
      <c r="W35" s="383"/>
      <c r="X35" s="49"/>
      <c r="Y35" s="49"/>
    </row>
    <row r="36" spans="1:25" s="54" customFormat="1" ht="24" customHeight="1" x14ac:dyDescent="0.15">
      <c r="A36" s="375" t="str">
        <f>IFERROR(IF(HLOOKUP($N$4,RangeUnitsets,O36,FALSE)=0,"",HLOOKUP($N$4,RangeUnitsets,O36,FALSE)),"")</f>
        <v/>
      </c>
      <c r="B36" s="393" t="str">
        <f>IFERROR(IF(VLOOKUP($A36,TableHandbook[],B$2,FALSE)=0,"",VLOOKUP($A36,TableHandbook[],B$2,FALSE)),"")</f>
        <v/>
      </c>
      <c r="C36" s="393" t="str">
        <f>IFERROR(IF(VLOOKUP($A36,TableHandbook[],C$2,FALSE)=0,"",VLOOKUP($A36,TableHandbook[],C$2,FALSE)),"")</f>
        <v/>
      </c>
      <c r="D36" s="398" t="str">
        <f>IFERROR(IF(VLOOKUP($A36,TableHandbook[],D$2,FALSE)=0,"",VLOOKUP($A36,TableHandbook[],D$2,FALSE)),"")</f>
        <v/>
      </c>
      <c r="E36" s="393" t="str">
        <f>IF(A36="","",E35)</f>
        <v/>
      </c>
      <c r="F36" s="378" t="str">
        <f>IFERROR(IF(VLOOKUP($A36,TableHandbook[],F$2,FALSE)=0,"",VLOOKUP($A36,TableHandbook[],F$2,FALSE)),"")</f>
        <v/>
      </c>
      <c r="G36" s="376" t="str">
        <f>IFERROR(IF(VLOOKUP($A36,TableHandbook[],G$2,FALSE)=0,"",VLOOKUP($A36,TableHandbook[],G$2,FALSE)),"")</f>
        <v/>
      </c>
      <c r="H36" s="379" t="str">
        <f>IFERROR(VLOOKUP($A36,TableHandbook[],H$2,FALSE),"")</f>
        <v/>
      </c>
      <c r="I36" s="376" t="str">
        <f>IFERROR(VLOOKUP($A36,TableHandbook[],I$2,FALSE),"")</f>
        <v/>
      </c>
      <c r="J36" s="376" t="str">
        <f>IFERROR(VLOOKUP($A36,TableHandbook[],J$2,FALSE),"")</f>
        <v/>
      </c>
      <c r="K36" s="376" t="str">
        <f>IFERROR(VLOOKUP($A36,TableHandbook[],K$2,FALSE),"")</f>
        <v/>
      </c>
      <c r="L36" s="376" t="str">
        <f>IFERROR(VLOOKUP($A36,TableHandbook[],L$2,FALSE),"")</f>
        <v/>
      </c>
      <c r="M36" s="380" t="str">
        <f>IFERROR(VLOOKUP($A36,TableHandbook[],M$2,FALSE),"")</f>
        <v/>
      </c>
      <c r="N36" s="87"/>
      <c r="O36" s="381">
        <v>24</v>
      </c>
      <c r="P36" s="396"/>
      <c r="Q36" s="396"/>
      <c r="R36" s="397"/>
      <c r="S36" s="397"/>
      <c r="T36" s="397"/>
      <c r="U36" s="397"/>
      <c r="V36" s="397"/>
      <c r="W36" s="397"/>
      <c r="X36" s="53"/>
      <c r="Y36" s="53"/>
    </row>
    <row r="37" spans="1:25" s="54" customFormat="1" ht="24" customHeight="1" x14ac:dyDescent="0.15">
      <c r="A37" s="375" t="str">
        <f>IFERROR(IF(HLOOKUP($N$4,RangeUnitsets,O37,FALSE)=0,"",HLOOKUP($N$4,RangeUnitsets,O37,FALSE)),"")</f>
        <v/>
      </c>
      <c r="B37" s="393" t="str">
        <f>IFERROR(IF(VLOOKUP($A37,TableHandbook[],B$2,FALSE)=0,"",VLOOKUP($A37,TableHandbook[],B$2,FALSE)),"")</f>
        <v/>
      </c>
      <c r="C37" s="393" t="str">
        <f>IFERROR(IF(VLOOKUP($A37,TableHandbook[],C$2,FALSE)=0,"",VLOOKUP($A37,TableHandbook[],C$2,FALSE)),"")</f>
        <v/>
      </c>
      <c r="D37" s="398" t="str">
        <f>IFERROR(IF(VLOOKUP($A37,TableHandbook[],D$2,FALSE)=0,"",VLOOKUP($A37,TableHandbook[],D$2,FALSE)),"")</f>
        <v/>
      </c>
      <c r="E37" s="376" t="str">
        <f>IF(A37="","",E36)</f>
        <v/>
      </c>
      <c r="F37" s="378" t="str">
        <f>IFERROR(IF(VLOOKUP($A37,TableHandbook[],F$2,FALSE)=0,"",VLOOKUP($A37,TableHandbook[],F$2,FALSE)),"")</f>
        <v/>
      </c>
      <c r="G37" s="376" t="str">
        <f>IFERROR(IF(VLOOKUP($A37,TableHandbook[],G$2,FALSE)=0,"",VLOOKUP($A37,TableHandbook[],G$2,FALSE)),"")</f>
        <v/>
      </c>
      <c r="H37" s="379" t="str">
        <f>IFERROR(VLOOKUP($A37,TableHandbook[],H$2,FALSE),"")</f>
        <v/>
      </c>
      <c r="I37" s="376" t="str">
        <f>IFERROR(VLOOKUP($A37,TableHandbook[],I$2,FALSE),"")</f>
        <v/>
      </c>
      <c r="J37" s="376" t="str">
        <f>IFERROR(VLOOKUP($A37,TableHandbook[],J$2,FALSE),"")</f>
        <v/>
      </c>
      <c r="K37" s="376" t="str">
        <f>IFERROR(VLOOKUP($A37,TableHandbook[],K$2,FALSE),"")</f>
        <v/>
      </c>
      <c r="L37" s="376" t="str">
        <f>IFERROR(VLOOKUP($A37,TableHandbook[],L$2,FALSE),"")</f>
        <v/>
      </c>
      <c r="M37" s="380" t="str">
        <f>IFERROR(VLOOKUP($A37,TableHandbook[],M$2,FALSE),"")</f>
        <v/>
      </c>
      <c r="N37" s="87"/>
      <c r="O37" s="381">
        <v>25</v>
      </c>
      <c r="P37" s="396"/>
      <c r="Q37" s="396"/>
      <c r="R37" s="397"/>
      <c r="S37" s="397"/>
      <c r="T37" s="397"/>
      <c r="U37" s="397"/>
      <c r="V37" s="397"/>
      <c r="W37" s="397"/>
      <c r="X37" s="53"/>
      <c r="Y37" s="53"/>
    </row>
    <row r="38" spans="1:25" s="47" customFormat="1" ht="21" x14ac:dyDescent="0.25">
      <c r="A38" s="364" t="s">
        <v>28</v>
      </c>
      <c r="B38" s="364"/>
      <c r="C38" s="364"/>
      <c r="D38" s="399" t="s">
        <v>3</v>
      </c>
      <c r="E38" s="372" t="s">
        <v>17</v>
      </c>
      <c r="F38" s="364" t="s">
        <v>18</v>
      </c>
      <c r="G38" s="364" t="s">
        <v>19</v>
      </c>
      <c r="H38" s="373" t="s">
        <v>921</v>
      </c>
      <c r="I38" s="372" t="s">
        <v>20</v>
      </c>
      <c r="J38" s="372" t="s">
        <v>21</v>
      </c>
      <c r="K38" s="372" t="s">
        <v>22</v>
      </c>
      <c r="L38" s="372" t="s">
        <v>23</v>
      </c>
      <c r="M38" s="374" t="s">
        <v>24</v>
      </c>
      <c r="N38" s="364" t="s">
        <v>25</v>
      </c>
      <c r="O38" s="370"/>
      <c r="P38" s="370"/>
      <c r="Q38" s="370"/>
      <c r="R38" s="371"/>
      <c r="S38" s="371"/>
      <c r="T38" s="371"/>
      <c r="U38" s="371"/>
      <c r="V38" s="371"/>
      <c r="W38" s="371"/>
      <c r="X38" s="46"/>
      <c r="Y38" s="46"/>
    </row>
    <row r="39" spans="1:25" s="50" customFormat="1" ht="24" customHeight="1" x14ac:dyDescent="0.15">
      <c r="A39" s="375" t="str">
        <f>IFERROR(IF(HLOOKUP($N$4,RangeUnitsets,O39,FALSE)=0,"",HLOOKUP($N$4,RangeUnitsets,O39,FALSE)),"")</f>
        <v/>
      </c>
      <c r="B39" s="393" t="str">
        <f>IFERROR(IF(VLOOKUP($A39,TableHandbook[],B$2,FALSE)=0,"",VLOOKUP($A39,TableHandbook[],B$2,FALSE)),"")</f>
        <v/>
      </c>
      <c r="C39" s="393" t="str">
        <f>IFERROR(IF(VLOOKUP($A39,TableHandbook[],C$2,FALSE)=0,"",VLOOKUP($A39,TableHandbook[],C$2,FALSE)),"")</f>
        <v/>
      </c>
      <c r="D39" s="400" t="str">
        <f>IFERROR(IF(VLOOKUP($A39,TableHandbook[],D$2,FALSE)=0,"",VLOOKUP($A39,TableHandbook[],D$2,FALSE)),"")</f>
        <v/>
      </c>
      <c r="E39" s="393" t="str">
        <f>IF(OR(A39="",A39="--"),"",VLOOKUP($D$6,TableStudyPeriods[],2,FALSE))</f>
        <v/>
      </c>
      <c r="F39" s="378" t="str">
        <f>IFERROR(IF(VLOOKUP($A39,TableHandbook[],F$2,FALSE)=0,"",VLOOKUP($A39,TableHandbook[],F$2,FALSE)),"")</f>
        <v/>
      </c>
      <c r="G39" s="376" t="str">
        <f>IFERROR(IF(VLOOKUP($A39,TableHandbook[],G$2,FALSE)=0,"",VLOOKUP($A39,TableHandbook[],G$2,FALSE)),"")</f>
        <v/>
      </c>
      <c r="H39" s="379" t="str">
        <f>IFERROR(VLOOKUP($A39,TableHandbook[],H$2,FALSE),"")</f>
        <v/>
      </c>
      <c r="I39" s="376" t="str">
        <f>IFERROR(VLOOKUP($A39,TableHandbook[],I$2,FALSE),"")</f>
        <v/>
      </c>
      <c r="J39" s="376" t="str">
        <f>IFERROR(VLOOKUP($A39,TableHandbook[],J$2,FALSE),"")</f>
        <v/>
      </c>
      <c r="K39" s="376" t="str">
        <f>IFERROR(VLOOKUP($A39,TableHandbook[],K$2,FALSE),"")</f>
        <v/>
      </c>
      <c r="L39" s="376" t="str">
        <f>IFERROR(VLOOKUP($A39,TableHandbook[],L$2,FALSE),"")</f>
        <v/>
      </c>
      <c r="M39" s="380" t="str">
        <f>IFERROR(VLOOKUP($A39,TableHandbook[],M$2,FALSE),"")</f>
        <v/>
      </c>
      <c r="N39" s="87"/>
      <c r="O39" s="381">
        <v>26</v>
      </c>
      <c r="P39" s="382"/>
      <c r="Q39" s="382"/>
      <c r="R39" s="383"/>
      <c r="S39" s="383"/>
      <c r="T39" s="383"/>
      <c r="U39" s="383"/>
      <c r="V39" s="383"/>
      <c r="W39" s="383"/>
      <c r="X39" s="49"/>
      <c r="Y39" s="49"/>
    </row>
    <row r="40" spans="1:25" s="50" customFormat="1" ht="24" customHeight="1" x14ac:dyDescent="0.15">
      <c r="A40" s="375" t="str">
        <f>IFERROR(IF(HLOOKUP($N$4,RangeUnitsets,O40,FALSE)=0,"",HLOOKUP($N$4,RangeUnitsets,O40,FALSE)),"")</f>
        <v/>
      </c>
      <c r="B40" s="393" t="str">
        <f>IFERROR(IF(VLOOKUP($A40,TableHandbook[],B$2,FALSE)=0,"",VLOOKUP($A40,TableHandbook[],B$2,FALSE)),"")</f>
        <v/>
      </c>
      <c r="C40" s="393" t="str">
        <f>IFERROR(IF(VLOOKUP($A40,TableHandbook[],C$2,FALSE)=0,"",VLOOKUP($A40,TableHandbook[],C$2,FALSE)),"")</f>
        <v/>
      </c>
      <c r="D40" s="398" t="str">
        <f>IFERROR(IF(VLOOKUP($A40,TableHandbook[],D$2,FALSE)=0,"",VLOOKUP($A40,TableHandbook[],D$2,FALSE)),"")</f>
        <v/>
      </c>
      <c r="E40" s="393" t="str">
        <f>IF(A40="","",E39)</f>
        <v/>
      </c>
      <c r="F40" s="378" t="str">
        <f>IFERROR(IF(VLOOKUP($A40,TableHandbook[],F$2,FALSE)=0,"",VLOOKUP($A40,TableHandbook[],F$2,FALSE)),"")</f>
        <v/>
      </c>
      <c r="G40" s="376" t="str">
        <f>IFERROR(IF(VLOOKUP($A40,TableHandbook[],G$2,FALSE)=0,"",VLOOKUP($A40,TableHandbook[],G$2,FALSE)),"")</f>
        <v/>
      </c>
      <c r="H40" s="379" t="str">
        <f>IFERROR(VLOOKUP($A40,TableHandbook[],H$2,FALSE),"")</f>
        <v/>
      </c>
      <c r="I40" s="376" t="str">
        <f>IFERROR(VLOOKUP($A40,TableHandbook[],I$2,FALSE),"")</f>
        <v/>
      </c>
      <c r="J40" s="376" t="str">
        <f>IFERROR(VLOOKUP($A40,TableHandbook[],J$2,FALSE),"")</f>
        <v/>
      </c>
      <c r="K40" s="376" t="str">
        <f>IFERROR(VLOOKUP($A40,TableHandbook[],K$2,FALSE),"")</f>
        <v/>
      </c>
      <c r="L40" s="376" t="str">
        <f>IFERROR(VLOOKUP($A40,TableHandbook[],L$2,FALSE),"")</f>
        <v/>
      </c>
      <c r="M40" s="380" t="str">
        <f>IFERROR(VLOOKUP($A40,TableHandbook[],M$2,FALSE),"")</f>
        <v/>
      </c>
      <c r="N40" s="87"/>
      <c r="O40" s="381">
        <v>27</v>
      </c>
      <c r="P40" s="382"/>
      <c r="Q40" s="382"/>
      <c r="R40" s="383"/>
      <c r="S40" s="383"/>
      <c r="T40" s="383"/>
      <c r="U40" s="383"/>
      <c r="V40" s="383"/>
      <c r="W40" s="383"/>
      <c r="X40" s="49"/>
      <c r="Y40" s="49"/>
    </row>
    <row r="41" spans="1:25" s="50" customFormat="1" ht="24" customHeight="1" x14ac:dyDescent="0.15">
      <c r="A41" s="375" t="str">
        <f>IFERROR(IF(HLOOKUP($N$4,RangeUnitsets,O41,FALSE)=0,"",HLOOKUP($N$4,RangeUnitsets,O41,FALSE)),"")</f>
        <v/>
      </c>
      <c r="B41" s="393" t="str">
        <f>IFERROR(IF(VLOOKUP($A41,TableHandbook[],B$2,FALSE)=0,"",VLOOKUP($A41,TableHandbook[],B$2,FALSE)),"")</f>
        <v/>
      </c>
      <c r="C41" s="393" t="str">
        <f>IFERROR(IF(VLOOKUP($A41,TableHandbook[],C$2,FALSE)=0,"",VLOOKUP($A41,TableHandbook[],C$2,FALSE)),"")</f>
        <v/>
      </c>
      <c r="D41" s="398" t="str">
        <f>IFERROR(IF(VLOOKUP($A41,TableHandbook[],D$2,FALSE)=0,"",VLOOKUP($A41,TableHandbook[],D$2,FALSE)),"")</f>
        <v/>
      </c>
      <c r="E41" s="393" t="str">
        <f>IF(A41="","",E40)</f>
        <v/>
      </c>
      <c r="F41" s="378" t="str">
        <f>IFERROR(IF(VLOOKUP($A41,TableHandbook[],F$2,FALSE)=0,"",VLOOKUP($A41,TableHandbook[],F$2,FALSE)),"")</f>
        <v/>
      </c>
      <c r="G41" s="376" t="str">
        <f>IFERROR(IF(VLOOKUP($A41,TableHandbook[],G$2,FALSE)=0,"",VLOOKUP($A41,TableHandbook[],G$2,FALSE)),"")</f>
        <v/>
      </c>
      <c r="H41" s="379" t="str">
        <f>IFERROR(VLOOKUP($A41,TableHandbook[],H$2,FALSE),"")</f>
        <v/>
      </c>
      <c r="I41" s="376" t="str">
        <f>IFERROR(VLOOKUP($A41,TableHandbook[],I$2,FALSE),"")</f>
        <v/>
      </c>
      <c r="J41" s="376" t="str">
        <f>IFERROR(VLOOKUP($A41,TableHandbook[],J$2,FALSE),"")</f>
        <v/>
      </c>
      <c r="K41" s="376" t="str">
        <f>IFERROR(VLOOKUP($A41,TableHandbook[],K$2,FALSE),"")</f>
        <v/>
      </c>
      <c r="L41" s="376" t="str">
        <f>IFERROR(VLOOKUP($A41,TableHandbook[],L$2,FALSE),"")</f>
        <v/>
      </c>
      <c r="M41" s="380" t="str">
        <f>IFERROR(VLOOKUP($A41,TableHandbook[],M$2,FALSE),"")</f>
        <v/>
      </c>
      <c r="N41" s="87"/>
      <c r="O41" s="381">
        <v>28</v>
      </c>
      <c r="P41" s="382"/>
      <c r="Q41" s="382"/>
      <c r="R41" s="383"/>
      <c r="S41" s="383"/>
      <c r="T41" s="383"/>
      <c r="U41" s="383"/>
      <c r="V41" s="383"/>
      <c r="W41" s="383"/>
      <c r="X41" s="49"/>
      <c r="Y41" s="49"/>
    </row>
    <row r="42" spans="1:25" s="50" customFormat="1" ht="24" customHeight="1" x14ac:dyDescent="0.15">
      <c r="A42" s="375" t="str">
        <f>IFERROR(IF(HLOOKUP($N$4,RangeUnitsets,O42,FALSE)=0,"",HLOOKUP($N$4,RangeUnitsets,O42,FALSE)),"")</f>
        <v/>
      </c>
      <c r="B42" s="393" t="str">
        <f>IFERROR(IF(VLOOKUP($A42,TableHandbook[],B$2,FALSE)=0,"",VLOOKUP($A42,TableHandbook[],B$2,FALSE)),"")</f>
        <v/>
      </c>
      <c r="C42" s="393" t="str">
        <f>IFERROR(IF(VLOOKUP($A42,TableHandbook[],C$2,FALSE)=0,"",VLOOKUP($A42,TableHandbook[],C$2,FALSE)),"")</f>
        <v/>
      </c>
      <c r="D42" s="398" t="str">
        <f>IFERROR(IF(VLOOKUP($A42,TableHandbook[],D$2,FALSE)=0,"",VLOOKUP($A42,TableHandbook[],D$2,FALSE)),"")</f>
        <v/>
      </c>
      <c r="E42" s="393" t="str">
        <f>IF(A42="","",E41)</f>
        <v/>
      </c>
      <c r="F42" s="378" t="str">
        <f>IFERROR(IF(VLOOKUP($A42,TableHandbook[],F$2,FALSE)=0,"",VLOOKUP($A42,TableHandbook[],F$2,FALSE)),"")</f>
        <v/>
      </c>
      <c r="G42" s="376" t="str">
        <f>IFERROR(IF(VLOOKUP($A42,TableHandbook[],G$2,FALSE)=0,"",VLOOKUP($A42,TableHandbook[],G$2,FALSE)),"")</f>
        <v/>
      </c>
      <c r="H42" s="379" t="str">
        <f>IFERROR(VLOOKUP($A42,TableHandbook[],H$2,FALSE),"")</f>
        <v/>
      </c>
      <c r="I42" s="376" t="str">
        <f>IFERROR(VLOOKUP($A42,TableHandbook[],I$2,FALSE),"")</f>
        <v/>
      </c>
      <c r="J42" s="376" t="str">
        <f>IFERROR(VLOOKUP($A42,TableHandbook[],J$2,FALSE),"")</f>
        <v/>
      </c>
      <c r="K42" s="376" t="str">
        <f>IFERROR(VLOOKUP($A42,TableHandbook[],K$2,FALSE),"")</f>
        <v/>
      </c>
      <c r="L42" s="376" t="str">
        <f>IFERROR(VLOOKUP($A42,TableHandbook[],L$2,FALSE),"")</f>
        <v/>
      </c>
      <c r="M42" s="380" t="str">
        <f>IFERROR(VLOOKUP($A42,TableHandbook[],M$2,FALSE),"")</f>
        <v/>
      </c>
      <c r="N42" s="87"/>
      <c r="O42" s="381">
        <v>29</v>
      </c>
      <c r="P42" s="382"/>
      <c r="Q42" s="382"/>
      <c r="R42" s="383"/>
      <c r="S42" s="383"/>
      <c r="T42" s="383"/>
      <c r="U42" s="383"/>
      <c r="V42" s="383"/>
      <c r="W42" s="383"/>
      <c r="X42" s="49"/>
      <c r="Y42" s="49"/>
    </row>
    <row r="43" spans="1:25" s="50" customFormat="1" ht="5.0999999999999996" customHeight="1" x14ac:dyDescent="0.15">
      <c r="A43" s="386"/>
      <c r="B43" s="387"/>
      <c r="C43" s="387"/>
      <c r="D43" s="388"/>
      <c r="E43" s="387"/>
      <c r="F43" s="389"/>
      <c r="G43" s="387"/>
      <c r="H43" s="390"/>
      <c r="I43" s="387"/>
      <c r="J43" s="387"/>
      <c r="K43" s="387"/>
      <c r="L43" s="387"/>
      <c r="M43" s="391"/>
      <c r="N43" s="391"/>
      <c r="O43" s="392"/>
      <c r="P43" s="382"/>
      <c r="Q43" s="382"/>
      <c r="R43" s="382"/>
      <c r="S43" s="383"/>
      <c r="T43" s="383"/>
      <c r="U43" s="383"/>
      <c r="V43" s="383"/>
      <c r="W43" s="383"/>
      <c r="X43" s="49"/>
      <c r="Y43" s="49"/>
    </row>
    <row r="44" spans="1:25" s="50" customFormat="1" ht="24" customHeight="1" x14ac:dyDescent="0.15">
      <c r="A44" s="375" t="str">
        <f>IFERROR(IF(HLOOKUP($N$4,RangeUnitsets,O44,FALSE)=0,"",HLOOKUP($N$4,RangeUnitsets,O44,FALSE)),"")</f>
        <v/>
      </c>
      <c r="B44" s="393" t="str">
        <f>IFERROR(IF(VLOOKUP($A44,TableHandbook[],B$2,FALSE)=0,"",VLOOKUP($A44,TableHandbook[],B$2,FALSE)),"")</f>
        <v/>
      </c>
      <c r="C44" s="393" t="str">
        <f>IFERROR(IF(VLOOKUP($A44,TableHandbook[],C$2,FALSE)=0,"",VLOOKUP($A44,TableHandbook[],C$2,FALSE)),"")</f>
        <v/>
      </c>
      <c r="D44" s="398" t="str">
        <f>IFERROR(IF(VLOOKUP($A44,TableHandbook[],D$2,FALSE)=0,"",VLOOKUP($A44,TableHandbook[],D$2,FALSE)),"")</f>
        <v/>
      </c>
      <c r="E44" s="393"/>
      <c r="F44" s="378" t="str">
        <f>IFERROR(IF(VLOOKUP($A44,TableHandbook[],F$2,FALSE)=0,"",VLOOKUP($A44,TableHandbook[],F$2,FALSE)),"")</f>
        <v/>
      </c>
      <c r="G44" s="376" t="str">
        <f>IFERROR(IF(VLOOKUP($A44,TableHandbook[],G$2,FALSE)=0,"",VLOOKUP($A44,TableHandbook[],G$2,FALSE)),"")</f>
        <v/>
      </c>
      <c r="H44" s="379" t="str">
        <f>IFERROR(VLOOKUP($A44,TableHandbook[],H$2,FALSE),"")</f>
        <v/>
      </c>
      <c r="I44" s="376" t="str">
        <f>IFERROR(VLOOKUP($A44,TableHandbook[],I$2,FALSE),"")</f>
        <v/>
      </c>
      <c r="J44" s="376" t="str">
        <f>IFERROR(VLOOKUP($A44,TableHandbook[],J$2,FALSE),"")</f>
        <v/>
      </c>
      <c r="K44" s="376" t="str">
        <f>IFERROR(VLOOKUP($A44,TableHandbook[],K$2,FALSE),"")</f>
        <v/>
      </c>
      <c r="L44" s="376" t="str">
        <f>IFERROR(VLOOKUP($A44,TableHandbook[],L$2,FALSE),"")</f>
        <v/>
      </c>
      <c r="M44" s="380" t="str">
        <f>IFERROR(VLOOKUP($A44,TableHandbook[],M$2,FALSE),"")</f>
        <v/>
      </c>
      <c r="N44" s="87"/>
      <c r="O44" s="381">
        <v>30</v>
      </c>
      <c r="P44" s="382"/>
      <c r="Q44" s="382"/>
      <c r="R44" s="383"/>
      <c r="S44" s="383"/>
      <c r="T44" s="383"/>
      <c r="U44" s="383"/>
      <c r="V44" s="383"/>
      <c r="W44" s="383"/>
      <c r="X44" s="49"/>
      <c r="Y44" s="49"/>
    </row>
    <row r="45" spans="1:25" s="50" customFormat="1" ht="24" customHeight="1" x14ac:dyDescent="0.15">
      <c r="A45" s="375" t="str">
        <f>IFERROR(IF(HLOOKUP($N$4,RangeUnitsets,O45,FALSE)=0,"",HLOOKUP($N$4,RangeUnitsets,O45,FALSE)),"")</f>
        <v/>
      </c>
      <c r="B45" s="393" t="str">
        <f>IFERROR(IF(VLOOKUP($A45,TableHandbook[],B$2,FALSE)=0,"",VLOOKUP($A45,TableHandbook[],B$2,FALSE)),"")</f>
        <v/>
      </c>
      <c r="C45" s="393" t="str">
        <f>IFERROR(IF(VLOOKUP($A45,TableHandbook[],C$2,FALSE)=0,"",VLOOKUP($A45,TableHandbook[],C$2,FALSE)),"")</f>
        <v/>
      </c>
      <c r="D45" s="398" t="str">
        <f>IFERROR(IF(VLOOKUP($A45,TableHandbook[],D$2,FALSE)=0,"",VLOOKUP($A45,TableHandbook[],D$2,FALSE)),"")</f>
        <v/>
      </c>
      <c r="E45" s="393"/>
      <c r="F45" s="378" t="str">
        <f>IFERROR(IF(VLOOKUP($A45,TableHandbook[],F$2,FALSE)=0,"",VLOOKUP($A45,TableHandbook[],F$2,FALSE)),"")</f>
        <v/>
      </c>
      <c r="G45" s="376" t="str">
        <f>IFERROR(IF(VLOOKUP($A45,TableHandbook[],G$2,FALSE)=0,"",VLOOKUP($A45,TableHandbook[],G$2,FALSE)),"")</f>
        <v/>
      </c>
      <c r="H45" s="379" t="str">
        <f>IFERROR(VLOOKUP($A45,TableHandbook[],H$2,FALSE),"")</f>
        <v/>
      </c>
      <c r="I45" s="376" t="str">
        <f>IFERROR(VLOOKUP($A45,TableHandbook[],I$2,FALSE),"")</f>
        <v/>
      </c>
      <c r="J45" s="376" t="str">
        <f>IFERROR(VLOOKUP($A45,TableHandbook[],J$2,FALSE),"")</f>
        <v/>
      </c>
      <c r="K45" s="376" t="str">
        <f>IFERROR(VLOOKUP($A45,TableHandbook[],K$2,FALSE),"")</f>
        <v/>
      </c>
      <c r="L45" s="376" t="str">
        <f>IFERROR(VLOOKUP($A45,TableHandbook[],L$2,FALSE),"")</f>
        <v/>
      </c>
      <c r="M45" s="380" t="str">
        <f>IFERROR(VLOOKUP($A45,TableHandbook[],M$2,FALSE),"")</f>
        <v/>
      </c>
      <c r="N45" s="87"/>
      <c r="O45" s="381">
        <v>31</v>
      </c>
      <c r="P45" s="382"/>
      <c r="Q45" s="382"/>
      <c r="R45" s="383"/>
      <c r="S45" s="383"/>
      <c r="T45" s="383"/>
      <c r="U45" s="383"/>
      <c r="V45" s="383"/>
      <c r="W45" s="383"/>
      <c r="X45" s="49"/>
      <c r="Y45" s="49"/>
    </row>
    <row r="46" spans="1:25" s="62" customFormat="1" ht="13.9" customHeight="1" x14ac:dyDescent="0.2">
      <c r="A46" s="401"/>
      <c r="B46" s="401"/>
      <c r="C46" s="401"/>
      <c r="D46" s="402"/>
      <c r="E46" s="402"/>
      <c r="F46" s="403"/>
      <c r="G46" s="403"/>
      <c r="H46" s="403"/>
      <c r="I46" s="403"/>
      <c r="J46" s="403"/>
      <c r="K46" s="403"/>
      <c r="L46" s="403"/>
      <c r="M46" s="403"/>
      <c r="N46" s="403"/>
      <c r="O46" s="404"/>
      <c r="P46" s="404"/>
      <c r="Q46" s="404"/>
      <c r="R46" s="405"/>
      <c r="S46" s="405"/>
      <c r="T46" s="405"/>
      <c r="U46" s="405"/>
      <c r="V46" s="405"/>
      <c r="W46" s="405"/>
      <c r="X46" s="61"/>
      <c r="Y46" s="61"/>
    </row>
    <row r="47" spans="1:25" ht="16.5" x14ac:dyDescent="0.25">
      <c r="A47" s="406" t="s">
        <v>29</v>
      </c>
      <c r="B47" s="407"/>
      <c r="C47" s="407"/>
      <c r="D47" s="408"/>
      <c r="E47" s="409"/>
      <c r="F47" s="409"/>
      <c r="G47" s="409"/>
      <c r="H47" s="410" t="s">
        <v>15</v>
      </c>
      <c r="I47" s="411"/>
      <c r="J47" s="411"/>
      <c r="K47" s="411"/>
      <c r="L47" s="406"/>
      <c r="M47" s="406"/>
      <c r="N47" s="412" t="str">
        <f>VLOOKUP(D5,TableCourses[],2,FALSE)</f>
        <v>B-EDEC</v>
      </c>
      <c r="O47" s="347"/>
      <c r="P47" s="347"/>
      <c r="Q47" s="347"/>
      <c r="R47" s="347"/>
      <c r="S47" s="347"/>
      <c r="T47" s="347"/>
      <c r="U47" s="347"/>
      <c r="V47" s="347"/>
      <c r="W47" s="347"/>
      <c r="X47" s="44"/>
      <c r="Y47" s="44"/>
    </row>
    <row r="48" spans="1:25" s="66" customFormat="1" ht="21" x14ac:dyDescent="0.25">
      <c r="A48" s="413"/>
      <c r="B48" s="413"/>
      <c r="C48" s="413"/>
      <c r="D48" s="414" t="s">
        <v>3</v>
      </c>
      <c r="E48" s="413"/>
      <c r="F48" s="413" t="s">
        <v>18</v>
      </c>
      <c r="G48" s="413" t="s">
        <v>19</v>
      </c>
      <c r="H48" s="415" t="s">
        <v>921</v>
      </c>
      <c r="I48" s="416" t="s">
        <v>20</v>
      </c>
      <c r="J48" s="416" t="s">
        <v>21</v>
      </c>
      <c r="K48" s="416" t="s">
        <v>22</v>
      </c>
      <c r="L48" s="416" t="s">
        <v>23</v>
      </c>
      <c r="M48" s="416" t="s">
        <v>24</v>
      </c>
      <c r="N48" s="417" t="s">
        <v>25</v>
      </c>
      <c r="O48" s="418"/>
      <c r="P48" s="418"/>
      <c r="Q48" s="418"/>
      <c r="R48" s="418"/>
      <c r="S48" s="418"/>
      <c r="T48" s="418"/>
      <c r="U48" s="418"/>
      <c r="V48" s="418"/>
      <c r="W48" s="418"/>
      <c r="X48" s="65"/>
      <c r="Y48" s="65"/>
    </row>
    <row r="49" spans="1:25" x14ac:dyDescent="0.25">
      <c r="A49" s="419" t="str">
        <f t="shared" ref="A49:A74" si="0">IFERROR(IF(HLOOKUP($N$47,RangeOptions,$O49,FALSE)=0,"",HLOOKUP($N$47,RangeOptions,$O49,FALSE)),"")</f>
        <v>OptBEDEC</v>
      </c>
      <c r="B49" s="420" t="str">
        <f>IFERROR(IF(VLOOKUP($A49,TableHandbook[],2,FALSE)=0,"",VLOOKUP($A49,TableHandbook[],2,FALSE)),"")</f>
        <v/>
      </c>
      <c r="C49" s="421" t="str">
        <f>IFERROR(IF(VLOOKUP($A49,TableHandbook[],3,FALSE)=0,"",VLOOKUP($A49,TableHandbook[],3,FALSE)),"")</f>
        <v/>
      </c>
      <c r="D49" s="422" t="str">
        <f>IFERROR(IF(VLOOKUP($A49,TableHandbook[],4,FALSE)=0,"",VLOOKUP($A49,TableHandbook[],4,FALSE)),"")</f>
        <v>Study any TWO options from the list below:</v>
      </c>
      <c r="E49" s="422"/>
      <c r="F49" s="423" t="str">
        <f>IFERROR(IF(VLOOKUP($A49,TableHandbook[],6,FALSE)=0,"",VLOOKUP($A49,TableHandbook[],6,FALSE)),"")</f>
        <v>-</v>
      </c>
      <c r="G49" s="423" t="str">
        <f>IFERROR(IF(VLOOKUP($A49,TableHandbook[],5,FALSE)=0,"",VLOOKUP($A49,TableHandbook[],5,FALSE)),"")</f>
        <v/>
      </c>
      <c r="H49" s="379" t="str">
        <f>IFERROR(VLOOKUP($A49,TableHandbook[],H$2,FALSE),"")</f>
        <v/>
      </c>
      <c r="I49" s="376" t="str">
        <f>IFERROR(VLOOKUP($A49,TableHandbook[],I$2,FALSE),"")</f>
        <v/>
      </c>
      <c r="J49" s="376" t="str">
        <f>IFERROR(VLOOKUP($A49,TableHandbook[],J$2,FALSE),"")</f>
        <v/>
      </c>
      <c r="K49" s="376" t="str">
        <f>IFERROR(VLOOKUP($A49,TableHandbook[],K$2,FALSE),"")</f>
        <v/>
      </c>
      <c r="L49" s="376" t="str">
        <f>IFERROR(VLOOKUP($A49,TableHandbook[],L$2,FALSE),"")</f>
        <v/>
      </c>
      <c r="M49" s="380" t="str">
        <f>IFERROR(VLOOKUP($A49,TableHandbook[],M$2,FALSE),"")</f>
        <v/>
      </c>
      <c r="N49" s="385"/>
      <c r="O49" s="381">
        <v>2</v>
      </c>
      <c r="P49" s="347"/>
      <c r="Q49" s="347"/>
      <c r="R49" s="347"/>
      <c r="S49" s="347"/>
      <c r="T49" s="347"/>
      <c r="U49" s="347"/>
      <c r="V49" s="347"/>
      <c r="W49" s="347"/>
      <c r="X49" s="44"/>
      <c r="Y49" s="44"/>
    </row>
    <row r="50" spans="1:25" x14ac:dyDescent="0.25">
      <c r="A50" s="419" t="str">
        <f t="shared" si="0"/>
        <v>OiSTEM</v>
      </c>
      <c r="B50" s="420" t="str">
        <f>IFERROR(IF(VLOOKUP($A50,TableHandbook[],2,FALSE)=0,"",VLOOKUP($A50,TableHandbook[],2,FALSE)),"")</f>
        <v/>
      </c>
      <c r="C50" s="421" t="str">
        <f>IFERROR(IF(VLOOKUP($A50,TableHandbook[],3,FALSE)=0,"",VLOOKUP($A50,TableHandbook[],3,FALSE)),"")</f>
        <v/>
      </c>
      <c r="D50" s="421" t="str">
        <f>IFERROR(IF(VLOOKUP($A50,TableHandbook[],4,FALSE)=0,"",VLOOKUP($A50,TableHandbook[],4,FALSE)),"")</f>
        <v>iSTEM Options</v>
      </c>
      <c r="E50" s="422"/>
      <c r="F50" s="423" t="str">
        <f>IFERROR(IF(VLOOKUP($A50,TableHandbook[],6,FALSE)=0,"",VLOOKUP($A50,TableHandbook[],6,FALSE)),"")</f>
        <v>-</v>
      </c>
      <c r="G50" s="423" t="str">
        <f>IFERROR(IF(VLOOKUP($A50,TableHandbook[],5,FALSE)=0,"",VLOOKUP($A50,TableHandbook[],5,FALSE)),"")</f>
        <v/>
      </c>
      <c r="H50" s="379" t="str">
        <f>IFERROR(VLOOKUP($A50,TableHandbook[],H$2,FALSE),"")</f>
        <v/>
      </c>
      <c r="I50" s="376" t="str">
        <f>IFERROR(VLOOKUP($A50,TableHandbook[],I$2,FALSE),"")</f>
        <v/>
      </c>
      <c r="J50" s="376" t="str">
        <f>IFERROR(VLOOKUP($A50,TableHandbook[],J$2,FALSE),"")</f>
        <v/>
      </c>
      <c r="K50" s="376" t="str">
        <f>IFERROR(VLOOKUP($A50,TableHandbook[],K$2,FALSE),"")</f>
        <v/>
      </c>
      <c r="L50" s="376" t="str">
        <f>IFERROR(VLOOKUP($A50,TableHandbook[],L$2,FALSE),"")</f>
        <v/>
      </c>
      <c r="M50" s="380" t="str">
        <f>IFERROR(VLOOKUP($A50,TableHandbook[],M$2,FALSE),"")</f>
        <v/>
      </c>
      <c r="N50" s="91"/>
      <c r="O50" s="381">
        <v>3</v>
      </c>
      <c r="P50" s="347"/>
      <c r="Q50" s="347"/>
      <c r="R50" s="347"/>
      <c r="S50" s="347"/>
      <c r="T50" s="347"/>
      <c r="U50" s="347"/>
      <c r="V50" s="347"/>
      <c r="W50" s="347"/>
      <c r="X50" s="44"/>
      <c r="Y50" s="44"/>
    </row>
    <row r="51" spans="1:25" x14ac:dyDescent="0.25">
      <c r="A51" s="419" t="str">
        <f t="shared" si="0"/>
        <v>EDUC4021</v>
      </c>
      <c r="B51" s="420">
        <f>IFERROR(IF(VLOOKUP($A51,TableHandbook[],2,FALSE)=0,"",VLOOKUP($A51,TableHandbook[],2,FALSE)),"")</f>
        <v>1</v>
      </c>
      <c r="C51" s="421" t="str">
        <f>IFERROR(IF(VLOOKUP($A51,TableHandbook[],3,FALSE)=0,"",VLOOKUP($A51,TableHandbook[],3,FALSE)),"")</f>
        <v/>
      </c>
      <c r="D51" s="421" t="str">
        <f>IFERROR(IF(VLOOKUP($A51,TableHandbook[],4,FALSE)=0,"",VLOOKUP($A51,TableHandbook[],4,FALSE)),"")</f>
        <v>Project-based iSTEM Education</v>
      </c>
      <c r="E51" s="422"/>
      <c r="F51" s="423" t="str">
        <f>IFERROR(IF(VLOOKUP($A51,TableHandbook[],6,FALSE)=0,"",VLOOKUP($A51,TableHandbook[],6,FALSE)),"")</f>
        <v>Nil</v>
      </c>
      <c r="G51" s="423">
        <f>IFERROR(IF(VLOOKUP($A51,TableHandbook[],5,FALSE)=0,"",VLOOKUP($A51,TableHandbook[],5,FALSE)),"")</f>
        <v>25</v>
      </c>
      <c r="H51" s="379" t="str">
        <f>IFERROR(VLOOKUP($A51,TableHandbook[],H$2,FALSE),"")</f>
        <v/>
      </c>
      <c r="I51" s="376" t="str">
        <f>IFERROR(VLOOKUP($A51,TableHandbook[],I$2,FALSE),"")</f>
        <v/>
      </c>
      <c r="J51" s="376" t="str">
        <f>IFERROR(VLOOKUP($A51,TableHandbook[],J$2,FALSE),"")</f>
        <v/>
      </c>
      <c r="K51" s="376" t="str">
        <f>IFERROR(VLOOKUP($A51,TableHandbook[],K$2,FALSE),"")</f>
        <v>Y</v>
      </c>
      <c r="L51" s="376" t="str">
        <f>IFERROR(VLOOKUP($A51,TableHandbook[],L$2,FALSE),"")</f>
        <v>Y</v>
      </c>
      <c r="M51" s="380" t="str">
        <f>IFERROR(VLOOKUP($A51,TableHandbook[],M$2,FALSE),"")</f>
        <v/>
      </c>
      <c r="N51" s="91"/>
      <c r="O51" s="381">
        <v>4</v>
      </c>
      <c r="P51" s="347"/>
      <c r="Q51" s="347"/>
      <c r="R51" s="347"/>
      <c r="S51" s="347"/>
      <c r="T51" s="347"/>
      <c r="U51" s="347"/>
      <c r="V51" s="347"/>
      <c r="W51" s="347"/>
      <c r="X51" s="44"/>
      <c r="Y51" s="44"/>
    </row>
    <row r="52" spans="1:25" x14ac:dyDescent="0.25">
      <c r="A52" s="419" t="str">
        <f t="shared" si="0"/>
        <v>EDUC4032</v>
      </c>
      <c r="B52" s="420">
        <f>IFERROR(IF(VLOOKUP($A52,TableHandbook[],2,FALSE)=0,"",VLOOKUP($A52,TableHandbook[],2,FALSE)),"")</f>
        <v>1</v>
      </c>
      <c r="C52" s="421" t="str">
        <f>IFERROR(IF(VLOOKUP($A52,TableHandbook[],3,FALSE)=0,"",VLOOKUP($A52,TableHandbook[],3,FALSE)),"")</f>
        <v/>
      </c>
      <c r="D52" s="421" t="str">
        <f>IFERROR(IF(VLOOKUP($A52,TableHandbook[],4,FALSE)=0,"",VLOOKUP($A52,TableHandbook[],4,FALSE)),"")</f>
        <v>iSTEM Education through Digital Stories</v>
      </c>
      <c r="E52" s="422"/>
      <c r="F52" s="423" t="str">
        <f>IFERROR(IF(VLOOKUP($A52,TableHandbook[],6,FALSE)=0,"",VLOOKUP($A52,TableHandbook[],6,FALSE)),"")</f>
        <v>Nil</v>
      </c>
      <c r="G52" s="423">
        <f>IFERROR(IF(VLOOKUP($A52,TableHandbook[],5,FALSE)=0,"",VLOOKUP($A52,TableHandbook[],5,FALSE)),"")</f>
        <v>25</v>
      </c>
      <c r="H52" s="379" t="str">
        <f>IFERROR(VLOOKUP($A52,TableHandbook[],H$2,FALSE),"")</f>
        <v/>
      </c>
      <c r="I52" s="376" t="str">
        <f>IFERROR(VLOOKUP($A52,TableHandbook[],I$2,FALSE),"")</f>
        <v>Y</v>
      </c>
      <c r="J52" s="376" t="str">
        <f>IFERROR(VLOOKUP($A52,TableHandbook[],J$2,FALSE),"")</f>
        <v/>
      </c>
      <c r="K52" s="376" t="str">
        <f>IFERROR(VLOOKUP($A52,TableHandbook[],K$2,FALSE),"")</f>
        <v/>
      </c>
      <c r="L52" s="376" t="str">
        <f>IFERROR(VLOOKUP($A52,TableHandbook[],L$2,FALSE),"")</f>
        <v/>
      </c>
      <c r="M52" s="380" t="str">
        <f>IFERROR(VLOOKUP($A52,TableHandbook[],M$2,FALSE),"")</f>
        <v/>
      </c>
      <c r="N52" s="91"/>
      <c r="O52" s="381">
        <v>5</v>
      </c>
      <c r="P52" s="347"/>
      <c r="Q52" s="347"/>
      <c r="R52" s="347"/>
      <c r="S52" s="347"/>
      <c r="T52" s="347"/>
      <c r="U52" s="347"/>
      <c r="V52" s="347"/>
      <c r="W52" s="347"/>
      <c r="X52" s="44"/>
      <c r="Y52" s="44"/>
    </row>
    <row r="53" spans="1:25" x14ac:dyDescent="0.25">
      <c r="A53" s="419" t="str">
        <f t="shared" si="0"/>
        <v>EDUC4034</v>
      </c>
      <c r="B53" s="420">
        <f>IFERROR(IF(VLOOKUP($A53,TableHandbook[],2,FALSE)=0,"",VLOOKUP($A53,TableHandbook[],2,FALSE)),"")</f>
        <v>1</v>
      </c>
      <c r="C53" s="421" t="str">
        <f>IFERROR(IF(VLOOKUP($A53,TableHandbook[],3,FALSE)=0,"",VLOOKUP($A53,TableHandbook[],3,FALSE)),"")</f>
        <v/>
      </c>
      <c r="D53" s="421" t="str">
        <f>IFERROR(IF(VLOOKUP($A53,TableHandbook[],4,FALSE)=0,"",VLOOKUP($A53,TableHandbook[],4,FALSE)),"")</f>
        <v>iSTEM: Social Issues</v>
      </c>
      <c r="E53" s="422"/>
      <c r="F53" s="423" t="str">
        <f>IFERROR(IF(VLOOKUP($A53,TableHandbook[],6,FALSE)=0,"",VLOOKUP($A53,TableHandbook[],6,FALSE)),"")</f>
        <v>Nil</v>
      </c>
      <c r="G53" s="423">
        <f>IFERROR(IF(VLOOKUP($A53,TableHandbook[],5,FALSE)=0,"",VLOOKUP($A53,TableHandbook[],5,FALSE)),"")</f>
        <v>25</v>
      </c>
      <c r="H53" s="379" t="str">
        <f>IFERROR(VLOOKUP($A53,TableHandbook[],H$2,FALSE),"")</f>
        <v>Y</v>
      </c>
      <c r="I53" s="376" t="str">
        <f>IFERROR(VLOOKUP($A53,TableHandbook[],I$2,FALSE),"")</f>
        <v>Y</v>
      </c>
      <c r="J53" s="376" t="str">
        <f>IFERROR(VLOOKUP($A53,TableHandbook[],J$2,FALSE),"")</f>
        <v/>
      </c>
      <c r="K53" s="376" t="str">
        <f>IFERROR(VLOOKUP($A53,TableHandbook[],K$2,FALSE),"")</f>
        <v/>
      </c>
      <c r="L53" s="376" t="str">
        <f>IFERROR(VLOOKUP($A53,TableHandbook[],L$2,FALSE),"")</f>
        <v/>
      </c>
      <c r="M53" s="380" t="str">
        <f>IFERROR(VLOOKUP($A53,TableHandbook[],M$2,FALSE),"")</f>
        <v/>
      </c>
      <c r="N53" s="91"/>
      <c r="O53" s="381">
        <v>6</v>
      </c>
      <c r="P53" s="347"/>
      <c r="Q53" s="347"/>
      <c r="R53" s="347"/>
      <c r="S53" s="347"/>
      <c r="T53" s="347"/>
      <c r="U53" s="347"/>
      <c r="V53" s="347"/>
      <c r="W53" s="347"/>
      <c r="X53" s="44"/>
      <c r="Y53" s="44"/>
    </row>
    <row r="54" spans="1:25" x14ac:dyDescent="0.25">
      <c r="A54" s="419" t="str">
        <f t="shared" si="0"/>
        <v>OELL</v>
      </c>
      <c r="B54" s="420" t="str">
        <f>IFERROR(IF(VLOOKUP($A54,TableHandbook[],2,FALSE)=0,"",VLOOKUP($A54,TableHandbook[],2,FALSE)),"")</f>
        <v/>
      </c>
      <c r="C54" s="421" t="str">
        <f>IFERROR(IF(VLOOKUP($A54,TableHandbook[],3,FALSE)=0,"",VLOOKUP($A54,TableHandbook[],3,FALSE)),"")</f>
        <v/>
      </c>
      <c r="D54" s="421" t="str">
        <f>IFERROR(IF(VLOOKUP($A54,TableHandbook[],4,FALSE)=0,"",VLOOKUP($A54,TableHandbook[],4,FALSE)),"")</f>
        <v>English Language and Literacy Options</v>
      </c>
      <c r="E54" s="422"/>
      <c r="F54" s="423" t="str">
        <f>IFERROR(IF(VLOOKUP($A54,TableHandbook[],6,FALSE)=0,"",VLOOKUP($A54,TableHandbook[],6,FALSE)),"")</f>
        <v>-</v>
      </c>
      <c r="G54" s="423" t="str">
        <f>IFERROR(IF(VLOOKUP($A54,TableHandbook[],5,FALSE)=0,"",VLOOKUP($A54,TableHandbook[],5,FALSE)),"")</f>
        <v/>
      </c>
      <c r="H54" s="379" t="str">
        <f>IFERROR(VLOOKUP($A54,TableHandbook[],H$2,FALSE),"")</f>
        <v/>
      </c>
      <c r="I54" s="376" t="str">
        <f>IFERROR(VLOOKUP($A54,TableHandbook[],I$2,FALSE),"")</f>
        <v/>
      </c>
      <c r="J54" s="376" t="str">
        <f>IFERROR(VLOOKUP($A54,TableHandbook[],J$2,FALSE),"")</f>
        <v/>
      </c>
      <c r="K54" s="376" t="str">
        <f>IFERROR(VLOOKUP($A54,TableHandbook[],K$2,FALSE),"")</f>
        <v/>
      </c>
      <c r="L54" s="376" t="str">
        <f>IFERROR(VLOOKUP($A54,TableHandbook[],L$2,FALSE),"")</f>
        <v/>
      </c>
      <c r="M54" s="380" t="str">
        <f>IFERROR(VLOOKUP($A54,TableHandbook[],M$2,FALSE),"")</f>
        <v/>
      </c>
      <c r="N54" s="91"/>
      <c r="O54" s="381">
        <v>7</v>
      </c>
      <c r="P54" s="347"/>
      <c r="Q54" s="347"/>
      <c r="R54" s="347"/>
      <c r="S54" s="347"/>
      <c r="T54" s="347"/>
      <c r="U54" s="347"/>
      <c r="V54" s="347"/>
      <c r="W54" s="347"/>
      <c r="X54" s="44"/>
      <c r="Y54" s="44"/>
    </row>
    <row r="55" spans="1:25" x14ac:dyDescent="0.25">
      <c r="A55" s="419" t="str">
        <f t="shared" si="0"/>
        <v>EDUC4022</v>
      </c>
      <c r="B55" s="420">
        <f>IFERROR(IF(VLOOKUP($A55,TableHandbook[],2,FALSE)=0,"",VLOOKUP($A55,TableHandbook[],2,FALSE)),"")</f>
        <v>1</v>
      </c>
      <c r="C55" s="421" t="str">
        <f>IFERROR(IF(VLOOKUP($A55,TableHandbook[],3,FALSE)=0,"",VLOOKUP($A55,TableHandbook[],3,FALSE)),"")</f>
        <v/>
      </c>
      <c r="D55" s="421" t="str">
        <f>IFERROR(IF(VLOOKUP($A55,TableHandbook[],4,FALSE)=0,"",VLOOKUP($A55,TableHandbook[],4,FALSE)),"")</f>
        <v>Creative Literacies</v>
      </c>
      <c r="E55" s="421"/>
      <c r="F55" s="423" t="str">
        <f>IFERROR(IF(VLOOKUP($A55,TableHandbook[],6,FALSE)=0,"",VLOOKUP($A55,TableHandbook[],6,FALSE)),"")</f>
        <v>Nil</v>
      </c>
      <c r="G55" s="424">
        <f>IFERROR(IF(VLOOKUP($A55,TableHandbook[],5,FALSE)=0,"",VLOOKUP($A55,TableHandbook[],5,FALSE)),"")</f>
        <v>25</v>
      </c>
      <c r="H55" s="379" t="str">
        <f>IFERROR(VLOOKUP($A55,TableHandbook[],H$2,FALSE),"")</f>
        <v>Y</v>
      </c>
      <c r="I55" s="376" t="str">
        <f>IFERROR(VLOOKUP($A55,TableHandbook[],I$2,FALSE),"")</f>
        <v>Y</v>
      </c>
      <c r="J55" s="376" t="str">
        <f>IFERROR(VLOOKUP($A55,TableHandbook[],J$2,FALSE),"")</f>
        <v/>
      </c>
      <c r="K55" s="376" t="str">
        <f>IFERROR(VLOOKUP($A55,TableHandbook[],K$2,FALSE),"")</f>
        <v/>
      </c>
      <c r="L55" s="376" t="str">
        <f>IFERROR(VLOOKUP($A55,TableHandbook[],L$2,FALSE),"")</f>
        <v/>
      </c>
      <c r="M55" s="380" t="str">
        <f>IFERROR(VLOOKUP($A55,TableHandbook[],M$2,FALSE),"")</f>
        <v/>
      </c>
      <c r="N55" s="90"/>
      <c r="O55" s="381">
        <v>8</v>
      </c>
      <c r="P55" s="347"/>
      <c r="Q55" s="347"/>
      <c r="R55" s="347"/>
      <c r="S55" s="347"/>
      <c r="T55" s="347"/>
      <c r="U55" s="347"/>
      <c r="V55" s="347"/>
      <c r="W55" s="347"/>
      <c r="X55" s="44"/>
      <c r="Y55" s="44"/>
    </row>
    <row r="56" spans="1:25" x14ac:dyDescent="0.25">
      <c r="A56" s="419" t="str">
        <f t="shared" si="0"/>
        <v>EDUC4023</v>
      </c>
      <c r="B56" s="420">
        <f>IFERROR(IF(VLOOKUP($A56,TableHandbook[],2,FALSE)=0,"",VLOOKUP($A56,TableHandbook[],2,FALSE)),"")</f>
        <v>1</v>
      </c>
      <c r="C56" s="421" t="str">
        <f>IFERROR(IF(VLOOKUP($A56,TableHandbook[],3,FALSE)=0,"",VLOOKUP($A56,TableHandbook[],3,FALSE)),"")</f>
        <v/>
      </c>
      <c r="D56" s="421" t="str">
        <f>IFERROR(IF(VLOOKUP($A56,TableHandbook[],4,FALSE)=0,"",VLOOKUP($A56,TableHandbook[],4,FALSE)),"")</f>
        <v>Creating and Responding to Literature</v>
      </c>
      <c r="E56" s="422"/>
      <c r="F56" s="423" t="str">
        <f>IFERROR(IF(VLOOKUP($A56,TableHandbook[],6,FALSE)=0,"",VLOOKUP($A56,TableHandbook[],6,FALSE)),"")</f>
        <v>Nil</v>
      </c>
      <c r="G56" s="423">
        <f>IFERROR(IF(VLOOKUP($A56,TableHandbook[],5,FALSE)=0,"",VLOOKUP($A56,TableHandbook[],5,FALSE)),"")</f>
        <v>25</v>
      </c>
      <c r="H56" s="379" t="str">
        <f>IFERROR(VLOOKUP($A56,TableHandbook[],H$2,FALSE),"")</f>
        <v/>
      </c>
      <c r="I56" s="376" t="str">
        <f>IFERROR(VLOOKUP($A56,TableHandbook[],I$2,FALSE),"")</f>
        <v/>
      </c>
      <c r="J56" s="376" t="str">
        <f>IFERROR(VLOOKUP($A56,TableHandbook[],J$2,FALSE),"")</f>
        <v/>
      </c>
      <c r="K56" s="376" t="str">
        <f>IFERROR(VLOOKUP($A56,TableHandbook[],K$2,FALSE),"")</f>
        <v>Y</v>
      </c>
      <c r="L56" s="376" t="str">
        <f>IFERROR(VLOOKUP($A56,TableHandbook[],L$2,FALSE),"")</f>
        <v>Y</v>
      </c>
      <c r="M56" s="380" t="str">
        <f>IFERROR(VLOOKUP($A56,TableHandbook[],M$2,FALSE),"")</f>
        <v/>
      </c>
      <c r="N56" s="90"/>
      <c r="O56" s="381">
        <v>9</v>
      </c>
      <c r="P56" s="347"/>
      <c r="Q56" s="347"/>
      <c r="R56" s="347"/>
      <c r="S56" s="347"/>
      <c r="T56" s="347"/>
      <c r="U56" s="347"/>
      <c r="V56" s="347"/>
      <c r="W56" s="347"/>
      <c r="X56" s="44"/>
      <c r="Y56" s="44"/>
    </row>
    <row r="57" spans="1:25" x14ac:dyDescent="0.25">
      <c r="A57" s="419" t="str">
        <f t="shared" si="0"/>
        <v>EDUC4036</v>
      </c>
      <c r="B57" s="420">
        <f>IFERROR(IF(VLOOKUP($A57,TableHandbook[],2,FALSE)=0,"",VLOOKUP($A57,TableHandbook[],2,FALSE)),"")</f>
        <v>1</v>
      </c>
      <c r="C57" s="421" t="str">
        <f>IFERROR(IF(VLOOKUP($A57,TableHandbook[],3,FALSE)=0,"",VLOOKUP($A57,TableHandbook[],3,FALSE)),"")</f>
        <v/>
      </c>
      <c r="D57" s="421" t="str">
        <f>IFERROR(IF(VLOOKUP($A57,TableHandbook[],4,FALSE)=0,"",VLOOKUP($A57,TableHandbook[],4,FALSE)),"")</f>
        <v>Language and Diversity</v>
      </c>
      <c r="E57" s="422"/>
      <c r="F57" s="423" t="str">
        <f>IFERROR(IF(VLOOKUP($A57,TableHandbook[],6,FALSE)=0,"",VLOOKUP($A57,TableHandbook[],6,FALSE)),"")</f>
        <v>Nil</v>
      </c>
      <c r="G57" s="423">
        <f>IFERROR(IF(VLOOKUP($A57,TableHandbook[],5,FALSE)=0,"",VLOOKUP($A57,TableHandbook[],5,FALSE)),"")</f>
        <v>25</v>
      </c>
      <c r="H57" s="379" t="str">
        <f>IFERROR(VLOOKUP($A57,TableHandbook[],H$2,FALSE),"")</f>
        <v/>
      </c>
      <c r="I57" s="376" t="str">
        <f>IFERROR(VLOOKUP($A57,TableHandbook[],I$2,FALSE),"")</f>
        <v>Y</v>
      </c>
      <c r="J57" s="376" t="str">
        <f>IFERROR(VLOOKUP($A57,TableHandbook[],J$2,FALSE),"")</f>
        <v/>
      </c>
      <c r="K57" s="376" t="str">
        <f>IFERROR(VLOOKUP($A57,TableHandbook[],K$2,FALSE),"")</f>
        <v/>
      </c>
      <c r="L57" s="376" t="str">
        <f>IFERROR(VLOOKUP($A57,TableHandbook[],L$2,FALSE),"")</f>
        <v/>
      </c>
      <c r="M57" s="380" t="str">
        <f>IFERROR(VLOOKUP($A57,TableHandbook[],M$2,FALSE),"")</f>
        <v/>
      </c>
      <c r="N57" s="91"/>
      <c r="O57" s="381">
        <v>10</v>
      </c>
      <c r="P57" s="347"/>
      <c r="Q57" s="347"/>
      <c r="R57" s="347"/>
      <c r="S57" s="347"/>
      <c r="T57" s="347"/>
      <c r="U57" s="347"/>
      <c r="V57" s="347"/>
      <c r="W57" s="347"/>
      <c r="X57" s="44"/>
      <c r="Y57" s="44"/>
    </row>
    <row r="58" spans="1:25" x14ac:dyDescent="0.25">
      <c r="A58" s="419" t="str">
        <f t="shared" si="0"/>
        <v>OLNDP</v>
      </c>
      <c r="B58" s="420" t="str">
        <f>IFERROR(IF(VLOOKUP($A58,TableHandbook[],2,FALSE)=0,"",VLOOKUP($A58,TableHandbook[],2,FALSE)),"")</f>
        <v/>
      </c>
      <c r="C58" s="421" t="str">
        <f>IFERROR(IF(VLOOKUP($A58,TableHandbook[],3,FALSE)=0,"",VLOOKUP($A58,TableHandbook[],3,FALSE)),"")</f>
        <v/>
      </c>
      <c r="D58" s="421" t="str">
        <f>IFERROR(IF(VLOOKUP($A58,TableHandbook[],4,FALSE)=0,"",VLOOKUP($A58,TableHandbook[],4,FALSE)),"")</f>
        <v>Literacy and Numeracy in Diverse Populations Options</v>
      </c>
      <c r="E58" s="422"/>
      <c r="F58" s="423" t="str">
        <f>IFERROR(IF(VLOOKUP($A58,TableHandbook[],6,FALSE)=0,"",VLOOKUP($A58,TableHandbook[],6,FALSE)),"")</f>
        <v>-</v>
      </c>
      <c r="G58" s="423" t="str">
        <f>IFERROR(IF(VLOOKUP($A58,TableHandbook[],5,FALSE)=0,"",VLOOKUP($A58,TableHandbook[],5,FALSE)),"")</f>
        <v/>
      </c>
      <c r="H58" s="379" t="str">
        <f>IFERROR(VLOOKUP($A58,TableHandbook[],H$2,FALSE),"")</f>
        <v/>
      </c>
      <c r="I58" s="376" t="str">
        <f>IFERROR(VLOOKUP($A58,TableHandbook[],I$2,FALSE),"")</f>
        <v/>
      </c>
      <c r="J58" s="376" t="str">
        <f>IFERROR(VLOOKUP($A58,TableHandbook[],J$2,FALSE),"")</f>
        <v/>
      </c>
      <c r="K58" s="376" t="str">
        <f>IFERROR(VLOOKUP($A58,TableHandbook[],K$2,FALSE),"")</f>
        <v/>
      </c>
      <c r="L58" s="376" t="str">
        <f>IFERROR(VLOOKUP($A58,TableHandbook[],L$2,FALSE),"")</f>
        <v/>
      </c>
      <c r="M58" s="380" t="str">
        <f>IFERROR(VLOOKUP($A58,TableHandbook[],M$2,FALSE),"")</f>
        <v/>
      </c>
      <c r="N58" s="91"/>
      <c r="O58" s="381">
        <v>11</v>
      </c>
      <c r="P58" s="347"/>
      <c r="Q58" s="347"/>
      <c r="R58" s="347"/>
      <c r="S58" s="347"/>
      <c r="T58" s="347"/>
      <c r="U58" s="347"/>
      <c r="V58" s="347"/>
      <c r="W58" s="347"/>
      <c r="X58" s="44"/>
      <c r="Y58" s="44"/>
    </row>
    <row r="59" spans="1:25" x14ac:dyDescent="0.25">
      <c r="A59" s="419" t="str">
        <f t="shared" si="0"/>
        <v>EDUC4020</v>
      </c>
      <c r="B59" s="420">
        <f>IFERROR(IF(VLOOKUP($A59,TableHandbook[],2,FALSE)=0,"",VLOOKUP($A59,TableHandbook[],2,FALSE)),"")</f>
        <v>1</v>
      </c>
      <c r="C59" s="421" t="str">
        <f>IFERROR(IF(VLOOKUP($A59,TableHandbook[],3,FALSE)=0,"",VLOOKUP($A59,TableHandbook[],3,FALSE)),"")</f>
        <v/>
      </c>
      <c r="D59" s="421" t="str">
        <f>IFERROR(IF(VLOOKUP($A59,TableHandbook[],4,FALSE)=0,"",VLOOKUP($A59,TableHandbook[],4,FALSE)),"")</f>
        <v>Supporting Literacy and Numeracy Development for Diverse Learners</v>
      </c>
      <c r="E59" s="421"/>
      <c r="F59" s="423" t="str">
        <f>IFERROR(IF(VLOOKUP($A59,TableHandbook[],6,FALSE)=0,"",VLOOKUP($A59,TableHandbook[],6,FALSE)),"")</f>
        <v>Nil</v>
      </c>
      <c r="G59" s="423">
        <f>IFERROR(IF(VLOOKUP($A59,TableHandbook[],5,FALSE)=0,"",VLOOKUP($A59,TableHandbook[],5,FALSE)),"")</f>
        <v>25</v>
      </c>
      <c r="H59" s="379" t="str">
        <f>IFERROR(VLOOKUP($A59,TableHandbook[],H$2,FALSE),"")</f>
        <v/>
      </c>
      <c r="I59" s="376" t="str">
        <f>IFERROR(VLOOKUP($A59,TableHandbook[],I$2,FALSE),"")</f>
        <v/>
      </c>
      <c r="J59" s="376" t="str">
        <f>IFERROR(VLOOKUP($A59,TableHandbook[],J$2,FALSE),"")</f>
        <v/>
      </c>
      <c r="K59" s="376" t="str">
        <f>IFERROR(VLOOKUP($A59,TableHandbook[],K$2,FALSE),"")</f>
        <v>Y</v>
      </c>
      <c r="L59" s="376" t="str">
        <f>IFERROR(VLOOKUP($A59,TableHandbook[],L$2,FALSE),"")</f>
        <v>Y</v>
      </c>
      <c r="M59" s="380" t="str">
        <f>IFERROR(VLOOKUP($A59,TableHandbook[],M$2,FALSE),"")</f>
        <v/>
      </c>
      <c r="N59" s="91"/>
      <c r="O59" s="381">
        <v>12</v>
      </c>
      <c r="P59" s="347"/>
      <c r="Q59" s="347"/>
      <c r="R59" s="347"/>
      <c r="S59" s="347"/>
      <c r="T59" s="347"/>
      <c r="U59" s="347"/>
      <c r="V59" s="347"/>
      <c r="W59" s="347"/>
      <c r="X59" s="44"/>
      <c r="Y59" s="44"/>
    </row>
    <row r="60" spans="1:25" x14ac:dyDescent="0.25">
      <c r="A60" s="419" t="str">
        <f t="shared" si="0"/>
        <v>EDUC4042</v>
      </c>
      <c r="B60" s="420">
        <f>IFERROR(IF(VLOOKUP($A60,TableHandbook[],2,FALSE)=0,"",VLOOKUP($A60,TableHandbook[],2,FALSE)),"")</f>
        <v>1</v>
      </c>
      <c r="C60" s="421" t="str">
        <f>IFERROR(IF(VLOOKUP($A60,TableHandbook[],3,FALSE)=0,"",VLOOKUP($A60,TableHandbook[],3,FALSE)),"")</f>
        <v/>
      </c>
      <c r="D60" s="421" t="str">
        <f>IFERROR(IF(VLOOKUP($A60,TableHandbook[],4,FALSE)=0,"",VLOOKUP($A60,TableHandbook[],4,FALSE)),"")</f>
        <v>Alternative Approaches to Teaching Literacy and Numeracy</v>
      </c>
      <c r="E60" s="421"/>
      <c r="F60" s="423" t="str">
        <f>IFERROR(IF(VLOOKUP($A60,TableHandbook[],6,FALSE)=0,"",VLOOKUP($A60,TableHandbook[],6,FALSE)),"")</f>
        <v>Nil</v>
      </c>
      <c r="G60" s="423">
        <f>IFERROR(IF(VLOOKUP($A60,TableHandbook[],5,FALSE)=0,"",VLOOKUP($A60,TableHandbook[],5,FALSE)),"")</f>
        <v>25</v>
      </c>
      <c r="H60" s="379" t="str">
        <f>IFERROR(VLOOKUP($A60,TableHandbook[],H$2,FALSE),"")</f>
        <v/>
      </c>
      <c r="I60" s="376" t="str">
        <f>IFERROR(VLOOKUP($A60,TableHandbook[],I$2,FALSE),"")</f>
        <v>Y</v>
      </c>
      <c r="J60" s="376" t="str">
        <f>IFERROR(VLOOKUP($A60,TableHandbook[],J$2,FALSE),"")</f>
        <v/>
      </c>
      <c r="K60" s="376" t="str">
        <f>IFERROR(VLOOKUP($A60,TableHandbook[],K$2,FALSE),"")</f>
        <v/>
      </c>
      <c r="L60" s="376" t="str">
        <f>IFERROR(VLOOKUP($A60,TableHandbook[],L$2,FALSE),"")</f>
        <v/>
      </c>
      <c r="M60" s="380" t="str">
        <f>IFERROR(VLOOKUP($A60,TableHandbook[],M$2,FALSE),"")</f>
        <v/>
      </c>
      <c r="N60" s="91"/>
      <c r="O60" s="381">
        <v>13</v>
      </c>
      <c r="P60" s="347"/>
      <c r="Q60" s="347"/>
      <c r="R60" s="347"/>
      <c r="S60" s="347"/>
      <c r="T60" s="347"/>
      <c r="U60" s="347"/>
      <c r="V60" s="347"/>
      <c r="W60" s="347"/>
      <c r="X60" s="44"/>
      <c r="Y60" s="44"/>
    </row>
    <row r="61" spans="1:25" x14ac:dyDescent="0.25">
      <c r="A61" s="419" t="str">
        <f t="shared" si="0"/>
        <v>EDUC4044</v>
      </c>
      <c r="B61" s="420">
        <f>IFERROR(IF(VLOOKUP($A61,TableHandbook[],2,FALSE)=0,"",VLOOKUP($A61,TableHandbook[],2,FALSE)),"")</f>
        <v>2</v>
      </c>
      <c r="C61" s="421" t="str">
        <f>IFERROR(IF(VLOOKUP($A61,TableHandbook[],3,FALSE)=0,"",VLOOKUP($A61,TableHandbook[],3,FALSE)),"")</f>
        <v/>
      </c>
      <c r="D61" s="421" t="str">
        <f>IFERROR(IF(VLOOKUP($A61,TableHandbook[],4,FALSE)=0,"",VLOOKUP($A61,TableHandbook[],4,FALSE)),"")</f>
        <v>Literacy and Numeracy for First Nations Peoples of Australia</v>
      </c>
      <c r="E61" s="421"/>
      <c r="F61" s="423" t="str">
        <f>IFERROR(IF(VLOOKUP($A61,TableHandbook[],6,FALSE)=0,"",VLOOKUP($A61,TableHandbook[],6,FALSE)),"")</f>
        <v>Nil</v>
      </c>
      <c r="G61" s="423">
        <f>IFERROR(IF(VLOOKUP($A61,TableHandbook[],5,FALSE)=0,"",VLOOKUP($A61,TableHandbook[],5,FALSE)),"")</f>
        <v>25</v>
      </c>
      <c r="H61" s="379" t="str">
        <f>IFERROR(VLOOKUP($A61,TableHandbook[],H$2,FALSE),"")</f>
        <v/>
      </c>
      <c r="I61" s="376" t="str">
        <f>IFERROR(VLOOKUP($A61,TableHandbook[],I$2,FALSE),"")</f>
        <v/>
      </c>
      <c r="J61" s="376" t="str">
        <f>IFERROR(VLOOKUP($A61,TableHandbook[],J$2,FALSE),"")</f>
        <v/>
      </c>
      <c r="K61" s="376" t="str">
        <f>IFERROR(VLOOKUP($A61,TableHandbook[],K$2,FALSE),"")</f>
        <v>Y</v>
      </c>
      <c r="L61" s="376" t="str">
        <f>IFERROR(VLOOKUP($A61,TableHandbook[],L$2,FALSE),"")</f>
        <v>Y</v>
      </c>
      <c r="M61" s="380" t="str">
        <f>IFERROR(VLOOKUP($A61,TableHandbook[],M$2,FALSE),"")</f>
        <v/>
      </c>
      <c r="N61" s="91"/>
      <c r="O61" s="381">
        <v>14</v>
      </c>
      <c r="P61" s="347"/>
      <c r="Q61" s="347"/>
      <c r="R61" s="347"/>
      <c r="S61" s="347"/>
      <c r="T61" s="347"/>
      <c r="U61" s="347"/>
      <c r="V61" s="347"/>
      <c r="W61" s="347"/>
      <c r="X61" s="44"/>
      <c r="Y61" s="44"/>
    </row>
    <row r="62" spans="1:25" x14ac:dyDescent="0.25">
      <c r="A62" s="419" t="str">
        <f t="shared" si="0"/>
        <v>OT</v>
      </c>
      <c r="B62" s="420" t="str">
        <f>IFERROR(IF(VLOOKUP($A62,TableHandbook[],2,FALSE)=0,"",VLOOKUP($A62,TableHandbook[],2,FALSE)),"")</f>
        <v/>
      </c>
      <c r="C62" s="421" t="str">
        <f>IFERROR(IF(VLOOKUP($A62,TableHandbook[],3,FALSE)=0,"",VLOOKUP($A62,TableHandbook[],3,FALSE)),"")</f>
        <v/>
      </c>
      <c r="D62" s="421" t="str">
        <f>IFERROR(IF(VLOOKUP($A62,TableHandbook[],4,FALSE)=0,"",VLOOKUP($A62,TableHandbook[],4,FALSE)),"")</f>
        <v>Technologies Options</v>
      </c>
      <c r="E62" s="421"/>
      <c r="F62" s="423" t="str">
        <f>IFERROR(IF(VLOOKUP($A62,TableHandbook[],6,FALSE)=0,"",VLOOKUP($A62,TableHandbook[],6,FALSE)),"")</f>
        <v>-</v>
      </c>
      <c r="G62" s="423" t="str">
        <f>IFERROR(IF(VLOOKUP($A62,TableHandbook[],5,FALSE)=0,"",VLOOKUP($A62,TableHandbook[],5,FALSE)),"")</f>
        <v/>
      </c>
      <c r="H62" s="379" t="str">
        <f>IFERROR(VLOOKUP($A62,TableHandbook[],H$2,FALSE),"")</f>
        <v/>
      </c>
      <c r="I62" s="376" t="str">
        <f>IFERROR(VLOOKUP($A62,TableHandbook[],I$2,FALSE),"")</f>
        <v/>
      </c>
      <c r="J62" s="376" t="str">
        <f>IFERROR(VLOOKUP($A62,TableHandbook[],J$2,FALSE),"")</f>
        <v/>
      </c>
      <c r="K62" s="376" t="str">
        <f>IFERROR(VLOOKUP($A62,TableHandbook[],K$2,FALSE),"")</f>
        <v/>
      </c>
      <c r="L62" s="376" t="str">
        <f>IFERROR(VLOOKUP($A62,TableHandbook[],L$2,FALSE),"")</f>
        <v/>
      </c>
      <c r="M62" s="380" t="str">
        <f>IFERROR(VLOOKUP($A62,TableHandbook[],M$2,FALSE),"")</f>
        <v/>
      </c>
      <c r="N62" s="91"/>
      <c r="O62" s="381">
        <v>15</v>
      </c>
      <c r="P62" s="347"/>
      <c r="Q62" s="347"/>
      <c r="R62" s="347"/>
      <c r="S62" s="347"/>
      <c r="T62" s="347"/>
      <c r="U62" s="347"/>
      <c r="V62" s="347"/>
      <c r="W62" s="347"/>
      <c r="X62" s="44"/>
      <c r="Y62" s="44"/>
    </row>
    <row r="63" spans="1:25" x14ac:dyDescent="0.25">
      <c r="A63" s="419" t="str">
        <f t="shared" si="0"/>
        <v>EDUC4029</v>
      </c>
      <c r="B63" s="420">
        <f>IFERROR(IF(VLOOKUP($A63,TableHandbook[],2,FALSE)=0,"",VLOOKUP($A63,TableHandbook[],2,FALSE)),"")</f>
        <v>1</v>
      </c>
      <c r="C63" s="421" t="str">
        <f>IFERROR(IF(VLOOKUP($A63,TableHandbook[],3,FALSE)=0,"",VLOOKUP($A63,TableHandbook[],3,FALSE)),"")</f>
        <v/>
      </c>
      <c r="D63" s="421" t="str">
        <f>IFERROR(IF(VLOOKUP($A63,TableHandbook[],4,FALSE)=0,"",VLOOKUP($A63,TableHandbook[],4,FALSE)),"")</f>
        <v>Technologies: Coding for Teachers</v>
      </c>
      <c r="E63" s="421"/>
      <c r="F63" s="423" t="str">
        <f>IFERROR(IF(VLOOKUP($A63,TableHandbook[],6,FALSE)=0,"",VLOOKUP($A63,TableHandbook[],6,FALSE)),"")</f>
        <v>Nil</v>
      </c>
      <c r="G63" s="423">
        <f>IFERROR(IF(VLOOKUP($A63,TableHandbook[],5,FALSE)=0,"",VLOOKUP($A63,TableHandbook[],5,FALSE)),"")</f>
        <v>25</v>
      </c>
      <c r="H63" s="379" t="str">
        <f>IFERROR(VLOOKUP($A63,TableHandbook[],H$2,FALSE),"")</f>
        <v/>
      </c>
      <c r="I63" s="376" t="str">
        <f>IFERROR(VLOOKUP($A63,TableHandbook[],I$2,FALSE),"")</f>
        <v/>
      </c>
      <c r="J63" s="376" t="str">
        <f>IFERROR(VLOOKUP($A63,TableHandbook[],J$2,FALSE),"")</f>
        <v/>
      </c>
      <c r="K63" s="376" t="str">
        <f>IFERROR(VLOOKUP($A63,TableHandbook[],K$2,FALSE),"")</f>
        <v>Y</v>
      </c>
      <c r="L63" s="376" t="str">
        <f>IFERROR(VLOOKUP($A63,TableHandbook[],L$2,FALSE),"")</f>
        <v>Y</v>
      </c>
      <c r="M63" s="380" t="str">
        <f>IFERROR(VLOOKUP($A63,TableHandbook[],M$2,FALSE),"")</f>
        <v/>
      </c>
      <c r="N63" s="91"/>
      <c r="O63" s="381">
        <v>16</v>
      </c>
      <c r="P63" s="347"/>
      <c r="Q63" s="347"/>
      <c r="R63" s="347"/>
      <c r="S63" s="347"/>
      <c r="T63" s="347"/>
      <c r="U63" s="347"/>
      <c r="V63" s="347"/>
      <c r="W63" s="347"/>
      <c r="X63" s="44"/>
      <c r="Y63" s="44"/>
    </row>
    <row r="64" spans="1:25" x14ac:dyDescent="0.25">
      <c r="A64" s="419" t="str">
        <f t="shared" si="0"/>
        <v>EDUC4038</v>
      </c>
      <c r="B64" s="420">
        <f>IFERROR(IF(VLOOKUP($A64,TableHandbook[],2,FALSE)=0,"",VLOOKUP($A64,TableHandbook[],2,FALSE)),"")</f>
        <v>1</v>
      </c>
      <c r="C64" s="421" t="str">
        <f>IFERROR(IF(VLOOKUP($A64,TableHandbook[],3,FALSE)=0,"",VLOOKUP($A64,TableHandbook[],3,FALSE)),"")</f>
        <v/>
      </c>
      <c r="D64" s="421" t="str">
        <f>IFERROR(IF(VLOOKUP($A64,TableHandbook[],4,FALSE)=0,"",VLOOKUP($A64,TableHandbook[],4,FALSE)),"")</f>
        <v>Technologies: Design Solutions</v>
      </c>
      <c r="E64" s="421"/>
      <c r="F64" s="423" t="str">
        <f>IFERROR(IF(VLOOKUP($A64,TableHandbook[],6,FALSE)=0,"",VLOOKUP($A64,TableHandbook[],6,FALSE)),"")</f>
        <v>Nil</v>
      </c>
      <c r="G64" s="423">
        <f>IFERROR(IF(VLOOKUP($A64,TableHandbook[],5,FALSE)=0,"",VLOOKUP($A64,TableHandbook[],5,FALSE)),"")</f>
        <v>25</v>
      </c>
      <c r="H64" s="379" t="str">
        <f>IFERROR(VLOOKUP($A64,TableHandbook[],H$2,FALSE),"")</f>
        <v>Y</v>
      </c>
      <c r="I64" s="376" t="str">
        <f>IFERROR(VLOOKUP($A64,TableHandbook[],I$2,FALSE),"")</f>
        <v>Y</v>
      </c>
      <c r="J64" s="376" t="str">
        <f>IFERROR(VLOOKUP($A64,TableHandbook[],J$2,FALSE),"")</f>
        <v/>
      </c>
      <c r="K64" s="376" t="str">
        <f>IFERROR(VLOOKUP($A64,TableHandbook[],K$2,FALSE),"")</f>
        <v/>
      </c>
      <c r="L64" s="376" t="str">
        <f>IFERROR(VLOOKUP($A64,TableHandbook[],L$2,FALSE),"")</f>
        <v/>
      </c>
      <c r="M64" s="380" t="str">
        <f>IFERROR(VLOOKUP($A64,TableHandbook[],M$2,FALSE),"")</f>
        <v/>
      </c>
      <c r="N64" s="91"/>
      <c r="O64" s="381">
        <v>17</v>
      </c>
      <c r="P64" s="347"/>
      <c r="Q64" s="347"/>
      <c r="R64" s="347"/>
      <c r="S64" s="347"/>
      <c r="T64" s="347"/>
      <c r="U64" s="347"/>
      <c r="V64" s="347"/>
      <c r="W64" s="347"/>
      <c r="X64" s="44"/>
      <c r="Y64" s="44"/>
    </row>
    <row r="65" spans="1:25" x14ac:dyDescent="0.25">
      <c r="A65" s="419" t="str">
        <f t="shared" si="0"/>
        <v>EDUC4046</v>
      </c>
      <c r="B65" s="420">
        <f>IFERROR(IF(VLOOKUP($A65,TableHandbook[],2,FALSE)=0,"",VLOOKUP($A65,TableHandbook[],2,FALSE)),"")</f>
        <v>1</v>
      </c>
      <c r="C65" s="421" t="str">
        <f>IFERROR(IF(VLOOKUP($A65,TableHandbook[],3,FALSE)=0,"",VLOOKUP($A65,TableHandbook[],3,FALSE)),"")</f>
        <v/>
      </c>
      <c r="D65" s="421" t="str">
        <f>IFERROR(IF(VLOOKUP($A65,TableHandbook[],4,FALSE)=0,"",VLOOKUP($A65,TableHandbook[],4,FALSE)),"")</f>
        <v>Technologies: Digital Solutions</v>
      </c>
      <c r="E65" s="421"/>
      <c r="F65" s="423" t="str">
        <f>IFERROR(IF(VLOOKUP($A65,TableHandbook[],6,FALSE)=0,"",VLOOKUP($A65,TableHandbook[],6,FALSE)),"")</f>
        <v>Nil</v>
      </c>
      <c r="G65" s="423">
        <f>IFERROR(IF(VLOOKUP($A65,TableHandbook[],5,FALSE)=0,"",VLOOKUP($A65,TableHandbook[],5,FALSE)),"")</f>
        <v>25</v>
      </c>
      <c r="H65" s="379" t="str">
        <f>IFERROR(VLOOKUP($A65,TableHandbook[],H$2,FALSE),"")</f>
        <v/>
      </c>
      <c r="I65" s="376" t="str">
        <f>IFERROR(VLOOKUP($A65,TableHandbook[],I$2,FALSE),"")</f>
        <v>Y</v>
      </c>
      <c r="J65" s="376" t="str">
        <f>IFERROR(VLOOKUP($A65,TableHandbook[],J$2,FALSE),"")</f>
        <v/>
      </c>
      <c r="K65" s="376" t="str">
        <f>IFERROR(VLOOKUP($A65,TableHandbook[],K$2,FALSE),"")</f>
        <v/>
      </c>
      <c r="L65" s="376" t="str">
        <f>IFERROR(VLOOKUP($A65,TableHandbook[],L$2,FALSE),"")</f>
        <v/>
      </c>
      <c r="M65" s="380" t="str">
        <f>IFERROR(VLOOKUP($A65,TableHandbook[],M$2,FALSE),"")</f>
        <v/>
      </c>
      <c r="N65" s="91"/>
      <c r="O65" s="381">
        <v>18</v>
      </c>
      <c r="P65" s="347"/>
      <c r="Q65" s="347"/>
      <c r="R65" s="347"/>
      <c r="S65" s="347"/>
      <c r="T65" s="347"/>
      <c r="U65" s="347"/>
      <c r="V65" s="347"/>
      <c r="W65" s="347"/>
      <c r="X65" s="44"/>
      <c r="Y65" s="44"/>
    </row>
    <row r="66" spans="1:25" x14ac:dyDescent="0.25">
      <c r="A66" s="419" t="str">
        <f t="shared" si="0"/>
        <v>OCE</v>
      </c>
      <c r="B66" s="420" t="str">
        <f>IFERROR(IF(VLOOKUP($A66,TableHandbook[],2,FALSE)=0,"",VLOOKUP($A66,TableHandbook[],2,FALSE)),"")</f>
        <v/>
      </c>
      <c r="C66" s="421" t="str">
        <f>IFERROR(IF(VLOOKUP($A66,TableHandbook[],3,FALSE)=0,"",VLOOKUP($A66,TableHandbook[],3,FALSE)),"")</f>
        <v/>
      </c>
      <c r="D66" s="421" t="str">
        <f>IFERROR(IF(VLOOKUP($A66,TableHandbook[],4,FALSE)=0,"",VLOOKUP($A66,TableHandbook[],4,FALSE)),"")</f>
        <v>Catholic Education Options</v>
      </c>
      <c r="E66" s="421"/>
      <c r="F66" s="423" t="str">
        <f>IFERROR(IF(VLOOKUP($A66,TableHandbook[],6,FALSE)=0,"",VLOOKUP($A66,TableHandbook[],6,FALSE)),"")</f>
        <v>-</v>
      </c>
      <c r="G66" s="423" t="str">
        <f>IFERROR(IF(VLOOKUP($A66,TableHandbook[],5,FALSE)=0,"",VLOOKUP($A66,TableHandbook[],5,FALSE)),"")</f>
        <v/>
      </c>
      <c r="H66" s="379" t="str">
        <f>IFERROR(VLOOKUP($A66,TableHandbook[],H$2,FALSE),"")</f>
        <v/>
      </c>
      <c r="I66" s="376" t="str">
        <f>IFERROR(VLOOKUP($A66,TableHandbook[],I$2,FALSE),"")</f>
        <v/>
      </c>
      <c r="J66" s="376" t="str">
        <f>IFERROR(VLOOKUP($A66,TableHandbook[],J$2,FALSE),"")</f>
        <v/>
      </c>
      <c r="K66" s="376" t="str">
        <f>IFERROR(VLOOKUP($A66,TableHandbook[],K$2,FALSE),"")</f>
        <v/>
      </c>
      <c r="L66" s="376" t="str">
        <f>IFERROR(VLOOKUP($A66,TableHandbook[],L$2,FALSE),"")</f>
        <v/>
      </c>
      <c r="M66" s="380" t="str">
        <f>IFERROR(VLOOKUP($A66,TableHandbook[],M$2,FALSE),"")</f>
        <v/>
      </c>
      <c r="N66" s="91"/>
      <c r="O66" s="381">
        <v>19</v>
      </c>
      <c r="P66" s="347"/>
      <c r="Q66" s="347"/>
      <c r="R66" s="347"/>
      <c r="S66" s="347"/>
      <c r="T66" s="347"/>
      <c r="U66" s="347"/>
      <c r="V66" s="347"/>
      <c r="W66" s="347"/>
      <c r="X66" s="44"/>
      <c r="Y66" s="44"/>
    </row>
    <row r="67" spans="1:25" x14ac:dyDescent="0.25">
      <c r="A67" s="419" t="str">
        <f t="shared" si="0"/>
        <v>CTED4001</v>
      </c>
      <c r="B67" s="420">
        <f>IFERROR(IF(VLOOKUP($A67,TableHandbook[],2,FALSE)=0,"",VLOOKUP($A67,TableHandbook[],2,FALSE)),"")</f>
        <v>2</v>
      </c>
      <c r="C67" s="421" t="str">
        <f>IFERROR(IF(VLOOKUP($A67,TableHandbook[],3,FALSE)=0,"",VLOOKUP($A67,TableHandbook[],3,FALSE)),"")</f>
        <v/>
      </c>
      <c r="D67" s="421" t="str">
        <f>IFERROR(IF(VLOOKUP($A67,TableHandbook[],4,FALSE)=0,"",VLOOKUP($A67,TableHandbook[],4,FALSE)),"")</f>
        <v>Teaching About Sacraments in Catholic Schools</v>
      </c>
      <c r="E67" s="421"/>
      <c r="F67" s="423" t="str">
        <f>IFERROR(IF(VLOOKUP($A67,TableHandbook[],6,FALSE)=0,"",VLOOKUP($A67,TableHandbook[],6,FALSE)),"")</f>
        <v>Nil</v>
      </c>
      <c r="G67" s="423">
        <f>IFERROR(IF(VLOOKUP($A67,TableHandbook[],5,FALSE)=0,"",VLOOKUP($A67,TableHandbook[],5,FALSE)),"")</f>
        <v>25</v>
      </c>
      <c r="H67" s="379" t="str">
        <f>IFERROR(VLOOKUP($A67,TableHandbook[],H$2,FALSE),"")</f>
        <v>Y</v>
      </c>
      <c r="I67" s="376" t="str">
        <f>IFERROR(VLOOKUP($A67,TableHandbook[],I$2,FALSE),"")</f>
        <v>Y</v>
      </c>
      <c r="J67" s="376" t="str">
        <f>IFERROR(VLOOKUP($A67,TableHandbook[],J$2,FALSE),"")</f>
        <v>Y</v>
      </c>
      <c r="K67" s="376" t="str">
        <f>IFERROR(VLOOKUP($A67,TableHandbook[],K$2,FALSE),"")</f>
        <v/>
      </c>
      <c r="L67" s="376" t="str">
        <f>IFERROR(VLOOKUP($A67,TableHandbook[],L$2,FALSE),"")</f>
        <v/>
      </c>
      <c r="M67" s="380" t="str">
        <f>IFERROR(VLOOKUP($A67,TableHandbook[],M$2,FALSE),"")</f>
        <v/>
      </c>
      <c r="N67" s="91"/>
      <c r="O67" s="381">
        <v>20</v>
      </c>
      <c r="P67" s="347"/>
      <c r="Q67" s="347"/>
      <c r="R67" s="347"/>
      <c r="S67" s="347"/>
      <c r="T67" s="347"/>
      <c r="U67" s="347"/>
      <c r="V67" s="347"/>
      <c r="W67" s="347"/>
      <c r="X67" s="44"/>
      <c r="Y67" s="44"/>
    </row>
    <row r="68" spans="1:25" x14ac:dyDescent="0.25">
      <c r="A68" s="419" t="str">
        <f t="shared" si="0"/>
        <v>CTED4006</v>
      </c>
      <c r="B68" s="420">
        <f>IFERROR(IF(VLOOKUP($A68,TableHandbook[],2,FALSE)=0,"",VLOOKUP($A68,TableHandbook[],2,FALSE)),"")</f>
        <v>1</v>
      </c>
      <c r="C68" s="421" t="str">
        <f>IFERROR(IF(VLOOKUP($A68,TableHandbook[],3,FALSE)=0,"",VLOOKUP($A68,TableHandbook[],3,FALSE)),"")</f>
        <v/>
      </c>
      <c r="D68" s="421" t="str">
        <f>IFERROR(IF(VLOOKUP($A68,TableHandbook[],4,FALSE)=0,"",VLOOKUP($A68,TableHandbook[],4,FALSE)),"")</f>
        <v>Teaching About Jesus in Catholic Schools</v>
      </c>
      <c r="E68" s="421"/>
      <c r="F68" s="423" t="str">
        <f>IFERROR(IF(VLOOKUP($A68,TableHandbook[],6,FALSE)=0,"",VLOOKUP($A68,TableHandbook[],6,FALSE)),"")</f>
        <v>Nil</v>
      </c>
      <c r="G68" s="423">
        <f>IFERROR(IF(VLOOKUP($A68,TableHandbook[],5,FALSE)=0,"",VLOOKUP($A68,TableHandbook[],5,FALSE)),"")</f>
        <v>25</v>
      </c>
      <c r="H68" s="379" t="str">
        <f>IFERROR(VLOOKUP($A68,TableHandbook[],H$2,FALSE),"")</f>
        <v/>
      </c>
      <c r="I68" s="376" t="str">
        <f>IFERROR(VLOOKUP($A68,TableHandbook[],I$2,FALSE),"")</f>
        <v/>
      </c>
      <c r="J68" s="376" t="str">
        <f>IFERROR(VLOOKUP($A68,TableHandbook[],J$2,FALSE),"")</f>
        <v/>
      </c>
      <c r="K68" s="376" t="str">
        <f>IFERROR(VLOOKUP($A68,TableHandbook[],K$2,FALSE),"")</f>
        <v>Y</v>
      </c>
      <c r="L68" s="376" t="str">
        <f>IFERROR(VLOOKUP($A68,TableHandbook[],L$2,FALSE),"")</f>
        <v>Y</v>
      </c>
      <c r="M68" s="380" t="str">
        <f>IFERROR(VLOOKUP($A68,TableHandbook[],M$2,FALSE),"")</f>
        <v>Y</v>
      </c>
      <c r="N68" s="91"/>
      <c r="O68" s="381">
        <v>21</v>
      </c>
      <c r="P68" s="347"/>
      <c r="Q68" s="347"/>
      <c r="R68" s="347"/>
      <c r="S68" s="347"/>
      <c r="T68" s="347"/>
      <c r="U68" s="347"/>
      <c r="V68" s="347"/>
      <c r="W68" s="347"/>
      <c r="X68" s="44"/>
      <c r="Y68" s="44"/>
    </row>
    <row r="69" spans="1:25" x14ac:dyDescent="0.25">
      <c r="A69" s="419" t="str">
        <f t="shared" si="0"/>
        <v>CTED4008</v>
      </c>
      <c r="B69" s="420">
        <f>IFERROR(IF(VLOOKUP($A69,TableHandbook[],2,FALSE)=0,"",VLOOKUP($A69,TableHandbook[],2,FALSE)),"")</f>
        <v>1</v>
      </c>
      <c r="C69" s="421" t="str">
        <f>IFERROR(IF(VLOOKUP($A69,TableHandbook[],3,FALSE)=0,"",VLOOKUP($A69,TableHandbook[],3,FALSE)),"")</f>
        <v/>
      </c>
      <c r="D69" s="421" t="str">
        <f>IFERROR(IF(VLOOKUP($A69,TableHandbook[],4,FALSE)=0,"",VLOOKUP($A69,TableHandbook[],4,FALSE)),"")</f>
        <v>Teaching About the Gospels in Catholic Schools</v>
      </c>
      <c r="E69" s="421"/>
      <c r="F69" s="423" t="str">
        <f>IFERROR(IF(VLOOKUP($A69,TableHandbook[],6,FALSE)=0,"",VLOOKUP($A69,TableHandbook[],6,FALSE)),"")</f>
        <v>Nil</v>
      </c>
      <c r="G69" s="423">
        <f>IFERROR(IF(VLOOKUP($A69,TableHandbook[],5,FALSE)=0,"",VLOOKUP($A69,TableHandbook[],5,FALSE)),"")</f>
        <v>25</v>
      </c>
      <c r="H69" s="379" t="str">
        <f>IFERROR(VLOOKUP($A69,TableHandbook[],H$2,FALSE),"")</f>
        <v>Y</v>
      </c>
      <c r="I69" s="376" t="str">
        <f>IFERROR(VLOOKUP($A69,TableHandbook[],I$2,FALSE),"")</f>
        <v>Y</v>
      </c>
      <c r="J69" s="376" t="str">
        <f>IFERROR(VLOOKUP($A69,TableHandbook[],J$2,FALSE),"")</f>
        <v>Y</v>
      </c>
      <c r="K69" s="376" t="str">
        <f>IFERROR(VLOOKUP($A69,TableHandbook[],K$2,FALSE),"")</f>
        <v/>
      </c>
      <c r="L69" s="376" t="str">
        <f>IFERROR(VLOOKUP($A69,TableHandbook[],L$2,FALSE),"")</f>
        <v/>
      </c>
      <c r="M69" s="380" t="str">
        <f>IFERROR(VLOOKUP($A69,TableHandbook[],M$2,FALSE),"")</f>
        <v/>
      </c>
      <c r="N69" s="91"/>
      <c r="O69" s="381">
        <v>22</v>
      </c>
      <c r="P69" s="347"/>
      <c r="Q69" s="347"/>
      <c r="R69" s="347"/>
      <c r="S69" s="347"/>
      <c r="T69" s="347"/>
      <c r="U69" s="347"/>
      <c r="V69" s="347"/>
      <c r="W69" s="347"/>
      <c r="X69" s="44"/>
      <c r="Y69" s="44"/>
    </row>
    <row r="70" spans="1:25" x14ac:dyDescent="0.25">
      <c r="A70" s="419" t="str">
        <f t="shared" si="0"/>
        <v>OO</v>
      </c>
      <c r="B70" s="420" t="str">
        <f>IFERROR(IF(VLOOKUP($A70,TableHandbook[],2,FALSE)=0,"",VLOOKUP($A70,TableHandbook[],2,FALSE)),"")</f>
        <v/>
      </c>
      <c r="C70" s="421" t="str">
        <f>IFERROR(IF(VLOOKUP($A70,TableHandbook[],3,FALSE)=0,"",VLOOKUP($A70,TableHandbook[],3,FALSE)),"")</f>
        <v/>
      </c>
      <c r="D70" s="421" t="str">
        <f>IFERROR(IF(VLOOKUP($A70,TableHandbook[],4,FALSE)=0,"",VLOOKUP($A70,TableHandbook[],4,FALSE)),"")</f>
        <v>Other Bachelor of Education (ECE) Options</v>
      </c>
      <c r="E70" s="421"/>
      <c r="F70" s="423" t="str">
        <f>IFERROR(IF(VLOOKUP($A70,TableHandbook[],6,FALSE)=0,"",VLOOKUP($A70,TableHandbook[],6,FALSE)),"")</f>
        <v>-</v>
      </c>
      <c r="G70" s="423" t="str">
        <f>IFERROR(IF(VLOOKUP($A70,TableHandbook[],5,FALSE)=0,"",VLOOKUP($A70,TableHandbook[],5,FALSE)),"")</f>
        <v/>
      </c>
      <c r="H70" s="379" t="str">
        <f>IFERROR(VLOOKUP($A70,TableHandbook[],H$2,FALSE),"")</f>
        <v/>
      </c>
      <c r="I70" s="376" t="str">
        <f>IFERROR(VLOOKUP($A70,TableHandbook[],I$2,FALSE),"")</f>
        <v/>
      </c>
      <c r="J70" s="376" t="str">
        <f>IFERROR(VLOOKUP($A70,TableHandbook[],J$2,FALSE),"")</f>
        <v/>
      </c>
      <c r="K70" s="376" t="str">
        <f>IFERROR(VLOOKUP($A70,TableHandbook[],K$2,FALSE),"")</f>
        <v/>
      </c>
      <c r="L70" s="376" t="str">
        <f>IFERROR(VLOOKUP($A70,TableHandbook[],L$2,FALSE),"")</f>
        <v/>
      </c>
      <c r="M70" s="380" t="str">
        <f>IFERROR(VLOOKUP($A70,TableHandbook[],M$2,FALSE),"")</f>
        <v/>
      </c>
      <c r="N70" s="91"/>
      <c r="O70" s="381">
        <v>23</v>
      </c>
      <c r="P70" s="347"/>
      <c r="Q70" s="347"/>
      <c r="R70" s="347"/>
      <c r="S70" s="347"/>
      <c r="T70" s="347"/>
      <c r="U70" s="347"/>
      <c r="V70" s="347"/>
      <c r="W70" s="347"/>
      <c r="X70" s="44"/>
      <c r="Y70" s="44"/>
    </row>
    <row r="71" spans="1:25" x14ac:dyDescent="0.25">
      <c r="A71" s="419" t="str">
        <f t="shared" si="0"/>
        <v>EDPR2000</v>
      </c>
      <c r="B71" s="420">
        <f>IFERROR(IF(VLOOKUP($A71,TableHandbook[],2,FALSE)=0,"",VLOOKUP($A71,TableHandbook[],2,FALSE)),"")</f>
        <v>1</v>
      </c>
      <c r="C71" s="421" t="str">
        <f>IFERROR(IF(VLOOKUP($A71,TableHandbook[],3,FALSE)=0,"",VLOOKUP($A71,TableHandbook[],3,FALSE)),"")</f>
        <v/>
      </c>
      <c r="D71" s="421" t="str">
        <f>IFERROR(IF(VLOOKUP($A71,TableHandbook[],4,FALSE)=0,"",VLOOKUP($A71,TableHandbook[],4,FALSE)),"")</f>
        <v>Inquiry in the Science Classroom</v>
      </c>
      <c r="E71" s="421"/>
      <c r="F71" s="423" t="str">
        <f>IFERROR(IF(VLOOKUP($A71,TableHandbook[],6,FALSE)=0,"",VLOOKUP($A71,TableHandbook[],6,FALSE)),"")</f>
        <v>100CP + EDUC1027</v>
      </c>
      <c r="G71" s="423">
        <f>IFERROR(IF(VLOOKUP($A71,TableHandbook[],5,FALSE)=0,"",VLOOKUP($A71,TableHandbook[],5,FALSE)),"")</f>
        <v>25</v>
      </c>
      <c r="H71" s="379" t="str">
        <f>IFERROR(VLOOKUP($A71,TableHandbook[],H$2,FALSE),"")</f>
        <v/>
      </c>
      <c r="I71" s="376" t="str">
        <f>IFERROR(VLOOKUP($A71,TableHandbook[],I$2,FALSE),"")</f>
        <v/>
      </c>
      <c r="J71" s="376" t="str">
        <f>IFERROR(VLOOKUP($A71,TableHandbook[],J$2,FALSE),"")</f>
        <v/>
      </c>
      <c r="K71" s="376" t="str">
        <f>IFERROR(VLOOKUP($A71,TableHandbook[],K$2,FALSE),"")</f>
        <v>Y</v>
      </c>
      <c r="L71" s="376" t="str">
        <f>IFERROR(VLOOKUP($A71,TableHandbook[],L$2,FALSE),"")</f>
        <v>Y</v>
      </c>
      <c r="M71" s="380" t="str">
        <f>IFERROR(VLOOKUP($A71,TableHandbook[],M$2,FALSE),"")</f>
        <v>Y</v>
      </c>
      <c r="N71" s="91"/>
      <c r="O71" s="381">
        <v>24</v>
      </c>
      <c r="P71" s="347"/>
      <c r="Q71" s="347"/>
      <c r="R71" s="347"/>
      <c r="S71" s="347"/>
      <c r="T71" s="347"/>
      <c r="U71" s="347"/>
      <c r="V71" s="347"/>
      <c r="W71" s="347"/>
      <c r="X71" s="44"/>
      <c r="Y71" s="44"/>
    </row>
    <row r="72" spans="1:25" ht="24" x14ac:dyDescent="0.25">
      <c r="A72" s="419" t="str">
        <f t="shared" si="0"/>
        <v>EDPR2004</v>
      </c>
      <c r="B72" s="420">
        <f>IFERROR(IF(VLOOKUP($A72,TableHandbook[],2,FALSE)=0,"",VLOOKUP($A72,TableHandbook[],2,FALSE)),"")</f>
        <v>1</v>
      </c>
      <c r="C72" s="421" t="str">
        <f>IFERROR(IF(VLOOKUP($A72,TableHandbook[],3,FALSE)=0,"",VLOOKUP($A72,TableHandbook[],3,FALSE)),"")</f>
        <v/>
      </c>
      <c r="D72" s="421" t="str">
        <f>IFERROR(IF(VLOOKUP($A72,TableHandbook[],4,FALSE)=0,"",VLOOKUP($A72,TableHandbook[],4,FALSE)),"")</f>
        <v>Children as Mathematical Learners</v>
      </c>
      <c r="E72" s="421"/>
      <c r="F72" s="423" t="str">
        <f>IFERROR(IF(VLOOKUP($A72,TableHandbook[],6,FALSE)=0,"",VLOOKUP($A72,TableHandbook[],6,FALSE)),"")</f>
        <v>100CP + (EDSC1009 OR EDUC1031)</v>
      </c>
      <c r="G72" s="423">
        <f>IFERROR(IF(VLOOKUP($A72,TableHandbook[],5,FALSE)=0,"",VLOOKUP($A72,TableHandbook[],5,FALSE)),"")</f>
        <v>25</v>
      </c>
      <c r="H72" s="379" t="str">
        <f>IFERROR(VLOOKUP($A72,TableHandbook[],H$2,FALSE),"")</f>
        <v/>
      </c>
      <c r="I72" s="376" t="str">
        <f>IFERROR(VLOOKUP($A72,TableHandbook[],I$2,FALSE),"")</f>
        <v/>
      </c>
      <c r="J72" s="376" t="str">
        <f>IFERROR(VLOOKUP($A72,TableHandbook[],J$2,FALSE),"")</f>
        <v/>
      </c>
      <c r="K72" s="376" t="str">
        <f>IFERROR(VLOOKUP($A72,TableHandbook[],K$2,FALSE),"")</f>
        <v>Y</v>
      </c>
      <c r="L72" s="376" t="str">
        <f>IFERROR(VLOOKUP($A72,TableHandbook[],L$2,FALSE),"")</f>
        <v>Y</v>
      </c>
      <c r="M72" s="380" t="str">
        <f>IFERROR(VLOOKUP($A72,TableHandbook[],M$2,FALSE),"")</f>
        <v>Y</v>
      </c>
      <c r="N72" s="91"/>
      <c r="O72" s="381">
        <v>25</v>
      </c>
      <c r="P72" s="347"/>
      <c r="Q72" s="347"/>
      <c r="R72" s="347"/>
      <c r="S72" s="347"/>
      <c r="T72" s="347"/>
      <c r="U72" s="347"/>
      <c r="V72" s="347"/>
      <c r="W72" s="347"/>
      <c r="X72" s="44"/>
      <c r="Y72" s="44"/>
    </row>
    <row r="73" spans="1:25" x14ac:dyDescent="0.25">
      <c r="A73" s="419" t="str">
        <f t="shared" si="0"/>
        <v>EDPR2016</v>
      </c>
      <c r="B73" s="420">
        <f>IFERROR(IF(VLOOKUP($A73,TableHandbook[],2,FALSE)=0,"",VLOOKUP($A73,TableHandbook[],2,FALSE)),"")</f>
        <v>1</v>
      </c>
      <c r="C73" s="421" t="str">
        <f>IFERROR(IF(VLOOKUP($A73,TableHandbook[],3,FALSE)=0,"",VLOOKUP($A73,TableHandbook[],3,FALSE)),"")</f>
        <v/>
      </c>
      <c r="D73" s="421" t="str">
        <f>IFERROR(IF(VLOOKUP($A73,TableHandbook[],4,FALSE)=0,"",VLOOKUP($A73,TableHandbook[],4,FALSE)),"")</f>
        <v>Health and Physical Education</v>
      </c>
      <c r="E73" s="421"/>
      <c r="F73" s="423" t="str">
        <f>IFERROR(IF(VLOOKUP($A73,TableHandbook[],6,FALSE)=0,"",VLOOKUP($A73,TableHandbook[],6,FALSE)),"")</f>
        <v>100CP + EDUC1021</v>
      </c>
      <c r="G73" s="423">
        <f>IFERROR(IF(VLOOKUP($A73,TableHandbook[],5,FALSE)=0,"",VLOOKUP($A73,TableHandbook[],5,FALSE)),"")</f>
        <v>25</v>
      </c>
      <c r="H73" s="379" t="str">
        <f>IFERROR(VLOOKUP($A73,TableHandbook[],H$2,FALSE),"")</f>
        <v>Y</v>
      </c>
      <c r="I73" s="376" t="str">
        <f>IFERROR(VLOOKUP($A73,TableHandbook[],I$2,FALSE),"")</f>
        <v>Y</v>
      </c>
      <c r="J73" s="376" t="str">
        <f>IFERROR(VLOOKUP($A73,TableHandbook[],J$2,FALSE),"")</f>
        <v>Y</v>
      </c>
      <c r="K73" s="376" t="str">
        <f>IFERROR(VLOOKUP($A73,TableHandbook[],K$2,FALSE),"")</f>
        <v/>
      </c>
      <c r="L73" s="376" t="str">
        <f>IFERROR(VLOOKUP($A73,TableHandbook[],L$2,FALSE),"")</f>
        <v/>
      </c>
      <c r="M73" s="380" t="str">
        <f>IFERROR(VLOOKUP($A73,TableHandbook[],M$2,FALSE),"")</f>
        <v/>
      </c>
      <c r="N73" s="91"/>
      <c r="O73" s="381">
        <v>26</v>
      </c>
      <c r="P73" s="347"/>
      <c r="Q73" s="347"/>
      <c r="R73" s="347"/>
      <c r="S73" s="347"/>
      <c r="T73" s="347"/>
      <c r="U73" s="347"/>
      <c r="V73" s="347"/>
      <c r="W73" s="347"/>
      <c r="X73" s="44"/>
      <c r="Y73" s="44"/>
    </row>
    <row r="74" spans="1:25" x14ac:dyDescent="0.25">
      <c r="A74" s="419" t="str">
        <f t="shared" si="0"/>
        <v>EDPR3000</v>
      </c>
      <c r="B74" s="420">
        <f>IFERROR(IF(VLOOKUP($A74,TableHandbook[],2,FALSE)=0,"",VLOOKUP($A74,TableHandbook[],2,FALSE)),"")</f>
        <v>1</v>
      </c>
      <c r="C74" s="421" t="str">
        <f>IFERROR(IF(VLOOKUP($A74,TableHandbook[],3,FALSE)=0,"",VLOOKUP($A74,TableHandbook[],3,FALSE)),"")</f>
        <v/>
      </c>
      <c r="D74" s="421" t="str">
        <f>IFERROR(IF(VLOOKUP($A74,TableHandbook[],4,FALSE)=0,"",VLOOKUP($A74,TableHandbook[],4,FALSE)),"")</f>
        <v>Inquiry in the Mathematics Classroom</v>
      </c>
      <c r="E74" s="421"/>
      <c r="F74" s="423" t="str">
        <f>IFERROR(IF(VLOOKUP($A74,TableHandbook[],6,FALSE)=0,"",VLOOKUP($A74,TableHandbook[],6,FALSE)),"")</f>
        <v>EDPR2004</v>
      </c>
      <c r="G74" s="423">
        <f>IFERROR(IF(VLOOKUP($A74,TableHandbook[],5,FALSE)=0,"",VLOOKUP($A74,TableHandbook[],5,FALSE)),"")</f>
        <v>25</v>
      </c>
      <c r="H74" s="379" t="str">
        <f>IFERROR(VLOOKUP($A74,TableHandbook[],H$2,FALSE),"")</f>
        <v>Y</v>
      </c>
      <c r="I74" s="376" t="str">
        <f>IFERROR(VLOOKUP($A74,TableHandbook[],I$2,FALSE),"")</f>
        <v>Y</v>
      </c>
      <c r="J74" s="376" t="str">
        <f>IFERROR(VLOOKUP($A74,TableHandbook[],J$2,FALSE),"")</f>
        <v>Y</v>
      </c>
      <c r="K74" s="376" t="str">
        <f>IFERROR(VLOOKUP($A74,TableHandbook[],K$2,FALSE),"")</f>
        <v/>
      </c>
      <c r="L74" s="376" t="str">
        <f>IFERROR(VLOOKUP($A74,TableHandbook[],L$2,FALSE),"")</f>
        <v/>
      </c>
      <c r="M74" s="380" t="str">
        <f>IFERROR(VLOOKUP($A74,TableHandbook[],M$2,FALSE),"")</f>
        <v/>
      </c>
      <c r="N74" s="91"/>
      <c r="O74" s="381">
        <v>27</v>
      </c>
      <c r="P74" s="347"/>
      <c r="Q74" s="347"/>
      <c r="R74" s="347"/>
      <c r="S74" s="347"/>
      <c r="T74" s="347"/>
      <c r="U74" s="347"/>
      <c r="V74" s="347"/>
      <c r="W74" s="347"/>
      <c r="X74" s="44"/>
      <c r="Y74" s="44"/>
    </row>
    <row r="75" spans="1:25" x14ac:dyDescent="0.25">
      <c r="A75" s="419" t="str">
        <f t="shared" ref="A75:A78" si="1">IFERROR(IF(HLOOKUP($N$47,RangeOptions,$O75,FALSE)=0,"",HLOOKUP($N$47,RangeOptions,$O75,FALSE)),"")</f>
        <v>EDPR3001</v>
      </c>
      <c r="B75" s="420">
        <f>IFERROR(IF(VLOOKUP($A75,TableHandbook[],2,FALSE)=0,"",VLOOKUP($A75,TableHandbook[],2,FALSE)),"")</f>
        <v>2</v>
      </c>
      <c r="C75" s="421" t="str">
        <f>IFERROR(IF(VLOOKUP($A75,TableHandbook[],3,FALSE)=0,"",VLOOKUP($A75,TableHandbook[],3,FALSE)),"")</f>
        <v/>
      </c>
      <c r="D75" s="421" t="str">
        <f>IFERROR(IF(VLOOKUP($A75,TableHandbook[],4,FALSE)=0,"",VLOOKUP($A75,TableHandbook[],4,FALSE)),"")</f>
        <v>English Pedagogies and the Integrated Curriculum</v>
      </c>
      <c r="E75" s="421"/>
      <c r="F75" s="423" t="str">
        <f>IFERROR(IF(VLOOKUP($A75,TableHandbook[],6,FALSE)=0,"",VLOOKUP($A75,TableHandbook[],6,FALSE)),"")</f>
        <v>EDUC2007</v>
      </c>
      <c r="G75" s="423">
        <f>IFERROR(IF(VLOOKUP($A75,TableHandbook[],5,FALSE)=0,"",VLOOKUP($A75,TableHandbook[],5,FALSE)),"")</f>
        <v>25</v>
      </c>
      <c r="H75" s="379" t="str">
        <f>IFERROR(VLOOKUP($A75,TableHandbook[],H$2,FALSE),"")</f>
        <v/>
      </c>
      <c r="I75" s="376" t="str">
        <f>IFERROR(VLOOKUP($A75,TableHandbook[],I$2,FALSE),"")</f>
        <v/>
      </c>
      <c r="J75" s="376" t="str">
        <f>IFERROR(VLOOKUP($A75,TableHandbook[],J$2,FALSE),"")</f>
        <v/>
      </c>
      <c r="K75" s="376" t="str">
        <f>IFERROR(VLOOKUP($A75,TableHandbook[],K$2,FALSE),"")</f>
        <v>Y</v>
      </c>
      <c r="L75" s="376" t="str">
        <f>IFERROR(VLOOKUP($A75,TableHandbook[],L$2,FALSE),"")</f>
        <v>Y</v>
      </c>
      <c r="M75" s="380" t="str">
        <f>IFERROR(VLOOKUP($A75,TableHandbook[],M$2,FALSE),"")</f>
        <v>Y</v>
      </c>
      <c r="N75" s="91"/>
      <c r="O75" s="381">
        <v>28</v>
      </c>
      <c r="P75" s="347"/>
      <c r="Q75" s="347"/>
      <c r="R75" s="347"/>
      <c r="S75" s="347"/>
      <c r="T75" s="347"/>
      <c r="U75" s="347"/>
      <c r="V75" s="347"/>
      <c r="W75" s="347"/>
      <c r="X75" s="44"/>
      <c r="Y75" s="44"/>
    </row>
    <row r="76" spans="1:25" x14ac:dyDescent="0.25">
      <c r="A76" s="419" t="str">
        <f t="shared" si="1"/>
        <v>EDUC4012</v>
      </c>
      <c r="B76" s="420">
        <f>IFERROR(IF(VLOOKUP($A76,TableHandbook[],2,FALSE)=0,"",VLOOKUP($A76,TableHandbook[],2,FALSE)),"")</f>
        <v>2</v>
      </c>
      <c r="C76" s="421" t="str">
        <f>IFERROR(IF(VLOOKUP($A76,TableHandbook[],3,FALSE)=0,"",VLOOKUP($A76,TableHandbook[],3,FALSE)),"")</f>
        <v/>
      </c>
      <c r="D76" s="421" t="str">
        <f>IFERROR(IF(VLOOKUP($A76,TableHandbook[],4,FALSE)=0,"",VLOOKUP($A76,TableHandbook[],4,FALSE)),"")</f>
        <v>Relationships and Sexuality Education</v>
      </c>
      <c r="E76" s="421"/>
      <c r="F76" s="423" t="str">
        <f>IFERROR(IF(VLOOKUP($A76,TableHandbook[],6,FALSE)=0,"",VLOOKUP($A76,TableHandbook[],6,FALSE)),"")</f>
        <v>Nil</v>
      </c>
      <c r="G76" s="423">
        <f>IFERROR(IF(VLOOKUP($A76,TableHandbook[],5,FALSE)=0,"",VLOOKUP($A76,TableHandbook[],5,FALSE)),"")</f>
        <v>25</v>
      </c>
      <c r="H76" s="379" t="str">
        <f>IFERROR(VLOOKUP($A76,TableHandbook[],H$2,FALSE),"")</f>
        <v>Y</v>
      </c>
      <c r="I76" s="376" t="str">
        <f>IFERROR(VLOOKUP($A76,TableHandbook[],I$2,FALSE),"")</f>
        <v>Y</v>
      </c>
      <c r="J76" s="376" t="str">
        <f>IFERROR(VLOOKUP($A76,TableHandbook[],J$2,FALSE),"")</f>
        <v/>
      </c>
      <c r="K76" s="376" t="str">
        <f>IFERROR(VLOOKUP($A76,TableHandbook[],K$2,FALSE),"")</f>
        <v/>
      </c>
      <c r="L76" s="376" t="str">
        <f>IFERROR(VLOOKUP($A76,TableHandbook[],L$2,FALSE),"")</f>
        <v/>
      </c>
      <c r="M76" s="380" t="str">
        <f>IFERROR(VLOOKUP($A76,TableHandbook[],M$2,FALSE),"")</f>
        <v/>
      </c>
      <c r="N76" s="91"/>
      <c r="O76" s="381">
        <v>29</v>
      </c>
      <c r="P76" s="347"/>
      <c r="Q76" s="347"/>
      <c r="R76" s="347"/>
      <c r="S76" s="347"/>
      <c r="T76" s="347"/>
      <c r="U76" s="347"/>
      <c r="V76" s="347"/>
      <c r="W76" s="347"/>
      <c r="X76" s="44"/>
      <c r="Y76" s="44"/>
    </row>
    <row r="77" spans="1:25" x14ac:dyDescent="0.25">
      <c r="A77" s="419" t="str">
        <f t="shared" si="1"/>
        <v>EDUC4014</v>
      </c>
      <c r="B77" s="420">
        <f>IFERROR(IF(VLOOKUP($A77,TableHandbook[],2,FALSE)=0,"",VLOOKUP($A77,TableHandbook[],2,FALSE)),"")</f>
        <v>1</v>
      </c>
      <c r="C77" s="421" t="str">
        <f>IFERROR(IF(VLOOKUP($A77,TableHandbook[],3,FALSE)=0,"",VLOOKUP($A77,TableHandbook[],3,FALSE)),"")</f>
        <v/>
      </c>
      <c r="D77" s="421" t="str">
        <f>IFERROR(IF(VLOOKUP($A77,TableHandbook[],4,FALSE)=0,"",VLOOKUP($A77,TableHandbook[],4,FALSE)),"")</f>
        <v>Diverse Abilities and Curriculum Differentiation</v>
      </c>
      <c r="E77" s="421"/>
      <c r="F77" s="423" t="str">
        <f>IFERROR(IF(VLOOKUP($A77,TableHandbook[],6,FALSE)=0,"",VLOOKUP($A77,TableHandbook[],6,FALSE)),"")</f>
        <v>Nil</v>
      </c>
      <c r="G77" s="423">
        <f>IFERROR(IF(VLOOKUP($A77,TableHandbook[],5,FALSE)=0,"",VLOOKUP($A77,TableHandbook[],5,FALSE)),"")</f>
        <v>25</v>
      </c>
      <c r="H77" s="379" t="str">
        <f>IFERROR(VLOOKUP($A77,TableHandbook[],H$2,FALSE),"")</f>
        <v/>
      </c>
      <c r="I77" s="376" t="str">
        <f>IFERROR(VLOOKUP($A77,TableHandbook[],I$2,FALSE),"")</f>
        <v>Y</v>
      </c>
      <c r="J77" s="376" t="str">
        <f>IFERROR(VLOOKUP($A77,TableHandbook[],J$2,FALSE),"")</f>
        <v/>
      </c>
      <c r="K77" s="376" t="str">
        <f>IFERROR(VLOOKUP($A77,TableHandbook[],K$2,FALSE),"")</f>
        <v/>
      </c>
      <c r="L77" s="376" t="str">
        <f>IFERROR(VLOOKUP($A77,TableHandbook[],L$2,FALSE),"")</f>
        <v/>
      </c>
      <c r="M77" s="380" t="str">
        <f>IFERROR(VLOOKUP($A77,TableHandbook[],M$2,FALSE),"")</f>
        <v/>
      </c>
      <c r="N77" s="91"/>
      <c r="O77" s="381">
        <v>30</v>
      </c>
      <c r="P77" s="347"/>
      <c r="Q77" s="347"/>
      <c r="R77" s="347"/>
      <c r="S77" s="347"/>
      <c r="T77" s="347"/>
      <c r="U77" s="347"/>
      <c r="V77" s="347"/>
      <c r="W77" s="347"/>
      <c r="X77" s="44"/>
      <c r="Y77" s="44"/>
    </row>
    <row r="78" spans="1:25" x14ac:dyDescent="0.25">
      <c r="A78" s="419" t="str">
        <f t="shared" si="1"/>
        <v>EDUC4048</v>
      </c>
      <c r="B78" s="420">
        <f>IFERROR(IF(VLOOKUP($A78,TableHandbook[],2,FALSE)=0,"",VLOOKUP($A78,TableHandbook[],2,FALSE)),"")</f>
        <v>1</v>
      </c>
      <c r="C78" s="421" t="str">
        <f>IFERROR(IF(VLOOKUP($A78,TableHandbook[],3,FALSE)=0,"",VLOOKUP($A78,TableHandbook[],3,FALSE)),"")</f>
        <v/>
      </c>
      <c r="D78" s="421" t="str">
        <f>IFERROR(IF(VLOOKUP($A78,TableHandbook[],4,FALSE)=0,"",VLOOKUP($A78,TableHandbook[],4,FALSE)),"")</f>
        <v>Mentoring, Coaching and Tutoring</v>
      </c>
      <c r="E78" s="421"/>
      <c r="F78" s="423" t="str">
        <f>IFERROR(IF(VLOOKUP($A78,TableHandbook[],6,FALSE)=0,"",VLOOKUP($A78,TableHandbook[],6,FALSE)),"")</f>
        <v>Nil</v>
      </c>
      <c r="G78" s="423">
        <f>IFERROR(IF(VLOOKUP($A78,TableHandbook[],5,FALSE)=0,"",VLOOKUP($A78,TableHandbook[],5,FALSE)),"")</f>
        <v>25</v>
      </c>
      <c r="H78" s="379" t="str">
        <f>IFERROR(VLOOKUP($A78,TableHandbook[],H$2,FALSE),"")</f>
        <v/>
      </c>
      <c r="I78" s="376" t="str">
        <f>IFERROR(VLOOKUP($A78,TableHandbook[],I$2,FALSE),"")</f>
        <v>Y</v>
      </c>
      <c r="J78" s="376" t="str">
        <f>IFERROR(VLOOKUP($A78,TableHandbook[],J$2,FALSE),"")</f>
        <v/>
      </c>
      <c r="K78" s="376" t="str">
        <f>IFERROR(VLOOKUP($A78,TableHandbook[],K$2,FALSE),"")</f>
        <v/>
      </c>
      <c r="L78" s="376" t="str">
        <f>IFERROR(VLOOKUP($A78,TableHandbook[],L$2,FALSE),"")</f>
        <v>Y</v>
      </c>
      <c r="M78" s="380" t="str">
        <f>IFERROR(VLOOKUP($A78,TableHandbook[],M$2,FALSE),"")</f>
        <v/>
      </c>
      <c r="N78" s="91"/>
      <c r="O78" s="381">
        <v>31</v>
      </c>
      <c r="P78" s="347"/>
      <c r="Q78" s="347"/>
      <c r="R78" s="347"/>
      <c r="S78" s="347"/>
      <c r="T78" s="347"/>
      <c r="U78" s="347"/>
      <c r="V78" s="347"/>
      <c r="W78" s="347"/>
      <c r="X78" s="44"/>
      <c r="Y78" s="44"/>
    </row>
    <row r="79" spans="1:25" s="44" customFormat="1" ht="32.25" customHeight="1" x14ac:dyDescent="0.25">
      <c r="A79" s="504" t="s">
        <v>30</v>
      </c>
      <c r="B79" s="504"/>
      <c r="C79" s="504"/>
      <c r="D79" s="504"/>
      <c r="E79" s="504"/>
      <c r="F79" s="504"/>
      <c r="G79" s="504"/>
      <c r="H79" s="504"/>
      <c r="I79" s="504"/>
      <c r="J79" s="504"/>
      <c r="K79" s="504"/>
      <c r="L79" s="504"/>
      <c r="M79" s="504"/>
      <c r="N79" s="504"/>
      <c r="O79" s="347"/>
      <c r="P79" s="347"/>
      <c r="Q79" s="347"/>
      <c r="R79" s="347"/>
      <c r="S79" s="347"/>
      <c r="T79" s="347"/>
      <c r="U79" s="347"/>
      <c r="V79" s="347"/>
      <c r="W79" s="347"/>
    </row>
    <row r="80" spans="1:25" s="57" customFormat="1" ht="24.95" customHeight="1" x14ac:dyDescent="0.3">
      <c r="A80" s="148" t="s">
        <v>31</v>
      </c>
      <c r="B80" s="148"/>
      <c r="C80" s="148"/>
      <c r="D80" s="149"/>
      <c r="E80" s="149"/>
      <c r="F80" s="149"/>
      <c r="G80" s="149"/>
      <c r="H80" s="149"/>
      <c r="I80" s="149"/>
      <c r="J80" s="149"/>
      <c r="K80" s="149"/>
      <c r="L80" s="149"/>
      <c r="M80" s="149"/>
      <c r="N80" s="149"/>
      <c r="O80" s="425"/>
      <c r="P80" s="425"/>
      <c r="Q80" s="425"/>
      <c r="R80" s="426"/>
      <c r="S80" s="426"/>
      <c r="T80" s="426"/>
      <c r="U80" s="426"/>
      <c r="V80" s="426"/>
      <c r="W80" s="426"/>
      <c r="X80" s="56"/>
      <c r="Y80" s="56"/>
    </row>
    <row r="81" spans="1:23" s="44" customFormat="1" ht="15" customHeight="1" x14ac:dyDescent="0.25">
      <c r="A81" s="427" t="s">
        <v>32</v>
      </c>
      <c r="B81" s="427"/>
      <c r="C81" s="427"/>
      <c r="D81" s="427"/>
      <c r="E81" s="428"/>
      <c r="F81" s="403"/>
      <c r="G81" s="429"/>
      <c r="H81" s="429"/>
      <c r="I81" s="429"/>
      <c r="J81" s="429"/>
      <c r="K81" s="429"/>
      <c r="L81" s="429"/>
      <c r="M81" s="429"/>
      <c r="N81" s="429" t="s">
        <v>33</v>
      </c>
      <c r="O81" s="347"/>
      <c r="P81" s="347"/>
      <c r="Q81" s="347"/>
      <c r="R81" s="347"/>
      <c r="S81" s="347"/>
      <c r="T81" s="347"/>
      <c r="U81" s="347"/>
      <c r="V81" s="347"/>
      <c r="W81" s="347"/>
    </row>
  </sheetData>
  <sheetProtection algorithmName="SHA-512" hashValue="r5+TguskEYE349/1ejl5lrcWTaj09hADlF21KbO2s+4u3/3Z3q5bn5AG3o4QGqsLpERjxSktgyeI/IVZRYohvg==" saltValue="SQLLKEI3eEOZyUiqOsd6ZQ==" spinCount="100000" sheet="1" objects="1" scenarios="1" formatCells="0"/>
  <mergeCells count="2">
    <mergeCell ref="A3:D3"/>
    <mergeCell ref="A79:N79"/>
  </mergeCells>
  <conditionalFormatting sqref="A49:N78">
    <cfRule type="expression" dxfId="1104" priority="1">
      <formula>LEFT($D49,5)="Study"</formula>
    </cfRule>
    <cfRule type="expression" dxfId="1103" priority="2">
      <formula>RIGHT($D49,7)="Options"</formula>
    </cfRule>
    <cfRule type="expression" dxfId="1102" priority="3">
      <formula>LEFT($D49,5)="Study"</formula>
    </cfRule>
  </conditionalFormatting>
  <conditionalFormatting sqref="D5:D6">
    <cfRule type="containsText" dxfId="1101" priority="4" operator="containsText" text="Choose">
      <formula>NOT(ISERROR(SEARCH("Choose",D5)))</formula>
    </cfRule>
  </conditionalFormatting>
  <dataValidations count="1">
    <dataValidation type="list" allowBlank="1" showInputMessage="1" showErrorMessage="1" sqref="N23 N13 N33 N43"/>
  </dataValidations>
  <hyperlinks>
    <hyperlink ref="A80:N80"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51" orientation="portrait" r:id="rId2"/>
  <rowBreaks count="1" manualBreakCount="1">
    <brk id="46" max="1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Unitsets!$A$13:$A$15</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79998168889431442"/>
    <pageSetUpPr fitToPage="1"/>
  </sheetPr>
  <dimension ref="A1:Y56"/>
  <sheetViews>
    <sheetView showGridLines="0" topLeftCell="A3" zoomScaleNormal="100" workbookViewId="0">
      <selection activeCell="D9" sqref="D9"/>
    </sheetView>
  </sheetViews>
  <sheetFormatPr defaultColWidth="9" defaultRowHeight="15" x14ac:dyDescent="0.25"/>
  <cols>
    <col min="1" max="1" width="11.375" style="37" customWidth="1"/>
    <col min="2" max="2" width="3.25" style="37" customWidth="1"/>
    <col min="3" max="3" width="5.875" style="37" customWidth="1"/>
    <col min="4" max="4" width="52.25" style="36" customWidth="1"/>
    <col min="5" max="5" width="7" style="36" customWidth="1"/>
    <col min="6" max="6" width="26.5" style="36" customWidth="1"/>
    <col min="7" max="7" width="5.625" style="36" customWidth="1"/>
    <col min="8" max="11" width="4.625" style="36" customWidth="1"/>
    <col min="12" max="12" width="5.375" style="36" bestFit="1" customWidth="1"/>
    <col min="13" max="13" width="4.625" style="36" customWidth="1"/>
    <col min="14" max="14" width="15.625" style="36" customWidth="1"/>
    <col min="15" max="15" width="2.5" style="36" hidden="1" customWidth="1"/>
    <col min="16" max="16384" width="9" style="36"/>
  </cols>
  <sheetData>
    <row r="1" spans="1:25" hidden="1" x14ac:dyDescent="0.25">
      <c r="A1" s="163" t="s">
        <v>0</v>
      </c>
      <c r="B1" s="163" t="s">
        <v>1</v>
      </c>
      <c r="C1" s="163" t="s">
        <v>2</v>
      </c>
      <c r="D1" s="164" t="s">
        <v>3</v>
      </c>
      <c r="E1" s="164"/>
      <c r="F1" s="164" t="s">
        <v>4</v>
      </c>
      <c r="G1" s="164" t="s">
        <v>5</v>
      </c>
      <c r="H1" s="164" t="s">
        <v>6</v>
      </c>
      <c r="I1" s="164"/>
      <c r="J1" s="164"/>
      <c r="K1" s="164"/>
      <c r="L1" s="164"/>
      <c r="M1" s="164"/>
      <c r="N1" s="164" t="s">
        <v>7</v>
      </c>
    </row>
    <row r="2" spans="1:25" hidden="1" x14ac:dyDescent="0.25">
      <c r="A2" s="162"/>
      <c r="B2" s="162">
        <v>2</v>
      </c>
      <c r="C2" s="162">
        <v>3</v>
      </c>
      <c r="D2" s="162">
        <v>4</v>
      </c>
      <c r="E2" s="162"/>
      <c r="F2" s="162">
        <v>6</v>
      </c>
      <c r="G2" s="162">
        <v>5</v>
      </c>
      <c r="H2" s="162">
        <v>7</v>
      </c>
      <c r="I2" s="162">
        <v>8</v>
      </c>
      <c r="J2" s="162">
        <v>9</v>
      </c>
      <c r="K2" s="162">
        <v>10</v>
      </c>
      <c r="L2" s="162">
        <v>11</v>
      </c>
      <c r="M2" s="162">
        <v>12</v>
      </c>
      <c r="N2" s="162"/>
    </row>
    <row r="3" spans="1:25" ht="39.950000000000003" customHeight="1" x14ac:dyDescent="0.25">
      <c r="A3" s="503" t="s">
        <v>8</v>
      </c>
      <c r="B3" s="503"/>
      <c r="C3" s="503"/>
      <c r="D3" s="503"/>
      <c r="E3" s="346"/>
      <c r="F3" s="346"/>
      <c r="G3" s="346"/>
      <c r="H3" s="346"/>
      <c r="I3" s="346"/>
      <c r="J3" s="346"/>
      <c r="K3" s="346"/>
      <c r="L3" s="346"/>
      <c r="M3" s="346"/>
      <c r="N3" s="346"/>
      <c r="O3" s="347"/>
      <c r="P3" s="347"/>
      <c r="Q3" s="347"/>
      <c r="R3" s="347"/>
      <c r="S3" s="347"/>
      <c r="T3" s="347"/>
      <c r="U3" s="347"/>
      <c r="V3" s="347"/>
      <c r="W3" s="347"/>
      <c r="X3" s="347"/>
    </row>
    <row r="4" spans="1:25" ht="26.25" x14ac:dyDescent="0.25">
      <c r="A4" s="348"/>
      <c r="B4" s="349"/>
      <c r="C4" s="349"/>
      <c r="D4" s="350"/>
      <c r="E4" s="351" t="s">
        <v>9</v>
      </c>
      <c r="F4" s="349"/>
      <c r="G4" s="352"/>
      <c r="H4" s="352"/>
      <c r="I4" s="352"/>
      <c r="J4" s="352"/>
      <c r="K4" s="352"/>
      <c r="L4" s="352"/>
      <c r="M4" s="352"/>
      <c r="N4" s="353" t="e">
        <f>CONCATENATE(VLOOKUP(D5,TableCourses[],2,FALSE),VLOOKUP(D7,TableStudyPeriods[],2,FALSE))</f>
        <v>#N/A</v>
      </c>
      <c r="O4" s="347"/>
      <c r="P4" s="347"/>
      <c r="Q4" s="347"/>
      <c r="R4" s="347"/>
      <c r="S4" s="347"/>
      <c r="T4" s="347"/>
      <c r="U4" s="347"/>
      <c r="V4" s="347"/>
      <c r="W4" s="347"/>
      <c r="X4" s="347"/>
    </row>
    <row r="5" spans="1:25" ht="20.100000000000001" customHeight="1" x14ac:dyDescent="0.25">
      <c r="A5" s="354"/>
      <c r="B5" s="355"/>
      <c r="C5" s="356" t="s">
        <v>10</v>
      </c>
      <c r="D5" s="357" t="s">
        <v>75</v>
      </c>
      <c r="E5" s="358"/>
      <c r="F5" s="356" t="s">
        <v>12</v>
      </c>
      <c r="G5" s="358" t="str">
        <f>IFERROR(CONCATENATE(VLOOKUP(D5,TableCourses[],2,FALSE)," ",VLOOKUP(D5,TableCourses[],3,FALSE)),"")</f>
        <v>B-EDPR v.3</v>
      </c>
      <c r="H5" s="358"/>
      <c r="I5" s="358"/>
      <c r="J5" s="358"/>
      <c r="K5" s="358"/>
      <c r="L5" s="358"/>
      <c r="M5" s="358"/>
      <c r="N5" s="359"/>
      <c r="O5" s="347"/>
      <c r="P5" s="347"/>
      <c r="Q5" s="347"/>
      <c r="R5" s="347"/>
      <c r="S5" s="347"/>
      <c r="T5" s="347"/>
      <c r="U5" s="347"/>
      <c r="V5" s="347"/>
      <c r="W5" s="347"/>
      <c r="X5" s="347"/>
    </row>
    <row r="6" spans="1:25" ht="20.100000000000001" customHeight="1" x14ac:dyDescent="0.25">
      <c r="A6" s="354"/>
      <c r="B6" s="355"/>
      <c r="C6" s="356" t="s">
        <v>946</v>
      </c>
      <c r="D6" s="443" t="s">
        <v>953</v>
      </c>
      <c r="E6" s="358"/>
      <c r="F6" s="356" t="s">
        <v>949</v>
      </c>
      <c r="G6" s="358" t="str">
        <f>IFERROR(CONCATENATE(VLOOKUP(D6,TableTableTeachingAreaStream[],2,FALSE)," ",VLOOKUP(D6,TableTableTeachingAreaStream[],3,FALSE)),"")</f>
        <v/>
      </c>
      <c r="H6" s="358"/>
      <c r="I6" s="358"/>
      <c r="J6" s="358"/>
      <c r="K6" s="431"/>
      <c r="L6" s="347"/>
      <c r="M6" s="358"/>
      <c r="N6" s="432" t="e">
        <f>VLOOKUP(D6,TableTableTeachingAreaStream[],2,FALSE)</f>
        <v>#N/A</v>
      </c>
      <c r="O6" s="347"/>
      <c r="P6" s="347"/>
      <c r="Q6" s="347"/>
      <c r="R6" s="347"/>
      <c r="S6" s="347"/>
      <c r="T6" s="347"/>
      <c r="U6" s="347"/>
      <c r="V6" s="347"/>
      <c r="W6" s="347"/>
      <c r="X6" s="347"/>
    </row>
    <row r="7" spans="1:25" ht="20.100000000000001" customHeight="1" x14ac:dyDescent="0.25">
      <c r="A7" s="360"/>
      <c r="B7" s="361"/>
      <c r="C7" s="356" t="s">
        <v>13</v>
      </c>
      <c r="D7" s="430" t="s">
        <v>952</v>
      </c>
      <c r="E7" s="362"/>
      <c r="F7" s="356" t="s">
        <v>14</v>
      </c>
      <c r="G7" s="358" t="str">
        <f>IFERROR(VLOOKUP($D$5,TableCourses[],4,FALSE),"")</f>
        <v xml:space="preserve">800 credit points required </v>
      </c>
      <c r="H7" s="363"/>
      <c r="I7" s="363"/>
      <c r="J7" s="363"/>
      <c r="K7" s="363"/>
      <c r="L7" s="363"/>
      <c r="M7" s="363"/>
      <c r="N7" s="363"/>
      <c r="O7" s="347"/>
      <c r="P7" s="347"/>
      <c r="Q7" s="347"/>
      <c r="R7" s="347"/>
      <c r="S7" s="347"/>
      <c r="T7" s="347"/>
      <c r="U7" s="347"/>
      <c r="V7" s="347"/>
      <c r="W7" s="347"/>
      <c r="X7" s="347"/>
      <c r="Y7" s="44"/>
    </row>
    <row r="8" spans="1:25" s="47" customFormat="1" ht="14.1" customHeight="1" x14ac:dyDescent="0.25">
      <c r="A8" s="364"/>
      <c r="B8" s="364"/>
      <c r="C8" s="364"/>
      <c r="D8" s="365"/>
      <c r="E8" s="366"/>
      <c r="F8" s="364"/>
      <c r="G8" s="364"/>
      <c r="H8" s="367" t="s">
        <v>15</v>
      </c>
      <c r="I8" s="368"/>
      <c r="J8" s="368"/>
      <c r="K8" s="368"/>
      <c r="L8" s="368"/>
      <c r="M8" s="369"/>
      <c r="N8" s="366"/>
      <c r="O8" s="370"/>
      <c r="P8" s="370"/>
      <c r="Q8" s="370"/>
      <c r="R8" s="371"/>
      <c r="S8" s="371"/>
      <c r="T8" s="371"/>
      <c r="U8" s="371"/>
      <c r="V8" s="371"/>
      <c r="W8" s="371"/>
      <c r="X8" s="371"/>
      <c r="Y8" s="46"/>
    </row>
    <row r="9" spans="1:25" s="47" customFormat="1" ht="21" x14ac:dyDescent="0.25">
      <c r="A9" s="364" t="s">
        <v>16</v>
      </c>
      <c r="B9" s="364"/>
      <c r="C9" s="364"/>
      <c r="D9" s="365" t="s">
        <v>3</v>
      </c>
      <c r="E9" s="372" t="s">
        <v>17</v>
      </c>
      <c r="F9" s="364" t="s">
        <v>18</v>
      </c>
      <c r="G9" s="364" t="s">
        <v>19</v>
      </c>
      <c r="H9" s="373" t="s">
        <v>921</v>
      </c>
      <c r="I9" s="372" t="s">
        <v>20</v>
      </c>
      <c r="J9" s="372" t="s">
        <v>21</v>
      </c>
      <c r="K9" s="372" t="s">
        <v>22</v>
      </c>
      <c r="L9" s="372" t="s">
        <v>23</v>
      </c>
      <c r="M9" s="374" t="s">
        <v>24</v>
      </c>
      <c r="N9" s="364" t="s">
        <v>25</v>
      </c>
      <c r="O9" s="370"/>
      <c r="P9" s="370"/>
      <c r="Q9" s="370"/>
      <c r="R9" s="371"/>
      <c r="S9" s="371"/>
      <c r="T9" s="371"/>
      <c r="U9" s="371"/>
      <c r="V9" s="371"/>
      <c r="W9" s="371"/>
      <c r="X9" s="371"/>
      <c r="Y9" s="46"/>
    </row>
    <row r="10" spans="1:25" s="50" customFormat="1" ht="20.100000000000001" customHeight="1" x14ac:dyDescent="0.15">
      <c r="A10" s="375" t="str">
        <f>IFERROR(IF(HLOOKUP($N$4,RangeUnitsets,O10,FALSE)=0,"",HLOOKUP($N$4,RangeUnitsets,O10,FALSE)),"")</f>
        <v/>
      </c>
      <c r="B10" s="376" t="str">
        <f>IFERROR(IF(VLOOKUP($A10,TableHandbook[],B$2,FALSE)=0,"",VLOOKUP($A10,TableHandbook[],B$2,FALSE)),"")</f>
        <v/>
      </c>
      <c r="C10" s="376" t="str">
        <f>IFERROR(IF(VLOOKUP($A10,TableHandbook[],C$2,FALSE)=0,"",VLOOKUP($A10,TableHandbook[],C$2,FALSE)),"")</f>
        <v/>
      </c>
      <c r="D10" s="377" t="str">
        <f>IFERROR(IF(VLOOKUP($A10,TableHandbook[],D$2,FALSE)=0,"",VLOOKUP($A10,TableHandbook[],D$2,FALSE)),"")</f>
        <v/>
      </c>
      <c r="E10" s="376" t="str">
        <f>IF(OR(A10="",A10="--"),"",VLOOKUP($D$7,TableStudyPeriods[],2,FALSE))</f>
        <v/>
      </c>
      <c r="F10" s="378" t="str">
        <f>IFERROR(IF(VLOOKUP($A10,TableHandbook[],F$2,FALSE)=0,"",VLOOKUP($A10,TableHandbook[],F$2,FALSE)),"")</f>
        <v/>
      </c>
      <c r="G10" s="376" t="str">
        <f>IFERROR(IF(VLOOKUP($A10,TableHandbook[],G$2,FALSE)=0,"",VLOOKUP($A10,TableHandbook[],G$2,FALSE)),"")</f>
        <v/>
      </c>
      <c r="H10" s="379" t="str">
        <f>IFERROR(VLOOKUP($A10,TableHandbook[],H$2,FALSE),"")</f>
        <v/>
      </c>
      <c r="I10" s="376" t="str">
        <f>IFERROR(VLOOKUP($A10,TableHandbook[],I$2,FALSE),"")</f>
        <v/>
      </c>
      <c r="J10" s="376" t="str">
        <f>IFERROR(VLOOKUP($A10,TableHandbook[],J$2,FALSE),"")</f>
        <v/>
      </c>
      <c r="K10" s="376" t="str">
        <f>IFERROR(VLOOKUP($A10,TableHandbook[],K$2,FALSE),"")</f>
        <v/>
      </c>
      <c r="L10" s="376" t="str">
        <f>IFERROR(VLOOKUP($A10,TableHandbook[],L$2,FALSE),"")</f>
        <v/>
      </c>
      <c r="M10" s="380" t="str">
        <f>IFERROR(VLOOKUP($A10,TableHandbook[],M$2,FALSE),"")</f>
        <v/>
      </c>
      <c r="N10" s="90"/>
      <c r="O10" s="381">
        <v>2</v>
      </c>
      <c r="P10" s="382"/>
      <c r="Q10" s="382"/>
      <c r="R10" s="383"/>
      <c r="S10" s="383"/>
      <c r="T10" s="383"/>
      <c r="U10" s="383"/>
      <c r="V10" s="383"/>
      <c r="W10" s="383"/>
      <c r="X10" s="383"/>
      <c r="Y10" s="49"/>
    </row>
    <row r="11" spans="1:25" s="50" customFormat="1" ht="20.100000000000001" customHeight="1" x14ac:dyDescent="0.15">
      <c r="A11" s="375" t="str">
        <f>IFERROR(IF(HLOOKUP($N$4,RangeUnitsets,O11,FALSE)=0,"",HLOOKUP($N$4,RangeUnitsets,O11,FALSE)),"")</f>
        <v/>
      </c>
      <c r="B11" s="376" t="str">
        <f>IFERROR(IF(VLOOKUP($A11,TableHandbook[],B$2,FALSE)=0,"",VLOOKUP($A11,TableHandbook[],B$2,FALSE)),"")</f>
        <v/>
      </c>
      <c r="C11" s="376" t="str">
        <f>IFERROR(IF(VLOOKUP($A11,TableHandbook[],C$2,FALSE)=0,"",VLOOKUP($A11,TableHandbook[],C$2,FALSE)),"")</f>
        <v/>
      </c>
      <c r="D11" s="377" t="str">
        <f>IFERROR(IF(VLOOKUP($A11,TableHandbook[],D$2,FALSE)=0,"",VLOOKUP($A11,TableHandbook[],D$2,FALSE)),"")</f>
        <v/>
      </c>
      <c r="E11" s="376" t="str">
        <f>IF(A11="","",E10)</f>
        <v/>
      </c>
      <c r="F11" s="378" t="str">
        <f>IFERROR(IF(VLOOKUP($A11,TableHandbook[],F$2,FALSE)=0,"",VLOOKUP($A11,TableHandbook[],F$2,FALSE)),"")</f>
        <v/>
      </c>
      <c r="G11" s="376" t="str">
        <f>IFERROR(IF(VLOOKUP($A11,TableHandbook[],G$2,FALSE)=0,"",VLOOKUP($A11,TableHandbook[],G$2,FALSE)),"")</f>
        <v/>
      </c>
      <c r="H11" s="379" t="str">
        <f>IFERROR(VLOOKUP($A11,TableHandbook[],H$2,FALSE),"")</f>
        <v/>
      </c>
      <c r="I11" s="376" t="str">
        <f>IFERROR(VLOOKUP($A11,TableHandbook[],I$2,FALSE),"")</f>
        <v/>
      </c>
      <c r="J11" s="376" t="str">
        <f>IFERROR(VLOOKUP($A11,TableHandbook[],J$2,FALSE),"")</f>
        <v/>
      </c>
      <c r="K11" s="376" t="str">
        <f>IFERROR(VLOOKUP($A11,TableHandbook[],K$2,FALSE),"")</f>
        <v/>
      </c>
      <c r="L11" s="376" t="str">
        <f>IFERROR(VLOOKUP($A11,TableHandbook[],L$2,FALSE),"")</f>
        <v/>
      </c>
      <c r="M11" s="380" t="str">
        <f>IFERROR(VLOOKUP($A11,TableHandbook[],M$2,FALSE),"")</f>
        <v/>
      </c>
      <c r="N11" s="90"/>
      <c r="O11" s="381">
        <v>3</v>
      </c>
      <c r="P11" s="382"/>
      <c r="Q11" s="382"/>
      <c r="R11" s="383"/>
      <c r="S11" s="383"/>
      <c r="T11" s="383"/>
      <c r="U11" s="383"/>
      <c r="V11" s="383"/>
      <c r="W11" s="383"/>
      <c r="X11" s="383"/>
      <c r="Y11" s="49"/>
    </row>
    <row r="12" spans="1:25" s="50" customFormat="1" ht="20.100000000000001" customHeight="1" x14ac:dyDescent="0.15">
      <c r="A12" s="384" t="str">
        <f>IFERROR(IF(HLOOKUP($N$4,RangeUnitsets,O12,FALSE)=0,"",HLOOKUP($N$4,RangeUnitsets,O12,FALSE)),"")</f>
        <v/>
      </c>
      <c r="B12" s="376" t="str">
        <f>IFERROR(IF(VLOOKUP($A12,TableHandbook[],B$2,FALSE)=0,"",VLOOKUP($A12,TableHandbook[],B$2,FALSE)),"")</f>
        <v/>
      </c>
      <c r="C12" s="376" t="str">
        <f>IFERROR(IF(VLOOKUP($A12,TableHandbook[],C$2,FALSE)=0,"",VLOOKUP($A12,TableHandbook[],C$2,FALSE)),"")</f>
        <v/>
      </c>
      <c r="D12" s="377" t="str">
        <f>IFERROR(IF(VLOOKUP($A12,TableHandbook[],D$2,FALSE)=0,"",VLOOKUP($A12,TableHandbook[],D$2,FALSE)),"")</f>
        <v/>
      </c>
      <c r="E12" s="376" t="str">
        <f>IF(A12="","",E11)</f>
        <v/>
      </c>
      <c r="F12" s="378" t="str">
        <f>IFERROR(IF(VLOOKUP($A12,TableHandbook[],F$2,FALSE)=0,"",VLOOKUP($A12,TableHandbook[],F$2,FALSE)),"")</f>
        <v/>
      </c>
      <c r="G12" s="376" t="str">
        <f>IFERROR(IF(VLOOKUP($A12,TableHandbook[],G$2,FALSE)=0,"",VLOOKUP($A12,TableHandbook[],G$2,FALSE)),"")</f>
        <v/>
      </c>
      <c r="H12" s="379" t="str">
        <f>IFERROR(VLOOKUP($A12,TableHandbook[],H$2,FALSE),"")</f>
        <v/>
      </c>
      <c r="I12" s="376" t="str">
        <f>IFERROR(VLOOKUP($A12,TableHandbook[],I$2,FALSE),"")</f>
        <v/>
      </c>
      <c r="J12" s="376" t="str">
        <f>IFERROR(VLOOKUP($A12,TableHandbook[],J$2,FALSE),"")</f>
        <v/>
      </c>
      <c r="K12" s="376" t="str">
        <f>IFERROR(VLOOKUP($A12,TableHandbook[],K$2,FALSE),"")</f>
        <v/>
      </c>
      <c r="L12" s="376" t="str">
        <f>IFERROR(VLOOKUP($A12,TableHandbook[],L$2,FALSE),"")</f>
        <v/>
      </c>
      <c r="M12" s="380" t="str">
        <f>IFERROR(VLOOKUP($A12,TableHandbook[],M$2,FALSE),"")</f>
        <v/>
      </c>
      <c r="N12" s="91"/>
      <c r="O12" s="381">
        <v>4</v>
      </c>
      <c r="P12" s="382"/>
      <c r="Q12" s="382"/>
      <c r="R12" s="383"/>
      <c r="S12" s="383"/>
      <c r="T12" s="383"/>
      <c r="U12" s="383"/>
      <c r="V12" s="383"/>
      <c r="W12" s="383"/>
      <c r="X12" s="383"/>
      <c r="Y12" s="49"/>
    </row>
    <row r="13" spans="1:25" s="50" customFormat="1" ht="20.100000000000001" customHeight="1" x14ac:dyDescent="0.15">
      <c r="A13" s="375" t="str">
        <f>IFERROR(IF(HLOOKUP($N$4,RangeUnitsets,O13,FALSE)=0,"",HLOOKUP($N$4,RangeUnitsets,O13,FALSE)),"")</f>
        <v/>
      </c>
      <c r="B13" s="376" t="str">
        <f>IFERROR(IF(VLOOKUP($A13,TableHandbook[],B$2,FALSE)=0,"",VLOOKUP($A13,TableHandbook[],B$2,FALSE)),"")</f>
        <v/>
      </c>
      <c r="C13" s="376" t="str">
        <f>IFERROR(IF(VLOOKUP($A13,TableHandbook[],C$2,FALSE)=0,"",VLOOKUP($A13,TableHandbook[],C$2,FALSE)),"")</f>
        <v/>
      </c>
      <c r="D13" s="377" t="str">
        <f>IFERROR(IF(VLOOKUP($A13,TableHandbook[],D$2,FALSE)=0,"",VLOOKUP($A13,TableHandbook[],D$2,FALSE)),"")</f>
        <v/>
      </c>
      <c r="E13" s="376" t="str">
        <f>IF(A13="","",E12)</f>
        <v/>
      </c>
      <c r="F13" s="378" t="str">
        <f>IFERROR(IF(VLOOKUP($A13,TableHandbook[],F$2,FALSE)=0,"",VLOOKUP($A13,TableHandbook[],F$2,FALSE)),"")</f>
        <v/>
      </c>
      <c r="G13" s="376" t="str">
        <f>IFERROR(IF(VLOOKUP($A13,TableHandbook[],G$2,FALSE)=0,"",VLOOKUP($A13,TableHandbook[],G$2,FALSE)),"")</f>
        <v/>
      </c>
      <c r="H13" s="379" t="str">
        <f>IFERROR(VLOOKUP($A13,TableHandbook[],H$2,FALSE),"")</f>
        <v/>
      </c>
      <c r="I13" s="376" t="str">
        <f>IFERROR(VLOOKUP($A13,TableHandbook[],I$2,FALSE),"")</f>
        <v/>
      </c>
      <c r="J13" s="376" t="str">
        <f>IFERROR(VLOOKUP($A13,TableHandbook[],J$2,FALSE),"")</f>
        <v/>
      </c>
      <c r="K13" s="376" t="str">
        <f>IFERROR(VLOOKUP($A13,TableHandbook[],K$2,FALSE),"")</f>
        <v/>
      </c>
      <c r="L13" s="376" t="str">
        <f>IFERROR(VLOOKUP($A13,TableHandbook[],L$2,FALSE),"")</f>
        <v/>
      </c>
      <c r="M13" s="380" t="str">
        <f>IFERROR(VLOOKUP($A13,TableHandbook[],M$2,FALSE),"")</f>
        <v/>
      </c>
      <c r="N13" s="90"/>
      <c r="O13" s="381">
        <v>5</v>
      </c>
      <c r="P13" s="382"/>
      <c r="Q13" s="382"/>
      <c r="R13" s="383"/>
      <c r="S13" s="383"/>
      <c r="T13" s="383"/>
      <c r="U13" s="383"/>
      <c r="V13" s="383"/>
      <c r="W13" s="383"/>
      <c r="X13" s="383"/>
      <c r="Y13" s="49"/>
    </row>
    <row r="14" spans="1:25" s="50" customFormat="1" ht="5.0999999999999996" customHeight="1" x14ac:dyDescent="0.15">
      <c r="A14" s="386"/>
      <c r="B14" s="387"/>
      <c r="C14" s="387"/>
      <c r="D14" s="388"/>
      <c r="E14" s="387"/>
      <c r="F14" s="389"/>
      <c r="G14" s="387"/>
      <c r="H14" s="390"/>
      <c r="I14" s="387"/>
      <c r="J14" s="387"/>
      <c r="K14" s="387"/>
      <c r="L14" s="387"/>
      <c r="M14" s="391"/>
      <c r="N14" s="391"/>
      <c r="O14" s="392"/>
      <c r="P14" s="382"/>
      <c r="Q14" s="382"/>
      <c r="R14" s="382"/>
      <c r="S14" s="383"/>
      <c r="T14" s="383"/>
      <c r="U14" s="383"/>
      <c r="V14" s="383"/>
      <c r="W14" s="383"/>
      <c r="X14" s="383"/>
      <c r="Y14" s="49"/>
    </row>
    <row r="15" spans="1:25" s="50" customFormat="1" ht="20.100000000000001" customHeight="1" x14ac:dyDescent="0.15">
      <c r="A15" s="375" t="str">
        <f>IFERROR(IF(HLOOKUP($N$4,RangeUnitsets,O15,FALSE)=0,"",HLOOKUP($N$4,RangeUnitsets,O15,FALSE)),"")</f>
        <v/>
      </c>
      <c r="B15" s="393" t="str">
        <f>IFERROR(IF(VLOOKUP($A15,TableHandbook[],B$2,FALSE)=0,"",VLOOKUP($A15,TableHandbook[],B$2,FALSE)),"")</f>
        <v/>
      </c>
      <c r="C15" s="393" t="str">
        <f>IFERROR(IF(VLOOKUP($A15,TableHandbook[],C$2,FALSE)=0,"",VLOOKUP($A15,TableHandbook[],C$2,FALSE)),"")</f>
        <v/>
      </c>
      <c r="D15" s="377" t="str">
        <f>IFERROR(IF(VLOOKUP($A15,TableHandbook[],D$2,FALSE)=0,"",VLOOKUP($A15,TableHandbook[],D$2,FALSE)),"")</f>
        <v/>
      </c>
      <c r="E15" s="376" t="str">
        <f>IF(OR(A15="",A15="--"),"",VLOOKUP($D$7,TableStudyPeriods[],3,FALSE))</f>
        <v/>
      </c>
      <c r="F15" s="378" t="str">
        <f>IFERROR(IF(VLOOKUP($A15,TableHandbook[],F$2,FALSE)=0,"",VLOOKUP($A15,TableHandbook[],F$2,FALSE)),"")</f>
        <v/>
      </c>
      <c r="G15" s="393" t="str">
        <f>IFERROR(IF(VLOOKUP($A15,TableHandbook[],G$2,FALSE)=0,"",VLOOKUP($A15,TableHandbook[],G$2,FALSE)),"")</f>
        <v/>
      </c>
      <c r="H15" s="394" t="str">
        <f>IFERROR(VLOOKUP($A15,TableHandbook[],H$2,FALSE),"")</f>
        <v/>
      </c>
      <c r="I15" s="393" t="str">
        <f>IFERROR(VLOOKUP($A15,TableHandbook[],I$2,FALSE),"")</f>
        <v/>
      </c>
      <c r="J15" s="393" t="str">
        <f>IFERROR(VLOOKUP($A15,TableHandbook[],J$2,FALSE),"")</f>
        <v/>
      </c>
      <c r="K15" s="393" t="str">
        <f>IFERROR(VLOOKUP($A15,TableHandbook[],K$2,FALSE),"")</f>
        <v/>
      </c>
      <c r="L15" s="393" t="str">
        <f>IFERROR(VLOOKUP($A15,TableHandbook[],L$2,FALSE),"")</f>
        <v/>
      </c>
      <c r="M15" s="395" t="str">
        <f>IFERROR(VLOOKUP($A15,TableHandbook[],M$2,FALSE),"")</f>
        <v/>
      </c>
      <c r="N15" s="91"/>
      <c r="O15" s="381">
        <v>6</v>
      </c>
      <c r="P15" s="382"/>
      <c r="Q15" s="382"/>
      <c r="R15" s="383"/>
      <c r="S15" s="383"/>
      <c r="T15" s="383"/>
      <c r="U15" s="383"/>
      <c r="V15" s="383"/>
      <c r="W15" s="383"/>
      <c r="X15" s="383"/>
      <c r="Y15" s="49"/>
    </row>
    <row r="16" spans="1:25" s="54" customFormat="1" ht="20.100000000000001" customHeight="1" x14ac:dyDescent="0.15">
      <c r="A16" s="375" t="str">
        <f>IFERROR(IF(HLOOKUP($N$4,RangeUnitsets,O16,FALSE)=0,"",HLOOKUP($N$4,RangeUnitsets,O16,FALSE)),"")</f>
        <v/>
      </c>
      <c r="B16" s="393" t="str">
        <f>IFERROR(IF(VLOOKUP($A16,TableHandbook[],B$2,FALSE)=0,"",VLOOKUP($A16,TableHandbook[],B$2,FALSE)),"")</f>
        <v/>
      </c>
      <c r="C16" s="393" t="str">
        <f>IFERROR(IF(VLOOKUP($A16,TableHandbook[],C$2,FALSE)=0,"",VLOOKUP($A16,TableHandbook[],C$2,FALSE)),"")</f>
        <v/>
      </c>
      <c r="D16" s="377" t="str">
        <f>IFERROR(IF(VLOOKUP($A16,TableHandbook[],D$2,FALSE)=0,"",VLOOKUP($A16,TableHandbook[],D$2,FALSE)),"")</f>
        <v/>
      </c>
      <c r="E16" s="376" t="str">
        <f>IF(A16="","",E15)</f>
        <v/>
      </c>
      <c r="F16" s="378" t="str">
        <f>IFERROR(IF(VLOOKUP($A16,TableHandbook[],F$2,FALSE)=0,"",VLOOKUP($A16,TableHandbook[],F$2,FALSE)),"")</f>
        <v/>
      </c>
      <c r="G16" s="393" t="str">
        <f>IFERROR(IF(VLOOKUP($A16,TableHandbook[],G$2,FALSE)=0,"",VLOOKUP($A16,TableHandbook[],G$2,FALSE)),"")</f>
        <v/>
      </c>
      <c r="H16" s="394" t="str">
        <f>IFERROR(VLOOKUP($A16,TableHandbook[],H$2,FALSE),"")</f>
        <v/>
      </c>
      <c r="I16" s="393" t="str">
        <f>IFERROR(VLOOKUP($A16,TableHandbook[],I$2,FALSE),"")</f>
        <v/>
      </c>
      <c r="J16" s="393" t="str">
        <f>IFERROR(VLOOKUP($A16,TableHandbook[],J$2,FALSE),"")</f>
        <v/>
      </c>
      <c r="K16" s="393" t="str">
        <f>IFERROR(VLOOKUP($A16,TableHandbook[],K$2,FALSE),"")</f>
        <v/>
      </c>
      <c r="L16" s="393" t="str">
        <f>IFERROR(VLOOKUP($A16,TableHandbook[],L$2,FALSE),"")</f>
        <v/>
      </c>
      <c r="M16" s="395" t="str">
        <f>IFERROR(VLOOKUP($A16,TableHandbook[],M$2,FALSE),"")</f>
        <v/>
      </c>
      <c r="N16" s="91"/>
      <c r="O16" s="381">
        <v>7</v>
      </c>
      <c r="P16" s="396"/>
      <c r="Q16" s="396"/>
      <c r="R16" s="397"/>
      <c r="S16" s="397"/>
      <c r="T16" s="397"/>
      <c r="U16" s="397"/>
      <c r="V16" s="397"/>
      <c r="W16" s="397"/>
      <c r="X16" s="397"/>
      <c r="Y16" s="53"/>
    </row>
    <row r="17" spans="1:25" s="54" customFormat="1" ht="20.100000000000001" customHeight="1" x14ac:dyDescent="0.15">
      <c r="A17" s="375" t="str">
        <f>IFERROR(IF(HLOOKUP($N$4,RangeUnitsets,O17,FALSE)=0,"",HLOOKUP($N$4,RangeUnitsets,O17,FALSE)),"")</f>
        <v/>
      </c>
      <c r="B17" s="393" t="str">
        <f>IFERROR(IF(VLOOKUP($A17,TableHandbook[],B$2,FALSE)=0,"",VLOOKUP($A17,TableHandbook[],B$2,FALSE)),"")</f>
        <v/>
      </c>
      <c r="C17" s="393" t="str">
        <f>IFERROR(IF(VLOOKUP($A17,TableHandbook[],C$2,FALSE)=0,"",VLOOKUP($A17,TableHandbook[],C$2,FALSE)),"")</f>
        <v/>
      </c>
      <c r="D17" s="377" t="str">
        <f>IFERROR(IF(VLOOKUP($A17,TableHandbook[],D$2,FALSE)=0,"",VLOOKUP($A17,TableHandbook[],D$2,FALSE)),"")</f>
        <v/>
      </c>
      <c r="E17" s="376" t="str">
        <f>IF(A17="","",E16)</f>
        <v/>
      </c>
      <c r="F17" s="378" t="str">
        <f>IFERROR(IF(VLOOKUP($A17,TableHandbook[],F$2,FALSE)=0,"",VLOOKUP($A17,TableHandbook[],F$2,FALSE)),"")</f>
        <v/>
      </c>
      <c r="G17" s="393" t="str">
        <f>IFERROR(IF(VLOOKUP($A17,TableHandbook[],G$2,FALSE)=0,"",VLOOKUP($A17,TableHandbook[],G$2,FALSE)),"")</f>
        <v/>
      </c>
      <c r="H17" s="394" t="str">
        <f>IFERROR(VLOOKUP($A17,TableHandbook[],H$2,FALSE),"")</f>
        <v/>
      </c>
      <c r="I17" s="393" t="str">
        <f>IFERROR(VLOOKUP($A17,TableHandbook[],I$2,FALSE),"")</f>
        <v/>
      </c>
      <c r="J17" s="393" t="str">
        <f>IFERROR(VLOOKUP($A17,TableHandbook[],J$2,FALSE),"")</f>
        <v/>
      </c>
      <c r="K17" s="393" t="str">
        <f>IFERROR(VLOOKUP($A17,TableHandbook[],K$2,FALSE),"")</f>
        <v/>
      </c>
      <c r="L17" s="393" t="str">
        <f>IFERROR(VLOOKUP($A17,TableHandbook[],L$2,FALSE),"")</f>
        <v/>
      </c>
      <c r="M17" s="395" t="str">
        <f>IFERROR(VLOOKUP($A17,TableHandbook[],M$2,FALSE),"")</f>
        <v/>
      </c>
      <c r="N17" s="91"/>
      <c r="O17" s="381">
        <v>8</v>
      </c>
      <c r="P17" s="396"/>
      <c r="Q17" s="396"/>
      <c r="R17" s="397"/>
      <c r="S17" s="397"/>
      <c r="T17" s="397"/>
      <c r="U17" s="397"/>
      <c r="V17" s="397"/>
      <c r="W17" s="397"/>
      <c r="X17" s="397"/>
      <c r="Y17" s="53"/>
    </row>
    <row r="18" spans="1:25" s="54" customFormat="1" ht="20.100000000000001" customHeight="1" x14ac:dyDescent="0.15">
      <c r="A18" s="375" t="str">
        <f>IFERROR(IF(HLOOKUP($N$4,RangeUnitsets,O18,FALSE)=0,"",HLOOKUP($N$4,RangeUnitsets,O18,FALSE)),"")</f>
        <v/>
      </c>
      <c r="B18" s="393" t="str">
        <f>IFERROR(IF(VLOOKUP($A18,TableHandbook[],B$2,FALSE)=0,"",VLOOKUP($A18,TableHandbook[],B$2,FALSE)),"")</f>
        <v/>
      </c>
      <c r="C18" s="393" t="str">
        <f>IFERROR(IF(VLOOKUP($A18,TableHandbook[],C$2,FALSE)=0,"",VLOOKUP($A18,TableHandbook[],C$2,FALSE)),"")</f>
        <v/>
      </c>
      <c r="D18" s="398" t="str">
        <f>IFERROR(IF(VLOOKUP($A18,TableHandbook[],D$2,FALSE)=0,"",VLOOKUP($A18,TableHandbook[],D$2,FALSE)),"")</f>
        <v/>
      </c>
      <c r="E18" s="393" t="str">
        <f>IF(A18="","",E17)</f>
        <v/>
      </c>
      <c r="F18" s="378" t="str">
        <f>IFERROR(IF(VLOOKUP($A18,TableHandbook[],F$2,FALSE)=0,"",VLOOKUP($A18,TableHandbook[],F$2,FALSE)),"")</f>
        <v/>
      </c>
      <c r="G18" s="393" t="str">
        <f>IFERROR(IF(VLOOKUP($A18,TableHandbook[],G$2,FALSE)=0,"",VLOOKUP($A18,TableHandbook[],G$2,FALSE)),"")</f>
        <v/>
      </c>
      <c r="H18" s="394" t="str">
        <f>IFERROR(VLOOKUP($A18,TableHandbook[],H$2,FALSE),"")</f>
        <v/>
      </c>
      <c r="I18" s="393" t="str">
        <f>IFERROR(VLOOKUP($A18,TableHandbook[],I$2,FALSE),"")</f>
        <v/>
      </c>
      <c r="J18" s="393" t="str">
        <f>IFERROR(VLOOKUP($A18,TableHandbook[],J$2,FALSE),"")</f>
        <v/>
      </c>
      <c r="K18" s="393" t="str">
        <f>IFERROR(VLOOKUP($A18,TableHandbook[],K$2,FALSE),"")</f>
        <v/>
      </c>
      <c r="L18" s="393" t="str">
        <f>IFERROR(VLOOKUP($A18,TableHandbook[],L$2,FALSE),"")</f>
        <v/>
      </c>
      <c r="M18" s="395" t="str">
        <f>IFERROR(VLOOKUP($A18,TableHandbook[],M$2,FALSE),"")</f>
        <v/>
      </c>
      <c r="N18" s="91"/>
      <c r="O18" s="381">
        <v>9</v>
      </c>
      <c r="P18" s="396"/>
      <c r="Q18" s="396"/>
      <c r="R18" s="397"/>
      <c r="S18" s="397"/>
      <c r="T18" s="397"/>
      <c r="U18" s="397"/>
      <c r="V18" s="397"/>
      <c r="W18" s="397"/>
      <c r="X18" s="397"/>
      <c r="Y18" s="53"/>
    </row>
    <row r="19" spans="1:25" s="47" customFormat="1" ht="21" x14ac:dyDescent="0.25">
      <c r="A19" s="364" t="s">
        <v>26</v>
      </c>
      <c r="B19" s="364"/>
      <c r="C19" s="364"/>
      <c r="D19" s="399" t="s">
        <v>3</v>
      </c>
      <c r="E19" s="372" t="s">
        <v>17</v>
      </c>
      <c r="F19" s="364" t="s">
        <v>18</v>
      </c>
      <c r="G19" s="364" t="s">
        <v>19</v>
      </c>
      <c r="H19" s="373" t="s">
        <v>921</v>
      </c>
      <c r="I19" s="372" t="s">
        <v>20</v>
      </c>
      <c r="J19" s="372" t="s">
        <v>21</v>
      </c>
      <c r="K19" s="372" t="s">
        <v>22</v>
      </c>
      <c r="L19" s="372" t="s">
        <v>23</v>
      </c>
      <c r="M19" s="374" t="s">
        <v>24</v>
      </c>
      <c r="N19" s="364" t="s">
        <v>25</v>
      </c>
      <c r="O19" s="370"/>
      <c r="P19" s="370"/>
      <c r="Q19" s="370"/>
      <c r="R19" s="371"/>
      <c r="S19" s="371"/>
      <c r="T19" s="371"/>
      <c r="U19" s="371"/>
      <c r="V19" s="371"/>
      <c r="W19" s="371"/>
      <c r="X19" s="371"/>
      <c r="Y19" s="46"/>
    </row>
    <row r="20" spans="1:25" s="50" customFormat="1" ht="20.100000000000001" customHeight="1" x14ac:dyDescent="0.15">
      <c r="A20" s="384" t="str">
        <f>IFERROR(IF(HLOOKUP($N$4,RangeUnitsets,O20,FALSE)=0,"",HLOOKUP($N$4,RangeUnitsets,O20,FALSE)),"")</f>
        <v/>
      </c>
      <c r="B20" s="393" t="str">
        <f>IFERROR(IF(VLOOKUP($A20,TableHandbook[],B$2,FALSE)=0,"",VLOOKUP($A20,TableHandbook[],B$2,FALSE)),"")</f>
        <v/>
      </c>
      <c r="C20" s="393" t="str">
        <f>IFERROR(IF(VLOOKUP($A20,TableHandbook[],C$2,FALSE)=0,"",VLOOKUP($A20,TableHandbook[],C$2,FALSE)),"")</f>
        <v/>
      </c>
      <c r="D20" s="400" t="str">
        <f>IFERROR(IF(VLOOKUP($A20,TableHandbook[],D$2,FALSE)=0,"",VLOOKUP($A20,TableHandbook[],D$2,FALSE)),"")</f>
        <v/>
      </c>
      <c r="E20" s="393" t="str">
        <f>IF(OR(A20="",A20="--"),"",VLOOKUP($D$7,TableStudyPeriods[],2,FALSE))</f>
        <v/>
      </c>
      <c r="F20" s="378" t="str">
        <f>IFERROR(IF(VLOOKUP($A20,TableHandbook[],F$2,FALSE)=0,"",VLOOKUP($A20,TableHandbook[],F$2,FALSE)),"")</f>
        <v/>
      </c>
      <c r="G20" s="376" t="str">
        <f>IFERROR(IF(VLOOKUP($A20,TableHandbook[],G$2,FALSE)=0,"",VLOOKUP($A20,TableHandbook[],G$2,FALSE)),"")</f>
        <v/>
      </c>
      <c r="H20" s="379" t="str">
        <f>IFERROR(VLOOKUP($A20,TableHandbook[],H$2,FALSE),"")</f>
        <v/>
      </c>
      <c r="I20" s="376" t="str">
        <f>IFERROR(VLOOKUP($A20,TableHandbook[],I$2,FALSE),"")</f>
        <v/>
      </c>
      <c r="J20" s="376" t="str">
        <f>IFERROR(VLOOKUP($A20,TableHandbook[],J$2,FALSE),"")</f>
        <v/>
      </c>
      <c r="K20" s="376" t="str">
        <f>IFERROR(VLOOKUP($A20,TableHandbook[],K$2,FALSE),"")</f>
        <v/>
      </c>
      <c r="L20" s="376" t="str">
        <f>IFERROR(VLOOKUP($A20,TableHandbook[],L$2,FALSE),"")</f>
        <v/>
      </c>
      <c r="M20" s="380" t="str">
        <f>IFERROR(VLOOKUP($A20,TableHandbook[],M$2,FALSE),"")</f>
        <v/>
      </c>
      <c r="N20" s="87"/>
      <c r="O20" s="381">
        <v>10</v>
      </c>
      <c r="P20" s="382"/>
      <c r="Q20" s="382"/>
      <c r="R20" s="383"/>
      <c r="S20" s="383"/>
      <c r="T20" s="383"/>
      <c r="U20" s="383"/>
      <c r="V20" s="383"/>
      <c r="W20" s="383"/>
      <c r="X20" s="383"/>
      <c r="Y20" s="49"/>
    </row>
    <row r="21" spans="1:25" s="50" customFormat="1" ht="19.5" customHeight="1" x14ac:dyDescent="0.15">
      <c r="A21" s="375" t="str">
        <f>IFERROR(IF(HLOOKUP($N$4,RangeUnitsets,O21,FALSE)=0,"",HLOOKUP($N$4,RangeUnitsets,O21,FALSE)),"")</f>
        <v/>
      </c>
      <c r="B21" s="393" t="str">
        <f>IFERROR(IF(VLOOKUP($A21,TableHandbook[],B$2,FALSE)=0,"",VLOOKUP($A21,TableHandbook[],B$2,FALSE)),"")</f>
        <v/>
      </c>
      <c r="C21" s="393" t="str">
        <f>IFERROR(IF(VLOOKUP($A21,TableHandbook[],C$2,FALSE)=0,"",VLOOKUP($A21,TableHandbook[],C$2,FALSE)),"")</f>
        <v/>
      </c>
      <c r="D21" s="398" t="str">
        <f>IFERROR(IF(VLOOKUP($A21,TableHandbook[],D$2,FALSE)=0,"",VLOOKUP($A21,TableHandbook[],D$2,FALSE)),"")</f>
        <v/>
      </c>
      <c r="E21" s="393" t="str">
        <f>IF(A21="","",E20)</f>
        <v/>
      </c>
      <c r="F21" s="378" t="str">
        <f>IFERROR(IF(VLOOKUP($A21,TableHandbook[],F$2,FALSE)=0,"",VLOOKUP($A21,TableHandbook[],F$2,FALSE)),"")</f>
        <v/>
      </c>
      <c r="G21" s="376" t="str">
        <f>IFERROR(IF(VLOOKUP($A21,TableHandbook[],G$2,FALSE)=0,"",VLOOKUP($A21,TableHandbook[],G$2,FALSE)),"")</f>
        <v/>
      </c>
      <c r="H21" s="379" t="str">
        <f>IFERROR(VLOOKUP($A21,TableHandbook[],H$2,FALSE),"")</f>
        <v/>
      </c>
      <c r="I21" s="376" t="str">
        <f>IFERROR(VLOOKUP($A21,TableHandbook[],I$2,FALSE),"")</f>
        <v/>
      </c>
      <c r="J21" s="376" t="str">
        <f>IFERROR(VLOOKUP($A21,TableHandbook[],J$2,FALSE),"")</f>
        <v/>
      </c>
      <c r="K21" s="376" t="str">
        <f>IFERROR(VLOOKUP($A21,TableHandbook[],K$2,FALSE),"")</f>
        <v/>
      </c>
      <c r="L21" s="376" t="str">
        <f>IFERROR(VLOOKUP($A21,TableHandbook[],L$2,FALSE),"")</f>
        <v/>
      </c>
      <c r="M21" s="380" t="str">
        <f>IFERROR(VLOOKUP($A21,TableHandbook[],M$2,FALSE),"")</f>
        <v/>
      </c>
      <c r="N21" s="87"/>
      <c r="O21" s="381">
        <v>11</v>
      </c>
      <c r="P21" s="382"/>
      <c r="Q21" s="382"/>
      <c r="R21" s="383"/>
      <c r="S21" s="383"/>
      <c r="T21" s="383"/>
      <c r="U21" s="383"/>
      <c r="V21" s="383"/>
      <c r="W21" s="383"/>
      <c r="X21" s="383"/>
      <c r="Y21" s="49"/>
    </row>
    <row r="22" spans="1:25" s="50" customFormat="1" ht="20.100000000000001" customHeight="1" x14ac:dyDescent="0.15">
      <c r="A22" s="375" t="str">
        <f>IFERROR(IF(HLOOKUP($N$4,RangeUnitsets,O22,FALSE)=0,"",HLOOKUP($N$4,RangeUnitsets,O22,FALSE)),"")</f>
        <v/>
      </c>
      <c r="B22" s="393" t="str">
        <f>IFERROR(IF(VLOOKUP($A22,TableHandbook[],B$2,FALSE)=0,"",VLOOKUP($A22,TableHandbook[],B$2,FALSE)),"")</f>
        <v/>
      </c>
      <c r="C22" s="393" t="str">
        <f>IFERROR(IF(VLOOKUP($A22,TableHandbook[],C$2,FALSE)=0,"",VLOOKUP($A22,TableHandbook[],C$2,FALSE)),"")</f>
        <v/>
      </c>
      <c r="D22" s="398" t="str">
        <f>IFERROR(IF(VLOOKUP($A22,TableHandbook[],D$2,FALSE)=0,"",VLOOKUP($A22,TableHandbook[],D$2,FALSE)),"")</f>
        <v/>
      </c>
      <c r="E22" s="393" t="str">
        <f>IF(A22="","",E21)</f>
        <v/>
      </c>
      <c r="F22" s="378" t="str">
        <f>IFERROR(IF(VLOOKUP($A22,TableHandbook[],F$2,FALSE)=0,"",VLOOKUP($A22,TableHandbook[],F$2,FALSE)),"")</f>
        <v/>
      </c>
      <c r="G22" s="376" t="str">
        <f>IFERROR(IF(VLOOKUP($A22,TableHandbook[],G$2,FALSE)=0,"",VLOOKUP($A22,TableHandbook[],G$2,FALSE)),"")</f>
        <v/>
      </c>
      <c r="H22" s="379" t="str">
        <f>IFERROR(VLOOKUP($A22,TableHandbook[],H$2,FALSE),"")</f>
        <v/>
      </c>
      <c r="I22" s="376" t="str">
        <f>IFERROR(VLOOKUP($A22,TableHandbook[],I$2,FALSE),"")</f>
        <v/>
      </c>
      <c r="J22" s="376" t="str">
        <f>IFERROR(VLOOKUP($A22,TableHandbook[],J$2,FALSE),"")</f>
        <v/>
      </c>
      <c r="K22" s="376" t="str">
        <f>IFERROR(VLOOKUP($A22,TableHandbook[],K$2,FALSE),"")</f>
        <v/>
      </c>
      <c r="L22" s="376" t="str">
        <f>IFERROR(VLOOKUP($A22,TableHandbook[],L$2,FALSE),"")</f>
        <v/>
      </c>
      <c r="M22" s="380" t="str">
        <f>IFERROR(VLOOKUP($A22,TableHandbook[],M$2,FALSE),"")</f>
        <v/>
      </c>
      <c r="N22" s="87"/>
      <c r="O22" s="381">
        <v>12</v>
      </c>
      <c r="P22" s="382"/>
      <c r="Q22" s="382"/>
      <c r="R22" s="383"/>
      <c r="S22" s="383"/>
      <c r="T22" s="383"/>
      <c r="U22" s="383"/>
      <c r="V22" s="383"/>
      <c r="W22" s="383"/>
      <c r="X22" s="383"/>
      <c r="Y22" s="49"/>
    </row>
    <row r="23" spans="1:25" s="50" customFormat="1" ht="20.100000000000001" customHeight="1" x14ac:dyDescent="0.15">
      <c r="A23" s="375" t="str">
        <f>IFERROR(IF(HLOOKUP($N$4,RangeUnitsets,O23,FALSE)=0,"",HLOOKUP($N$4,RangeUnitsets,O23,FALSE)),"")</f>
        <v/>
      </c>
      <c r="B23" s="393" t="str">
        <f>IFERROR(IF(VLOOKUP($A23,TableHandbook[],B$2,FALSE)=0,"",VLOOKUP($A23,TableHandbook[],B$2,FALSE)),"")</f>
        <v/>
      </c>
      <c r="C23" s="393" t="str">
        <f>IFERROR(IF(VLOOKUP($A23,TableHandbook[],C$2,FALSE)=0,"",VLOOKUP($A23,TableHandbook[],C$2,FALSE)),"")</f>
        <v/>
      </c>
      <c r="D23" s="398" t="str">
        <f>IFERROR(IF(VLOOKUP($A23,TableHandbook[],D$2,FALSE)=0,"",VLOOKUP($A23,TableHandbook[],D$2,FALSE)),"")</f>
        <v/>
      </c>
      <c r="E23" s="393" t="str">
        <f>IF(A23="","",E22)</f>
        <v/>
      </c>
      <c r="F23" s="378" t="str">
        <f>IFERROR(IF(VLOOKUP($A23,TableHandbook[],F$2,FALSE)=0,"",VLOOKUP($A23,TableHandbook[],F$2,FALSE)),"")</f>
        <v/>
      </c>
      <c r="G23" s="376" t="str">
        <f>IFERROR(IF(VLOOKUP($A23,TableHandbook[],G$2,FALSE)=0,"",VLOOKUP($A23,TableHandbook[],G$2,FALSE)),"")</f>
        <v/>
      </c>
      <c r="H23" s="379" t="str">
        <f>IFERROR(VLOOKUP($A23,TableHandbook[],H$2,FALSE),"")</f>
        <v/>
      </c>
      <c r="I23" s="376" t="str">
        <f>IFERROR(VLOOKUP($A23,TableHandbook[],I$2,FALSE),"")</f>
        <v/>
      </c>
      <c r="J23" s="376" t="str">
        <f>IFERROR(VLOOKUP($A23,TableHandbook[],J$2,FALSE),"")</f>
        <v/>
      </c>
      <c r="K23" s="376" t="str">
        <f>IFERROR(VLOOKUP($A23,TableHandbook[],K$2,FALSE),"")</f>
        <v/>
      </c>
      <c r="L23" s="376" t="str">
        <f>IFERROR(VLOOKUP($A23,TableHandbook[],L$2,FALSE),"")</f>
        <v/>
      </c>
      <c r="M23" s="380" t="str">
        <f>IFERROR(VLOOKUP($A23,TableHandbook[],M$2,FALSE),"")</f>
        <v/>
      </c>
      <c r="N23" s="87"/>
      <c r="O23" s="381">
        <v>13</v>
      </c>
      <c r="P23" s="382"/>
      <c r="Q23" s="382"/>
      <c r="R23" s="383"/>
      <c r="S23" s="383"/>
      <c r="T23" s="383"/>
      <c r="U23" s="383"/>
      <c r="V23" s="383"/>
      <c r="W23" s="383"/>
      <c r="X23" s="383"/>
      <c r="Y23" s="49"/>
    </row>
    <row r="24" spans="1:25" s="50" customFormat="1" ht="5.0999999999999996" customHeight="1" x14ac:dyDescent="0.15">
      <c r="A24" s="386"/>
      <c r="B24" s="387"/>
      <c r="C24" s="387"/>
      <c r="D24" s="388"/>
      <c r="E24" s="387"/>
      <c r="F24" s="389"/>
      <c r="G24" s="387"/>
      <c r="H24" s="390"/>
      <c r="I24" s="387"/>
      <c r="J24" s="387"/>
      <c r="K24" s="387"/>
      <c r="L24" s="387"/>
      <c r="M24" s="391"/>
      <c r="N24" s="391"/>
      <c r="O24" s="392"/>
      <c r="P24" s="382"/>
      <c r="Q24" s="382"/>
      <c r="R24" s="382"/>
      <c r="S24" s="383"/>
      <c r="T24" s="383"/>
      <c r="U24" s="383"/>
      <c r="V24" s="383"/>
      <c r="W24" s="383"/>
      <c r="X24" s="383"/>
      <c r="Y24" s="49"/>
    </row>
    <row r="25" spans="1:25" s="50" customFormat="1" ht="20.100000000000001" customHeight="1" x14ac:dyDescent="0.15">
      <c r="A25" s="375" t="str">
        <f>IFERROR(IF(HLOOKUP($N$4,RangeUnitsets,O25,FALSE)=0,"",HLOOKUP($N$4,RangeUnitsets,O25,FALSE)),"")</f>
        <v/>
      </c>
      <c r="B25" s="393" t="str">
        <f>IFERROR(IF(VLOOKUP($A25,TableHandbook[],B$2,FALSE)=0,"",VLOOKUP($A25,TableHandbook[],B$2,FALSE)),"")</f>
        <v/>
      </c>
      <c r="C25" s="393" t="str">
        <f>IFERROR(IF(VLOOKUP($A25,TableHandbook[],C$2,FALSE)=0,"",VLOOKUP($A25,TableHandbook[],C$2,FALSE)),"")</f>
        <v/>
      </c>
      <c r="D25" s="398" t="str">
        <f>IFERROR(IF(VLOOKUP($A25,TableHandbook[],D$2,FALSE)=0,"",VLOOKUP($A25,TableHandbook[],D$2,FALSE)),"")</f>
        <v/>
      </c>
      <c r="E25" s="393" t="str">
        <f>IF(OR(A25="",A25="--"),"",VLOOKUP($D$7,TableStudyPeriods[],3,FALSE))</f>
        <v/>
      </c>
      <c r="F25" s="378" t="str">
        <f>IFERROR(IF(VLOOKUP($A25,TableHandbook[],F$2,FALSE)=0,"",VLOOKUP($A25,TableHandbook[],F$2,FALSE)),"")</f>
        <v/>
      </c>
      <c r="G25" s="376" t="str">
        <f>IFERROR(IF(VLOOKUP($A25,TableHandbook[],G$2,FALSE)=0,"",VLOOKUP($A25,TableHandbook[],G$2,FALSE)),"")</f>
        <v/>
      </c>
      <c r="H25" s="379" t="str">
        <f>IFERROR(VLOOKUP($A25,TableHandbook[],H$2,FALSE),"")</f>
        <v/>
      </c>
      <c r="I25" s="376" t="str">
        <f>IFERROR(VLOOKUP($A25,TableHandbook[],I$2,FALSE),"")</f>
        <v/>
      </c>
      <c r="J25" s="376" t="str">
        <f>IFERROR(VLOOKUP($A25,TableHandbook[],J$2,FALSE),"")</f>
        <v/>
      </c>
      <c r="K25" s="376" t="str">
        <f>IFERROR(VLOOKUP($A25,TableHandbook[],K$2,FALSE),"")</f>
        <v/>
      </c>
      <c r="L25" s="376" t="str">
        <f>IFERROR(VLOOKUP($A25,TableHandbook[],L$2,FALSE),"")</f>
        <v/>
      </c>
      <c r="M25" s="380" t="str">
        <f>IFERROR(VLOOKUP($A25,TableHandbook[],M$2,FALSE),"")</f>
        <v/>
      </c>
      <c r="N25" s="87"/>
      <c r="O25" s="381">
        <v>14</v>
      </c>
      <c r="P25" s="382"/>
      <c r="Q25" s="382"/>
      <c r="R25" s="383"/>
      <c r="S25" s="383"/>
      <c r="T25" s="383"/>
      <c r="U25" s="383"/>
      <c r="V25" s="383"/>
      <c r="W25" s="383"/>
      <c r="X25" s="383"/>
      <c r="Y25" s="49"/>
    </row>
    <row r="26" spans="1:25" s="50" customFormat="1" ht="20.100000000000001" customHeight="1" x14ac:dyDescent="0.15">
      <c r="A26" s="375" t="str">
        <f>IFERROR(IF(HLOOKUP($N$4,RangeUnitsets,O26,FALSE)=0,"",HLOOKUP($N$4,RangeUnitsets,O26,FALSE)),"")</f>
        <v/>
      </c>
      <c r="B26" s="393" t="str">
        <f>IFERROR(IF(VLOOKUP($A26,TableHandbook[],B$2,FALSE)=0,"",VLOOKUP($A26,TableHandbook[],B$2,FALSE)),"")</f>
        <v/>
      </c>
      <c r="C26" s="393" t="str">
        <f>IFERROR(IF(VLOOKUP($A26,TableHandbook[],C$2,FALSE)=0,"",VLOOKUP($A26,TableHandbook[],C$2,FALSE)),"")</f>
        <v/>
      </c>
      <c r="D26" s="398" t="str">
        <f>IFERROR(IF(VLOOKUP($A26,TableHandbook[],D$2,FALSE)=0,"",VLOOKUP($A26,TableHandbook[],D$2,FALSE)),"")</f>
        <v/>
      </c>
      <c r="E26" s="393" t="str">
        <f>IF(A26="","",E25)</f>
        <v/>
      </c>
      <c r="F26" s="378" t="str">
        <f>IFERROR(IF(VLOOKUP($A26,TableHandbook[],F$2,FALSE)=0,"",VLOOKUP($A26,TableHandbook[],F$2,FALSE)),"")</f>
        <v/>
      </c>
      <c r="G26" s="376" t="str">
        <f>IFERROR(IF(VLOOKUP($A26,TableHandbook[],G$2,FALSE)=0,"",VLOOKUP($A26,TableHandbook[],G$2,FALSE)),"")</f>
        <v/>
      </c>
      <c r="H26" s="379" t="str">
        <f>IFERROR(VLOOKUP($A26,TableHandbook[],H$2,FALSE),"")</f>
        <v/>
      </c>
      <c r="I26" s="376" t="str">
        <f>IFERROR(VLOOKUP($A26,TableHandbook[],I$2,FALSE),"")</f>
        <v/>
      </c>
      <c r="J26" s="376" t="str">
        <f>IFERROR(VLOOKUP($A26,TableHandbook[],J$2,FALSE),"")</f>
        <v/>
      </c>
      <c r="K26" s="376" t="str">
        <f>IFERROR(VLOOKUP($A26,TableHandbook[],K$2,FALSE),"")</f>
        <v/>
      </c>
      <c r="L26" s="376" t="str">
        <f>IFERROR(VLOOKUP($A26,TableHandbook[],L$2,FALSE),"")</f>
        <v/>
      </c>
      <c r="M26" s="380" t="str">
        <f>IFERROR(VLOOKUP($A26,TableHandbook[],M$2,FALSE),"")</f>
        <v/>
      </c>
      <c r="N26" s="87"/>
      <c r="O26" s="381">
        <v>15</v>
      </c>
      <c r="P26" s="382"/>
      <c r="Q26" s="382"/>
      <c r="R26" s="383"/>
      <c r="S26" s="383"/>
      <c r="T26" s="383"/>
      <c r="U26" s="383"/>
      <c r="V26" s="383"/>
      <c r="W26" s="383"/>
      <c r="X26" s="383"/>
      <c r="Y26" s="49"/>
    </row>
    <row r="27" spans="1:25" s="54" customFormat="1" ht="20.100000000000001" customHeight="1" x14ac:dyDescent="0.15">
      <c r="A27" s="375" t="str">
        <f>IFERROR(IF(HLOOKUP($N$4,RangeUnitsets,O27,FALSE)=0,"",HLOOKUP($N$4,RangeUnitsets,O27,FALSE)),"")</f>
        <v/>
      </c>
      <c r="B27" s="393" t="str">
        <f>IFERROR(IF(VLOOKUP($A27,TableHandbook[],B$2,FALSE)=0,"",VLOOKUP($A27,TableHandbook[],B$2,FALSE)),"")</f>
        <v/>
      </c>
      <c r="C27" s="393" t="str">
        <f>IFERROR(IF(VLOOKUP($A27,TableHandbook[],C$2,FALSE)=0,"",VLOOKUP($A27,TableHandbook[],C$2,FALSE)),"")</f>
        <v/>
      </c>
      <c r="D27" s="398" t="str">
        <f>IFERROR(IF(VLOOKUP($A27,TableHandbook[],D$2,FALSE)=0,"",VLOOKUP($A27,TableHandbook[],D$2,FALSE)),"")</f>
        <v/>
      </c>
      <c r="E27" s="393" t="str">
        <f>IF(A27="","",E26)</f>
        <v/>
      </c>
      <c r="F27" s="378" t="str">
        <f>IFERROR(IF(VLOOKUP($A27,TableHandbook[],F$2,FALSE)=0,"",VLOOKUP($A27,TableHandbook[],F$2,FALSE)),"")</f>
        <v/>
      </c>
      <c r="G27" s="376" t="str">
        <f>IFERROR(IF(VLOOKUP($A27,TableHandbook[],G$2,FALSE)=0,"",VLOOKUP($A27,TableHandbook[],G$2,FALSE)),"")</f>
        <v/>
      </c>
      <c r="H27" s="379" t="str">
        <f>IFERROR(VLOOKUP($A27,TableHandbook[],H$2,FALSE),"")</f>
        <v/>
      </c>
      <c r="I27" s="376" t="str">
        <f>IFERROR(VLOOKUP($A27,TableHandbook[],I$2,FALSE),"")</f>
        <v/>
      </c>
      <c r="J27" s="376" t="str">
        <f>IFERROR(VLOOKUP($A27,TableHandbook[],J$2,FALSE),"")</f>
        <v/>
      </c>
      <c r="K27" s="376" t="str">
        <f>IFERROR(VLOOKUP($A27,TableHandbook[],K$2,FALSE),"")</f>
        <v/>
      </c>
      <c r="L27" s="376" t="str">
        <f>IFERROR(VLOOKUP($A27,TableHandbook[],L$2,FALSE),"")</f>
        <v/>
      </c>
      <c r="M27" s="380" t="str">
        <f>IFERROR(VLOOKUP($A27,TableHandbook[],M$2,FALSE),"")</f>
        <v/>
      </c>
      <c r="N27" s="87"/>
      <c r="O27" s="381">
        <v>16</v>
      </c>
      <c r="P27" s="396"/>
      <c r="Q27" s="396"/>
      <c r="R27" s="397"/>
      <c r="S27" s="397"/>
      <c r="T27" s="397"/>
      <c r="U27" s="397"/>
      <c r="V27" s="397"/>
      <c r="W27" s="397"/>
      <c r="X27" s="397"/>
      <c r="Y27" s="53"/>
    </row>
    <row r="28" spans="1:25" s="54" customFormat="1" ht="20.100000000000001" customHeight="1" x14ac:dyDescent="0.15">
      <c r="A28" s="375" t="str">
        <f>IFERROR(IF(HLOOKUP($N$4,RangeUnitsets,O28,FALSE)=0,"",HLOOKUP($N$4,RangeUnitsets,O28,FALSE)),"")</f>
        <v/>
      </c>
      <c r="B28" s="393" t="str">
        <f>IFERROR(IF(VLOOKUP($A28,TableHandbook[],B$2,FALSE)=0,"",VLOOKUP($A28,TableHandbook[],B$2,FALSE)),"")</f>
        <v/>
      </c>
      <c r="C28" s="393" t="str">
        <f>IFERROR(IF(VLOOKUP($A28,TableHandbook[],C$2,FALSE)=0,"",VLOOKUP($A28,TableHandbook[],C$2,FALSE)),"")</f>
        <v/>
      </c>
      <c r="D28" s="398" t="str">
        <f>IFERROR(IF(VLOOKUP($A28,TableHandbook[],D$2,FALSE)=0,"",VLOOKUP($A28,TableHandbook[],D$2,FALSE)),"")</f>
        <v/>
      </c>
      <c r="E28" s="376" t="str">
        <f>IF(A28="","",E27)</f>
        <v/>
      </c>
      <c r="F28" s="378" t="str">
        <f>IFERROR(IF(VLOOKUP($A28,TableHandbook[],F$2,FALSE)=0,"",VLOOKUP($A28,TableHandbook[],F$2,FALSE)),"")</f>
        <v/>
      </c>
      <c r="G28" s="376" t="str">
        <f>IFERROR(IF(VLOOKUP($A28,TableHandbook[],G$2,FALSE)=0,"",VLOOKUP($A28,TableHandbook[],G$2,FALSE)),"")</f>
        <v/>
      </c>
      <c r="H28" s="379" t="str">
        <f>IFERROR(VLOOKUP($A28,TableHandbook[],H$2,FALSE),"")</f>
        <v/>
      </c>
      <c r="I28" s="376" t="str">
        <f>IFERROR(VLOOKUP($A28,TableHandbook[],I$2,FALSE),"")</f>
        <v/>
      </c>
      <c r="J28" s="376" t="str">
        <f>IFERROR(VLOOKUP($A28,TableHandbook[],J$2,FALSE),"")</f>
        <v/>
      </c>
      <c r="K28" s="376" t="str">
        <f>IFERROR(VLOOKUP($A28,TableHandbook[],K$2,FALSE),"")</f>
        <v/>
      </c>
      <c r="L28" s="376" t="str">
        <f>IFERROR(VLOOKUP($A28,TableHandbook[],L$2,FALSE),"")</f>
        <v/>
      </c>
      <c r="M28" s="380" t="str">
        <f>IFERROR(VLOOKUP($A28,TableHandbook[],M$2,FALSE),"")</f>
        <v/>
      </c>
      <c r="N28" s="87"/>
      <c r="O28" s="381">
        <v>17</v>
      </c>
      <c r="P28" s="396"/>
      <c r="Q28" s="396"/>
      <c r="R28" s="397"/>
      <c r="S28" s="397"/>
      <c r="T28" s="397"/>
      <c r="U28" s="397"/>
      <c r="V28" s="397"/>
      <c r="W28" s="397"/>
      <c r="X28" s="397"/>
      <c r="Y28" s="53"/>
    </row>
    <row r="29" spans="1:25" s="47" customFormat="1" ht="21" x14ac:dyDescent="0.25">
      <c r="A29" s="364" t="s">
        <v>27</v>
      </c>
      <c r="B29" s="364"/>
      <c r="C29" s="364"/>
      <c r="D29" s="399" t="s">
        <v>3</v>
      </c>
      <c r="E29" s="372" t="s">
        <v>17</v>
      </c>
      <c r="F29" s="364" t="s">
        <v>18</v>
      </c>
      <c r="G29" s="364" t="s">
        <v>19</v>
      </c>
      <c r="H29" s="373" t="s">
        <v>921</v>
      </c>
      <c r="I29" s="372" t="s">
        <v>20</v>
      </c>
      <c r="J29" s="372" t="s">
        <v>21</v>
      </c>
      <c r="K29" s="372" t="s">
        <v>22</v>
      </c>
      <c r="L29" s="372" t="s">
        <v>23</v>
      </c>
      <c r="M29" s="374" t="s">
        <v>24</v>
      </c>
      <c r="N29" s="364" t="s">
        <v>25</v>
      </c>
      <c r="O29" s="370"/>
      <c r="P29" s="370"/>
      <c r="Q29" s="370"/>
      <c r="R29" s="371"/>
      <c r="S29" s="371"/>
      <c r="T29" s="371"/>
      <c r="U29" s="371"/>
      <c r="V29" s="371"/>
      <c r="W29" s="371"/>
      <c r="X29" s="371"/>
      <c r="Y29" s="46"/>
    </row>
    <row r="30" spans="1:25" s="50" customFormat="1" ht="20.100000000000001" customHeight="1" x14ac:dyDescent="0.15">
      <c r="A30" s="375" t="str">
        <f>IFERROR(IF(HLOOKUP($N$4,RangeUnitsets,O30,FALSE)=0,"",HLOOKUP($N$4,RangeUnitsets,O30,FALSE)),"")</f>
        <v/>
      </c>
      <c r="B30" s="393" t="str">
        <f>IFERROR(IF(VLOOKUP($A30,TableHandbook[],B$2,FALSE)=0,"",VLOOKUP($A30,TableHandbook[],B$2,FALSE)),"")</f>
        <v/>
      </c>
      <c r="C30" s="393" t="str">
        <f>IFERROR(IF(VLOOKUP($A30,TableHandbook[],C$2,FALSE)=0,"",VLOOKUP($A30,TableHandbook[],C$2,FALSE)),"")</f>
        <v/>
      </c>
      <c r="D30" s="400" t="str">
        <f>IFERROR(IF(VLOOKUP($A30,TableHandbook[],D$2,FALSE)=0,"",VLOOKUP($A30,TableHandbook[],D$2,FALSE)),"")</f>
        <v/>
      </c>
      <c r="E30" s="393" t="str">
        <f>IF(OR(A30="",A30="--"),"",VLOOKUP($D$7,TableStudyPeriods[],2,FALSE))</f>
        <v/>
      </c>
      <c r="F30" s="378" t="str">
        <f>IFERROR(IF(VLOOKUP($A30,TableHandbook[],F$2,FALSE)=0,"",VLOOKUP($A30,TableHandbook[],F$2,FALSE)),"")</f>
        <v/>
      </c>
      <c r="G30" s="376" t="str">
        <f>IFERROR(IF(VLOOKUP($A30,TableHandbook[],G$2,FALSE)=0,"",VLOOKUP($A30,TableHandbook[],G$2,FALSE)),"")</f>
        <v/>
      </c>
      <c r="H30" s="379" t="str">
        <f>IFERROR(VLOOKUP($A30,TableHandbook[],H$2,FALSE),"")</f>
        <v/>
      </c>
      <c r="I30" s="376" t="str">
        <f>IFERROR(VLOOKUP($A30,TableHandbook[],I$2,FALSE),"")</f>
        <v/>
      </c>
      <c r="J30" s="376" t="str">
        <f>IFERROR(VLOOKUP($A30,TableHandbook[],J$2,FALSE),"")</f>
        <v/>
      </c>
      <c r="K30" s="376" t="str">
        <f>IFERROR(VLOOKUP($A30,TableHandbook[],K$2,FALSE),"")</f>
        <v/>
      </c>
      <c r="L30" s="376" t="str">
        <f>IFERROR(VLOOKUP($A30,TableHandbook[],L$2,FALSE),"")</f>
        <v/>
      </c>
      <c r="M30" s="380" t="str">
        <f>IFERROR(VLOOKUP($A30,TableHandbook[],M$2,FALSE),"")</f>
        <v/>
      </c>
      <c r="N30" s="87"/>
      <c r="O30" s="381">
        <v>18</v>
      </c>
      <c r="P30" s="382"/>
      <c r="Q30" s="382"/>
      <c r="R30" s="383"/>
      <c r="S30" s="383"/>
      <c r="T30" s="383"/>
      <c r="U30" s="383"/>
      <c r="V30" s="383"/>
      <c r="W30" s="383"/>
      <c r="X30" s="383"/>
      <c r="Y30" s="49"/>
    </row>
    <row r="31" spans="1:25" s="50" customFormat="1" ht="19.5" customHeight="1" x14ac:dyDescent="0.15">
      <c r="A31" s="375" t="str">
        <f>IFERROR(IF(HLOOKUP($N$4,RangeUnitsets,O31,FALSE)=0,"",HLOOKUP($N$4,RangeUnitsets,O31,FALSE)),"")</f>
        <v/>
      </c>
      <c r="B31" s="393" t="str">
        <f>IFERROR(IF(VLOOKUP($A31,TableHandbook[],B$2,FALSE)=0,"",VLOOKUP($A31,TableHandbook[],B$2,FALSE)),"")</f>
        <v/>
      </c>
      <c r="C31" s="393" t="str">
        <f>IFERROR(IF(VLOOKUP($A31,TableHandbook[],C$2,FALSE)=0,"",VLOOKUP($A31,TableHandbook[],C$2,FALSE)),"")</f>
        <v/>
      </c>
      <c r="D31" s="398" t="str">
        <f>IFERROR(IF(VLOOKUP($A31,TableHandbook[],D$2,FALSE)=0,"",VLOOKUP($A31,TableHandbook[],D$2,FALSE)),"")</f>
        <v/>
      </c>
      <c r="E31" s="393" t="str">
        <f>IF(A31="","",E30)</f>
        <v/>
      </c>
      <c r="F31" s="378" t="str">
        <f>IFERROR(IF(VLOOKUP($A31,TableHandbook[],F$2,FALSE)=0,"",VLOOKUP($A31,TableHandbook[],F$2,FALSE)),"")</f>
        <v/>
      </c>
      <c r="G31" s="376" t="str">
        <f>IFERROR(IF(VLOOKUP($A31,TableHandbook[],G$2,FALSE)=0,"",VLOOKUP($A31,TableHandbook[],G$2,FALSE)),"")</f>
        <v/>
      </c>
      <c r="H31" s="379" t="str">
        <f>IFERROR(VLOOKUP($A31,TableHandbook[],H$2,FALSE),"")</f>
        <v/>
      </c>
      <c r="I31" s="376" t="str">
        <f>IFERROR(VLOOKUP($A31,TableHandbook[],I$2,FALSE),"")</f>
        <v/>
      </c>
      <c r="J31" s="376" t="str">
        <f>IFERROR(VLOOKUP($A31,TableHandbook[],J$2,FALSE),"")</f>
        <v/>
      </c>
      <c r="K31" s="376" t="str">
        <f>IFERROR(VLOOKUP($A31,TableHandbook[],K$2,FALSE),"")</f>
        <v/>
      </c>
      <c r="L31" s="376" t="str">
        <f>IFERROR(VLOOKUP($A31,TableHandbook[],L$2,FALSE),"")</f>
        <v/>
      </c>
      <c r="M31" s="380" t="str">
        <f>IFERROR(VLOOKUP($A31,TableHandbook[],M$2,FALSE),"")</f>
        <v/>
      </c>
      <c r="N31" s="87"/>
      <c r="O31" s="381">
        <v>19</v>
      </c>
      <c r="P31" s="382"/>
      <c r="Q31" s="382"/>
      <c r="R31" s="383"/>
      <c r="S31" s="383"/>
      <c r="T31" s="383"/>
      <c r="U31" s="383"/>
      <c r="V31" s="383"/>
      <c r="W31" s="383"/>
      <c r="X31" s="383"/>
      <c r="Y31" s="49"/>
    </row>
    <row r="32" spans="1:25" s="50" customFormat="1" ht="20.100000000000001" customHeight="1" x14ac:dyDescent="0.15">
      <c r="A32" s="375" t="str">
        <f>IFERROR(IF(HLOOKUP($N$4,RangeUnitsets,O32,FALSE)=0,"",HLOOKUP($N$4,RangeUnitsets,O32,FALSE)),"")</f>
        <v/>
      </c>
      <c r="B32" s="393" t="str">
        <f>IFERROR(IF(VLOOKUP($A32,TableHandbook[],B$2,FALSE)=0,"",VLOOKUP($A32,TableHandbook[],B$2,FALSE)),"")</f>
        <v/>
      </c>
      <c r="C32" s="393" t="str">
        <f>IFERROR(IF(VLOOKUP($A32,TableHandbook[],C$2,FALSE)=0,"",VLOOKUP($A32,TableHandbook[],C$2,FALSE)),"")</f>
        <v/>
      </c>
      <c r="D32" s="398" t="str">
        <f>IFERROR(IF(VLOOKUP($A32,TableHandbook[],D$2,FALSE)=0,"",VLOOKUP($A32,TableHandbook[],D$2,FALSE)),"")</f>
        <v/>
      </c>
      <c r="E32" s="393" t="str">
        <f>IF(A32="","",E31)</f>
        <v/>
      </c>
      <c r="F32" s="378" t="str">
        <f>IFERROR(IF(VLOOKUP($A32,TableHandbook[],F$2,FALSE)=0,"",VLOOKUP($A32,TableHandbook[],F$2,FALSE)),"")</f>
        <v/>
      </c>
      <c r="G32" s="376" t="str">
        <f>IFERROR(IF(VLOOKUP($A32,TableHandbook[],G$2,FALSE)=0,"",VLOOKUP($A32,TableHandbook[],G$2,FALSE)),"")</f>
        <v/>
      </c>
      <c r="H32" s="379" t="str">
        <f>IFERROR(VLOOKUP($A32,TableHandbook[],H$2,FALSE),"")</f>
        <v/>
      </c>
      <c r="I32" s="376" t="str">
        <f>IFERROR(VLOOKUP($A32,TableHandbook[],I$2,FALSE),"")</f>
        <v/>
      </c>
      <c r="J32" s="376" t="str">
        <f>IFERROR(VLOOKUP($A32,TableHandbook[],J$2,FALSE),"")</f>
        <v/>
      </c>
      <c r="K32" s="376" t="str">
        <f>IFERROR(VLOOKUP($A32,TableHandbook[],K$2,FALSE),"")</f>
        <v/>
      </c>
      <c r="L32" s="376" t="str">
        <f>IFERROR(VLOOKUP($A32,TableHandbook[],L$2,FALSE),"")</f>
        <v/>
      </c>
      <c r="M32" s="380" t="str">
        <f>IFERROR(VLOOKUP($A32,TableHandbook[],M$2,FALSE),"")</f>
        <v/>
      </c>
      <c r="N32" s="87"/>
      <c r="O32" s="381">
        <v>20</v>
      </c>
      <c r="P32" s="382"/>
      <c r="Q32" s="382"/>
      <c r="R32" s="383"/>
      <c r="S32" s="383"/>
      <c r="T32" s="383"/>
      <c r="U32" s="383"/>
      <c r="V32" s="383"/>
      <c r="W32" s="383"/>
      <c r="X32" s="383"/>
      <c r="Y32" s="49"/>
    </row>
    <row r="33" spans="1:25" s="50" customFormat="1" ht="20.100000000000001" customHeight="1" x14ac:dyDescent="0.15">
      <c r="A33" s="375" t="str">
        <f>IFERROR(IF(HLOOKUP($N$4,RangeUnitsets,O33,FALSE)=0,"",HLOOKUP($N$4,RangeUnitsets,O33,FALSE)),"")</f>
        <v/>
      </c>
      <c r="B33" s="393" t="str">
        <f>IFERROR(IF(VLOOKUP($A33,TableHandbook[],B$2,FALSE)=0,"",VLOOKUP($A33,TableHandbook[],B$2,FALSE)),"")</f>
        <v/>
      </c>
      <c r="C33" s="393" t="str">
        <f>IFERROR(IF(VLOOKUP($A33,TableHandbook[],C$2,FALSE)=0,"",VLOOKUP($A33,TableHandbook[],C$2,FALSE)),"")</f>
        <v/>
      </c>
      <c r="D33" s="398" t="str">
        <f>IFERROR(IF(VLOOKUP($A33,TableHandbook[],D$2,FALSE)=0,"",VLOOKUP($A33,TableHandbook[],D$2,FALSE)),"")</f>
        <v/>
      </c>
      <c r="E33" s="393" t="str">
        <f>IF(A33="","",E32)</f>
        <v/>
      </c>
      <c r="F33" s="378" t="str">
        <f>IFERROR(IF(VLOOKUP($A33,TableHandbook[],F$2,FALSE)=0,"",VLOOKUP($A33,TableHandbook[],F$2,FALSE)),"")</f>
        <v/>
      </c>
      <c r="G33" s="376" t="str">
        <f>IFERROR(IF(VLOOKUP($A33,TableHandbook[],G$2,FALSE)=0,"",VLOOKUP($A33,TableHandbook[],G$2,FALSE)),"")</f>
        <v/>
      </c>
      <c r="H33" s="379" t="str">
        <f>IFERROR(VLOOKUP($A33,TableHandbook[],H$2,FALSE),"")</f>
        <v/>
      </c>
      <c r="I33" s="376" t="str">
        <f>IFERROR(VLOOKUP($A33,TableHandbook[],I$2,FALSE),"")</f>
        <v/>
      </c>
      <c r="J33" s="376" t="str">
        <f>IFERROR(VLOOKUP($A33,TableHandbook[],J$2,FALSE),"")</f>
        <v/>
      </c>
      <c r="K33" s="376" t="str">
        <f>IFERROR(VLOOKUP($A33,TableHandbook[],K$2,FALSE),"")</f>
        <v/>
      </c>
      <c r="L33" s="376" t="str">
        <f>IFERROR(VLOOKUP($A33,TableHandbook[],L$2,FALSE),"")</f>
        <v/>
      </c>
      <c r="M33" s="380" t="str">
        <f>IFERROR(VLOOKUP($A33,TableHandbook[],M$2,FALSE),"")</f>
        <v/>
      </c>
      <c r="N33" s="87"/>
      <c r="O33" s="381">
        <v>21</v>
      </c>
      <c r="P33" s="382"/>
      <c r="Q33" s="382"/>
      <c r="R33" s="383"/>
      <c r="S33" s="383"/>
      <c r="T33" s="383"/>
      <c r="U33" s="383"/>
      <c r="V33" s="383"/>
      <c r="W33" s="383"/>
      <c r="X33" s="383"/>
      <c r="Y33" s="49"/>
    </row>
    <row r="34" spans="1:25" s="50" customFormat="1" ht="5.0999999999999996" customHeight="1" x14ac:dyDescent="0.15">
      <c r="A34" s="386"/>
      <c r="B34" s="387"/>
      <c r="C34" s="387"/>
      <c r="D34" s="388"/>
      <c r="E34" s="387"/>
      <c r="F34" s="389"/>
      <c r="G34" s="387"/>
      <c r="H34" s="390"/>
      <c r="I34" s="387"/>
      <c r="J34" s="387"/>
      <c r="K34" s="387"/>
      <c r="L34" s="387"/>
      <c r="M34" s="391"/>
      <c r="N34" s="391"/>
      <c r="O34" s="392"/>
      <c r="P34" s="382"/>
      <c r="Q34" s="382"/>
      <c r="R34" s="382"/>
      <c r="S34" s="383"/>
      <c r="T34" s="383"/>
      <c r="U34" s="383"/>
      <c r="V34" s="383"/>
      <c r="W34" s="383"/>
      <c r="X34" s="383"/>
      <c r="Y34" s="49"/>
    </row>
    <row r="35" spans="1:25" s="50" customFormat="1" ht="20.100000000000001" customHeight="1" x14ac:dyDescent="0.15">
      <c r="A35" s="384" t="str">
        <f>IFERROR(IF(HLOOKUP($N$4,RangeUnitsets,O35,FALSE)=0,"",HLOOKUP($N$4,RangeUnitsets,O35,FALSE)),"")</f>
        <v/>
      </c>
      <c r="B35" s="393" t="str">
        <f>IFERROR(IF(VLOOKUP($A35,TableHandbook[],B$2,FALSE)=0,"",VLOOKUP($A35,TableHandbook[],B$2,FALSE)),"")</f>
        <v/>
      </c>
      <c r="C35" s="393" t="str">
        <f>IFERROR(IF(VLOOKUP($A35,TableHandbook[],C$2,FALSE)=0,"",VLOOKUP($A35,TableHandbook[],C$2,FALSE)),"")</f>
        <v/>
      </c>
      <c r="D35" s="398" t="str">
        <f>IFERROR(IF(VLOOKUP($A35,TableHandbook[],D$2,FALSE)=0,"",VLOOKUP($A35,TableHandbook[],D$2,FALSE)),"")</f>
        <v/>
      </c>
      <c r="E35" s="393" t="str">
        <f>IF(OR(A35="",A35="--"),"",VLOOKUP($D$7,TableStudyPeriods[],3,FALSE))</f>
        <v/>
      </c>
      <c r="F35" s="378" t="str">
        <f>IFERROR(IF(VLOOKUP($A35,TableHandbook[],F$2,FALSE)=0,"",VLOOKUP($A35,TableHandbook[],F$2,FALSE)),"")</f>
        <v/>
      </c>
      <c r="G35" s="376" t="str">
        <f>IFERROR(IF(VLOOKUP($A35,TableHandbook[],G$2,FALSE)=0,"",VLOOKUP($A35,TableHandbook[],G$2,FALSE)),"")</f>
        <v/>
      </c>
      <c r="H35" s="379" t="str">
        <f>IFERROR(VLOOKUP($A35,TableHandbook[],H$2,FALSE),"")</f>
        <v/>
      </c>
      <c r="I35" s="376" t="str">
        <f>IFERROR(VLOOKUP($A35,TableHandbook[],I$2,FALSE),"")</f>
        <v/>
      </c>
      <c r="J35" s="376" t="str">
        <f>IFERROR(VLOOKUP($A35,TableHandbook[],J$2,FALSE),"")</f>
        <v/>
      </c>
      <c r="K35" s="376" t="str">
        <f>IFERROR(VLOOKUP($A35,TableHandbook[],K$2,FALSE),"")</f>
        <v/>
      </c>
      <c r="L35" s="376" t="str">
        <f>IFERROR(VLOOKUP($A35,TableHandbook[],L$2,FALSE),"")</f>
        <v/>
      </c>
      <c r="M35" s="380" t="str">
        <f>IFERROR(VLOOKUP($A35,TableHandbook[],M$2,FALSE),"")</f>
        <v/>
      </c>
      <c r="N35" s="87"/>
      <c r="O35" s="381">
        <v>22</v>
      </c>
      <c r="P35" s="382"/>
      <c r="Q35" s="382"/>
      <c r="R35" s="383"/>
      <c r="S35" s="383"/>
      <c r="T35" s="383"/>
      <c r="U35" s="383"/>
      <c r="V35" s="383"/>
      <c r="W35" s="383"/>
      <c r="X35" s="383"/>
      <c r="Y35" s="49"/>
    </row>
    <row r="36" spans="1:25" s="50" customFormat="1" ht="20.100000000000001" customHeight="1" x14ac:dyDescent="0.15">
      <c r="A36" s="375" t="str">
        <f>IFERROR(IF(HLOOKUP($N$4,RangeUnitsets,O36,FALSE)=0,"",HLOOKUP($N$4,RangeUnitsets,O36,FALSE)),"")</f>
        <v/>
      </c>
      <c r="B36" s="393" t="str">
        <f>IFERROR(IF(VLOOKUP($A36,TableHandbook[],B$2,FALSE)=0,"",VLOOKUP($A36,TableHandbook[],B$2,FALSE)),"")</f>
        <v/>
      </c>
      <c r="C36" s="393" t="str">
        <f>IFERROR(IF(VLOOKUP($A36,TableHandbook[],C$2,FALSE)=0,"",VLOOKUP($A36,TableHandbook[],C$2,FALSE)),"")</f>
        <v/>
      </c>
      <c r="D36" s="398" t="str">
        <f>IFERROR(IF(VLOOKUP($A36,TableHandbook[],D$2,FALSE)=0,"",VLOOKUP($A36,TableHandbook[],D$2,FALSE)),"")</f>
        <v/>
      </c>
      <c r="E36" s="393" t="str">
        <f>IF(A36="","",E35)</f>
        <v/>
      </c>
      <c r="F36" s="378" t="str">
        <f>IFERROR(IF(VLOOKUP($A36,TableHandbook[],F$2,FALSE)=0,"",VLOOKUP($A36,TableHandbook[],F$2,FALSE)),"")</f>
        <v/>
      </c>
      <c r="G36" s="376" t="str">
        <f>IFERROR(IF(VLOOKUP($A36,TableHandbook[],G$2,FALSE)=0,"",VLOOKUP($A36,TableHandbook[],G$2,FALSE)),"")</f>
        <v/>
      </c>
      <c r="H36" s="379" t="str">
        <f>IFERROR(VLOOKUP($A36,TableHandbook[],H$2,FALSE),"")</f>
        <v/>
      </c>
      <c r="I36" s="376" t="str">
        <f>IFERROR(VLOOKUP($A36,TableHandbook[],I$2,FALSE),"")</f>
        <v/>
      </c>
      <c r="J36" s="376" t="str">
        <f>IFERROR(VLOOKUP($A36,TableHandbook[],J$2,FALSE),"")</f>
        <v/>
      </c>
      <c r="K36" s="376" t="str">
        <f>IFERROR(VLOOKUP($A36,TableHandbook[],K$2,FALSE),"")</f>
        <v/>
      </c>
      <c r="L36" s="376" t="str">
        <f>IFERROR(VLOOKUP($A36,TableHandbook[],L$2,FALSE),"")</f>
        <v/>
      </c>
      <c r="M36" s="380" t="str">
        <f>IFERROR(VLOOKUP($A36,TableHandbook[],M$2,FALSE),"")</f>
        <v/>
      </c>
      <c r="N36" s="87"/>
      <c r="O36" s="381">
        <v>23</v>
      </c>
      <c r="P36" s="382"/>
      <c r="Q36" s="382"/>
      <c r="R36" s="383"/>
      <c r="S36" s="383"/>
      <c r="T36" s="383"/>
      <c r="U36" s="383"/>
      <c r="V36" s="383"/>
      <c r="W36" s="383"/>
      <c r="X36" s="383"/>
      <c r="Y36" s="49"/>
    </row>
    <row r="37" spans="1:25" s="54" customFormat="1" ht="20.100000000000001" customHeight="1" x14ac:dyDescent="0.15">
      <c r="A37" s="375" t="str">
        <f>IFERROR(IF(HLOOKUP($N$4,RangeUnitsets,O37,FALSE)=0,"",HLOOKUP($N$4,RangeUnitsets,O37,FALSE)),"")</f>
        <v/>
      </c>
      <c r="B37" s="393" t="str">
        <f>IFERROR(IF(VLOOKUP($A37,TableHandbook[],B$2,FALSE)=0,"",VLOOKUP($A37,TableHandbook[],B$2,FALSE)),"")</f>
        <v/>
      </c>
      <c r="C37" s="393" t="str">
        <f>IFERROR(IF(VLOOKUP($A37,TableHandbook[],C$2,FALSE)=0,"",VLOOKUP($A37,TableHandbook[],C$2,FALSE)),"")</f>
        <v/>
      </c>
      <c r="D37" s="398" t="str">
        <f>IFERROR(IF(VLOOKUP($A37,TableHandbook[],D$2,FALSE)=0,"",VLOOKUP($A37,TableHandbook[],D$2,FALSE)),"")</f>
        <v/>
      </c>
      <c r="E37" s="393" t="str">
        <f>IF(A37="","",E36)</f>
        <v/>
      </c>
      <c r="F37" s="378" t="str">
        <f>IFERROR(IF(VLOOKUP($A37,TableHandbook[],F$2,FALSE)=0,"",VLOOKUP($A37,TableHandbook[],F$2,FALSE)),"")</f>
        <v/>
      </c>
      <c r="G37" s="376" t="str">
        <f>IFERROR(IF(VLOOKUP($A37,TableHandbook[],G$2,FALSE)=0,"",VLOOKUP($A37,TableHandbook[],G$2,FALSE)),"")</f>
        <v/>
      </c>
      <c r="H37" s="379" t="str">
        <f>IFERROR(VLOOKUP($A37,TableHandbook[],H$2,FALSE),"")</f>
        <v/>
      </c>
      <c r="I37" s="376" t="str">
        <f>IFERROR(VLOOKUP($A37,TableHandbook[],I$2,FALSE),"")</f>
        <v/>
      </c>
      <c r="J37" s="376" t="str">
        <f>IFERROR(VLOOKUP($A37,TableHandbook[],J$2,FALSE),"")</f>
        <v/>
      </c>
      <c r="K37" s="376" t="str">
        <f>IFERROR(VLOOKUP($A37,TableHandbook[],K$2,FALSE),"")</f>
        <v/>
      </c>
      <c r="L37" s="376" t="str">
        <f>IFERROR(VLOOKUP($A37,TableHandbook[],L$2,FALSE),"")</f>
        <v/>
      </c>
      <c r="M37" s="380" t="str">
        <f>IFERROR(VLOOKUP($A37,TableHandbook[],M$2,FALSE),"")</f>
        <v/>
      </c>
      <c r="N37" s="87"/>
      <c r="O37" s="381">
        <v>24</v>
      </c>
      <c r="P37" s="396"/>
      <c r="Q37" s="396"/>
      <c r="R37" s="397"/>
      <c r="S37" s="397"/>
      <c r="T37" s="397"/>
      <c r="U37" s="397"/>
      <c r="V37" s="397"/>
      <c r="W37" s="397"/>
      <c r="X37" s="397"/>
      <c r="Y37" s="53"/>
    </row>
    <row r="38" spans="1:25" s="54" customFormat="1" ht="20.100000000000001" customHeight="1" x14ac:dyDescent="0.15">
      <c r="A38" s="375" t="str">
        <f>IFERROR(IF(HLOOKUP($N$4,RangeUnitsets,O38,FALSE)=0,"",HLOOKUP($N$4,RangeUnitsets,O38,FALSE)),"")</f>
        <v/>
      </c>
      <c r="B38" s="393" t="str">
        <f>IFERROR(IF(VLOOKUP($A38,TableHandbook[],B$2,FALSE)=0,"",VLOOKUP($A38,TableHandbook[],B$2,FALSE)),"")</f>
        <v/>
      </c>
      <c r="C38" s="393" t="str">
        <f>IFERROR(IF(VLOOKUP($A38,TableHandbook[],C$2,FALSE)=0,"",VLOOKUP($A38,TableHandbook[],C$2,FALSE)),"")</f>
        <v/>
      </c>
      <c r="D38" s="398" t="str">
        <f>IFERROR(IF(VLOOKUP($A38,TableHandbook[],D$2,FALSE)=0,"",VLOOKUP($A38,TableHandbook[],D$2,FALSE)),"")</f>
        <v/>
      </c>
      <c r="E38" s="376" t="str">
        <f>IF(A38="","",E37)</f>
        <v/>
      </c>
      <c r="F38" s="378" t="str">
        <f>IFERROR(IF(VLOOKUP($A38,TableHandbook[],F$2,FALSE)=0,"",VLOOKUP($A38,TableHandbook[],F$2,FALSE)),"")</f>
        <v/>
      </c>
      <c r="G38" s="376" t="str">
        <f>IFERROR(IF(VLOOKUP($A38,TableHandbook[],G$2,FALSE)=0,"",VLOOKUP($A38,TableHandbook[],G$2,FALSE)),"")</f>
        <v/>
      </c>
      <c r="H38" s="379" t="str">
        <f>IFERROR(VLOOKUP($A38,TableHandbook[],H$2,FALSE),"")</f>
        <v/>
      </c>
      <c r="I38" s="376" t="str">
        <f>IFERROR(VLOOKUP($A38,TableHandbook[],I$2,FALSE),"")</f>
        <v/>
      </c>
      <c r="J38" s="376" t="str">
        <f>IFERROR(VLOOKUP($A38,TableHandbook[],J$2,FALSE),"")</f>
        <v/>
      </c>
      <c r="K38" s="376" t="str">
        <f>IFERROR(VLOOKUP($A38,TableHandbook[],K$2,FALSE),"")</f>
        <v/>
      </c>
      <c r="L38" s="376" t="str">
        <f>IFERROR(VLOOKUP($A38,TableHandbook[],L$2,FALSE),"")</f>
        <v/>
      </c>
      <c r="M38" s="380" t="str">
        <f>IFERROR(VLOOKUP($A38,TableHandbook[],M$2,FALSE),"")</f>
        <v/>
      </c>
      <c r="N38" s="87"/>
      <c r="O38" s="381">
        <v>25</v>
      </c>
      <c r="P38" s="396"/>
      <c r="Q38" s="396"/>
      <c r="R38" s="397"/>
      <c r="S38" s="397"/>
      <c r="T38" s="397"/>
      <c r="U38" s="397"/>
      <c r="V38" s="397"/>
      <c r="W38" s="397"/>
      <c r="X38" s="397"/>
      <c r="Y38" s="53"/>
    </row>
    <row r="39" spans="1:25" s="47" customFormat="1" ht="21" x14ac:dyDescent="0.25">
      <c r="A39" s="364" t="s">
        <v>28</v>
      </c>
      <c r="B39" s="364"/>
      <c r="C39" s="364"/>
      <c r="D39" s="399" t="s">
        <v>3</v>
      </c>
      <c r="E39" s="372" t="s">
        <v>17</v>
      </c>
      <c r="F39" s="364" t="s">
        <v>18</v>
      </c>
      <c r="G39" s="364" t="s">
        <v>19</v>
      </c>
      <c r="H39" s="373" t="s">
        <v>921</v>
      </c>
      <c r="I39" s="372" t="s">
        <v>20</v>
      </c>
      <c r="J39" s="372" t="s">
        <v>21</v>
      </c>
      <c r="K39" s="372" t="s">
        <v>22</v>
      </c>
      <c r="L39" s="372" t="s">
        <v>23</v>
      </c>
      <c r="M39" s="374" t="s">
        <v>24</v>
      </c>
      <c r="N39" s="364" t="s">
        <v>25</v>
      </c>
      <c r="O39" s="370"/>
      <c r="P39" s="370"/>
      <c r="Q39" s="370"/>
      <c r="R39" s="371"/>
      <c r="S39" s="371"/>
      <c r="T39" s="371"/>
      <c r="U39" s="371"/>
      <c r="V39" s="371"/>
      <c r="W39" s="371"/>
      <c r="X39" s="371"/>
      <c r="Y39" s="46"/>
    </row>
    <row r="40" spans="1:25" s="50" customFormat="1" ht="20.100000000000001" customHeight="1" x14ac:dyDescent="0.15">
      <c r="A40" s="375" t="str">
        <f>IFERROR(IF(HLOOKUP($N$4,RangeUnitsets,O40,FALSE)=0,"",HLOOKUP($N$4,RangeUnitsets,O40,FALSE)),"")</f>
        <v/>
      </c>
      <c r="B40" s="393" t="str">
        <f>IFERROR(IF(VLOOKUP($A40,TableHandbook[],B$2,FALSE)=0,"",VLOOKUP($A40,TableHandbook[],B$2,FALSE)),"")</f>
        <v/>
      </c>
      <c r="C40" s="393" t="str">
        <f>IFERROR(IF(VLOOKUP($A40,TableHandbook[],C$2,FALSE)=0,"",VLOOKUP($A40,TableHandbook[],C$2,FALSE)),"")</f>
        <v/>
      </c>
      <c r="D40" s="400" t="str">
        <f>IFERROR(IF(VLOOKUP($A40,TableHandbook[],D$2,FALSE)=0,"",VLOOKUP($A40,TableHandbook[],D$2,FALSE)),"")</f>
        <v/>
      </c>
      <c r="E40" s="393" t="str">
        <f>IF(OR(A40="",A40="--"),"",VLOOKUP($D$7,TableStudyPeriods[],2,FALSE))</f>
        <v/>
      </c>
      <c r="F40" s="378" t="str">
        <f>IFERROR(IF(VLOOKUP($A40,TableHandbook[],F$2,FALSE)=0,"",VLOOKUP($A40,TableHandbook[],F$2,FALSE)),"")</f>
        <v/>
      </c>
      <c r="G40" s="376" t="str">
        <f>IFERROR(IF(VLOOKUP($A40,TableHandbook[],G$2,FALSE)=0,"",VLOOKUP($A40,TableHandbook[],G$2,FALSE)),"")</f>
        <v/>
      </c>
      <c r="H40" s="379" t="str">
        <f>IFERROR(VLOOKUP($A40,TableHandbook[],H$2,FALSE),"")</f>
        <v/>
      </c>
      <c r="I40" s="376" t="str">
        <f>IFERROR(VLOOKUP($A40,TableHandbook[],I$2,FALSE),"")</f>
        <v/>
      </c>
      <c r="J40" s="376" t="str">
        <f>IFERROR(VLOOKUP($A40,TableHandbook[],J$2,FALSE),"")</f>
        <v/>
      </c>
      <c r="K40" s="376" t="str">
        <f>IFERROR(VLOOKUP($A40,TableHandbook[],K$2,FALSE),"")</f>
        <v/>
      </c>
      <c r="L40" s="376" t="str">
        <f>IFERROR(VLOOKUP($A40,TableHandbook[],L$2,FALSE),"")</f>
        <v/>
      </c>
      <c r="M40" s="380" t="str">
        <f>IFERROR(VLOOKUP($A40,TableHandbook[],M$2,FALSE),"")</f>
        <v/>
      </c>
      <c r="N40" s="87"/>
      <c r="O40" s="381">
        <v>26</v>
      </c>
      <c r="P40" s="382"/>
      <c r="Q40" s="382"/>
      <c r="R40" s="383"/>
      <c r="S40" s="383"/>
      <c r="T40" s="383"/>
      <c r="U40" s="383"/>
      <c r="V40" s="383"/>
      <c r="W40" s="383"/>
      <c r="X40" s="383"/>
      <c r="Y40" s="49"/>
    </row>
    <row r="41" spans="1:25" s="50" customFormat="1" ht="19.5" customHeight="1" x14ac:dyDescent="0.15">
      <c r="A41" s="375" t="str">
        <f>IFERROR(IF(HLOOKUP($N$4,RangeUnitsets,O41,FALSE)=0,"",HLOOKUP($N$4,RangeUnitsets,O41,FALSE)),"")</f>
        <v/>
      </c>
      <c r="B41" s="393" t="str">
        <f>IFERROR(IF(VLOOKUP($A41,TableHandbook[],B$2,FALSE)=0,"",VLOOKUP($A41,TableHandbook[],B$2,FALSE)),"")</f>
        <v/>
      </c>
      <c r="C41" s="393" t="str">
        <f>IFERROR(IF(VLOOKUP($A41,TableHandbook[],C$2,FALSE)=0,"",VLOOKUP($A41,TableHandbook[],C$2,FALSE)),"")</f>
        <v/>
      </c>
      <c r="D41" s="398" t="str">
        <f>IFERROR(IF(VLOOKUP($A41,TableHandbook[],D$2,FALSE)=0,"",VLOOKUP($A41,TableHandbook[],D$2,FALSE)),"")</f>
        <v/>
      </c>
      <c r="E41" s="393" t="str">
        <f>IF(A41="","",E40)</f>
        <v/>
      </c>
      <c r="F41" s="378" t="str">
        <f>IFERROR(IF(VLOOKUP($A41,TableHandbook[],F$2,FALSE)=0,"",VLOOKUP($A41,TableHandbook[],F$2,FALSE)),"")</f>
        <v/>
      </c>
      <c r="G41" s="376" t="str">
        <f>IFERROR(IF(VLOOKUP($A41,TableHandbook[],G$2,FALSE)=0,"",VLOOKUP($A41,TableHandbook[],G$2,FALSE)),"")</f>
        <v/>
      </c>
      <c r="H41" s="379" t="str">
        <f>IFERROR(VLOOKUP($A41,TableHandbook[],H$2,FALSE),"")</f>
        <v/>
      </c>
      <c r="I41" s="376" t="str">
        <f>IFERROR(VLOOKUP($A41,TableHandbook[],I$2,FALSE),"")</f>
        <v/>
      </c>
      <c r="J41" s="376" t="str">
        <f>IFERROR(VLOOKUP($A41,TableHandbook[],J$2,FALSE),"")</f>
        <v/>
      </c>
      <c r="K41" s="376" t="str">
        <f>IFERROR(VLOOKUP($A41,TableHandbook[],K$2,FALSE),"")</f>
        <v/>
      </c>
      <c r="L41" s="376" t="str">
        <f>IFERROR(VLOOKUP($A41,TableHandbook[],L$2,FALSE),"")</f>
        <v/>
      </c>
      <c r="M41" s="380" t="str">
        <f>IFERROR(VLOOKUP($A41,TableHandbook[],M$2,FALSE),"")</f>
        <v/>
      </c>
      <c r="N41" s="87"/>
      <c r="O41" s="381">
        <v>27</v>
      </c>
      <c r="P41" s="382"/>
      <c r="Q41" s="382"/>
      <c r="R41" s="383"/>
      <c r="S41" s="383"/>
      <c r="T41" s="383"/>
      <c r="U41" s="383"/>
      <c r="V41" s="383"/>
      <c r="W41" s="383"/>
      <c r="X41" s="383"/>
      <c r="Y41" s="49"/>
    </row>
    <row r="42" spans="1:25" s="50" customFormat="1" ht="20.100000000000001" customHeight="1" x14ac:dyDescent="0.15">
      <c r="A42" s="375" t="str">
        <f>IFERROR(IF(HLOOKUP($N$4,RangeUnitsets,O42,FALSE)=0,"",HLOOKUP($N$4,RangeUnitsets,O42,FALSE)),"")</f>
        <v/>
      </c>
      <c r="B42" s="393" t="str">
        <f>IFERROR(IF(VLOOKUP($A42,TableHandbook[],B$2,FALSE)=0,"",VLOOKUP($A42,TableHandbook[],B$2,FALSE)),"")</f>
        <v/>
      </c>
      <c r="C42" s="393" t="str">
        <f>IFERROR(IF(VLOOKUP($A42,TableHandbook[],C$2,FALSE)=0,"",VLOOKUP($A42,TableHandbook[],C$2,FALSE)),"")</f>
        <v/>
      </c>
      <c r="D42" s="398" t="str">
        <f>IFERROR(IF(VLOOKUP($A42,TableHandbook[],D$2,FALSE)=0,"",VLOOKUP($A42,TableHandbook[],D$2,FALSE)),"")</f>
        <v/>
      </c>
      <c r="E42" s="393" t="str">
        <f>IF(A42="","",E41)</f>
        <v/>
      </c>
      <c r="F42" s="378" t="str">
        <f>IFERROR(IF(VLOOKUP($A42,TableHandbook[],F$2,FALSE)=0,"",VLOOKUP($A42,TableHandbook[],F$2,FALSE)),"")</f>
        <v/>
      </c>
      <c r="G42" s="376" t="str">
        <f>IFERROR(IF(VLOOKUP($A42,TableHandbook[],G$2,FALSE)=0,"",VLOOKUP($A42,TableHandbook[],G$2,FALSE)),"")</f>
        <v/>
      </c>
      <c r="H42" s="379" t="str">
        <f>IFERROR(VLOOKUP($A42,TableHandbook[],H$2,FALSE),"")</f>
        <v/>
      </c>
      <c r="I42" s="376" t="str">
        <f>IFERROR(VLOOKUP($A42,TableHandbook[],I$2,FALSE),"")</f>
        <v/>
      </c>
      <c r="J42" s="376" t="str">
        <f>IFERROR(VLOOKUP($A42,TableHandbook[],J$2,FALSE),"")</f>
        <v/>
      </c>
      <c r="K42" s="376" t="str">
        <f>IFERROR(VLOOKUP($A42,TableHandbook[],K$2,FALSE),"")</f>
        <v/>
      </c>
      <c r="L42" s="376" t="str">
        <f>IFERROR(VLOOKUP($A42,TableHandbook[],L$2,FALSE),"")</f>
        <v/>
      </c>
      <c r="M42" s="380" t="str">
        <f>IFERROR(VLOOKUP($A42,TableHandbook[],M$2,FALSE),"")</f>
        <v/>
      </c>
      <c r="N42" s="87"/>
      <c r="O42" s="381">
        <v>28</v>
      </c>
      <c r="P42" s="382"/>
      <c r="Q42" s="382"/>
      <c r="R42" s="383"/>
      <c r="S42" s="383"/>
      <c r="T42" s="383"/>
      <c r="U42" s="383"/>
      <c r="V42" s="383"/>
      <c r="W42" s="383"/>
      <c r="X42" s="383"/>
      <c r="Y42" s="49"/>
    </row>
    <row r="43" spans="1:25" s="50" customFormat="1" ht="20.100000000000001" customHeight="1" x14ac:dyDescent="0.15">
      <c r="A43" s="375" t="str">
        <f>IFERROR(IF(HLOOKUP($N$4,RangeUnitsets,O43,FALSE)=0,"",HLOOKUP($N$4,RangeUnitsets,O43,FALSE)),"")</f>
        <v/>
      </c>
      <c r="B43" s="393" t="str">
        <f>IFERROR(IF(VLOOKUP($A43,TableHandbook[],B$2,FALSE)=0,"",VLOOKUP($A43,TableHandbook[],B$2,FALSE)),"")</f>
        <v/>
      </c>
      <c r="C43" s="393" t="str">
        <f>IFERROR(IF(VLOOKUP($A43,TableHandbook[],C$2,FALSE)=0,"",VLOOKUP($A43,TableHandbook[],C$2,FALSE)),"")</f>
        <v/>
      </c>
      <c r="D43" s="398" t="str">
        <f>IFERROR(IF(VLOOKUP($A43,TableHandbook[],D$2,FALSE)=0,"",VLOOKUP($A43,TableHandbook[],D$2,FALSE)),"")</f>
        <v/>
      </c>
      <c r="E43" s="393" t="str">
        <f>IF(A43="","",E42)</f>
        <v/>
      </c>
      <c r="F43" s="378" t="str">
        <f>IFERROR(IF(VLOOKUP($A43,TableHandbook[],F$2,FALSE)=0,"",VLOOKUP($A43,TableHandbook[],F$2,FALSE)),"")</f>
        <v/>
      </c>
      <c r="G43" s="376" t="str">
        <f>IFERROR(IF(VLOOKUP($A43,TableHandbook[],G$2,FALSE)=0,"",VLOOKUP($A43,TableHandbook[],G$2,FALSE)),"")</f>
        <v/>
      </c>
      <c r="H43" s="379" t="str">
        <f>IFERROR(VLOOKUP($A43,TableHandbook[],H$2,FALSE),"")</f>
        <v/>
      </c>
      <c r="I43" s="376" t="str">
        <f>IFERROR(VLOOKUP($A43,TableHandbook[],I$2,FALSE),"")</f>
        <v/>
      </c>
      <c r="J43" s="376" t="str">
        <f>IFERROR(VLOOKUP($A43,TableHandbook[],J$2,FALSE),"")</f>
        <v/>
      </c>
      <c r="K43" s="376" t="str">
        <f>IFERROR(VLOOKUP($A43,TableHandbook[],K$2,FALSE),"")</f>
        <v/>
      </c>
      <c r="L43" s="376" t="str">
        <f>IFERROR(VLOOKUP($A43,TableHandbook[],L$2,FALSE),"")</f>
        <v/>
      </c>
      <c r="M43" s="380" t="str">
        <f>IFERROR(VLOOKUP($A43,TableHandbook[],M$2,FALSE),"")</f>
        <v/>
      </c>
      <c r="N43" s="87"/>
      <c r="O43" s="381">
        <v>29</v>
      </c>
      <c r="P43" s="382"/>
      <c r="Q43" s="382"/>
      <c r="R43" s="383"/>
      <c r="S43" s="383"/>
      <c r="T43" s="383"/>
      <c r="U43" s="383"/>
      <c r="V43" s="383"/>
      <c r="W43" s="383"/>
      <c r="X43" s="383"/>
      <c r="Y43" s="49"/>
    </row>
    <row r="44" spans="1:25" s="50" customFormat="1" ht="5.0999999999999996" customHeight="1" x14ac:dyDescent="0.15">
      <c r="A44" s="386"/>
      <c r="B44" s="387"/>
      <c r="C44" s="387"/>
      <c r="D44" s="388"/>
      <c r="E44" s="387"/>
      <c r="F44" s="389"/>
      <c r="G44" s="387"/>
      <c r="H44" s="390"/>
      <c r="I44" s="387"/>
      <c r="J44" s="387"/>
      <c r="K44" s="387"/>
      <c r="L44" s="387"/>
      <c r="M44" s="391"/>
      <c r="N44" s="391"/>
      <c r="O44" s="392"/>
      <c r="P44" s="382"/>
      <c r="Q44" s="382"/>
      <c r="R44" s="382"/>
      <c r="S44" s="383"/>
      <c r="T44" s="383"/>
      <c r="U44" s="383"/>
      <c r="V44" s="383"/>
      <c r="W44" s="383"/>
      <c r="X44" s="383"/>
      <c r="Y44" s="49"/>
    </row>
    <row r="45" spans="1:25" s="50" customFormat="1" ht="20.100000000000001" customHeight="1" x14ac:dyDescent="0.15">
      <c r="A45" s="375" t="str">
        <f>IFERROR(IF(HLOOKUP($N$4,RangeUnitsets,O45,FALSE)=0,"",HLOOKUP($N$4,RangeUnitsets,O45,FALSE)),"")</f>
        <v/>
      </c>
      <c r="B45" s="393" t="str">
        <f>IFERROR(IF(VLOOKUP($A45,TableHandbook[],B$2,FALSE)=0,"",VLOOKUP($A45,TableHandbook[],B$2,FALSE)),"")</f>
        <v/>
      </c>
      <c r="C45" s="393" t="str">
        <f>IFERROR(IF(VLOOKUP($A45,TableHandbook[],C$2,FALSE)=0,"",VLOOKUP($A45,TableHandbook[],C$2,FALSE)),"")</f>
        <v/>
      </c>
      <c r="D45" s="398" t="str">
        <f>IFERROR(IF(VLOOKUP($A45,TableHandbook[],D$2,FALSE)=0,"",VLOOKUP($A45,TableHandbook[],D$2,FALSE)),"")</f>
        <v/>
      </c>
      <c r="E45" s="393"/>
      <c r="F45" s="378" t="str">
        <f>IFERROR(IF(VLOOKUP($A45,TableHandbook[],F$2,FALSE)=0,"",VLOOKUP($A45,TableHandbook[],F$2,FALSE)),"")</f>
        <v/>
      </c>
      <c r="G45" s="376" t="str">
        <f>IFERROR(IF(VLOOKUP($A45,TableHandbook[],G$2,FALSE)=0,"",VLOOKUP($A45,TableHandbook[],G$2,FALSE)),"")</f>
        <v/>
      </c>
      <c r="H45" s="379" t="str">
        <f>IFERROR(VLOOKUP($A45,TableHandbook[],H$2,FALSE),"")</f>
        <v/>
      </c>
      <c r="I45" s="376" t="str">
        <f>IFERROR(VLOOKUP($A45,TableHandbook[],I$2,FALSE),"")</f>
        <v/>
      </c>
      <c r="J45" s="376" t="str">
        <f>IFERROR(VLOOKUP($A45,TableHandbook[],J$2,FALSE),"")</f>
        <v/>
      </c>
      <c r="K45" s="376" t="str">
        <f>IFERROR(VLOOKUP($A45,TableHandbook[],K$2,FALSE),"")</f>
        <v/>
      </c>
      <c r="L45" s="376" t="str">
        <f>IFERROR(VLOOKUP($A45,TableHandbook[],L$2,FALSE),"")</f>
        <v/>
      </c>
      <c r="M45" s="380" t="str">
        <f>IFERROR(VLOOKUP($A45,TableHandbook[],M$2,FALSE),"")</f>
        <v/>
      </c>
      <c r="N45" s="87"/>
      <c r="O45" s="381">
        <v>30</v>
      </c>
      <c r="P45" s="382"/>
      <c r="Q45" s="382"/>
      <c r="R45" s="383"/>
      <c r="S45" s="383"/>
      <c r="T45" s="383"/>
      <c r="U45" s="383"/>
      <c r="V45" s="383"/>
      <c r="W45" s="383"/>
      <c r="X45" s="383"/>
      <c r="Y45" s="49"/>
    </row>
    <row r="46" spans="1:25" s="50" customFormat="1" ht="20.100000000000001" customHeight="1" x14ac:dyDescent="0.15">
      <c r="A46" s="375" t="str">
        <f>IFERROR(IF(HLOOKUP($N$4,RangeUnitsets,O46,FALSE)=0,"",HLOOKUP($N$4,RangeUnitsets,O46,FALSE)),"")</f>
        <v/>
      </c>
      <c r="B46" s="393" t="str">
        <f>IFERROR(IF(VLOOKUP($A46,TableHandbook[],B$2,FALSE)=0,"",VLOOKUP($A46,TableHandbook[],B$2,FALSE)),"")</f>
        <v/>
      </c>
      <c r="C46" s="393" t="str">
        <f>IFERROR(IF(VLOOKUP($A46,TableHandbook[],C$2,FALSE)=0,"",VLOOKUP($A46,TableHandbook[],C$2,FALSE)),"")</f>
        <v/>
      </c>
      <c r="D46" s="398" t="str">
        <f>IFERROR(IF(VLOOKUP($A46,TableHandbook[],D$2,FALSE)=0,"",VLOOKUP($A46,TableHandbook[],D$2,FALSE)),"")</f>
        <v/>
      </c>
      <c r="E46" s="393"/>
      <c r="F46" s="378" t="str">
        <f>IFERROR(IF(VLOOKUP($A46,TableHandbook[],F$2,FALSE)=0,"",VLOOKUP($A46,TableHandbook[],F$2,FALSE)),"")</f>
        <v/>
      </c>
      <c r="G46" s="376" t="str">
        <f>IFERROR(IF(VLOOKUP($A46,TableHandbook[],G$2,FALSE)=0,"",VLOOKUP($A46,TableHandbook[],G$2,FALSE)),"")</f>
        <v/>
      </c>
      <c r="H46" s="379" t="str">
        <f>IFERROR(VLOOKUP($A46,TableHandbook[],H$2,FALSE),"")</f>
        <v/>
      </c>
      <c r="I46" s="376" t="str">
        <f>IFERROR(VLOOKUP($A46,TableHandbook[],I$2,FALSE),"")</f>
        <v/>
      </c>
      <c r="J46" s="376" t="str">
        <f>IFERROR(VLOOKUP($A46,TableHandbook[],J$2,FALSE),"")</f>
        <v/>
      </c>
      <c r="K46" s="376" t="str">
        <f>IFERROR(VLOOKUP($A46,TableHandbook[],K$2,FALSE),"")</f>
        <v/>
      </c>
      <c r="L46" s="376" t="str">
        <f>IFERROR(VLOOKUP($A46,TableHandbook[],L$2,FALSE),"")</f>
        <v/>
      </c>
      <c r="M46" s="380" t="str">
        <f>IFERROR(VLOOKUP($A46,TableHandbook[],M$2,FALSE),"")</f>
        <v/>
      </c>
      <c r="N46" s="87"/>
      <c r="O46" s="381">
        <v>31</v>
      </c>
      <c r="P46" s="382"/>
      <c r="Q46" s="382"/>
      <c r="R46" s="383"/>
      <c r="S46" s="383"/>
      <c r="T46" s="383"/>
      <c r="U46" s="383"/>
      <c r="V46" s="383"/>
      <c r="W46" s="383"/>
      <c r="X46" s="383"/>
      <c r="Y46" s="49"/>
    </row>
    <row r="47" spans="1:25" s="62" customFormat="1" ht="13.9" customHeight="1" x14ac:dyDescent="0.2">
      <c r="A47" s="401"/>
      <c r="B47" s="401"/>
      <c r="C47" s="401"/>
      <c r="D47" s="402"/>
      <c r="E47" s="402"/>
      <c r="F47" s="403"/>
      <c r="G47" s="403"/>
      <c r="H47" s="403"/>
      <c r="I47" s="403"/>
      <c r="J47" s="403"/>
      <c r="K47" s="403"/>
      <c r="L47" s="403"/>
      <c r="M47" s="403"/>
      <c r="N47" s="403"/>
      <c r="O47" s="404"/>
      <c r="P47" s="404"/>
      <c r="Q47" s="404"/>
      <c r="R47" s="405"/>
      <c r="S47" s="405"/>
      <c r="T47" s="405"/>
      <c r="U47" s="405"/>
      <c r="V47" s="405"/>
      <c r="W47" s="405"/>
      <c r="X47" s="405"/>
      <c r="Y47" s="61"/>
    </row>
    <row r="48" spans="1:25" ht="16.5" x14ac:dyDescent="0.25">
      <c r="A48" s="406" t="s">
        <v>950</v>
      </c>
      <c r="B48" s="407"/>
      <c r="C48" s="407"/>
      <c r="D48" s="408"/>
      <c r="E48" s="409"/>
      <c r="F48" s="409"/>
      <c r="G48" s="409"/>
      <c r="H48" s="410" t="s">
        <v>15</v>
      </c>
      <c r="I48" s="411"/>
      <c r="J48" s="411"/>
      <c r="K48" s="411"/>
      <c r="L48" s="406"/>
      <c r="M48" s="406"/>
      <c r="N48" s="433"/>
      <c r="O48" s="347"/>
      <c r="P48" s="347"/>
      <c r="Q48" s="347"/>
      <c r="R48" s="347"/>
      <c r="S48" s="347"/>
      <c r="T48" s="347"/>
      <c r="U48" s="347"/>
      <c r="V48" s="347"/>
      <c r="W48" s="347"/>
      <c r="X48" s="347"/>
      <c r="Y48" s="44"/>
    </row>
    <row r="49" spans="1:25" s="66" customFormat="1" ht="21" x14ac:dyDescent="0.25">
      <c r="A49" s="413"/>
      <c r="B49" s="413"/>
      <c r="C49" s="413"/>
      <c r="D49" s="414" t="s">
        <v>3</v>
      </c>
      <c r="E49" s="413"/>
      <c r="F49" s="413" t="s">
        <v>18</v>
      </c>
      <c r="G49" s="413" t="s">
        <v>19</v>
      </c>
      <c r="H49" s="415" t="s">
        <v>921</v>
      </c>
      <c r="I49" s="416" t="s">
        <v>20</v>
      </c>
      <c r="J49" s="416" t="s">
        <v>21</v>
      </c>
      <c r="K49" s="416" t="s">
        <v>22</v>
      </c>
      <c r="L49" s="416" t="s">
        <v>23</v>
      </c>
      <c r="M49" s="416" t="s">
        <v>24</v>
      </c>
      <c r="N49" s="417" t="s">
        <v>25</v>
      </c>
      <c r="O49" s="418"/>
      <c r="P49" s="418"/>
      <c r="Q49" s="418"/>
      <c r="R49" s="418"/>
      <c r="S49" s="418"/>
      <c r="T49" s="418"/>
      <c r="U49" s="418"/>
      <c r="V49" s="418"/>
      <c r="W49" s="418"/>
      <c r="X49" s="418"/>
      <c r="Y49" s="65"/>
    </row>
    <row r="50" spans="1:25" x14ac:dyDescent="0.25">
      <c r="A50" s="434" t="str">
        <f>IFERROR(IF(HLOOKUP($N$6,RangeTeachingAreaStreams,$O50,FALSE)=0,"",HLOOKUP($N$6,RangeTeachingAreaStreams,$O50,FALSE)),"")</f>
        <v/>
      </c>
      <c r="B50" s="435" t="str">
        <f>IFERROR(IF(VLOOKUP($A50,TableHandbook[],2,FALSE)=0,"",VLOOKUP($A50,TableHandbook[],2,FALSE)),"")</f>
        <v/>
      </c>
      <c r="C50" s="436" t="str">
        <f>IFERROR(IF(VLOOKUP($A50,TableHandbook[],3,FALSE)=0,"",VLOOKUP($A50,TableHandbook[],3,FALSE)),"")</f>
        <v/>
      </c>
      <c r="D50" s="437" t="str">
        <f>IFERROR(IF(VLOOKUP($A50,TableHandbook[],4,FALSE)=0,"",VLOOKUP($A50,TableHandbook[],4,FALSE)),"")</f>
        <v/>
      </c>
      <c r="E50" s="438"/>
      <c r="F50" s="439" t="str">
        <f>IFERROR(IF(VLOOKUP($A50,TableHandbook[],6,FALSE)=0,"",VLOOKUP($A50,TableHandbook[],6,FALSE)),"")</f>
        <v/>
      </c>
      <c r="G50" s="439" t="str">
        <f>IFERROR(IF(VLOOKUP($A50,TableHandbook[],5,FALSE)=0,"",VLOOKUP($A50,TableHandbook[],5,FALSE)),"")</f>
        <v/>
      </c>
      <c r="H50" s="440" t="str">
        <f>IFERROR(VLOOKUP($A50,TableHandbook[],H$2,FALSE),"")</f>
        <v/>
      </c>
      <c r="I50" s="441" t="str">
        <f>IFERROR(VLOOKUP($A50,TableHandbook[],I$2,FALSE),"")</f>
        <v/>
      </c>
      <c r="J50" s="441" t="str">
        <f>IFERROR(VLOOKUP($A50,TableHandbook[],J$2,FALSE),"")</f>
        <v/>
      </c>
      <c r="K50" s="441" t="str">
        <f>IFERROR(VLOOKUP($A50,TableHandbook[],K$2,FALSE),"")</f>
        <v/>
      </c>
      <c r="L50" s="441" t="str">
        <f>IFERROR(VLOOKUP($A50,TableHandbook[],L$2,FALSE),"")</f>
        <v/>
      </c>
      <c r="M50" s="442" t="str">
        <f>IFERROR(VLOOKUP($A50,TableHandbook[],M$2,FALSE),"")</f>
        <v/>
      </c>
      <c r="N50" s="444"/>
      <c r="O50" s="381">
        <v>2</v>
      </c>
      <c r="P50" s="347"/>
      <c r="Q50" s="347"/>
      <c r="R50" s="347"/>
      <c r="S50" s="347"/>
      <c r="T50" s="347"/>
      <c r="U50" s="347"/>
      <c r="V50" s="347"/>
      <c r="W50" s="347"/>
      <c r="X50" s="347"/>
      <c r="Y50" s="44"/>
    </row>
    <row r="51" spans="1:25" x14ac:dyDescent="0.25">
      <c r="A51" s="419" t="str">
        <f>IFERROR(IF(HLOOKUP($N$6,RangeTeachingAreaStreams,$O51,FALSE)=0,"",HLOOKUP($N$6,RangeTeachingAreaStreams,$O51,FALSE)),"")</f>
        <v/>
      </c>
      <c r="B51" s="424" t="str">
        <f>IFERROR(IF(VLOOKUP($A51,TableHandbook[],2,FALSE)=0,"",VLOOKUP($A51,TableHandbook[],2,FALSE)),"")</f>
        <v/>
      </c>
      <c r="C51" s="421" t="str">
        <f>IFERROR(IF(VLOOKUP($A51,TableHandbook[],3,FALSE)=0,"",VLOOKUP($A51,TableHandbook[],3,FALSE)),"")</f>
        <v/>
      </c>
      <c r="D51" s="421" t="str">
        <f>IFERROR(IF(VLOOKUP($A51,TableHandbook[],4,FALSE)=0,"",VLOOKUP($A51,TableHandbook[],4,FALSE)),"")</f>
        <v/>
      </c>
      <c r="E51" s="422"/>
      <c r="F51" s="423" t="str">
        <f>IFERROR(IF(VLOOKUP($A51,TableHandbook[],6,FALSE)=0,"",VLOOKUP($A51,TableHandbook[],6,FALSE)),"")</f>
        <v/>
      </c>
      <c r="G51" s="423" t="str">
        <f>IFERROR(IF(VLOOKUP($A51,TableHandbook[],5,FALSE)=0,"",VLOOKUP($A51,TableHandbook[],5,FALSE)),"")</f>
        <v/>
      </c>
      <c r="H51" s="379" t="str">
        <f>IFERROR(VLOOKUP($A51,TableHandbook[],H$2,FALSE),"")</f>
        <v/>
      </c>
      <c r="I51" s="376" t="str">
        <f>IFERROR(VLOOKUP($A51,TableHandbook[],I$2,FALSE),"")</f>
        <v/>
      </c>
      <c r="J51" s="376" t="str">
        <f>IFERROR(VLOOKUP($A51,TableHandbook[],J$2,FALSE),"")</f>
        <v/>
      </c>
      <c r="K51" s="376" t="str">
        <f>IFERROR(VLOOKUP($A51,TableHandbook[],K$2,FALSE),"")</f>
        <v/>
      </c>
      <c r="L51" s="376" t="str">
        <f>IFERROR(VLOOKUP($A51,TableHandbook[],L$2,FALSE),"")</f>
        <v/>
      </c>
      <c r="M51" s="380" t="str">
        <f>IFERROR(VLOOKUP($A51,TableHandbook[],M$2,FALSE),"")</f>
        <v/>
      </c>
      <c r="N51" s="91"/>
      <c r="O51" s="381">
        <v>3</v>
      </c>
      <c r="P51" s="347"/>
      <c r="Q51" s="347"/>
      <c r="R51" s="347"/>
      <c r="S51" s="347"/>
      <c r="T51" s="347"/>
      <c r="U51" s="347"/>
      <c r="V51" s="347"/>
      <c r="W51" s="347"/>
      <c r="X51" s="347"/>
      <c r="Y51" s="44"/>
    </row>
    <row r="52" spans="1:25" x14ac:dyDescent="0.25">
      <c r="A52" s="419" t="str">
        <f>IFERROR(IF(HLOOKUP($N$6,RangeTeachingAreaStreams,$O52,FALSE)=0,"",HLOOKUP($N$6,RangeTeachingAreaStreams,$O52,FALSE)),"")</f>
        <v/>
      </c>
      <c r="B52" s="424" t="str">
        <f>IFERROR(IF(VLOOKUP($A52,TableHandbook[],2,FALSE)=0,"",VLOOKUP($A52,TableHandbook[],2,FALSE)),"")</f>
        <v/>
      </c>
      <c r="C52" s="421" t="str">
        <f>IFERROR(IF(VLOOKUP($A52,TableHandbook[],3,FALSE)=0,"",VLOOKUP($A52,TableHandbook[],3,FALSE)),"")</f>
        <v/>
      </c>
      <c r="D52" s="421" t="str">
        <f>IFERROR(IF(VLOOKUP($A52,TableHandbook[],4,FALSE)=0,"",VLOOKUP($A52,TableHandbook[],4,FALSE)),"")</f>
        <v/>
      </c>
      <c r="E52" s="422"/>
      <c r="F52" s="423" t="str">
        <f>IFERROR(IF(VLOOKUP($A52,TableHandbook[],6,FALSE)=0,"",VLOOKUP($A52,TableHandbook[],6,FALSE)),"")</f>
        <v/>
      </c>
      <c r="G52" s="423" t="str">
        <f>IFERROR(IF(VLOOKUP($A52,TableHandbook[],5,FALSE)=0,"",VLOOKUP($A52,TableHandbook[],5,FALSE)),"")</f>
        <v/>
      </c>
      <c r="H52" s="379" t="str">
        <f>IFERROR(VLOOKUP($A52,TableHandbook[],H$2,FALSE),"")</f>
        <v/>
      </c>
      <c r="I52" s="376" t="str">
        <f>IFERROR(VLOOKUP($A52,TableHandbook[],I$2,FALSE),"")</f>
        <v/>
      </c>
      <c r="J52" s="376" t="str">
        <f>IFERROR(VLOOKUP($A52,TableHandbook[],J$2,FALSE),"")</f>
        <v/>
      </c>
      <c r="K52" s="376" t="str">
        <f>IFERROR(VLOOKUP($A52,TableHandbook[],K$2,FALSE),"")</f>
        <v/>
      </c>
      <c r="L52" s="376" t="str">
        <f>IFERROR(VLOOKUP($A52,TableHandbook[],L$2,FALSE),"")</f>
        <v/>
      </c>
      <c r="M52" s="380" t="str">
        <f>IFERROR(VLOOKUP($A52,TableHandbook[],M$2,FALSE),"")</f>
        <v/>
      </c>
      <c r="N52" s="91"/>
      <c r="O52" s="381">
        <v>4</v>
      </c>
      <c r="P52" s="347"/>
      <c r="Q52" s="347"/>
      <c r="R52" s="347"/>
      <c r="S52" s="347"/>
      <c r="T52" s="347"/>
      <c r="U52" s="347"/>
      <c r="V52" s="347"/>
      <c r="W52" s="347"/>
      <c r="X52" s="347"/>
      <c r="Y52" s="44"/>
    </row>
    <row r="53" spans="1:25" x14ac:dyDescent="0.25">
      <c r="A53" s="419" t="str">
        <f>IFERROR(IF(HLOOKUP($N$6,RangeTeachingAreaStreams,$O53,FALSE)=0,"",HLOOKUP($N$6,RangeTeachingAreaStreams,$O53,FALSE)),"")</f>
        <v/>
      </c>
      <c r="B53" s="424" t="str">
        <f>IFERROR(IF(VLOOKUP($A53,TableHandbook[],2,FALSE)=0,"",VLOOKUP($A53,TableHandbook[],2,FALSE)),"")</f>
        <v/>
      </c>
      <c r="C53" s="421" t="str">
        <f>IFERROR(IF(VLOOKUP($A53,TableHandbook[],3,FALSE)=0,"",VLOOKUP($A53,TableHandbook[],3,FALSE)),"")</f>
        <v/>
      </c>
      <c r="D53" s="421" t="str">
        <f>IFERROR(IF(VLOOKUP($A53,TableHandbook[],4,FALSE)=0,"",VLOOKUP($A53,TableHandbook[],4,FALSE)),"")</f>
        <v/>
      </c>
      <c r="E53" s="422"/>
      <c r="F53" s="423" t="str">
        <f>IFERROR(IF(VLOOKUP($A53,TableHandbook[],6,FALSE)=0,"",VLOOKUP($A53,TableHandbook[],6,FALSE)),"")</f>
        <v/>
      </c>
      <c r="G53" s="423" t="str">
        <f>IFERROR(IF(VLOOKUP($A53,TableHandbook[],5,FALSE)=0,"",VLOOKUP($A53,TableHandbook[],5,FALSE)),"")</f>
        <v/>
      </c>
      <c r="H53" s="379" t="str">
        <f>IFERROR(VLOOKUP($A53,TableHandbook[],H$2,FALSE),"")</f>
        <v/>
      </c>
      <c r="I53" s="376" t="str">
        <f>IFERROR(VLOOKUP($A53,TableHandbook[],I$2,FALSE),"")</f>
        <v/>
      </c>
      <c r="J53" s="376" t="str">
        <f>IFERROR(VLOOKUP($A53,TableHandbook[],J$2,FALSE),"")</f>
        <v/>
      </c>
      <c r="K53" s="376" t="str">
        <f>IFERROR(VLOOKUP($A53,TableHandbook[],K$2,FALSE),"")</f>
        <v/>
      </c>
      <c r="L53" s="376" t="str">
        <f>IFERROR(VLOOKUP($A53,TableHandbook[],L$2,FALSE),"")</f>
        <v/>
      </c>
      <c r="M53" s="380" t="str">
        <f>IFERROR(VLOOKUP($A53,TableHandbook[],M$2,FALSE),"")</f>
        <v/>
      </c>
      <c r="N53" s="91"/>
      <c r="O53" s="381">
        <v>5</v>
      </c>
      <c r="P53" s="347"/>
      <c r="Q53" s="347"/>
      <c r="R53" s="347"/>
      <c r="S53" s="347"/>
      <c r="T53" s="347"/>
      <c r="U53" s="347"/>
      <c r="V53" s="347"/>
      <c r="W53" s="347"/>
      <c r="X53" s="347"/>
      <c r="Y53" s="44"/>
    </row>
    <row r="54" spans="1:25" s="44" customFormat="1" ht="32.25" customHeight="1" x14ac:dyDescent="0.25">
      <c r="A54" s="504" t="s">
        <v>30</v>
      </c>
      <c r="B54" s="504"/>
      <c r="C54" s="504"/>
      <c r="D54" s="504"/>
      <c r="E54" s="504"/>
      <c r="F54" s="504"/>
      <c r="G54" s="504"/>
      <c r="H54" s="504"/>
      <c r="I54" s="504"/>
      <c r="J54" s="504"/>
      <c r="K54" s="504"/>
      <c r="L54" s="504"/>
      <c r="M54" s="504"/>
      <c r="N54" s="504"/>
      <c r="O54" s="347"/>
      <c r="P54" s="347"/>
      <c r="Q54" s="347"/>
      <c r="R54" s="347"/>
      <c r="S54" s="347"/>
      <c r="T54" s="347"/>
      <c r="U54" s="347"/>
      <c r="V54" s="347"/>
      <c r="W54" s="347"/>
      <c r="X54" s="347"/>
    </row>
    <row r="55" spans="1:25" s="57" customFormat="1" ht="24.95" customHeight="1" x14ac:dyDescent="0.3">
      <c r="A55" s="148" t="s">
        <v>31</v>
      </c>
      <c r="B55" s="148"/>
      <c r="C55" s="148"/>
      <c r="D55" s="149"/>
      <c r="E55" s="149"/>
      <c r="F55" s="149"/>
      <c r="G55" s="149"/>
      <c r="H55" s="149"/>
      <c r="I55" s="149"/>
      <c r="J55" s="149"/>
      <c r="K55" s="149"/>
      <c r="L55" s="149"/>
      <c r="M55" s="149"/>
      <c r="N55" s="149"/>
      <c r="O55" s="425"/>
      <c r="P55" s="425"/>
      <c r="Q55" s="425"/>
      <c r="R55" s="426"/>
      <c r="S55" s="426"/>
      <c r="T55" s="426"/>
      <c r="U55" s="426"/>
      <c r="V55" s="426"/>
      <c r="W55" s="426"/>
      <c r="X55" s="426"/>
      <c r="Y55" s="56"/>
    </row>
    <row r="56" spans="1:25" s="44" customFormat="1" ht="15" customHeight="1" x14ac:dyDescent="0.25">
      <c r="A56" s="427" t="s">
        <v>32</v>
      </c>
      <c r="B56" s="427"/>
      <c r="C56" s="427"/>
      <c r="D56" s="427"/>
      <c r="E56" s="428"/>
      <c r="F56" s="403"/>
      <c r="G56" s="429"/>
      <c r="H56" s="429"/>
      <c r="I56" s="429"/>
      <c r="J56" s="429"/>
      <c r="K56" s="429"/>
      <c r="L56" s="429"/>
      <c r="M56" s="429"/>
      <c r="N56" s="429" t="s">
        <v>33</v>
      </c>
      <c r="O56" s="347"/>
      <c r="P56" s="347"/>
      <c r="Q56" s="347"/>
      <c r="R56" s="347"/>
      <c r="S56" s="347"/>
      <c r="T56" s="347"/>
      <c r="U56" s="347"/>
      <c r="V56" s="347"/>
      <c r="W56" s="347"/>
      <c r="X56" s="347"/>
    </row>
  </sheetData>
  <sheetProtection formatCells="0"/>
  <mergeCells count="2">
    <mergeCell ref="A3:D3"/>
    <mergeCell ref="A54:N54"/>
  </mergeCells>
  <conditionalFormatting sqref="A50:N53">
    <cfRule type="expression" dxfId="1100" priority="2">
      <formula>LEFT($D50,8)="Bachelor"</formula>
    </cfRule>
    <cfRule type="expression" dxfId="1099" priority="3">
      <formula>RIGHT($D50,7)="Options"</formula>
    </cfRule>
    <cfRule type="expression" dxfId="1098" priority="4">
      <formula>LEFT($D50,5)="Study"</formula>
    </cfRule>
  </conditionalFormatting>
  <conditionalFormatting sqref="D5 D7">
    <cfRule type="containsText" dxfId="1097" priority="5" operator="containsText" text="Choose">
      <formula>NOT(ISERROR(SEARCH("Choose",D5)))</formula>
    </cfRule>
  </conditionalFormatting>
  <conditionalFormatting sqref="D6">
    <cfRule type="containsText" dxfId="1096" priority="1" operator="containsText" text="Choose">
      <formula>NOT(ISERROR(SEARCH("Choose",D6)))</formula>
    </cfRule>
  </conditionalFormatting>
  <dataValidations count="1">
    <dataValidation type="list" allowBlank="1" showInputMessage="1" showErrorMessage="1" sqref="N24 N14 N34 N44"/>
  </dataValidations>
  <hyperlinks>
    <hyperlink ref="A55:N55"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57" orientation="portrait" r:id="rId2"/>
  <rowBreaks count="1" manualBreakCount="1">
    <brk id="46" max="10" man="1"/>
  </rowBreaks>
  <ignoredErrors>
    <ignoredError sqref="E10:E44" formula="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Unitsets!$A$13:$A$15</xm:f>
          </x14:formula1>
          <xm:sqref>D7</xm:sqref>
        </x14:dataValidation>
        <x14:dataValidation type="list" showInputMessage="1" showErrorMessage="1">
          <x14:formula1>
            <xm:f>Unitsets!$A$18:$A$23</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79998168889431442"/>
  </sheetPr>
  <dimension ref="A1:AN84"/>
  <sheetViews>
    <sheetView zoomScale="85" zoomScaleNormal="85" workbookViewId="0">
      <selection activeCell="D9" sqref="D9"/>
    </sheetView>
  </sheetViews>
  <sheetFormatPr defaultRowHeight="15.75" x14ac:dyDescent="0.25"/>
  <cols>
    <col min="1" max="1" width="50.375" style="19" bestFit="1" customWidth="1"/>
    <col min="2" max="2" width="11.75" style="11" bestFit="1" customWidth="1"/>
    <col min="3" max="3" width="8.875" style="11" bestFit="1" customWidth="1"/>
    <col min="4" max="4" width="19.875" style="11" bestFit="1" customWidth="1"/>
    <col min="5" max="5" width="14.25" style="11" bestFit="1" customWidth="1"/>
    <col min="6" max="6" width="14.25" style="11" customWidth="1"/>
    <col min="7" max="7" width="31.5" style="11" bestFit="1" customWidth="1"/>
    <col min="8" max="8" width="13.75" style="11" bestFit="1" customWidth="1"/>
    <col min="9" max="9" width="3.625" customWidth="1"/>
    <col min="10" max="11" width="11.5" bestFit="1" customWidth="1"/>
    <col min="12" max="12" width="11.125" bestFit="1" customWidth="1"/>
    <col min="13" max="13" width="11.625" bestFit="1" customWidth="1"/>
    <col min="14" max="14" width="11.375" customWidth="1"/>
    <col min="15" max="15" width="11.25" bestFit="1" customWidth="1"/>
    <col min="16" max="16" width="6.125" bestFit="1" customWidth="1"/>
    <col min="17" max="17" width="11.625" bestFit="1" customWidth="1"/>
    <col min="18" max="18" width="6.125" bestFit="1" customWidth="1"/>
    <col min="19" max="19" width="11.5" bestFit="1" customWidth="1"/>
    <col min="20" max="20" width="6.125" bestFit="1" customWidth="1"/>
    <col min="21" max="21" width="11.75" bestFit="1" customWidth="1"/>
    <col min="22" max="22" width="6.625" customWidth="1"/>
    <col min="23" max="23" width="16" bestFit="1" customWidth="1"/>
    <col min="24" max="24" width="4.5" bestFit="1" customWidth="1"/>
    <col min="25" max="25" width="5" bestFit="1" customWidth="1"/>
    <col min="26" max="26" width="37" bestFit="1" customWidth="1"/>
    <col min="27" max="27" width="6.75" bestFit="1" customWidth="1"/>
    <col min="28" max="28" width="19.875" customWidth="1"/>
    <col min="29" max="32" width="5.375" bestFit="1" customWidth="1"/>
    <col min="34" max="34" width="4.375" customWidth="1"/>
    <col min="35" max="35" width="34.5" bestFit="1" customWidth="1"/>
    <col min="37" max="37" width="20.875" bestFit="1" customWidth="1"/>
  </cols>
  <sheetData>
    <row r="1" spans="1:40" x14ac:dyDescent="0.25">
      <c r="A1" s="21" t="s">
        <v>34</v>
      </c>
      <c r="B1" s="22"/>
      <c r="C1" s="22"/>
      <c r="D1" s="22"/>
    </row>
    <row r="2" spans="1:40" x14ac:dyDescent="0.25">
      <c r="J2" s="75"/>
      <c r="K2" s="14"/>
      <c r="L2" s="15"/>
      <c r="M2" s="14"/>
      <c r="N2" s="13"/>
      <c r="O2" s="14"/>
      <c r="P2" s="15"/>
      <c r="Q2" s="14"/>
      <c r="R2" s="78"/>
      <c r="S2" s="14"/>
      <c r="T2" s="15"/>
      <c r="U2" s="15"/>
      <c r="V2" s="15"/>
      <c r="W2" s="133" t="s">
        <v>35</v>
      </c>
      <c r="X2">
        <v>2</v>
      </c>
      <c r="Y2">
        <v>3</v>
      </c>
      <c r="Z2">
        <v>4</v>
      </c>
      <c r="AA2">
        <v>5</v>
      </c>
      <c r="AB2">
        <v>6</v>
      </c>
      <c r="AC2">
        <v>10</v>
      </c>
      <c r="AD2">
        <f>AC2+1</f>
        <v>11</v>
      </c>
      <c r="AE2">
        <f t="shared" ref="AE2:AF2" si="0">AD2+1</f>
        <v>12</v>
      </c>
      <c r="AF2">
        <f t="shared" si="0"/>
        <v>13</v>
      </c>
      <c r="AG2" s="30"/>
      <c r="AH2" s="30"/>
      <c r="AI2" s="30"/>
      <c r="AJ2" s="30"/>
      <c r="AK2" s="30"/>
      <c r="AL2" s="30"/>
      <c r="AM2" s="30"/>
      <c r="AN2" s="30"/>
    </row>
    <row r="3" spans="1:40" ht="31.5" x14ac:dyDescent="0.25">
      <c r="B3"/>
      <c r="H3" s="147" t="s">
        <v>36</v>
      </c>
      <c r="I3" s="3">
        <v>1</v>
      </c>
      <c r="J3" s="1"/>
      <c r="K3" s="16" t="s">
        <v>37</v>
      </c>
      <c r="L3" s="32"/>
      <c r="M3" s="17" t="s">
        <v>38</v>
      </c>
      <c r="N3" s="1"/>
      <c r="O3" s="18" t="s">
        <v>39</v>
      </c>
      <c r="P3" s="2"/>
      <c r="Q3" s="18" t="s">
        <v>40</v>
      </c>
      <c r="R3" s="80"/>
      <c r="S3" s="16" t="s">
        <v>41</v>
      </c>
      <c r="T3" s="80"/>
      <c r="U3" s="18" t="s">
        <v>42</v>
      </c>
      <c r="V3" s="76"/>
      <c r="W3" s="96" t="s">
        <v>43</v>
      </c>
      <c r="X3" s="96" t="s">
        <v>1</v>
      </c>
      <c r="Y3" s="97"/>
      <c r="Z3" s="96" t="s">
        <v>44</v>
      </c>
      <c r="AA3" s="98" t="s">
        <v>5</v>
      </c>
      <c r="AB3" s="98" t="s">
        <v>45</v>
      </c>
      <c r="AC3" s="100" t="s">
        <v>46</v>
      </c>
      <c r="AD3" s="100" t="s">
        <v>47</v>
      </c>
      <c r="AE3" s="100" t="s">
        <v>48</v>
      </c>
      <c r="AF3" s="100" t="s">
        <v>49</v>
      </c>
      <c r="AG3" s="30"/>
      <c r="AH3" s="30"/>
      <c r="AI3" s="30"/>
      <c r="AJ3" s="30"/>
      <c r="AK3" s="30"/>
      <c r="AL3" s="30"/>
      <c r="AM3" s="30"/>
      <c r="AN3" s="30"/>
    </row>
    <row r="4" spans="1:40" x14ac:dyDescent="0.25">
      <c r="I4" s="26">
        <v>2</v>
      </c>
      <c r="J4" s="178" t="s">
        <v>50</v>
      </c>
      <c r="K4" s="177" t="s">
        <v>51</v>
      </c>
      <c r="L4" s="178" t="s">
        <v>52</v>
      </c>
      <c r="M4" s="177" t="s">
        <v>53</v>
      </c>
      <c r="N4" s="178" t="s">
        <v>50</v>
      </c>
      <c r="O4" s="177" t="s">
        <v>54</v>
      </c>
      <c r="P4" s="178" t="s">
        <v>52</v>
      </c>
      <c r="Q4" s="177" t="s">
        <v>55</v>
      </c>
      <c r="R4" s="178" t="s">
        <v>50</v>
      </c>
      <c r="S4" s="177" t="s">
        <v>56</v>
      </c>
      <c r="T4" s="178" t="s">
        <v>52</v>
      </c>
      <c r="U4" s="177" t="s">
        <v>55</v>
      </c>
      <c r="V4" s="3"/>
      <c r="W4" s="105" t="e">
        <f>HLOOKUP($W$2,$J$3:$U$19,I4,FALSE)</f>
        <v>#N/A</v>
      </c>
      <c r="X4" s="106" t="e">
        <f>VLOOKUP($W4,TableHandbook[],X$2,FALSE)</f>
        <v>#N/A</v>
      </c>
      <c r="Y4" s="107" t="e">
        <f>VLOOKUP($W4,TableHandbook[],Y$2,FALSE)</f>
        <v>#N/A</v>
      </c>
      <c r="Z4" s="108" t="e">
        <f>VLOOKUP($W4,TableHandbook[],Z$2,FALSE)</f>
        <v>#N/A</v>
      </c>
      <c r="AA4" s="109" t="e">
        <f>VLOOKUP($W4,TableHandbook[],AA$2,FALSE)</f>
        <v>#N/A</v>
      </c>
      <c r="AB4" s="109" t="e">
        <f>VLOOKUP($W4,TableHandbook[],AB$2,FALSE)</f>
        <v>#N/A</v>
      </c>
      <c r="AC4" s="110" t="e">
        <f>VLOOKUP($W4,TableHandbook[],AC$2,FALSE)</f>
        <v>#N/A</v>
      </c>
      <c r="AD4" s="110" t="e">
        <f>VLOOKUP($W4,TableHandbook[],AD$2,FALSE)</f>
        <v>#N/A</v>
      </c>
      <c r="AE4" s="110" t="e">
        <f>VLOOKUP($W4,TableHandbook[],AE$2,FALSE)</f>
        <v>#N/A</v>
      </c>
      <c r="AF4" s="111" t="e">
        <f>VLOOKUP($W4,TableHandbook[],AF$2,FALSE)</f>
        <v>#N/A</v>
      </c>
      <c r="AG4" s="30"/>
      <c r="AH4" s="30"/>
      <c r="AI4" s="30"/>
      <c r="AJ4" s="30"/>
      <c r="AK4" s="30"/>
      <c r="AL4" s="30"/>
      <c r="AM4" s="30"/>
      <c r="AN4" s="30"/>
    </row>
    <row r="5" spans="1:40" x14ac:dyDescent="0.25">
      <c r="A5" s="189" t="s">
        <v>57</v>
      </c>
      <c r="I5" s="26">
        <v>3</v>
      </c>
      <c r="J5" s="179" t="s">
        <v>50</v>
      </c>
      <c r="K5" s="166" t="s">
        <v>54</v>
      </c>
      <c r="L5" s="179" t="s">
        <v>52</v>
      </c>
      <c r="M5" s="166" t="s">
        <v>58</v>
      </c>
      <c r="N5" s="179" t="s">
        <v>50</v>
      </c>
      <c r="O5" s="166" t="s">
        <v>51</v>
      </c>
      <c r="P5" s="179" t="s">
        <v>52</v>
      </c>
      <c r="Q5" s="166" t="s">
        <v>59</v>
      </c>
      <c r="R5" s="179" t="s">
        <v>50</v>
      </c>
      <c r="S5" s="166" t="s">
        <v>54</v>
      </c>
      <c r="T5" s="179" t="s">
        <v>52</v>
      </c>
      <c r="U5" s="166" t="s">
        <v>59</v>
      </c>
      <c r="V5" s="3"/>
      <c r="W5" s="112" t="e">
        <f t="shared" ref="W5:W19" si="1">HLOOKUP($W$2,$J$3:$U$19,I5,FALSE)</f>
        <v>#N/A</v>
      </c>
      <c r="X5" s="8" t="e">
        <f>VLOOKUP($W5,TableHandbook[],X$2,FALSE)</f>
        <v>#N/A</v>
      </c>
      <c r="Y5" t="e">
        <f>VLOOKUP($W5,TableHandbook[],Y$2,FALSE)</f>
        <v>#N/A</v>
      </c>
      <c r="Z5" s="7" t="e">
        <f>VLOOKUP($W5,TableHandbook[],Z$2,FALSE)</f>
        <v>#N/A</v>
      </c>
      <c r="AA5" s="79" t="e">
        <f>VLOOKUP($W5,TableHandbook[],AA$2,FALSE)</f>
        <v>#N/A</v>
      </c>
      <c r="AB5" s="79" t="e">
        <f>VLOOKUP($W5,TableHandbook[],AB$2,FALSE)</f>
        <v>#N/A</v>
      </c>
      <c r="AC5" s="5" t="e">
        <f>VLOOKUP($W5,TableHandbook[],AC$2,FALSE)</f>
        <v>#N/A</v>
      </c>
      <c r="AD5" s="5" t="e">
        <f>VLOOKUP($W5,TableHandbook[],AD$2,FALSE)</f>
        <v>#N/A</v>
      </c>
      <c r="AE5" s="5" t="e">
        <f>VLOOKUP($W5,TableHandbook[],AE$2,FALSE)</f>
        <v>#N/A</v>
      </c>
      <c r="AF5" s="113" t="e">
        <f>VLOOKUP($W5,TableHandbook[],AF$2,FALSE)</f>
        <v>#N/A</v>
      </c>
      <c r="AG5" s="30"/>
      <c r="AH5" s="30"/>
      <c r="AI5" s="30"/>
      <c r="AJ5" s="30"/>
      <c r="AK5" s="30"/>
      <c r="AL5" s="30"/>
      <c r="AM5" s="30"/>
      <c r="AN5" s="30"/>
    </row>
    <row r="6" spans="1:40" x14ac:dyDescent="0.25">
      <c r="A6" s="11" t="s">
        <v>11</v>
      </c>
      <c r="B6" s="19" t="s">
        <v>0</v>
      </c>
      <c r="C6" s="11" t="s">
        <v>60</v>
      </c>
      <c r="D6" s="11" t="s">
        <v>61</v>
      </c>
      <c r="E6" s="11" t="s">
        <v>62</v>
      </c>
      <c r="F6" s="11" t="s">
        <v>63</v>
      </c>
      <c r="G6" s="11" t="s">
        <v>6</v>
      </c>
      <c r="I6" s="26">
        <v>4</v>
      </c>
      <c r="J6" s="179" t="s">
        <v>50</v>
      </c>
      <c r="K6" s="166" t="s">
        <v>56</v>
      </c>
      <c r="L6" s="179" t="s">
        <v>52</v>
      </c>
      <c r="M6" s="166" t="s">
        <v>55</v>
      </c>
      <c r="N6" s="179" t="s">
        <v>50</v>
      </c>
      <c r="O6" s="166" t="s">
        <v>64</v>
      </c>
      <c r="P6" s="179" t="s">
        <v>52</v>
      </c>
      <c r="Q6" s="166" t="s">
        <v>58</v>
      </c>
      <c r="R6" s="179" t="s">
        <v>50</v>
      </c>
      <c r="S6" s="166" t="s">
        <v>51</v>
      </c>
      <c r="T6" s="179" t="s">
        <v>52</v>
      </c>
      <c r="U6" s="166" t="s">
        <v>58</v>
      </c>
      <c r="V6" s="3"/>
      <c r="W6" s="112" t="e">
        <f t="shared" si="1"/>
        <v>#N/A</v>
      </c>
      <c r="X6" s="8" t="e">
        <f>VLOOKUP($W6,TableHandbook[],X$2,FALSE)</f>
        <v>#N/A</v>
      </c>
      <c r="Y6" t="e">
        <f>VLOOKUP($W6,TableHandbook[],Y$2,FALSE)</f>
        <v>#N/A</v>
      </c>
      <c r="Z6" s="7" t="e">
        <f>VLOOKUP($W6,TableHandbook[],Z$2,FALSE)</f>
        <v>#N/A</v>
      </c>
      <c r="AA6" s="79" t="e">
        <f>VLOOKUP($W6,TableHandbook[],AA$2,FALSE)</f>
        <v>#N/A</v>
      </c>
      <c r="AB6" s="79" t="e">
        <f>VLOOKUP($W6,TableHandbook[],AB$2,FALSE)</f>
        <v>#N/A</v>
      </c>
      <c r="AC6" s="5" t="e">
        <f>VLOOKUP($W6,TableHandbook[],AC$2,FALSE)</f>
        <v>#N/A</v>
      </c>
      <c r="AD6" s="5" t="e">
        <f>VLOOKUP($W6,TableHandbook[],AD$2,FALSE)</f>
        <v>#N/A</v>
      </c>
      <c r="AE6" s="5" t="e">
        <f>VLOOKUP($W6,TableHandbook[],AE$2,FALSE)</f>
        <v>#N/A</v>
      </c>
      <c r="AF6" s="113" t="e">
        <f>VLOOKUP($W6,TableHandbook[],AF$2,FALSE)</f>
        <v>#N/A</v>
      </c>
      <c r="AG6" s="11"/>
      <c r="AH6" s="8"/>
      <c r="AI6" s="30"/>
      <c r="AJ6" s="30"/>
      <c r="AK6" s="30"/>
      <c r="AL6" s="30"/>
      <c r="AM6" s="30"/>
      <c r="AN6" s="30"/>
    </row>
    <row r="7" spans="1:40" x14ac:dyDescent="0.25">
      <c r="A7" s="11" t="s">
        <v>65</v>
      </c>
      <c r="B7" s="292" t="s">
        <v>66</v>
      </c>
      <c r="C7" s="12" t="s">
        <v>67</v>
      </c>
      <c r="D7" s="11" t="s">
        <v>68</v>
      </c>
      <c r="E7" s="291">
        <v>43466</v>
      </c>
      <c r="F7" s="291">
        <v>45292</v>
      </c>
      <c r="G7" s="264" t="s">
        <v>69</v>
      </c>
      <c r="I7" s="26">
        <v>5</v>
      </c>
      <c r="J7" s="180" t="s">
        <v>50</v>
      </c>
      <c r="K7" s="165" t="s">
        <v>923</v>
      </c>
      <c r="L7" s="180" t="s">
        <v>52</v>
      </c>
      <c r="M7" s="165" t="s">
        <v>59</v>
      </c>
      <c r="N7" s="180" t="s">
        <v>50</v>
      </c>
      <c r="O7" s="165" t="s">
        <v>56</v>
      </c>
      <c r="P7" s="180" t="s">
        <v>52</v>
      </c>
      <c r="Q7" s="165" t="s">
        <v>53</v>
      </c>
      <c r="R7" s="180" t="s">
        <v>50</v>
      </c>
      <c r="S7" s="165" t="s">
        <v>64</v>
      </c>
      <c r="T7" s="180" t="s">
        <v>52</v>
      </c>
      <c r="U7" s="165" t="s">
        <v>53</v>
      </c>
      <c r="V7" s="3"/>
      <c r="W7" s="112" t="e">
        <f t="shared" si="1"/>
        <v>#N/A</v>
      </c>
      <c r="X7" s="8" t="e">
        <f>VLOOKUP($W7,TableHandbook[],X$2,FALSE)</f>
        <v>#N/A</v>
      </c>
      <c r="Y7" t="e">
        <f>VLOOKUP($W7,TableHandbook[],Y$2,FALSE)</f>
        <v>#N/A</v>
      </c>
      <c r="Z7" s="7" t="e">
        <f>VLOOKUP($W7,TableHandbook[],Z$2,FALSE)</f>
        <v>#N/A</v>
      </c>
      <c r="AA7" s="79" t="e">
        <f>VLOOKUP($W7,TableHandbook[],AA$2,FALSE)</f>
        <v>#N/A</v>
      </c>
      <c r="AB7" s="79" t="e">
        <f>VLOOKUP($W7,TableHandbook[],AB$2,FALSE)</f>
        <v>#N/A</v>
      </c>
      <c r="AC7" s="5" t="e">
        <f>VLOOKUP($W7,TableHandbook[],AC$2,FALSE)</f>
        <v>#N/A</v>
      </c>
      <c r="AD7" s="5" t="e">
        <f>VLOOKUP($W7,TableHandbook[],AD$2,FALSE)</f>
        <v>#N/A</v>
      </c>
      <c r="AE7" s="5" t="e">
        <f>VLOOKUP($W7,TableHandbook[],AE$2,FALSE)</f>
        <v>#N/A</v>
      </c>
      <c r="AF7" s="113" t="e">
        <f>VLOOKUP($W7,TableHandbook[],AF$2,FALSE)</f>
        <v>#N/A</v>
      </c>
      <c r="AG7" s="11"/>
      <c r="AH7" s="8"/>
      <c r="AI7" s="7"/>
      <c r="AJ7" s="8"/>
      <c r="AK7" s="7"/>
      <c r="AL7" s="8"/>
      <c r="AM7" s="8"/>
    </row>
    <row r="8" spans="1:40" x14ac:dyDescent="0.25">
      <c r="A8" s="11" t="s">
        <v>71</v>
      </c>
      <c r="B8" s="292" t="s">
        <v>72</v>
      </c>
      <c r="C8" s="12" t="s">
        <v>67</v>
      </c>
      <c r="D8" s="11" t="s">
        <v>73</v>
      </c>
      <c r="E8" s="291">
        <v>43466</v>
      </c>
      <c r="F8" s="291">
        <v>45292</v>
      </c>
      <c r="G8" s="265" t="s">
        <v>74</v>
      </c>
      <c r="I8" s="26">
        <v>6</v>
      </c>
      <c r="J8" s="179" t="s">
        <v>52</v>
      </c>
      <c r="K8" s="166" t="s">
        <v>53</v>
      </c>
      <c r="L8" s="179" t="s">
        <v>50</v>
      </c>
      <c r="M8" s="166" t="s">
        <v>51</v>
      </c>
      <c r="N8" s="179" t="s">
        <v>52</v>
      </c>
      <c r="O8" s="166" t="s">
        <v>55</v>
      </c>
      <c r="P8" s="179" t="s">
        <v>50</v>
      </c>
      <c r="Q8" s="166" t="s">
        <v>54</v>
      </c>
      <c r="R8" s="179" t="s">
        <v>52</v>
      </c>
      <c r="S8" s="166" t="s">
        <v>55</v>
      </c>
      <c r="T8" s="179" t="s">
        <v>50</v>
      </c>
      <c r="U8" s="166" t="s">
        <v>56</v>
      </c>
      <c r="V8" s="3"/>
      <c r="W8" s="105" t="e">
        <f t="shared" si="1"/>
        <v>#N/A</v>
      </c>
      <c r="X8" s="106" t="e">
        <f>VLOOKUP($W8,TableHandbook[],X$2,FALSE)</f>
        <v>#N/A</v>
      </c>
      <c r="Y8" s="107" t="e">
        <f>VLOOKUP($W8,TableHandbook[],Y$2,FALSE)</f>
        <v>#N/A</v>
      </c>
      <c r="Z8" s="108" t="e">
        <f>VLOOKUP($W8,TableHandbook[],Z$2,FALSE)</f>
        <v>#N/A</v>
      </c>
      <c r="AA8" s="109" t="e">
        <f>VLOOKUP($W8,TableHandbook[],AA$2,FALSE)</f>
        <v>#N/A</v>
      </c>
      <c r="AB8" s="109" t="e">
        <f>VLOOKUP($W8,TableHandbook[],AB$2,FALSE)</f>
        <v>#N/A</v>
      </c>
      <c r="AC8" s="110" t="e">
        <f>VLOOKUP($W8,TableHandbook[],AC$2,FALSE)</f>
        <v>#N/A</v>
      </c>
      <c r="AD8" s="110" t="e">
        <f>VLOOKUP($W8,TableHandbook[],AD$2,FALSE)</f>
        <v>#N/A</v>
      </c>
      <c r="AE8" s="110" t="e">
        <f>VLOOKUP($W8,TableHandbook[],AE$2,FALSE)</f>
        <v>#N/A</v>
      </c>
      <c r="AF8" s="111" t="e">
        <f>VLOOKUP($W8,TableHandbook[],AF$2,FALSE)</f>
        <v>#N/A</v>
      </c>
      <c r="AH8" s="77"/>
      <c r="AI8" s="7"/>
      <c r="AJ8" s="8"/>
      <c r="AK8" s="7"/>
      <c r="AL8" s="29"/>
      <c r="AM8" s="8"/>
    </row>
    <row r="9" spans="1:40" x14ac:dyDescent="0.25">
      <c r="A9" s="11" t="s">
        <v>75</v>
      </c>
      <c r="B9" s="292" t="s">
        <v>76</v>
      </c>
      <c r="C9" s="263" t="s">
        <v>77</v>
      </c>
      <c r="D9" s="157" t="s">
        <v>73</v>
      </c>
      <c r="E9" s="293">
        <v>45292</v>
      </c>
      <c r="F9" s="291">
        <v>45292</v>
      </c>
      <c r="G9" s="264" t="s">
        <v>78</v>
      </c>
      <c r="I9" s="26">
        <v>7</v>
      </c>
      <c r="J9" s="179" t="s">
        <v>52</v>
      </c>
      <c r="K9" s="166" t="s">
        <v>58</v>
      </c>
      <c r="L9" s="179" t="s">
        <v>50</v>
      </c>
      <c r="M9" s="166" t="s">
        <v>54</v>
      </c>
      <c r="N9" s="179" t="s">
        <v>52</v>
      </c>
      <c r="O9" s="166" t="s">
        <v>59</v>
      </c>
      <c r="P9" s="179" t="s">
        <v>50</v>
      </c>
      <c r="Q9" s="166" t="s">
        <v>51</v>
      </c>
      <c r="R9" s="179" t="s">
        <v>52</v>
      </c>
      <c r="S9" s="166" t="s">
        <v>59</v>
      </c>
      <c r="T9" s="179" t="s">
        <v>50</v>
      </c>
      <c r="U9" s="166" t="s">
        <v>54</v>
      </c>
      <c r="V9" s="3"/>
      <c r="W9" s="112" t="e">
        <f t="shared" si="1"/>
        <v>#N/A</v>
      </c>
      <c r="X9" s="8" t="e">
        <f>VLOOKUP($W9,TableHandbook[],X$2,FALSE)</f>
        <v>#N/A</v>
      </c>
      <c r="Y9" t="e">
        <f>VLOOKUP($W9,TableHandbook[],Y$2,FALSE)</f>
        <v>#N/A</v>
      </c>
      <c r="Z9" s="7" t="e">
        <f>VLOOKUP($W9,TableHandbook[],Z$2,FALSE)</f>
        <v>#N/A</v>
      </c>
      <c r="AA9" s="79" t="e">
        <f>VLOOKUP($W9,TableHandbook[],AA$2,FALSE)</f>
        <v>#N/A</v>
      </c>
      <c r="AB9" s="79" t="e">
        <f>VLOOKUP($W9,TableHandbook[],AB$2,FALSE)</f>
        <v>#N/A</v>
      </c>
      <c r="AC9" s="5" t="e">
        <f>VLOOKUP($W9,TableHandbook[],AC$2,FALSE)</f>
        <v>#N/A</v>
      </c>
      <c r="AD9" s="5" t="e">
        <f>VLOOKUP($W9,TableHandbook[],AD$2,FALSE)</f>
        <v>#N/A</v>
      </c>
      <c r="AE9" s="5" t="e">
        <f>VLOOKUP($W9,TableHandbook[],AE$2,FALSE)</f>
        <v>#N/A</v>
      </c>
      <c r="AF9" s="113" t="e">
        <f>VLOOKUP($W9,TableHandbook[],AF$2,FALSE)</f>
        <v>#N/A</v>
      </c>
      <c r="AL9" s="8"/>
      <c r="AM9" s="8"/>
    </row>
    <row r="10" spans="1:40" x14ac:dyDescent="0.25">
      <c r="A10" s="11" t="s">
        <v>79</v>
      </c>
      <c r="B10" s="263" t="s">
        <v>80</v>
      </c>
      <c r="C10" s="12" t="s">
        <v>81</v>
      </c>
      <c r="D10" s="157" t="s">
        <v>73</v>
      </c>
      <c r="E10" s="291">
        <v>44197</v>
      </c>
      <c r="F10" s="291">
        <v>45017</v>
      </c>
      <c r="G10" s="264" t="s">
        <v>82</v>
      </c>
      <c r="I10" s="26">
        <v>8</v>
      </c>
      <c r="J10" s="179" t="s">
        <v>52</v>
      </c>
      <c r="K10" s="166" t="s">
        <v>55</v>
      </c>
      <c r="L10" s="179" t="s">
        <v>50</v>
      </c>
      <c r="M10" s="166" t="s">
        <v>56</v>
      </c>
      <c r="N10" s="179" t="s">
        <v>52</v>
      </c>
      <c r="O10" s="166" t="s">
        <v>58</v>
      </c>
      <c r="P10" s="179" t="s">
        <v>50</v>
      </c>
      <c r="Q10" s="166" t="s">
        <v>64</v>
      </c>
      <c r="R10" s="179" t="s">
        <v>52</v>
      </c>
      <c r="S10" s="166" t="s">
        <v>58</v>
      </c>
      <c r="T10" s="179" t="s">
        <v>50</v>
      </c>
      <c r="U10" s="166" t="s">
        <v>51</v>
      </c>
      <c r="V10" s="3"/>
      <c r="W10" s="112" t="e">
        <f t="shared" si="1"/>
        <v>#N/A</v>
      </c>
      <c r="X10" s="8" t="e">
        <f>VLOOKUP($W10,TableHandbook[],X$2,FALSE)</f>
        <v>#N/A</v>
      </c>
      <c r="Y10" t="e">
        <f>VLOOKUP($W10,TableHandbook[],Y$2,FALSE)</f>
        <v>#N/A</v>
      </c>
      <c r="Z10" s="7" t="e">
        <f>VLOOKUP($W10,TableHandbook[],Z$2,FALSE)</f>
        <v>#N/A</v>
      </c>
      <c r="AA10" s="79" t="e">
        <f>VLOOKUP($W10,TableHandbook[],AA$2,FALSE)</f>
        <v>#N/A</v>
      </c>
      <c r="AB10" s="79" t="e">
        <f>VLOOKUP($W10,TableHandbook[],AB$2,FALSE)</f>
        <v>#N/A</v>
      </c>
      <c r="AC10" s="5" t="e">
        <f>VLOOKUP($W10,TableHandbook[],AC$2,FALSE)</f>
        <v>#N/A</v>
      </c>
      <c r="AD10" s="5" t="e">
        <f>VLOOKUP($W10,TableHandbook[],AD$2,FALSE)</f>
        <v>#N/A</v>
      </c>
      <c r="AE10" s="5" t="e">
        <f>VLOOKUP($W10,TableHandbook[],AE$2,FALSE)</f>
        <v>#N/A</v>
      </c>
      <c r="AF10" s="113" t="e">
        <f>VLOOKUP($W10,TableHandbook[],AF$2,FALSE)</f>
        <v>#N/A</v>
      </c>
      <c r="AL10" s="8"/>
      <c r="AM10" s="8"/>
    </row>
    <row r="11" spans="1:40" x14ac:dyDescent="0.25">
      <c r="I11" s="26">
        <v>9</v>
      </c>
      <c r="J11" s="180" t="s">
        <v>52</v>
      </c>
      <c r="K11" s="165" t="s">
        <v>59</v>
      </c>
      <c r="L11" s="180" t="s">
        <v>50</v>
      </c>
      <c r="M11" s="165" t="s">
        <v>923</v>
      </c>
      <c r="N11" s="180" t="s">
        <v>52</v>
      </c>
      <c r="O11" s="165" t="s">
        <v>53</v>
      </c>
      <c r="P11" s="180" t="s">
        <v>50</v>
      </c>
      <c r="Q11" s="165" t="s">
        <v>56</v>
      </c>
      <c r="R11" s="180" t="s">
        <v>52</v>
      </c>
      <c r="S11" s="165" t="s">
        <v>53</v>
      </c>
      <c r="T11" s="180" t="s">
        <v>50</v>
      </c>
      <c r="U11" s="165" t="s">
        <v>64</v>
      </c>
      <c r="V11" s="3"/>
      <c r="W11" s="112" t="e">
        <f t="shared" si="1"/>
        <v>#N/A</v>
      </c>
      <c r="X11" s="8" t="e">
        <f>VLOOKUP($W11,TableHandbook[],X$2,FALSE)</f>
        <v>#N/A</v>
      </c>
      <c r="Y11" t="e">
        <f>VLOOKUP($W11,TableHandbook[],Y$2,FALSE)</f>
        <v>#N/A</v>
      </c>
      <c r="Z11" s="7" t="e">
        <f>VLOOKUP($W11,TableHandbook[],Z$2,FALSE)</f>
        <v>#N/A</v>
      </c>
      <c r="AA11" s="79" t="e">
        <f>VLOOKUP($W11,TableHandbook[],AA$2,FALSE)</f>
        <v>#N/A</v>
      </c>
      <c r="AB11" s="79" t="e">
        <f>VLOOKUP($W11,TableHandbook[],AB$2,FALSE)</f>
        <v>#N/A</v>
      </c>
      <c r="AC11" s="5" t="e">
        <f>VLOOKUP($W11,TableHandbook[],AC$2,FALSE)</f>
        <v>#N/A</v>
      </c>
      <c r="AD11" s="5" t="e">
        <f>VLOOKUP($W11,TableHandbook[],AD$2,FALSE)</f>
        <v>#N/A</v>
      </c>
      <c r="AE11" s="5" t="e">
        <f>VLOOKUP($W11,TableHandbook[],AE$2,FALSE)</f>
        <v>#N/A</v>
      </c>
      <c r="AF11" s="113" t="e">
        <f>VLOOKUP($W11,TableHandbook[],AF$2,FALSE)</f>
        <v>#N/A</v>
      </c>
      <c r="AL11" s="8"/>
      <c r="AM11" s="8"/>
    </row>
    <row r="12" spans="1:40" x14ac:dyDescent="0.25">
      <c r="A12" s="189" t="s">
        <v>83</v>
      </c>
      <c r="I12" s="26">
        <v>10</v>
      </c>
      <c r="J12" s="178" t="s">
        <v>84</v>
      </c>
      <c r="K12" s="177" t="s">
        <v>85</v>
      </c>
      <c r="L12" s="178" t="s">
        <v>86</v>
      </c>
      <c r="M12" s="177" t="s">
        <v>87</v>
      </c>
      <c r="N12" s="178" t="s">
        <v>84</v>
      </c>
      <c r="O12" s="177" t="s">
        <v>88</v>
      </c>
      <c r="P12" s="178" t="s">
        <v>86</v>
      </c>
      <c r="Q12" s="177" t="s">
        <v>89</v>
      </c>
      <c r="R12" s="178" t="s">
        <v>84</v>
      </c>
      <c r="S12" s="177" t="s">
        <v>90</v>
      </c>
      <c r="T12" s="178" t="s">
        <v>86</v>
      </c>
      <c r="U12" s="177" t="s">
        <v>87</v>
      </c>
      <c r="V12" s="4"/>
      <c r="W12" s="105" t="e">
        <f t="shared" si="1"/>
        <v>#N/A</v>
      </c>
      <c r="X12" s="106" t="e">
        <f>VLOOKUP($W12,TableHandbook[],X$2,FALSE)</f>
        <v>#N/A</v>
      </c>
      <c r="Y12" s="107" t="e">
        <f>VLOOKUP($W12,TableHandbook[],Y$2,FALSE)</f>
        <v>#N/A</v>
      </c>
      <c r="Z12" s="108" t="e">
        <f>VLOOKUP($W12,TableHandbook[],Z$2,FALSE)</f>
        <v>#N/A</v>
      </c>
      <c r="AA12" s="109" t="e">
        <f>VLOOKUP($W12,TableHandbook[],AA$2,FALSE)</f>
        <v>#N/A</v>
      </c>
      <c r="AB12" s="109" t="e">
        <f>VLOOKUP($W12,TableHandbook[],AB$2,FALSE)</f>
        <v>#N/A</v>
      </c>
      <c r="AC12" s="110" t="e">
        <f>VLOOKUP($W12,TableHandbook[],AC$2,FALSE)</f>
        <v>#N/A</v>
      </c>
      <c r="AD12" s="110" t="e">
        <f>VLOOKUP($W12,TableHandbook[],AD$2,FALSE)</f>
        <v>#N/A</v>
      </c>
      <c r="AE12" s="110" t="e">
        <f>VLOOKUP($W12,TableHandbook[],AE$2,FALSE)</f>
        <v>#N/A</v>
      </c>
      <c r="AF12" s="111" t="e">
        <f>VLOOKUP($W12,TableHandbook[],AF$2,FALSE)</f>
        <v>#N/A</v>
      </c>
      <c r="AL12" s="8"/>
      <c r="AM12" s="8"/>
    </row>
    <row r="13" spans="1:40" x14ac:dyDescent="0.25">
      <c r="A13" s="20" t="s">
        <v>952</v>
      </c>
      <c r="B13" s="24" t="s">
        <v>91</v>
      </c>
      <c r="C13" s="11" t="s">
        <v>92</v>
      </c>
      <c r="I13" s="26">
        <v>11</v>
      </c>
      <c r="J13" s="179" t="s">
        <v>84</v>
      </c>
      <c r="K13" s="166" t="s">
        <v>88</v>
      </c>
      <c r="L13" s="179" t="s">
        <v>86</v>
      </c>
      <c r="M13" s="166" t="s">
        <v>93</v>
      </c>
      <c r="N13" s="179" t="s">
        <v>84</v>
      </c>
      <c r="O13" s="166" t="s">
        <v>90</v>
      </c>
      <c r="P13" s="179" t="s">
        <v>86</v>
      </c>
      <c r="Q13" s="166" t="s">
        <v>94</v>
      </c>
      <c r="R13" s="179" t="s">
        <v>84</v>
      </c>
      <c r="S13" s="166" t="s">
        <v>88</v>
      </c>
      <c r="T13" s="179" t="s">
        <v>86</v>
      </c>
      <c r="U13" s="166" t="s">
        <v>93</v>
      </c>
      <c r="V13" s="4"/>
      <c r="W13" s="112" t="e">
        <f t="shared" si="1"/>
        <v>#N/A</v>
      </c>
      <c r="X13" s="8" t="e">
        <f>VLOOKUP($W13,TableHandbook[],X$2,FALSE)</f>
        <v>#N/A</v>
      </c>
      <c r="Y13" t="e">
        <f>VLOOKUP($W13,TableHandbook[],Y$2,FALSE)</f>
        <v>#N/A</v>
      </c>
      <c r="Z13" s="7" t="e">
        <f>VLOOKUP($W13,TableHandbook[],Z$2,FALSE)</f>
        <v>#N/A</v>
      </c>
      <c r="AA13" s="79" t="e">
        <f>VLOOKUP($W13,TableHandbook[],AA$2,FALSE)</f>
        <v>#N/A</v>
      </c>
      <c r="AB13" s="79" t="e">
        <f>VLOOKUP($W13,TableHandbook[],AB$2,FALSE)</f>
        <v>#N/A</v>
      </c>
      <c r="AC13" s="5" t="e">
        <f>VLOOKUP($W13,TableHandbook[],AC$2,FALSE)</f>
        <v>#N/A</v>
      </c>
      <c r="AD13" s="5" t="e">
        <f>VLOOKUP($W13,TableHandbook[],AD$2,FALSE)</f>
        <v>#N/A</v>
      </c>
      <c r="AE13" s="5" t="e">
        <f>VLOOKUP($W13,TableHandbook[],AE$2,FALSE)</f>
        <v>#N/A</v>
      </c>
      <c r="AF13" s="113" t="e">
        <f>VLOOKUP($W13,TableHandbook[],AF$2,FALSE)</f>
        <v>#N/A</v>
      </c>
      <c r="AL13" s="8"/>
      <c r="AM13" s="8"/>
    </row>
    <row r="14" spans="1:40" x14ac:dyDescent="0.25">
      <c r="A14" s="11" t="s">
        <v>95</v>
      </c>
      <c r="B14" s="11" t="s">
        <v>96</v>
      </c>
      <c r="C14" s="11" t="s">
        <v>97</v>
      </c>
      <c r="I14" s="26">
        <v>12</v>
      </c>
      <c r="J14" s="179" t="s">
        <v>84</v>
      </c>
      <c r="K14" s="166" t="s">
        <v>90</v>
      </c>
      <c r="L14" s="179" t="s">
        <v>86</v>
      </c>
      <c r="M14" s="166" t="s">
        <v>98</v>
      </c>
      <c r="N14" s="179" t="s">
        <v>84</v>
      </c>
      <c r="O14" s="166" t="s">
        <v>99</v>
      </c>
      <c r="P14" s="179" t="s">
        <v>86</v>
      </c>
      <c r="Q14" s="166" t="s">
        <v>100</v>
      </c>
      <c r="R14" s="179" t="s">
        <v>84</v>
      </c>
      <c r="S14" s="166" t="s">
        <v>85</v>
      </c>
      <c r="T14" s="179" t="s">
        <v>86</v>
      </c>
      <c r="U14" s="166" t="s">
        <v>90</v>
      </c>
      <c r="V14" s="4"/>
      <c r="W14" s="112" t="e">
        <f t="shared" si="1"/>
        <v>#N/A</v>
      </c>
      <c r="X14" s="8" t="e">
        <f>VLOOKUP($W14,TableHandbook[],X$2,FALSE)</f>
        <v>#N/A</v>
      </c>
      <c r="Y14" t="e">
        <f>VLOOKUP($W14,TableHandbook[],Y$2,FALSE)</f>
        <v>#N/A</v>
      </c>
      <c r="Z14" s="7" t="e">
        <f>VLOOKUP($W14,TableHandbook[],Z$2,FALSE)</f>
        <v>#N/A</v>
      </c>
      <c r="AA14" s="79" t="e">
        <f>VLOOKUP($W14,TableHandbook[],AA$2,FALSE)</f>
        <v>#N/A</v>
      </c>
      <c r="AB14" s="79" t="e">
        <f>VLOOKUP($W14,TableHandbook[],AB$2,FALSE)</f>
        <v>#N/A</v>
      </c>
      <c r="AC14" s="5" t="e">
        <f>VLOOKUP($W14,TableHandbook[],AC$2,FALSE)</f>
        <v>#N/A</v>
      </c>
      <c r="AD14" s="5" t="e">
        <f>VLOOKUP($W14,TableHandbook[],AD$2,FALSE)</f>
        <v>#N/A</v>
      </c>
      <c r="AE14" s="5" t="e">
        <f>VLOOKUP($W14,TableHandbook[],AE$2,FALSE)</f>
        <v>#N/A</v>
      </c>
      <c r="AF14" s="113" t="e">
        <f>VLOOKUP($W14,TableHandbook[],AF$2,FALSE)</f>
        <v>#N/A</v>
      </c>
      <c r="AL14" s="8"/>
      <c r="AM14" s="8"/>
    </row>
    <row r="15" spans="1:40" x14ac:dyDescent="0.25">
      <c r="A15" s="11" t="s">
        <v>101</v>
      </c>
      <c r="B15" s="11" t="s">
        <v>97</v>
      </c>
      <c r="C15" s="11" t="s">
        <v>96</v>
      </c>
      <c r="I15" s="26">
        <v>13</v>
      </c>
      <c r="J15" s="179" t="s">
        <v>84</v>
      </c>
      <c r="K15" s="166" t="s">
        <v>102</v>
      </c>
      <c r="L15" s="179" t="s">
        <v>86</v>
      </c>
      <c r="M15" s="166" t="s">
        <v>102</v>
      </c>
      <c r="N15" s="179" t="s">
        <v>84</v>
      </c>
      <c r="O15" s="166" t="s">
        <v>103</v>
      </c>
      <c r="P15" s="179" t="s">
        <v>86</v>
      </c>
      <c r="Q15" s="166" t="s">
        <v>104</v>
      </c>
      <c r="R15" s="179" t="s">
        <v>84</v>
      </c>
      <c r="S15" s="166" t="s">
        <v>105</v>
      </c>
      <c r="T15" s="179" t="s">
        <v>86</v>
      </c>
      <c r="U15" s="232" t="s">
        <v>944</v>
      </c>
      <c r="V15" s="4"/>
      <c r="W15" s="120" t="e">
        <f t="shared" si="1"/>
        <v>#N/A</v>
      </c>
      <c r="X15" s="114" t="e">
        <f>VLOOKUP($W15,TableHandbook[],X$2,FALSE)</f>
        <v>#N/A</v>
      </c>
      <c r="Y15" s="115" t="e">
        <f>VLOOKUP($W15,TableHandbook[],Y$2,FALSE)</f>
        <v>#N/A</v>
      </c>
      <c r="Z15" s="116" t="e">
        <f>VLOOKUP($W15,TableHandbook[],Z$2,FALSE)</f>
        <v>#N/A</v>
      </c>
      <c r="AA15" s="117" t="e">
        <f>VLOOKUP($W15,TableHandbook[],AA$2,FALSE)</f>
        <v>#N/A</v>
      </c>
      <c r="AB15" s="117" t="e">
        <f>VLOOKUP($W15,TableHandbook[],AB$2,FALSE)</f>
        <v>#N/A</v>
      </c>
      <c r="AC15" s="118" t="e">
        <f>VLOOKUP($W15,TableHandbook[],AC$2,FALSE)</f>
        <v>#N/A</v>
      </c>
      <c r="AD15" s="118" t="e">
        <f>VLOOKUP($W15,TableHandbook[],AD$2,FALSE)</f>
        <v>#N/A</v>
      </c>
      <c r="AE15" s="118" t="e">
        <f>VLOOKUP($W15,TableHandbook[],AE$2,FALSE)</f>
        <v>#N/A</v>
      </c>
      <c r="AF15" s="119" t="e">
        <f>VLOOKUP($W15,TableHandbook[],AF$2,FALSE)</f>
        <v>#N/A</v>
      </c>
      <c r="AG15" s="11"/>
      <c r="AH15" s="8"/>
      <c r="AL15" s="8"/>
      <c r="AM15" s="8"/>
    </row>
    <row r="16" spans="1:40" x14ac:dyDescent="0.25">
      <c r="E16" s="25"/>
      <c r="F16" s="25"/>
      <c r="I16" s="26">
        <v>14</v>
      </c>
      <c r="J16" s="178" t="s">
        <v>86</v>
      </c>
      <c r="K16" s="177" t="s">
        <v>87</v>
      </c>
      <c r="L16" s="178" t="s">
        <v>84</v>
      </c>
      <c r="M16" s="177" t="s">
        <v>85</v>
      </c>
      <c r="N16" s="178" t="s">
        <v>86</v>
      </c>
      <c r="O16" s="177" t="s">
        <v>89</v>
      </c>
      <c r="P16" s="178" t="s">
        <v>84</v>
      </c>
      <c r="Q16" s="177" t="s">
        <v>88</v>
      </c>
      <c r="R16" s="178" t="s">
        <v>86</v>
      </c>
      <c r="S16" s="177" t="s">
        <v>87</v>
      </c>
      <c r="T16" s="178" t="s">
        <v>84</v>
      </c>
      <c r="U16" s="177" t="s">
        <v>85</v>
      </c>
      <c r="V16" s="4"/>
      <c r="W16" s="121" t="e">
        <f t="shared" si="1"/>
        <v>#N/A</v>
      </c>
      <c r="X16" s="8" t="e">
        <f>VLOOKUP($W16,TableHandbook[],X$2,FALSE)</f>
        <v>#N/A</v>
      </c>
      <c r="Y16" t="e">
        <f>VLOOKUP($W16,TableHandbook[],Y$2,FALSE)</f>
        <v>#N/A</v>
      </c>
      <c r="Z16" s="7" t="e">
        <f>VLOOKUP($W16,TableHandbook[],Z$2,FALSE)</f>
        <v>#N/A</v>
      </c>
      <c r="AA16" s="79" t="e">
        <f>VLOOKUP($W16,TableHandbook[],AA$2,FALSE)</f>
        <v>#N/A</v>
      </c>
      <c r="AB16" s="79" t="e">
        <f>VLOOKUP($W16,TableHandbook[],AB$2,FALSE)</f>
        <v>#N/A</v>
      </c>
      <c r="AC16" s="5" t="e">
        <f>VLOOKUP($W16,TableHandbook[],AC$2,FALSE)</f>
        <v>#N/A</v>
      </c>
      <c r="AD16" s="5" t="e">
        <f>VLOOKUP($W16,TableHandbook[],AD$2,FALSE)</f>
        <v>#N/A</v>
      </c>
      <c r="AE16" s="5" t="e">
        <f>VLOOKUP($W16,TableHandbook[],AE$2,FALSE)</f>
        <v>#N/A</v>
      </c>
      <c r="AF16" s="113" t="e">
        <f>VLOOKUP($W16,TableHandbook[],AF$2,FALSE)</f>
        <v>#N/A</v>
      </c>
      <c r="AG16" s="11"/>
      <c r="AH16" s="8"/>
      <c r="AI16" s="7"/>
      <c r="AJ16" s="8"/>
      <c r="AK16" s="10"/>
      <c r="AL16" s="8"/>
      <c r="AM16" s="8"/>
    </row>
    <row r="17" spans="1:39" x14ac:dyDescent="0.25">
      <c r="A17" s="189" t="s">
        <v>947</v>
      </c>
      <c r="I17" s="26">
        <v>15</v>
      </c>
      <c r="J17" s="179" t="s">
        <v>86</v>
      </c>
      <c r="K17" s="166" t="s">
        <v>93</v>
      </c>
      <c r="L17" s="179" t="s">
        <v>84</v>
      </c>
      <c r="M17" s="166" t="s">
        <v>88</v>
      </c>
      <c r="N17" s="179" t="s">
        <v>86</v>
      </c>
      <c r="O17" s="166" t="s">
        <v>94</v>
      </c>
      <c r="P17" s="179" t="s">
        <v>84</v>
      </c>
      <c r="Q17" s="166" t="s">
        <v>90</v>
      </c>
      <c r="R17" s="179" t="s">
        <v>86</v>
      </c>
      <c r="S17" s="166" t="s">
        <v>93</v>
      </c>
      <c r="T17" s="179" t="s">
        <v>84</v>
      </c>
      <c r="U17" s="166" t="s">
        <v>88</v>
      </c>
      <c r="V17" s="4"/>
      <c r="W17" s="121" t="e">
        <f t="shared" si="1"/>
        <v>#N/A</v>
      </c>
      <c r="X17" s="8" t="e">
        <f>VLOOKUP($W17,TableHandbook[],X$2,FALSE)</f>
        <v>#N/A</v>
      </c>
      <c r="Y17" t="e">
        <f>VLOOKUP($W17,TableHandbook[],Y$2,FALSE)</f>
        <v>#N/A</v>
      </c>
      <c r="Z17" s="7" t="e">
        <f>VLOOKUP($W17,TableHandbook[],Z$2,FALSE)</f>
        <v>#N/A</v>
      </c>
      <c r="AA17" s="79" t="e">
        <f>VLOOKUP($W17,TableHandbook[],AA$2,FALSE)</f>
        <v>#N/A</v>
      </c>
      <c r="AB17" s="79" t="e">
        <f>VLOOKUP($W17,TableHandbook[],AB$2,FALSE)</f>
        <v>#N/A</v>
      </c>
      <c r="AC17" s="5" t="e">
        <f>VLOOKUP($W17,TableHandbook[],AC$2,FALSE)</f>
        <v>#N/A</v>
      </c>
      <c r="AD17" s="5" t="e">
        <f>VLOOKUP($W17,TableHandbook[],AD$2,FALSE)</f>
        <v>#N/A</v>
      </c>
      <c r="AE17" s="5" t="e">
        <f>VLOOKUP($W17,TableHandbook[],AE$2,FALSE)</f>
        <v>#N/A</v>
      </c>
      <c r="AF17" s="113" t="e">
        <f>VLOOKUP($W17,TableHandbook[],AF$2,FALSE)</f>
        <v>#N/A</v>
      </c>
      <c r="AG17" s="11"/>
      <c r="AH17" s="8"/>
      <c r="AI17" s="7"/>
      <c r="AJ17" s="8"/>
      <c r="AK17" s="10"/>
      <c r="AL17" s="8"/>
      <c r="AM17" s="8"/>
    </row>
    <row r="18" spans="1:39" x14ac:dyDescent="0.25">
      <c r="A18" s="11" t="s">
        <v>953</v>
      </c>
      <c r="B18" s="19" t="s">
        <v>0</v>
      </c>
      <c r="C18" s="11" t="s">
        <v>60</v>
      </c>
      <c r="D18" s="11" t="s">
        <v>61</v>
      </c>
      <c r="E18" s="11" t="s">
        <v>62</v>
      </c>
      <c r="F18" s="11" t="s">
        <v>63</v>
      </c>
      <c r="G18" s="11" t="s">
        <v>6</v>
      </c>
      <c r="I18" s="26">
        <v>16</v>
      </c>
      <c r="J18" s="179" t="s">
        <v>86</v>
      </c>
      <c r="K18" s="166" t="s">
        <v>98</v>
      </c>
      <c r="L18" s="179" t="s">
        <v>84</v>
      </c>
      <c r="M18" s="166" t="s">
        <v>90</v>
      </c>
      <c r="N18" s="179" t="s">
        <v>86</v>
      </c>
      <c r="O18" s="166" t="s">
        <v>100</v>
      </c>
      <c r="P18" s="179" t="s">
        <v>84</v>
      </c>
      <c r="Q18" s="166" t="s">
        <v>99</v>
      </c>
      <c r="R18" s="179" t="s">
        <v>86</v>
      </c>
      <c r="S18" s="166" t="s">
        <v>106</v>
      </c>
      <c r="T18" s="179" t="s">
        <v>84</v>
      </c>
      <c r="U18" s="166" t="s">
        <v>105</v>
      </c>
      <c r="V18" s="4"/>
      <c r="W18" s="121" t="e">
        <f t="shared" si="1"/>
        <v>#N/A</v>
      </c>
      <c r="X18" s="8" t="e">
        <f>VLOOKUP($W18,TableHandbook[],X$2,FALSE)</f>
        <v>#N/A</v>
      </c>
      <c r="Y18" t="e">
        <f>VLOOKUP($W18,TableHandbook[],Y$2,FALSE)</f>
        <v>#N/A</v>
      </c>
      <c r="Z18" s="7" t="e">
        <f>VLOOKUP($W18,TableHandbook[],Z$2,FALSE)</f>
        <v>#N/A</v>
      </c>
      <c r="AA18" s="79" t="e">
        <f>VLOOKUP($W18,TableHandbook[],AA$2,FALSE)</f>
        <v>#N/A</v>
      </c>
      <c r="AB18" s="79" t="e">
        <f>VLOOKUP($W18,TableHandbook[],AB$2,FALSE)</f>
        <v>#N/A</v>
      </c>
      <c r="AC18" s="5" t="e">
        <f>VLOOKUP($W18,TableHandbook[],AC$2,FALSE)</f>
        <v>#N/A</v>
      </c>
      <c r="AD18" s="5" t="e">
        <f>VLOOKUP($W18,TableHandbook[],AD$2,FALSE)</f>
        <v>#N/A</v>
      </c>
      <c r="AE18" s="5" t="e">
        <f>VLOOKUP($W18,TableHandbook[],AE$2,FALSE)</f>
        <v>#N/A</v>
      </c>
      <c r="AF18" s="113" t="e">
        <f>VLOOKUP($W18,TableHandbook[],AF$2,FALSE)</f>
        <v>#N/A</v>
      </c>
      <c r="AG18" s="11"/>
      <c r="AH18" s="8"/>
      <c r="AI18" s="7"/>
      <c r="AJ18" s="8"/>
      <c r="AK18" s="10"/>
      <c r="AL18" s="8"/>
      <c r="AM18" s="8"/>
    </row>
    <row r="19" spans="1:39" x14ac:dyDescent="0.25">
      <c r="A19" s="11" t="s">
        <v>933</v>
      </c>
      <c r="B19" s="292" t="s">
        <v>932</v>
      </c>
      <c r="C19" s="339" t="s">
        <v>200</v>
      </c>
      <c r="D19" s="340" t="s">
        <v>948</v>
      </c>
      <c r="E19" s="341">
        <v>45292</v>
      </c>
      <c r="F19" s="341">
        <v>45292</v>
      </c>
      <c r="G19" s="340"/>
      <c r="I19" s="26">
        <v>17</v>
      </c>
      <c r="J19" s="180" t="s">
        <v>86</v>
      </c>
      <c r="K19" s="165" t="s">
        <v>102</v>
      </c>
      <c r="L19" s="180" t="s">
        <v>84</v>
      </c>
      <c r="M19" s="165" t="s">
        <v>102</v>
      </c>
      <c r="N19" s="180" t="s">
        <v>86</v>
      </c>
      <c r="O19" s="165" t="s">
        <v>104</v>
      </c>
      <c r="P19" s="180" t="s">
        <v>84</v>
      </c>
      <c r="Q19" s="165" t="s">
        <v>103</v>
      </c>
      <c r="R19" s="180" t="s">
        <v>86</v>
      </c>
      <c r="S19" s="232" t="s">
        <v>944</v>
      </c>
      <c r="T19" s="180" t="s">
        <v>84</v>
      </c>
      <c r="U19" s="232" t="s">
        <v>944</v>
      </c>
      <c r="V19" s="4"/>
      <c r="W19" s="120" t="e">
        <f t="shared" si="1"/>
        <v>#N/A</v>
      </c>
      <c r="X19" s="114" t="e">
        <f>VLOOKUP($W19,TableHandbook[],X$2,FALSE)</f>
        <v>#N/A</v>
      </c>
      <c r="Y19" s="115" t="e">
        <f>VLOOKUP($W19,TableHandbook[],Y$2,FALSE)</f>
        <v>#N/A</v>
      </c>
      <c r="Z19" s="116" t="e">
        <f>VLOOKUP($W19,TableHandbook[],Z$2,FALSE)</f>
        <v>#N/A</v>
      </c>
      <c r="AA19" s="117" t="e">
        <f>VLOOKUP($W19,TableHandbook[],AA$2,FALSE)</f>
        <v>#N/A</v>
      </c>
      <c r="AB19" s="117" t="e">
        <f>VLOOKUP($W19,TableHandbook[],AB$2,FALSE)</f>
        <v>#N/A</v>
      </c>
      <c r="AC19" s="118" t="e">
        <f>VLOOKUP($W19,TableHandbook[],AC$2,FALSE)</f>
        <v>#N/A</v>
      </c>
      <c r="AD19" s="118" t="e">
        <f>VLOOKUP($W19,TableHandbook[],AD$2,FALSE)</f>
        <v>#N/A</v>
      </c>
      <c r="AE19" s="118" t="e">
        <f>VLOOKUP($W19,TableHandbook[],AE$2,FALSE)</f>
        <v>#N/A</v>
      </c>
      <c r="AF19" s="119" t="e">
        <f>VLOOKUP($W19,TableHandbook[],AF$2,FALSE)</f>
        <v>#N/A</v>
      </c>
      <c r="AI19" s="7"/>
      <c r="AJ19" s="8"/>
      <c r="AK19" s="9"/>
      <c r="AL19" s="8"/>
      <c r="AM19" s="29"/>
    </row>
    <row r="20" spans="1:39" x14ac:dyDescent="0.25">
      <c r="A20" s="11" t="s">
        <v>935</v>
      </c>
      <c r="B20" s="292" t="s">
        <v>934</v>
      </c>
      <c r="C20" s="339" t="s">
        <v>200</v>
      </c>
      <c r="D20" s="340" t="s">
        <v>948</v>
      </c>
      <c r="E20" s="341">
        <v>45292</v>
      </c>
      <c r="F20" s="341">
        <v>45292</v>
      </c>
      <c r="G20" s="340"/>
      <c r="I20" s="26">
        <v>18</v>
      </c>
      <c r="J20" s="178" t="s">
        <v>109</v>
      </c>
      <c r="K20" s="177" t="s">
        <v>110</v>
      </c>
      <c r="L20" s="178" t="s">
        <v>111</v>
      </c>
      <c r="M20" s="177" t="s">
        <v>112</v>
      </c>
      <c r="N20" s="178" t="s">
        <v>109</v>
      </c>
      <c r="O20" s="177" t="s">
        <v>113</v>
      </c>
      <c r="P20" s="178" t="s">
        <v>111</v>
      </c>
      <c r="Q20" s="177" t="s">
        <v>114</v>
      </c>
      <c r="R20" s="178" t="s">
        <v>109</v>
      </c>
      <c r="S20" s="177" t="s">
        <v>115</v>
      </c>
      <c r="T20" s="178" t="s">
        <v>111</v>
      </c>
      <c r="U20" s="177" t="s">
        <v>112</v>
      </c>
      <c r="W20" s="3"/>
      <c r="X20" s="4"/>
      <c r="Y20" s="3"/>
    </row>
    <row r="21" spans="1:39" x14ac:dyDescent="0.25">
      <c r="A21" s="11" t="s">
        <v>939</v>
      </c>
      <c r="B21" s="263" t="s">
        <v>938</v>
      </c>
      <c r="C21" s="339" t="s">
        <v>200</v>
      </c>
      <c r="D21" s="340" t="s">
        <v>948</v>
      </c>
      <c r="E21" s="341">
        <v>45292</v>
      </c>
      <c r="F21" s="341">
        <v>45292</v>
      </c>
      <c r="G21" s="340"/>
      <c r="I21" s="26">
        <v>19</v>
      </c>
      <c r="J21" s="179" t="s">
        <v>109</v>
      </c>
      <c r="K21" s="166" t="s">
        <v>924</v>
      </c>
      <c r="L21" s="179" t="s">
        <v>111</v>
      </c>
      <c r="M21" s="166" t="s">
        <v>117</v>
      </c>
      <c r="N21" s="179" t="s">
        <v>109</v>
      </c>
      <c r="O21" s="166" t="s">
        <v>118</v>
      </c>
      <c r="P21" s="179" t="s">
        <v>111</v>
      </c>
      <c r="Q21" s="166" t="s">
        <v>110</v>
      </c>
      <c r="R21" s="179" t="s">
        <v>109</v>
      </c>
      <c r="S21" s="166" t="s">
        <v>119</v>
      </c>
      <c r="T21" s="179" t="s">
        <v>111</v>
      </c>
      <c r="U21" s="166" t="s">
        <v>120</v>
      </c>
    </row>
    <row r="22" spans="1:39" x14ac:dyDescent="0.25">
      <c r="A22" s="19" t="s">
        <v>941</v>
      </c>
      <c r="B22" s="263" t="s">
        <v>940</v>
      </c>
      <c r="C22" s="339" t="s">
        <v>200</v>
      </c>
      <c r="D22" s="340" t="s">
        <v>948</v>
      </c>
      <c r="E22" s="341">
        <v>45292</v>
      </c>
      <c r="F22" s="341">
        <v>45292</v>
      </c>
      <c r="G22" s="340"/>
      <c r="I22" s="26">
        <v>20</v>
      </c>
      <c r="J22" s="179" t="s">
        <v>109</v>
      </c>
      <c r="K22" s="166" t="s">
        <v>121</v>
      </c>
      <c r="L22" s="179" t="s">
        <v>111</v>
      </c>
      <c r="M22" s="166" t="s">
        <v>122</v>
      </c>
      <c r="N22" s="179" t="s">
        <v>109</v>
      </c>
      <c r="O22" s="166" t="s">
        <v>110</v>
      </c>
      <c r="P22" s="179" t="s">
        <v>111</v>
      </c>
      <c r="Q22" s="166" t="s">
        <v>123</v>
      </c>
      <c r="R22" s="179" t="s">
        <v>109</v>
      </c>
      <c r="S22" s="166" t="s">
        <v>124</v>
      </c>
      <c r="T22" s="179" t="s">
        <v>111</v>
      </c>
      <c r="U22" s="166" t="s">
        <v>110</v>
      </c>
      <c r="V22" s="4"/>
    </row>
    <row r="23" spans="1:39" x14ac:dyDescent="0.25">
      <c r="A23" s="19" t="s">
        <v>943</v>
      </c>
      <c r="B23" s="263" t="s">
        <v>942</v>
      </c>
      <c r="C23" s="339" t="s">
        <v>200</v>
      </c>
      <c r="D23" s="340" t="s">
        <v>948</v>
      </c>
      <c r="E23" s="341">
        <v>45292</v>
      </c>
      <c r="F23" s="341">
        <v>45292</v>
      </c>
      <c r="G23" s="340"/>
      <c r="I23" s="26">
        <v>21</v>
      </c>
      <c r="J23" s="179" t="s">
        <v>109</v>
      </c>
      <c r="K23" s="165" t="s">
        <v>102</v>
      </c>
      <c r="L23" s="179" t="s">
        <v>111</v>
      </c>
      <c r="M23" s="165" t="s">
        <v>102</v>
      </c>
      <c r="N23" s="179" t="s">
        <v>109</v>
      </c>
      <c r="O23" s="165" t="s">
        <v>125</v>
      </c>
      <c r="P23" s="179" t="s">
        <v>111</v>
      </c>
      <c r="Q23" s="165" t="s">
        <v>102</v>
      </c>
      <c r="R23" s="179" t="s">
        <v>109</v>
      </c>
      <c r="S23" s="232" t="s">
        <v>944</v>
      </c>
      <c r="T23" s="179" t="s">
        <v>111</v>
      </c>
      <c r="U23" s="165" t="s">
        <v>106</v>
      </c>
      <c r="V23" s="4"/>
    </row>
    <row r="24" spans="1:39" x14ac:dyDescent="0.25">
      <c r="A24" s="11" t="s">
        <v>937</v>
      </c>
      <c r="B24" s="292" t="s">
        <v>936</v>
      </c>
      <c r="C24" s="339" t="s">
        <v>200</v>
      </c>
      <c r="D24" s="340" t="s">
        <v>948</v>
      </c>
      <c r="E24" s="341">
        <v>45292</v>
      </c>
      <c r="F24" s="341">
        <v>45292</v>
      </c>
      <c r="G24" s="340"/>
      <c r="I24" s="26">
        <v>22</v>
      </c>
      <c r="J24" s="178" t="s">
        <v>111</v>
      </c>
      <c r="K24" s="177" t="s">
        <v>112</v>
      </c>
      <c r="L24" s="178" t="s">
        <v>109</v>
      </c>
      <c r="M24" s="177" t="s">
        <v>110</v>
      </c>
      <c r="N24" s="178" t="s">
        <v>111</v>
      </c>
      <c r="O24" s="177" t="s">
        <v>114</v>
      </c>
      <c r="P24" s="178" t="s">
        <v>109</v>
      </c>
      <c r="Q24" s="177" t="s">
        <v>113</v>
      </c>
      <c r="R24" s="178" t="s">
        <v>111</v>
      </c>
      <c r="S24" s="177" t="s">
        <v>112</v>
      </c>
      <c r="T24" s="178" t="s">
        <v>109</v>
      </c>
      <c r="U24" s="177" t="s">
        <v>115</v>
      </c>
      <c r="V24" s="4"/>
    </row>
    <row r="25" spans="1:39" x14ac:dyDescent="0.25">
      <c r="I25" s="26">
        <v>23</v>
      </c>
      <c r="J25" s="179" t="s">
        <v>111</v>
      </c>
      <c r="K25" s="166" t="s">
        <v>117</v>
      </c>
      <c r="L25" s="179" t="s">
        <v>109</v>
      </c>
      <c r="M25" s="166" t="s">
        <v>924</v>
      </c>
      <c r="N25" s="179" t="s">
        <v>111</v>
      </c>
      <c r="O25" s="166" t="s">
        <v>123</v>
      </c>
      <c r="P25" s="179" t="s">
        <v>109</v>
      </c>
      <c r="Q25" s="166" t="s">
        <v>118</v>
      </c>
      <c r="R25" s="179" t="s">
        <v>111</v>
      </c>
      <c r="S25" s="166" t="s">
        <v>120</v>
      </c>
      <c r="T25" s="179" t="s">
        <v>109</v>
      </c>
      <c r="U25" s="166" t="s">
        <v>119</v>
      </c>
      <c r="V25" s="4"/>
      <c r="W25" s="3"/>
      <c r="X25" s="4"/>
      <c r="Y25" s="3"/>
    </row>
    <row r="26" spans="1:39" x14ac:dyDescent="0.25">
      <c r="I26" s="26">
        <v>24</v>
      </c>
      <c r="J26" s="179" t="s">
        <v>111</v>
      </c>
      <c r="K26" s="166" t="s">
        <v>122</v>
      </c>
      <c r="L26" s="179" t="s">
        <v>109</v>
      </c>
      <c r="M26" s="166" t="s">
        <v>121</v>
      </c>
      <c r="N26" s="179" t="s">
        <v>111</v>
      </c>
      <c r="O26" s="166" t="s">
        <v>126</v>
      </c>
      <c r="P26" s="179" t="s">
        <v>109</v>
      </c>
      <c r="Q26" s="166" t="s">
        <v>127</v>
      </c>
      <c r="R26" s="179" t="s">
        <v>111</v>
      </c>
      <c r="S26" s="166" t="s">
        <v>110</v>
      </c>
      <c r="T26" s="179" t="s">
        <v>109</v>
      </c>
      <c r="U26" s="166" t="s">
        <v>124</v>
      </c>
      <c r="V26" s="4"/>
      <c r="W26" s="3"/>
      <c r="X26" s="4"/>
      <c r="Y26" s="3"/>
    </row>
    <row r="27" spans="1:39" x14ac:dyDescent="0.25">
      <c r="I27" s="26">
        <v>25</v>
      </c>
      <c r="J27" s="180" t="s">
        <v>111</v>
      </c>
      <c r="K27" s="165" t="s">
        <v>102</v>
      </c>
      <c r="L27" s="180" t="s">
        <v>109</v>
      </c>
      <c r="M27" s="165" t="s">
        <v>102</v>
      </c>
      <c r="N27" s="180" t="s">
        <v>111</v>
      </c>
      <c r="O27" s="165" t="s">
        <v>102</v>
      </c>
      <c r="P27" s="180" t="s">
        <v>109</v>
      </c>
      <c r="Q27" s="165" t="s">
        <v>125</v>
      </c>
      <c r="R27" s="180" t="s">
        <v>111</v>
      </c>
      <c r="S27" s="165" t="s">
        <v>128</v>
      </c>
      <c r="T27" s="180" t="s">
        <v>109</v>
      </c>
      <c r="U27" s="232" t="s">
        <v>944</v>
      </c>
      <c r="V27" s="11"/>
    </row>
    <row r="28" spans="1:39" x14ac:dyDescent="0.25">
      <c r="A28" s="266" t="s">
        <v>107</v>
      </c>
      <c r="I28" s="26">
        <v>26</v>
      </c>
      <c r="J28" s="178" t="s">
        <v>129</v>
      </c>
      <c r="K28" s="185"/>
      <c r="L28" s="178" t="s">
        <v>131</v>
      </c>
      <c r="M28" s="177"/>
      <c r="N28" s="178" t="s">
        <v>129</v>
      </c>
      <c r="O28" s="177" t="s">
        <v>132</v>
      </c>
      <c r="P28" s="178" t="s">
        <v>131</v>
      </c>
      <c r="Q28" s="177" t="s">
        <v>126</v>
      </c>
      <c r="R28" s="178" t="s">
        <v>129</v>
      </c>
      <c r="S28" s="177" t="s">
        <v>133</v>
      </c>
      <c r="T28" s="178" t="s">
        <v>131</v>
      </c>
      <c r="U28" s="177" t="s">
        <v>128</v>
      </c>
      <c r="V28" s="11"/>
    </row>
    <row r="29" spans="1:39" x14ac:dyDescent="0.25">
      <c r="A29" s="266" t="s">
        <v>108</v>
      </c>
      <c r="I29" s="26">
        <v>27</v>
      </c>
      <c r="J29" s="179" t="s">
        <v>129</v>
      </c>
      <c r="K29" s="166"/>
      <c r="L29" s="179" t="s">
        <v>131</v>
      </c>
      <c r="M29" s="166"/>
      <c r="N29" s="179" t="s">
        <v>129</v>
      </c>
      <c r="O29" s="166" t="s">
        <v>127</v>
      </c>
      <c r="P29" s="179" t="s">
        <v>131</v>
      </c>
      <c r="Q29" s="166" t="s">
        <v>132</v>
      </c>
      <c r="R29" s="179" t="s">
        <v>129</v>
      </c>
      <c r="S29" s="166" t="s">
        <v>134</v>
      </c>
      <c r="T29" s="179" t="s">
        <v>131</v>
      </c>
      <c r="U29" s="166" t="s">
        <v>134</v>
      </c>
      <c r="V29" s="11"/>
    </row>
    <row r="30" spans="1:39" x14ac:dyDescent="0.25">
      <c r="I30" s="26">
        <v>28</v>
      </c>
      <c r="J30" s="179" t="s">
        <v>129</v>
      </c>
      <c r="K30" s="166"/>
      <c r="L30" s="179" t="s">
        <v>131</v>
      </c>
      <c r="M30" s="166"/>
      <c r="N30" s="179" t="s">
        <v>129</v>
      </c>
      <c r="O30" s="166" t="s">
        <v>135</v>
      </c>
      <c r="P30" s="179" t="s">
        <v>131</v>
      </c>
      <c r="Q30" s="166" t="s">
        <v>135</v>
      </c>
      <c r="R30" s="179" t="s">
        <v>129</v>
      </c>
      <c r="S30" s="166" t="s">
        <v>135</v>
      </c>
      <c r="T30" s="179" t="s">
        <v>131</v>
      </c>
      <c r="U30" s="166" t="s">
        <v>135</v>
      </c>
    </row>
    <row r="31" spans="1:39" x14ac:dyDescent="0.25">
      <c r="I31" s="26">
        <v>29</v>
      </c>
      <c r="J31" s="179" t="s">
        <v>129</v>
      </c>
      <c r="K31" s="165"/>
      <c r="L31" s="179" t="s">
        <v>131</v>
      </c>
      <c r="M31" s="165"/>
      <c r="N31" s="179" t="s">
        <v>129</v>
      </c>
      <c r="O31" s="165" t="s">
        <v>102</v>
      </c>
      <c r="P31" s="179" t="s">
        <v>131</v>
      </c>
      <c r="Q31" s="165" t="s">
        <v>102</v>
      </c>
      <c r="R31" s="179" t="s">
        <v>129</v>
      </c>
      <c r="S31" s="232" t="s">
        <v>944</v>
      </c>
      <c r="T31" s="179" t="s">
        <v>131</v>
      </c>
      <c r="U31" s="165" t="s">
        <v>133</v>
      </c>
    </row>
    <row r="32" spans="1:39" x14ac:dyDescent="0.25">
      <c r="I32" s="26">
        <v>30</v>
      </c>
      <c r="J32" s="178" t="s">
        <v>131</v>
      </c>
      <c r="K32" s="177"/>
      <c r="L32" s="178" t="s">
        <v>129</v>
      </c>
      <c r="M32" s="177"/>
      <c r="N32" s="178" t="s">
        <v>131</v>
      </c>
      <c r="O32" s="177" t="s">
        <v>136</v>
      </c>
      <c r="P32" s="178" t="s">
        <v>129</v>
      </c>
      <c r="Q32" s="177" t="s">
        <v>136</v>
      </c>
      <c r="R32" s="178" t="s">
        <v>131</v>
      </c>
      <c r="S32" s="177" t="s">
        <v>136</v>
      </c>
      <c r="T32" s="178" t="s">
        <v>129</v>
      </c>
      <c r="U32" s="177" t="s">
        <v>136</v>
      </c>
      <c r="V32" s="11"/>
    </row>
    <row r="33" spans="8:21" x14ac:dyDescent="0.25">
      <c r="I33" s="26">
        <v>31</v>
      </c>
      <c r="J33" s="179" t="s">
        <v>131</v>
      </c>
      <c r="K33" s="166"/>
      <c r="L33" s="179" t="s">
        <v>129</v>
      </c>
      <c r="M33" s="166"/>
      <c r="N33" s="179" t="s">
        <v>131</v>
      </c>
      <c r="O33" s="190" t="s">
        <v>137</v>
      </c>
      <c r="P33" s="179" t="s">
        <v>129</v>
      </c>
      <c r="Q33" s="190" t="s">
        <v>138</v>
      </c>
      <c r="R33" s="179" t="s">
        <v>131</v>
      </c>
      <c r="S33" s="190" t="s">
        <v>137</v>
      </c>
      <c r="T33" s="179" t="s">
        <v>129</v>
      </c>
      <c r="U33" s="166" t="s">
        <v>138</v>
      </c>
    </row>
    <row r="34" spans="8:21" ht="15.75" customHeight="1" x14ac:dyDescent="0.25">
      <c r="I34" s="26">
        <v>32</v>
      </c>
      <c r="J34" s="179" t="s">
        <v>131</v>
      </c>
      <c r="K34" s="166"/>
      <c r="L34" s="179" t="s">
        <v>129</v>
      </c>
      <c r="M34" s="166"/>
      <c r="N34" s="179" t="s">
        <v>131</v>
      </c>
      <c r="O34" s="166"/>
      <c r="P34" s="179" t="s">
        <v>129</v>
      </c>
      <c r="Q34" s="166"/>
      <c r="R34" s="179" t="s">
        <v>131</v>
      </c>
      <c r="S34" s="166"/>
      <c r="T34" s="179" t="s">
        <v>129</v>
      </c>
      <c r="U34" s="166"/>
    </row>
    <row r="35" spans="8:21" x14ac:dyDescent="0.25">
      <c r="I35" s="26">
        <v>33</v>
      </c>
      <c r="J35" s="180" t="s">
        <v>131</v>
      </c>
      <c r="K35" s="165"/>
      <c r="L35" s="180" t="s">
        <v>129</v>
      </c>
      <c r="M35" s="165"/>
      <c r="N35" s="180" t="s">
        <v>131</v>
      </c>
      <c r="O35" s="165"/>
      <c r="P35" s="180" t="s">
        <v>129</v>
      </c>
      <c r="Q35" s="165"/>
      <c r="R35" s="180" t="s">
        <v>131</v>
      </c>
      <c r="S35" s="165"/>
      <c r="T35" s="180" t="s">
        <v>129</v>
      </c>
      <c r="U35" s="165"/>
    </row>
    <row r="36" spans="8:21" ht="15.75" customHeight="1" thickBot="1" x14ac:dyDescent="0.3"/>
    <row r="37" spans="8:21" ht="15.75" customHeight="1" x14ac:dyDescent="0.25">
      <c r="H37" s="147" t="s">
        <v>951</v>
      </c>
      <c r="I37" s="3">
        <v>1</v>
      </c>
      <c r="J37" s="323" t="s">
        <v>932</v>
      </c>
      <c r="K37" s="324" t="s">
        <v>934</v>
      </c>
      <c r="L37" s="324" t="s">
        <v>936</v>
      </c>
      <c r="M37" s="324" t="s">
        <v>938</v>
      </c>
      <c r="N37" s="324" t="s">
        <v>940</v>
      </c>
      <c r="O37" s="325" t="s">
        <v>942</v>
      </c>
    </row>
    <row r="38" spans="8:21" ht="15.75" customHeight="1" x14ac:dyDescent="0.25">
      <c r="H38" s="147"/>
      <c r="I38" s="3">
        <v>2</v>
      </c>
      <c r="J38" s="150" t="s">
        <v>932</v>
      </c>
      <c r="K38" s="342" t="s">
        <v>934</v>
      </c>
      <c r="L38" s="342" t="s">
        <v>936</v>
      </c>
      <c r="M38" s="342" t="s">
        <v>938</v>
      </c>
      <c r="N38" s="342" t="s">
        <v>940</v>
      </c>
      <c r="O38" s="151" t="s">
        <v>942</v>
      </c>
    </row>
    <row r="39" spans="8:21" x14ac:dyDescent="0.25">
      <c r="H39" s="132"/>
      <c r="I39" s="3">
        <v>3</v>
      </c>
      <c r="J39" s="150" t="s">
        <v>152</v>
      </c>
      <c r="K39" s="342" t="s">
        <v>148</v>
      </c>
      <c r="L39" s="342" t="s">
        <v>167</v>
      </c>
      <c r="M39" s="342" t="s">
        <v>142</v>
      </c>
      <c r="N39" s="342" t="s">
        <v>155</v>
      </c>
      <c r="O39" s="151" t="s">
        <v>160</v>
      </c>
    </row>
    <row r="40" spans="8:21" x14ac:dyDescent="0.25">
      <c r="I40" s="3">
        <v>4</v>
      </c>
      <c r="J40" s="150" t="s">
        <v>150</v>
      </c>
      <c r="K40" s="342" t="s">
        <v>147</v>
      </c>
      <c r="L40" s="342" t="s">
        <v>166</v>
      </c>
      <c r="M40" s="342" t="s">
        <v>143</v>
      </c>
      <c r="N40" s="342" t="s">
        <v>157</v>
      </c>
      <c r="O40" s="151" t="s">
        <v>161</v>
      </c>
      <c r="P40" s="4"/>
      <c r="Q40" s="3"/>
    </row>
    <row r="41" spans="8:21" ht="16.5" thickBot="1" x14ac:dyDescent="0.3">
      <c r="I41" s="3">
        <v>5</v>
      </c>
      <c r="J41" s="154" t="s">
        <v>154</v>
      </c>
      <c r="K41" s="155" t="s">
        <v>149</v>
      </c>
      <c r="L41" s="155" t="s">
        <v>168</v>
      </c>
      <c r="M41" s="155" t="s">
        <v>144</v>
      </c>
      <c r="N41" s="155" t="s">
        <v>153</v>
      </c>
      <c r="O41" s="156" t="s">
        <v>162</v>
      </c>
      <c r="P41" s="4"/>
    </row>
    <row r="42" spans="8:21" ht="16.5" thickBot="1" x14ac:dyDescent="0.3">
      <c r="P42" s="4"/>
      <c r="Q42" s="3"/>
    </row>
    <row r="43" spans="8:21" x14ac:dyDescent="0.25">
      <c r="H43" s="147" t="s">
        <v>139</v>
      </c>
      <c r="I43" s="3">
        <v>1</v>
      </c>
      <c r="J43" s="323" t="s">
        <v>66</v>
      </c>
      <c r="K43" s="324" t="s">
        <v>72</v>
      </c>
      <c r="L43" s="325" t="s">
        <v>76</v>
      </c>
      <c r="P43" s="4"/>
      <c r="Q43" s="3"/>
    </row>
    <row r="44" spans="8:21" x14ac:dyDescent="0.25">
      <c r="H44" s="132"/>
      <c r="I44" s="3">
        <v>2</v>
      </c>
      <c r="J44" s="150" t="s">
        <v>923</v>
      </c>
      <c r="K44" s="129" t="s">
        <v>925</v>
      </c>
      <c r="L44" s="151" t="s">
        <v>929</v>
      </c>
    </row>
    <row r="45" spans="8:21" x14ac:dyDescent="0.25">
      <c r="I45" s="3">
        <v>3</v>
      </c>
      <c r="J45" s="152" t="s">
        <v>140</v>
      </c>
      <c r="K45" s="153" t="s">
        <v>141</v>
      </c>
      <c r="L45" s="151" t="s">
        <v>141</v>
      </c>
      <c r="O45" s="23"/>
    </row>
    <row r="46" spans="8:21" x14ac:dyDescent="0.25">
      <c r="I46" s="3">
        <v>4</v>
      </c>
      <c r="J46" s="150" t="s">
        <v>64</v>
      </c>
      <c r="K46" s="153" t="s">
        <v>142</v>
      </c>
      <c r="L46" s="151" t="s">
        <v>142</v>
      </c>
    </row>
    <row r="47" spans="8:21" x14ac:dyDescent="0.25">
      <c r="I47" s="3">
        <v>5</v>
      </c>
      <c r="J47" s="150"/>
      <c r="K47" s="153" t="s">
        <v>143</v>
      </c>
      <c r="L47" s="151" t="s">
        <v>143</v>
      </c>
    </row>
    <row r="48" spans="8:21" x14ac:dyDescent="0.25">
      <c r="I48" s="3">
        <v>6</v>
      </c>
      <c r="J48" s="150" t="s">
        <v>924</v>
      </c>
      <c r="K48" s="153" t="s">
        <v>144</v>
      </c>
      <c r="L48" s="151" t="s">
        <v>144</v>
      </c>
    </row>
    <row r="49" spans="1:12" x14ac:dyDescent="0.25">
      <c r="I49" s="3">
        <v>7</v>
      </c>
      <c r="J49" s="150" t="s">
        <v>115</v>
      </c>
      <c r="K49" s="153" t="s">
        <v>145</v>
      </c>
      <c r="L49" s="151" t="s">
        <v>145</v>
      </c>
    </row>
    <row r="50" spans="1:12" x14ac:dyDescent="0.25">
      <c r="I50" s="3">
        <v>8</v>
      </c>
      <c r="J50" s="150" t="s">
        <v>146</v>
      </c>
      <c r="K50" s="153" t="s">
        <v>147</v>
      </c>
      <c r="L50" s="151" t="s">
        <v>147</v>
      </c>
    </row>
    <row r="51" spans="1:12" x14ac:dyDescent="0.25">
      <c r="I51" s="3">
        <v>9</v>
      </c>
      <c r="J51" s="150" t="s">
        <v>928</v>
      </c>
      <c r="K51" s="153" t="s">
        <v>148</v>
      </c>
      <c r="L51" s="151" t="s">
        <v>148</v>
      </c>
    </row>
    <row r="52" spans="1:12" x14ac:dyDescent="0.25">
      <c r="I52" s="3">
        <v>10</v>
      </c>
      <c r="J52" s="150" t="s">
        <v>922</v>
      </c>
      <c r="K52" s="153" t="s">
        <v>149</v>
      </c>
      <c r="L52" s="151" t="s">
        <v>149</v>
      </c>
    </row>
    <row r="53" spans="1:12" x14ac:dyDescent="0.25">
      <c r="I53" s="3">
        <v>11</v>
      </c>
      <c r="J53" s="150" t="s">
        <v>150</v>
      </c>
      <c r="K53" s="153" t="s">
        <v>151</v>
      </c>
      <c r="L53" s="151" t="s">
        <v>151</v>
      </c>
    </row>
    <row r="54" spans="1:12" x14ac:dyDescent="0.25">
      <c r="I54" s="3">
        <v>12</v>
      </c>
      <c r="J54" s="150" t="s">
        <v>152</v>
      </c>
      <c r="K54" s="153" t="s">
        <v>153</v>
      </c>
      <c r="L54" s="151" t="s">
        <v>153</v>
      </c>
    </row>
    <row r="55" spans="1:12" x14ac:dyDescent="0.25">
      <c r="I55" s="3">
        <v>13</v>
      </c>
      <c r="J55" s="150" t="s">
        <v>154</v>
      </c>
      <c r="K55" s="153" t="s">
        <v>155</v>
      </c>
      <c r="L55" s="151" t="s">
        <v>155</v>
      </c>
    </row>
    <row r="56" spans="1:12" x14ac:dyDescent="0.25">
      <c r="I56" s="3">
        <v>14</v>
      </c>
      <c r="J56" s="150" t="s">
        <v>156</v>
      </c>
      <c r="K56" s="153" t="s">
        <v>157</v>
      </c>
      <c r="L56" s="151" t="s">
        <v>157</v>
      </c>
    </row>
    <row r="57" spans="1:12" x14ac:dyDescent="0.25">
      <c r="I57" s="3">
        <v>15</v>
      </c>
      <c r="J57" s="150" t="s">
        <v>158</v>
      </c>
      <c r="K57" s="153" t="s">
        <v>159</v>
      </c>
      <c r="L57" s="151" t="s">
        <v>159</v>
      </c>
    </row>
    <row r="58" spans="1:12" x14ac:dyDescent="0.25">
      <c r="I58" s="3">
        <v>16</v>
      </c>
      <c r="J58" s="150" t="s">
        <v>153</v>
      </c>
      <c r="K58" s="153" t="s">
        <v>160</v>
      </c>
      <c r="L58" s="151" t="s">
        <v>160</v>
      </c>
    </row>
    <row r="59" spans="1:12" x14ac:dyDescent="0.25">
      <c r="I59" s="3">
        <v>17</v>
      </c>
      <c r="J59" s="150" t="s">
        <v>142</v>
      </c>
      <c r="K59" s="153" t="s">
        <v>161</v>
      </c>
      <c r="L59" s="151" t="s">
        <v>161</v>
      </c>
    </row>
    <row r="60" spans="1:12" x14ac:dyDescent="0.25">
      <c r="I60" s="3">
        <v>18</v>
      </c>
      <c r="J60" s="150" t="s">
        <v>147</v>
      </c>
      <c r="K60" s="153" t="s">
        <v>162</v>
      </c>
      <c r="L60" s="151" t="s">
        <v>162</v>
      </c>
    </row>
    <row r="61" spans="1:12" x14ac:dyDescent="0.25">
      <c r="H61"/>
      <c r="I61" s="3">
        <v>19</v>
      </c>
      <c r="J61" s="150" t="s">
        <v>148</v>
      </c>
      <c r="K61" s="153" t="s">
        <v>163</v>
      </c>
      <c r="L61" s="151" t="s">
        <v>163</v>
      </c>
    </row>
    <row r="62" spans="1:12" x14ac:dyDescent="0.25">
      <c r="H62"/>
      <c r="I62" s="3">
        <v>20</v>
      </c>
      <c r="J62" s="150" t="s">
        <v>160</v>
      </c>
      <c r="K62" s="153" t="s">
        <v>150</v>
      </c>
      <c r="L62" s="151" t="s">
        <v>150</v>
      </c>
    </row>
    <row r="63" spans="1:12" x14ac:dyDescent="0.25">
      <c r="H63"/>
      <c r="I63" s="3">
        <v>21</v>
      </c>
      <c r="J63" s="150" t="s">
        <v>143</v>
      </c>
      <c r="K63" s="153" t="s">
        <v>152</v>
      </c>
      <c r="L63" s="151" t="s">
        <v>152</v>
      </c>
    </row>
    <row r="64" spans="1:12" x14ac:dyDescent="0.25">
      <c r="A64"/>
      <c r="B64"/>
      <c r="C64"/>
      <c r="D64"/>
      <c r="E64"/>
      <c r="F64"/>
      <c r="H64"/>
      <c r="I64" s="3">
        <v>22</v>
      </c>
      <c r="J64" s="150" t="s">
        <v>144</v>
      </c>
      <c r="K64" s="153" t="s">
        <v>154</v>
      </c>
      <c r="L64" s="151" t="s">
        <v>154</v>
      </c>
    </row>
    <row r="65" spans="1:12" x14ac:dyDescent="0.25">
      <c r="A65"/>
      <c r="B65"/>
      <c r="C65"/>
      <c r="D65"/>
      <c r="E65"/>
      <c r="F65"/>
      <c r="H65"/>
      <c r="I65" s="3">
        <v>23</v>
      </c>
      <c r="J65" s="150" t="s">
        <v>149</v>
      </c>
      <c r="K65" s="153" t="s">
        <v>164</v>
      </c>
      <c r="L65" s="151" t="s">
        <v>165</v>
      </c>
    </row>
    <row r="66" spans="1:12" x14ac:dyDescent="0.25">
      <c r="A66"/>
      <c r="B66"/>
      <c r="C66"/>
      <c r="D66"/>
      <c r="E66"/>
      <c r="F66"/>
      <c r="H66"/>
      <c r="I66" s="3">
        <v>24</v>
      </c>
      <c r="J66" s="150" t="s">
        <v>161</v>
      </c>
      <c r="K66" s="153" t="s">
        <v>93</v>
      </c>
      <c r="L66" s="151" t="s">
        <v>166</v>
      </c>
    </row>
    <row r="67" spans="1:12" x14ac:dyDescent="0.25">
      <c r="H67"/>
      <c r="I67" s="3">
        <v>25</v>
      </c>
      <c r="J67" s="150" t="s">
        <v>155</v>
      </c>
      <c r="K67" s="153" t="s">
        <v>87</v>
      </c>
      <c r="L67" s="151" t="s">
        <v>167</v>
      </c>
    </row>
    <row r="68" spans="1:12" x14ac:dyDescent="0.25">
      <c r="H68"/>
      <c r="I68" s="3">
        <v>26</v>
      </c>
      <c r="J68" s="150" t="s">
        <v>157</v>
      </c>
      <c r="K68" s="153" t="s">
        <v>85</v>
      </c>
      <c r="L68" s="151" t="s">
        <v>168</v>
      </c>
    </row>
    <row r="69" spans="1:12" x14ac:dyDescent="0.25">
      <c r="A69"/>
      <c r="H69"/>
      <c r="I69" s="3">
        <v>27</v>
      </c>
      <c r="J69" s="150" t="s">
        <v>162</v>
      </c>
      <c r="K69" s="153" t="s">
        <v>124</v>
      </c>
      <c r="L69" s="151"/>
    </row>
    <row r="70" spans="1:12" x14ac:dyDescent="0.25">
      <c r="H70"/>
      <c r="I70" s="3">
        <v>28</v>
      </c>
      <c r="J70" s="150"/>
      <c r="K70" s="153" t="s">
        <v>120</v>
      </c>
      <c r="L70" s="151"/>
    </row>
    <row r="71" spans="1:12" x14ac:dyDescent="0.25">
      <c r="H71"/>
      <c r="I71" s="3">
        <v>29</v>
      </c>
      <c r="J71" s="150"/>
      <c r="K71" s="153" t="s">
        <v>156</v>
      </c>
      <c r="L71" s="151"/>
    </row>
    <row r="72" spans="1:12" x14ac:dyDescent="0.25">
      <c r="H72"/>
      <c r="I72" s="3">
        <v>30</v>
      </c>
      <c r="J72" s="150"/>
      <c r="K72" s="153" t="s">
        <v>158</v>
      </c>
      <c r="L72" s="151"/>
    </row>
    <row r="73" spans="1:12" x14ac:dyDescent="0.25">
      <c r="H73"/>
      <c r="I73" s="3">
        <v>31</v>
      </c>
      <c r="J73" s="150"/>
      <c r="K73" s="153" t="s">
        <v>117</v>
      </c>
      <c r="L73" s="151"/>
    </row>
    <row r="74" spans="1:12" x14ac:dyDescent="0.25">
      <c r="H74"/>
      <c r="I74" s="3">
        <v>32</v>
      </c>
      <c r="J74" s="150"/>
      <c r="K74" s="153"/>
      <c r="L74" s="151"/>
    </row>
    <row r="75" spans="1:12" x14ac:dyDescent="0.25">
      <c r="H75"/>
      <c r="I75" s="3">
        <v>33</v>
      </c>
      <c r="J75" s="150"/>
      <c r="K75" s="153"/>
      <c r="L75" s="151"/>
    </row>
    <row r="76" spans="1:12" x14ac:dyDescent="0.25">
      <c r="H76"/>
      <c r="I76" s="3">
        <v>34</v>
      </c>
      <c r="J76" s="150"/>
      <c r="K76" s="129"/>
      <c r="L76" s="151"/>
    </row>
    <row r="77" spans="1:12" x14ac:dyDescent="0.25">
      <c r="I77" s="3">
        <v>35</v>
      </c>
      <c r="J77" s="150"/>
      <c r="K77" s="129"/>
      <c r="L77" s="151"/>
    </row>
    <row r="78" spans="1:12" ht="16.5" thickBot="1" x14ac:dyDescent="0.3">
      <c r="I78" s="3">
        <v>36</v>
      </c>
      <c r="J78" s="154"/>
      <c r="K78" s="155"/>
      <c r="L78" s="156"/>
    </row>
    <row r="79" spans="1:12" x14ac:dyDescent="0.25">
      <c r="J79" t="s">
        <v>166</v>
      </c>
      <c r="K79" t="s">
        <v>169</v>
      </c>
    </row>
    <row r="80" spans="1:12" x14ac:dyDescent="0.25">
      <c r="J80" t="s">
        <v>167</v>
      </c>
      <c r="K80" t="s">
        <v>166</v>
      </c>
    </row>
    <row r="81" spans="10:11" x14ac:dyDescent="0.25">
      <c r="J81" t="s">
        <v>170</v>
      </c>
      <c r="K81" t="s">
        <v>167</v>
      </c>
    </row>
    <row r="82" spans="10:11" x14ac:dyDescent="0.25">
      <c r="J82" t="s">
        <v>169</v>
      </c>
      <c r="K82" t="s">
        <v>170</v>
      </c>
    </row>
    <row r="83" spans="10:11" x14ac:dyDescent="0.25">
      <c r="J83" t="s">
        <v>171</v>
      </c>
      <c r="K83" t="s">
        <v>171</v>
      </c>
    </row>
    <row r="84" spans="10:11" x14ac:dyDescent="0.25">
      <c r="J84" t="s">
        <v>172</v>
      </c>
      <c r="K84" t="s">
        <v>172</v>
      </c>
    </row>
  </sheetData>
  <dataValidations count="1">
    <dataValidation type="list" allowBlank="1" showInputMessage="1" showErrorMessage="1" sqref="W2">
      <formula1>$K$3:$U$3</formula1>
    </dataValidation>
  </dataValidations>
  <pageMargins left="0.7" right="0.7" top="0.75" bottom="0.75" header="0.3" footer="0.3"/>
  <pageSetup paperSize="9" orientation="portrait" r:id="rId1"/>
  <ignoredErrors>
    <ignoredError sqref="X12" evalError="1"/>
  </ignoredErrors>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tint="0.79998168889431442"/>
    <pageSetUpPr fitToPage="1"/>
  </sheetPr>
  <dimension ref="A1:W86"/>
  <sheetViews>
    <sheetView showGridLines="0" topLeftCell="A3" zoomScaleNormal="100" workbookViewId="0">
      <selection activeCell="D9" sqref="D9"/>
    </sheetView>
  </sheetViews>
  <sheetFormatPr defaultColWidth="9" defaultRowHeight="15" x14ac:dyDescent="0.25"/>
  <cols>
    <col min="1" max="1" width="15" style="37" customWidth="1"/>
    <col min="2" max="2" width="3.25" style="37" customWidth="1"/>
    <col min="3" max="3" width="5.875" style="37" customWidth="1"/>
    <col min="4" max="4" width="58" style="36" customWidth="1"/>
    <col min="5" max="5" width="7" style="36" customWidth="1"/>
    <col min="6" max="6" width="23.25" style="36" customWidth="1"/>
    <col min="7" max="7" width="5.625" style="36" customWidth="1"/>
    <col min="8" max="11" width="4.375" style="36" customWidth="1"/>
    <col min="12" max="12" width="15.625" style="36" customWidth="1"/>
    <col min="13" max="13" width="2.375" style="36" hidden="1" customWidth="1"/>
    <col min="14" max="16384" width="9" style="36"/>
  </cols>
  <sheetData>
    <row r="1" spans="1:23" hidden="1" x14ac:dyDescent="0.25">
      <c r="A1" s="163" t="s">
        <v>0</v>
      </c>
      <c r="B1" s="163" t="s">
        <v>1</v>
      </c>
      <c r="C1" s="163" t="s">
        <v>2</v>
      </c>
      <c r="D1" s="164" t="s">
        <v>3</v>
      </c>
      <c r="E1" s="164"/>
      <c r="F1" s="164" t="s">
        <v>4</v>
      </c>
      <c r="G1" s="164" t="s">
        <v>5</v>
      </c>
      <c r="H1" s="164" t="s">
        <v>6</v>
      </c>
      <c r="I1" s="164"/>
      <c r="J1" s="164"/>
      <c r="K1" s="164"/>
      <c r="L1" s="164" t="s">
        <v>7</v>
      </c>
    </row>
    <row r="2" spans="1:23" hidden="1" x14ac:dyDescent="0.25">
      <c r="A2" s="162"/>
      <c r="B2" s="162">
        <v>2</v>
      </c>
      <c r="C2" s="162">
        <v>3</v>
      </c>
      <c r="D2" s="162">
        <v>4</v>
      </c>
      <c r="E2" s="162"/>
      <c r="F2" s="162">
        <v>6</v>
      </c>
      <c r="G2" s="162">
        <v>5</v>
      </c>
      <c r="H2" s="162">
        <v>7</v>
      </c>
      <c r="I2" s="162">
        <v>8</v>
      </c>
      <c r="J2" s="162">
        <v>10</v>
      </c>
      <c r="K2" s="162">
        <v>11</v>
      </c>
      <c r="L2" s="162"/>
    </row>
    <row r="3" spans="1:23" ht="39.950000000000003" customHeight="1" x14ac:dyDescent="0.25">
      <c r="A3" s="503" t="s">
        <v>8</v>
      </c>
      <c r="B3" s="503"/>
      <c r="C3" s="503"/>
      <c r="D3" s="503"/>
      <c r="E3" s="346"/>
      <c r="F3" s="346"/>
      <c r="G3" s="346"/>
      <c r="H3" s="346"/>
      <c r="I3" s="346"/>
      <c r="J3" s="346"/>
      <c r="K3" s="346"/>
      <c r="L3" s="346"/>
      <c r="M3" s="347"/>
      <c r="N3" s="347"/>
      <c r="O3" s="347"/>
      <c r="P3" s="347"/>
      <c r="Q3" s="347"/>
      <c r="R3" s="347"/>
      <c r="S3" s="347"/>
      <c r="T3" s="347"/>
      <c r="U3" s="347"/>
    </row>
    <row r="4" spans="1:23" ht="26.25" x14ac:dyDescent="0.25">
      <c r="A4" s="348"/>
      <c r="B4" s="349"/>
      <c r="C4" s="349"/>
      <c r="D4" s="350"/>
      <c r="E4" s="351" t="s">
        <v>9</v>
      </c>
      <c r="F4" s="349"/>
      <c r="G4" s="352"/>
      <c r="H4" s="352"/>
      <c r="I4" s="352"/>
      <c r="J4" s="352"/>
      <c r="K4" s="352"/>
      <c r="L4" s="445"/>
      <c r="M4" s="347"/>
      <c r="N4" s="347"/>
      <c r="O4" s="347"/>
      <c r="P4" s="347"/>
      <c r="Q4" s="347"/>
      <c r="R4" s="347"/>
      <c r="S4" s="347"/>
      <c r="T4" s="347"/>
      <c r="U4" s="347"/>
    </row>
    <row r="5" spans="1:23" ht="20.100000000000001" customHeight="1" x14ac:dyDescent="0.25">
      <c r="A5" s="354"/>
      <c r="B5" s="355"/>
      <c r="C5" s="356" t="s">
        <v>10</v>
      </c>
      <c r="D5" s="357" t="s">
        <v>79</v>
      </c>
      <c r="E5" s="358"/>
      <c r="F5" s="356" t="s">
        <v>12</v>
      </c>
      <c r="G5" s="358" t="str">
        <f>IFERROR(CONCATENATE(VLOOKUP(D5,TableCourses[],2,FALSE)," ",VLOOKUP(D5,TableCourses[],3,FALSE)),"")</f>
        <v>B-EDSC v.4</v>
      </c>
      <c r="H5" s="358"/>
      <c r="I5" s="358"/>
      <c r="J5" s="358"/>
      <c r="K5" s="358"/>
      <c r="L5" s="432" t="e">
        <f>CONCATENATE(VLOOKUP(D5,TableCourseSecondary[],2,FALSE),VLOOKUP(D8,TableStudyPeriods[],2,FALSE))</f>
        <v>#N/A</v>
      </c>
      <c r="M5" s="347"/>
      <c r="N5" s="347"/>
      <c r="O5" s="347"/>
      <c r="P5" s="347"/>
      <c r="Q5" s="347"/>
      <c r="R5" s="347"/>
      <c r="S5" s="347"/>
      <c r="T5" s="347"/>
      <c r="U5" s="347"/>
    </row>
    <row r="6" spans="1:23" ht="19.5" customHeight="1" x14ac:dyDescent="0.25">
      <c r="A6" s="354"/>
      <c r="B6" s="355"/>
      <c r="C6" s="356" t="s">
        <v>173</v>
      </c>
      <c r="D6" s="480" t="s">
        <v>174</v>
      </c>
      <c r="E6" s="358"/>
      <c r="F6" s="356" t="s">
        <v>175</v>
      </c>
      <c r="G6" s="358" t="str">
        <f>IFERROR(CONCATENATE(VLOOKUP(D6,TableMajors[],2,FALSE)," ",VLOOKUP(D6,TableMajors[],3,FALSE)),"")</f>
        <v/>
      </c>
      <c r="H6" s="358"/>
      <c r="I6" s="358"/>
      <c r="J6" s="358"/>
      <c r="K6" s="431"/>
      <c r="L6" s="432" t="e">
        <f>CONCATENATE(VLOOKUP(D6,TableMajors[],2,FALSE),VLOOKUP(D8,TableStudyPeriods[],2,FALSE))</f>
        <v>#N/A</v>
      </c>
      <c r="M6" s="347"/>
      <c r="N6" s="347"/>
      <c r="O6" s="347"/>
      <c r="P6" s="347"/>
      <c r="Q6" s="347"/>
      <c r="R6" s="347"/>
      <c r="S6" s="347"/>
      <c r="T6" s="347"/>
      <c r="U6" s="347"/>
    </row>
    <row r="7" spans="1:23" x14ac:dyDescent="0.25">
      <c r="A7" s="354"/>
      <c r="B7" s="355"/>
      <c r="C7" s="446" t="s">
        <v>176</v>
      </c>
      <c r="D7" s="481" t="s">
        <v>177</v>
      </c>
      <c r="E7" s="358"/>
      <c r="F7" s="356" t="s">
        <v>178</v>
      </c>
      <c r="G7" s="358" t="str">
        <f>IFERROR(CONCATENATE(VLOOKUP(D7,TableStreams[],2,FALSE)," ",VLOOKUP(D7,TableStreams[],3,FALSE)),"")</f>
        <v/>
      </c>
      <c r="H7" s="358"/>
      <c r="I7" s="358"/>
      <c r="J7" s="358"/>
      <c r="K7" s="347"/>
      <c r="L7" s="432" t="e">
        <f>IF(OR(LEFT(L6,10)="MJRU-HLTPE",LEFT(L6,10)="MJRU-SCIPH"),L6,CONCATENATE(VLOOKUP(D7,TableStreams[],2,FALSE),VLOOKUP(D8,TableStudyPeriods[],2,FALSE)))</f>
        <v>#N/A</v>
      </c>
      <c r="M7" s="347"/>
      <c r="N7" s="347"/>
      <c r="O7" s="347"/>
      <c r="P7" s="347"/>
      <c r="Q7" s="347"/>
      <c r="R7" s="347"/>
      <c r="S7" s="347"/>
      <c r="T7" s="347"/>
      <c r="U7" s="347"/>
    </row>
    <row r="8" spans="1:23" ht="20.100000000000001" customHeight="1" x14ac:dyDescent="0.25">
      <c r="A8" s="360"/>
      <c r="B8" s="361"/>
      <c r="C8" s="356" t="s">
        <v>13</v>
      </c>
      <c r="D8" s="430" t="s">
        <v>952</v>
      </c>
      <c r="E8" s="362"/>
      <c r="F8" s="356" t="s">
        <v>14</v>
      </c>
      <c r="G8" s="358" t="str">
        <f>IFERROR(VLOOKUP($D$5,TableCourses[],4,FALSE),"")</f>
        <v xml:space="preserve">800 credit points required </v>
      </c>
      <c r="H8" s="363"/>
      <c r="I8" s="363"/>
      <c r="J8" s="363"/>
      <c r="K8" s="363"/>
      <c r="L8" s="447" t="str">
        <f>IFERROR(CONCATENATE("Streams",MID(G6,6,5)),"")</f>
        <v>Streams</v>
      </c>
      <c r="M8" s="347"/>
      <c r="N8" s="347"/>
      <c r="O8" s="347"/>
      <c r="P8" s="347"/>
      <c r="Q8" s="347"/>
      <c r="R8" s="347"/>
      <c r="S8" s="347"/>
      <c r="T8" s="347"/>
      <c r="U8" s="347"/>
      <c r="V8" s="44"/>
      <c r="W8" s="44"/>
    </row>
    <row r="9" spans="1:23" s="47" customFormat="1" ht="14.1" customHeight="1" x14ac:dyDescent="0.25">
      <c r="A9" s="364"/>
      <c r="B9" s="364"/>
      <c r="C9" s="364"/>
      <c r="D9" s="365"/>
      <c r="E9" s="366"/>
      <c r="F9" s="364"/>
      <c r="G9" s="364"/>
      <c r="H9" s="367" t="s">
        <v>15</v>
      </c>
      <c r="I9" s="368"/>
      <c r="J9" s="368"/>
      <c r="K9" s="369"/>
      <c r="L9" s="366"/>
      <c r="M9" s="370"/>
      <c r="N9" s="370"/>
      <c r="O9" s="370"/>
      <c r="P9" s="371"/>
      <c r="Q9" s="371"/>
      <c r="R9" s="371"/>
      <c r="S9" s="371"/>
      <c r="T9" s="371"/>
      <c r="U9" s="371"/>
      <c r="V9" s="46"/>
      <c r="W9" s="46"/>
    </row>
    <row r="10" spans="1:23" s="47" customFormat="1" ht="21" x14ac:dyDescent="0.25">
      <c r="A10" s="364" t="s">
        <v>16</v>
      </c>
      <c r="B10" s="364"/>
      <c r="C10" s="364"/>
      <c r="D10" s="365" t="s">
        <v>3</v>
      </c>
      <c r="E10" s="372" t="s">
        <v>17</v>
      </c>
      <c r="F10" s="364" t="s">
        <v>18</v>
      </c>
      <c r="G10" s="364" t="s">
        <v>19</v>
      </c>
      <c r="H10" s="373" t="s">
        <v>921</v>
      </c>
      <c r="I10" s="372" t="s">
        <v>20</v>
      </c>
      <c r="J10" s="372" t="s">
        <v>22</v>
      </c>
      <c r="K10" s="374" t="s">
        <v>23</v>
      </c>
      <c r="L10" s="364" t="s">
        <v>25</v>
      </c>
      <c r="M10" s="370"/>
      <c r="N10" s="370"/>
      <c r="O10" s="370"/>
      <c r="P10" s="371"/>
      <c r="Q10" s="371"/>
      <c r="R10" s="371"/>
      <c r="S10" s="371"/>
      <c r="T10" s="371"/>
      <c r="U10" s="371"/>
      <c r="V10" s="46"/>
      <c r="W10" s="46"/>
    </row>
    <row r="11" spans="1:23" s="50" customFormat="1" ht="19.5" customHeight="1" x14ac:dyDescent="0.15">
      <c r="A11" s="375" t="str">
        <f>IFERROR(IF(HLOOKUP($L$5,RangeUnitSetsSec,M11,FALSE)=0,"",HLOOKUP($L$5,RangeUnitSetsSec,M11,FALSE)),"")</f>
        <v/>
      </c>
      <c r="B11" s="376" t="str">
        <f>IFERROR(IF(VLOOKUP($A11,TableHandbook[],B$2,FALSE)=0,"",VLOOKUP($A11,TableHandbook[],B$2,FALSE)),"")</f>
        <v/>
      </c>
      <c r="C11" s="376" t="str">
        <f>IFERROR(IF(VLOOKUP($A11,TableHandbook[],C$2,FALSE)=0,"",VLOOKUP($A11,TableHandbook[],C$2,FALSE)),"")</f>
        <v/>
      </c>
      <c r="D11" s="377" t="str">
        <f>IFERROR(IF(VLOOKUP($A11,TableHandbook[],D$2,FALSE)=0,"",VLOOKUP($A11,TableHandbook[],D$2,FALSE)),"")</f>
        <v/>
      </c>
      <c r="E11" s="376" t="str">
        <f>IF(OR(A11="",A11="--"),"",VLOOKUP($D$8,TableStudyPeriods[],2,FALSE))</f>
        <v/>
      </c>
      <c r="F11" s="378" t="str">
        <f>IFERROR(IF(VLOOKUP($A11,TableHandbook[],F$2,FALSE)=0,"",VLOOKUP($A11,TableHandbook[],F$2,FALSE)),"")</f>
        <v/>
      </c>
      <c r="G11" s="376" t="str">
        <f>IFERROR(IF(VLOOKUP($A11,TableHandbook[],G$2,FALSE)=0,"",VLOOKUP($A11,TableHandbook[],G$2,FALSE)),"")</f>
        <v/>
      </c>
      <c r="H11" s="379" t="str">
        <f>IFERROR(VLOOKUP($A11,TableHandbook[],H$2,FALSE),"")</f>
        <v/>
      </c>
      <c r="I11" s="376" t="str">
        <f>IFERROR(VLOOKUP($A11,TableHandbook[],I$2,FALSE),"")</f>
        <v/>
      </c>
      <c r="J11" s="376" t="str">
        <f>IFERROR(VLOOKUP($A11,TableHandbook[],J$2,FALSE),"")</f>
        <v/>
      </c>
      <c r="K11" s="380" t="str">
        <f>IFERROR(VLOOKUP($A11,TableHandbook[],K$2,FALSE),"")</f>
        <v/>
      </c>
      <c r="L11" s="90"/>
      <c r="M11" s="448">
        <v>2</v>
      </c>
      <c r="N11" s="382"/>
      <c r="O11" s="382"/>
      <c r="P11" s="383"/>
      <c r="Q11" s="383"/>
      <c r="R11" s="383"/>
      <c r="S11" s="383"/>
      <c r="T11" s="383"/>
      <c r="U11" s="383"/>
      <c r="V11" s="49"/>
      <c r="W11" s="49"/>
    </row>
    <row r="12" spans="1:23" s="50" customFormat="1" ht="19.5" customHeight="1" x14ac:dyDescent="0.15">
      <c r="A12" s="375" t="str">
        <f>IFERROR(IF(HLOOKUP($L$5,RangeUnitSetsSec,M12,FALSE)=0,"",HLOOKUP($L$5,RangeUnitSetsSec,M12,FALSE)),"")</f>
        <v/>
      </c>
      <c r="B12" s="376" t="str">
        <f>IFERROR(IF(VLOOKUP($A12,TableHandbook[],B$2,FALSE)=0,"",VLOOKUP($A12,TableHandbook[],B$2,FALSE)),"")</f>
        <v/>
      </c>
      <c r="C12" s="376" t="str">
        <f>IFERROR(IF(VLOOKUP($A12,TableHandbook[],C$2,FALSE)=0,"",VLOOKUP($A12,TableHandbook[],C$2,FALSE)),"")</f>
        <v/>
      </c>
      <c r="D12" s="377" t="str">
        <f>IFERROR(IF(VLOOKUP($A12,TableHandbook[],D$2,FALSE)=0,"",VLOOKUP($A12,TableHandbook[],D$2,FALSE)),"")</f>
        <v/>
      </c>
      <c r="E12" s="376" t="str">
        <f>IF(A12="","",E11)</f>
        <v/>
      </c>
      <c r="F12" s="378" t="str">
        <f>IFERROR(IF(VLOOKUP($A12,TableHandbook[],F$2,FALSE)=0,"",VLOOKUP($A12,TableHandbook[],F$2,FALSE)),"")</f>
        <v/>
      </c>
      <c r="G12" s="376" t="str">
        <f>IFERROR(IF(VLOOKUP($A12,TableHandbook[],G$2,FALSE)=0,"",VLOOKUP($A12,TableHandbook[],G$2,FALSE)),"")</f>
        <v/>
      </c>
      <c r="H12" s="379" t="str">
        <f>IFERROR(VLOOKUP($A12,TableHandbook[],H$2,FALSE),"")</f>
        <v/>
      </c>
      <c r="I12" s="376" t="str">
        <f>IFERROR(VLOOKUP($A12,TableHandbook[],I$2,FALSE),"")</f>
        <v/>
      </c>
      <c r="J12" s="376" t="str">
        <f>IFERROR(VLOOKUP($A12,TableHandbook[],J$2,FALSE),"")</f>
        <v/>
      </c>
      <c r="K12" s="380" t="str">
        <f>IFERROR(VLOOKUP($A12,TableHandbook[],K$2,FALSE),"")</f>
        <v/>
      </c>
      <c r="L12" s="90"/>
      <c r="M12" s="448">
        <v>3</v>
      </c>
      <c r="N12" s="382"/>
      <c r="O12" s="382"/>
      <c r="P12" s="383"/>
      <c r="Q12" s="383"/>
      <c r="R12" s="383"/>
      <c r="S12" s="383"/>
      <c r="T12" s="383"/>
      <c r="U12" s="383"/>
      <c r="V12" s="49"/>
      <c r="W12" s="49"/>
    </row>
    <row r="13" spans="1:23" s="50" customFormat="1" ht="19.5" customHeight="1" x14ac:dyDescent="0.15">
      <c r="A13" s="375" t="str">
        <f>IFERROR(IF(HLOOKUP($L$5,RangeUnitSetsSec,M13,FALSE)=0,"",HLOOKUP($L$5,RangeUnitSetsSec,M13,FALSE)),"")</f>
        <v/>
      </c>
      <c r="B13" s="376" t="str">
        <f>IFERROR(IF(VLOOKUP($A13,TableHandbook[],B$2,FALSE)=0,"",VLOOKUP($A13,TableHandbook[],B$2,FALSE)),"")</f>
        <v/>
      </c>
      <c r="C13" s="376" t="str">
        <f>IFERROR(IF(VLOOKUP($A13,TableHandbook[],C$2,FALSE)=0,"",VLOOKUP($A13,TableHandbook[],C$2,FALSE)),"")</f>
        <v/>
      </c>
      <c r="D13" s="377" t="str">
        <f>IFERROR(IF(VLOOKUP($A13,TableHandbook[],D$2,FALSE)=0,"",VLOOKUP($A13,TableHandbook[],D$2,FALSE)),"")</f>
        <v/>
      </c>
      <c r="E13" s="376" t="str">
        <f>IF(A13="","",E12)</f>
        <v/>
      </c>
      <c r="F13" s="378" t="str">
        <f>IFERROR(IF(VLOOKUP($A13,TableHandbook[],F$2,FALSE)=0,"",VLOOKUP($A13,TableHandbook[],F$2,FALSE)),"")</f>
        <v/>
      </c>
      <c r="G13" s="376" t="str">
        <f>IFERROR(IF(VLOOKUP($A13,TableHandbook[],G$2,FALSE)=0,"",VLOOKUP($A13,TableHandbook[],G$2,FALSE)),"")</f>
        <v/>
      </c>
      <c r="H13" s="379" t="str">
        <f>IFERROR(VLOOKUP($A13,TableHandbook[],H$2,FALSE),"")</f>
        <v/>
      </c>
      <c r="I13" s="376" t="str">
        <f>IFERROR(VLOOKUP($A13,TableHandbook[],I$2,FALSE),"")</f>
        <v/>
      </c>
      <c r="J13" s="376" t="str">
        <f>IFERROR(VLOOKUP($A13,TableHandbook[],J$2,FALSE),"")</f>
        <v/>
      </c>
      <c r="K13" s="380" t="str">
        <f>IFERROR(VLOOKUP($A13,TableHandbook[],K$2,FALSE),"")</f>
        <v/>
      </c>
      <c r="L13" s="91"/>
      <c r="M13" s="448">
        <v>4</v>
      </c>
      <c r="N13" s="382"/>
      <c r="O13" s="382"/>
      <c r="P13" s="383"/>
      <c r="Q13" s="383"/>
      <c r="R13" s="383"/>
      <c r="S13" s="383"/>
      <c r="T13" s="383"/>
      <c r="U13" s="383"/>
      <c r="V13" s="49"/>
      <c r="W13" s="49"/>
    </row>
    <row r="14" spans="1:23" s="50" customFormat="1" ht="19.5" customHeight="1" x14ac:dyDescent="0.15">
      <c r="A14" s="375" t="str">
        <f>IFERROR(IF(HLOOKUP($L$5,RangeUnitSetsSec,M14,FALSE)=0,"",HLOOKUP($L$5,RangeUnitSetsSec,M14,FALSE)),"")</f>
        <v/>
      </c>
      <c r="B14" s="376" t="str">
        <f>IFERROR(IF(VLOOKUP($A14,TableHandbook[],B$2,FALSE)=0,"",VLOOKUP($A14,TableHandbook[],B$2,FALSE)),"")</f>
        <v/>
      </c>
      <c r="C14" s="376" t="str">
        <f>IFERROR(IF(VLOOKUP($A14,TableHandbook[],C$2,FALSE)=0,"",VLOOKUP($A14,TableHandbook[],C$2,FALSE)),"")</f>
        <v/>
      </c>
      <c r="D14" s="377" t="str">
        <f>IFERROR(IF(VLOOKUP($A14,TableHandbook[],D$2,FALSE)=0,"",VLOOKUP($A14,TableHandbook[],D$2,FALSE)),"")</f>
        <v/>
      </c>
      <c r="E14" s="376" t="str">
        <f>IF(A14="","",E13)</f>
        <v/>
      </c>
      <c r="F14" s="378" t="str">
        <f>IFERROR(IF(VLOOKUP($A14,TableHandbook[],F$2,FALSE)=0,"",VLOOKUP($A14,TableHandbook[],F$2,FALSE)),"")</f>
        <v/>
      </c>
      <c r="G14" s="376" t="str">
        <f>IFERROR(IF(VLOOKUP($A14,TableHandbook[],G$2,FALSE)=0,"",VLOOKUP($A14,TableHandbook[],G$2,FALSE)),"")</f>
        <v/>
      </c>
      <c r="H14" s="379" t="str">
        <f>IFERROR(VLOOKUP($A14,TableHandbook[],H$2,FALSE),"")</f>
        <v/>
      </c>
      <c r="I14" s="376" t="str">
        <f>IFERROR(VLOOKUP($A14,TableHandbook[],I$2,FALSE),"")</f>
        <v/>
      </c>
      <c r="J14" s="376" t="str">
        <f>IFERROR(VLOOKUP($A14,TableHandbook[],J$2,FALSE),"")</f>
        <v/>
      </c>
      <c r="K14" s="380" t="str">
        <f>IFERROR(VLOOKUP($A14,TableHandbook[],K$2,FALSE),"")</f>
        <v/>
      </c>
      <c r="L14" s="90"/>
      <c r="M14" s="448">
        <v>5</v>
      </c>
      <c r="N14" s="382"/>
      <c r="O14" s="382"/>
      <c r="P14" s="383"/>
      <c r="Q14" s="383"/>
      <c r="R14" s="383"/>
      <c r="S14" s="383"/>
      <c r="T14" s="383"/>
      <c r="U14" s="383"/>
      <c r="V14" s="49"/>
      <c r="W14" s="49"/>
    </row>
    <row r="15" spans="1:23" s="50" customFormat="1" ht="5.0999999999999996" customHeight="1" x14ac:dyDescent="0.15">
      <c r="A15" s="386"/>
      <c r="B15" s="387"/>
      <c r="C15" s="387"/>
      <c r="D15" s="388"/>
      <c r="E15" s="387"/>
      <c r="F15" s="389"/>
      <c r="G15" s="387"/>
      <c r="H15" s="390"/>
      <c r="I15" s="387"/>
      <c r="J15" s="387"/>
      <c r="K15" s="391"/>
      <c r="L15" s="391"/>
      <c r="M15" s="448"/>
      <c r="N15" s="382"/>
      <c r="O15" s="382"/>
      <c r="P15" s="382"/>
      <c r="Q15" s="383"/>
      <c r="R15" s="383"/>
      <c r="S15" s="383"/>
      <c r="T15" s="383"/>
      <c r="U15" s="383"/>
      <c r="V15" s="49"/>
      <c r="W15" s="49"/>
    </row>
    <row r="16" spans="1:23" s="50" customFormat="1" ht="20.100000000000001" customHeight="1" x14ac:dyDescent="0.15">
      <c r="A16" s="375" t="str">
        <f>IFERROR(IF(HLOOKUP($L$5,RangeUnitSetsSec,M16,FALSE)=0,"",HLOOKUP($L$5,RangeUnitSetsSec,M16,FALSE)),"")</f>
        <v/>
      </c>
      <c r="B16" s="393" t="str">
        <f>IFERROR(IF(VLOOKUP($A16,TableHandbook[],B$2,FALSE)=0,"",VLOOKUP($A16,TableHandbook[],B$2,FALSE)),"")</f>
        <v/>
      </c>
      <c r="C16" s="393" t="str">
        <f>IFERROR(IF(VLOOKUP($A16,TableHandbook[],C$2,FALSE)=0,"",VLOOKUP($A16,TableHandbook[],C$2,FALSE)),"")</f>
        <v/>
      </c>
      <c r="D16" s="377" t="str">
        <f>IFERROR(IF(VLOOKUP($A16,TableHandbook[],D$2,FALSE)=0,"",VLOOKUP($A16,TableHandbook[],D$2,FALSE)),"")</f>
        <v/>
      </c>
      <c r="E16" s="376" t="str">
        <f>IF(OR(A16="",A16="--"),"",VLOOKUP($D$8,TableStudyPeriods[],3,FALSE))</f>
        <v/>
      </c>
      <c r="F16" s="378" t="str">
        <f>IFERROR(IF(VLOOKUP($A16,TableHandbook[],F$2,FALSE)=0,"",VLOOKUP($A16,TableHandbook[],F$2,FALSE)),"")</f>
        <v/>
      </c>
      <c r="G16" s="393" t="str">
        <f>IFERROR(IF(VLOOKUP($A16,TableHandbook[],G$2,FALSE)=0,"",VLOOKUP($A16,TableHandbook[],G$2,FALSE)),"")</f>
        <v/>
      </c>
      <c r="H16" s="394" t="str">
        <f>IFERROR(VLOOKUP($A16,TableHandbook[],H$2,FALSE),"")</f>
        <v/>
      </c>
      <c r="I16" s="393" t="str">
        <f>IFERROR(VLOOKUP($A16,TableHandbook[],I$2,FALSE),"")</f>
        <v/>
      </c>
      <c r="J16" s="393" t="str">
        <f>IFERROR(VLOOKUP($A16,TableHandbook[],J$2,FALSE),"")</f>
        <v/>
      </c>
      <c r="K16" s="395" t="str">
        <f>IFERROR(VLOOKUP($A16,TableHandbook[],K$2,FALSE),"")</f>
        <v/>
      </c>
      <c r="L16" s="91"/>
      <c r="M16" s="448">
        <v>6</v>
      </c>
      <c r="N16" s="382"/>
      <c r="O16" s="382"/>
      <c r="P16" s="383"/>
      <c r="Q16" s="383"/>
      <c r="R16" s="383"/>
      <c r="S16" s="383"/>
      <c r="T16" s="383"/>
      <c r="U16" s="383"/>
      <c r="V16" s="49"/>
      <c r="W16" s="49"/>
    </row>
    <row r="17" spans="1:23" s="54" customFormat="1" ht="20.100000000000001" customHeight="1" x14ac:dyDescent="0.15">
      <c r="A17" s="375" t="str">
        <f>IFERROR(IF(HLOOKUP($L$5,RangeUnitSetsSec,M17,FALSE)=0,"",HLOOKUP($L$5,RangeUnitSetsSec,M17,FALSE)),"")</f>
        <v/>
      </c>
      <c r="B17" s="393" t="str">
        <f>IFERROR(IF(VLOOKUP($A17,TableHandbook[],B$2,FALSE)=0,"",VLOOKUP($A17,TableHandbook[],B$2,FALSE)),"")</f>
        <v/>
      </c>
      <c r="C17" s="393" t="str">
        <f>IFERROR(IF(VLOOKUP($A17,TableHandbook[],C$2,FALSE)=0,"",VLOOKUP($A17,TableHandbook[],C$2,FALSE)),"")</f>
        <v/>
      </c>
      <c r="D17" s="377" t="str">
        <f>IFERROR(IF(VLOOKUP($A17,TableHandbook[],D$2,FALSE)=0,"",VLOOKUP($A17,TableHandbook[],D$2,FALSE)),"")</f>
        <v/>
      </c>
      <c r="E17" s="376" t="str">
        <f>IF(A17="","",E16)</f>
        <v/>
      </c>
      <c r="F17" s="378" t="str">
        <f>IFERROR(IF(VLOOKUP($A17,TableHandbook[],F$2,FALSE)=0,"",VLOOKUP($A17,TableHandbook[],F$2,FALSE)),"")</f>
        <v/>
      </c>
      <c r="G17" s="393" t="str">
        <f>IFERROR(IF(VLOOKUP($A17,TableHandbook[],G$2,FALSE)=0,"",VLOOKUP($A17,TableHandbook[],G$2,FALSE)),"")</f>
        <v/>
      </c>
      <c r="H17" s="394" t="str">
        <f>IFERROR(VLOOKUP($A17,TableHandbook[],H$2,FALSE),"")</f>
        <v/>
      </c>
      <c r="I17" s="393" t="str">
        <f>IFERROR(VLOOKUP($A17,TableHandbook[],I$2,FALSE),"")</f>
        <v/>
      </c>
      <c r="J17" s="393" t="str">
        <f>IFERROR(VLOOKUP($A17,TableHandbook[],J$2,FALSE),"")</f>
        <v/>
      </c>
      <c r="K17" s="395" t="str">
        <f>IFERROR(VLOOKUP($A17,TableHandbook[],K$2,FALSE),"")</f>
        <v/>
      </c>
      <c r="L17" s="91"/>
      <c r="M17" s="448">
        <v>7</v>
      </c>
      <c r="N17" s="396"/>
      <c r="O17" s="396"/>
      <c r="P17" s="397"/>
      <c r="Q17" s="397"/>
      <c r="R17" s="397"/>
      <c r="S17" s="397"/>
      <c r="T17" s="397"/>
      <c r="U17" s="397"/>
      <c r="V17" s="53"/>
      <c r="W17" s="53"/>
    </row>
    <row r="18" spans="1:23" s="54" customFormat="1" ht="20.100000000000001" customHeight="1" x14ac:dyDescent="0.15">
      <c r="A18" s="449" t="str">
        <f>IFERROR(IF(HLOOKUP($L$6,RangeMajorsSec,M18,FALSE)=0,"",HLOOKUP($L$6,RangeMajorsSec,M18,FALSE)),"")</f>
        <v/>
      </c>
      <c r="B18" s="450" t="str">
        <f>IFERROR(IF(VLOOKUP($A18,TableHandbook[],B$2,FALSE)=0,"",VLOOKUP($A18,TableHandbook[],B$2,FALSE)),"")</f>
        <v/>
      </c>
      <c r="C18" s="450" t="str">
        <f>IFERROR(IF(VLOOKUP($A18,TableHandbook[],C$2,FALSE)=0,"",VLOOKUP($A18,TableHandbook[],C$2,FALSE)),"")</f>
        <v/>
      </c>
      <c r="D18" s="451" t="str">
        <f>IFERROR(IF(VLOOKUP($A18,TableHandbook[],D$2,FALSE)=0,"",VLOOKUP($A18,TableHandbook[],D$2,FALSE)),"")</f>
        <v/>
      </c>
      <c r="E18" s="450" t="str">
        <f>IF(A18="","",E17)</f>
        <v/>
      </c>
      <c r="F18" s="452" t="str">
        <f>IFERROR(IF(VLOOKUP($A18,TableHandbook[],F$2,FALSE)=0,"",VLOOKUP($A18,TableHandbook[],F$2,FALSE)),"")</f>
        <v/>
      </c>
      <c r="G18" s="450" t="str">
        <f>IFERROR(IF(VLOOKUP($A18,TableHandbook[],G$2,FALSE)=0,"",VLOOKUP($A18,TableHandbook[],G$2,FALSE)),"")</f>
        <v/>
      </c>
      <c r="H18" s="453" t="str">
        <f>IFERROR(VLOOKUP($A18,TableHandbook[],H$2,FALSE),"")</f>
        <v/>
      </c>
      <c r="I18" s="450" t="str">
        <f>IFERROR(VLOOKUP($A18,TableHandbook[],I$2,FALSE),"")</f>
        <v/>
      </c>
      <c r="J18" s="450" t="str">
        <f>IFERROR(VLOOKUP($A18,TableHandbook[],J$2,FALSE),"")</f>
        <v/>
      </c>
      <c r="K18" s="454" t="str">
        <f>IFERROR(VLOOKUP($A18,TableHandbook[],K$2,FALSE),"")</f>
        <v/>
      </c>
      <c r="L18" s="215"/>
      <c r="M18" s="455">
        <v>2</v>
      </c>
      <c r="N18" s="396"/>
      <c r="O18" s="396"/>
      <c r="P18" s="397"/>
      <c r="Q18" s="397"/>
      <c r="R18" s="397"/>
      <c r="S18" s="397"/>
      <c r="T18" s="397"/>
      <c r="U18" s="397"/>
      <c r="V18" s="53"/>
      <c r="W18" s="53"/>
    </row>
    <row r="19" spans="1:23" s="54" customFormat="1" ht="20.100000000000001" customHeight="1" x14ac:dyDescent="0.15">
      <c r="A19" s="456" t="str">
        <f>IFERROR(IF(HLOOKUP($L$7,RangeStreamsSec,M19,FALSE)=0,"",HLOOKUP($L$7,RangeStreamsSec,M19,FALSE)),"")</f>
        <v/>
      </c>
      <c r="B19" s="457" t="str">
        <f>IFERROR(IF(VLOOKUP($A19,TableHandbook[],B$2,FALSE)=0,"",VLOOKUP($A19,TableHandbook[],B$2,FALSE)),"")</f>
        <v/>
      </c>
      <c r="C19" s="457" t="str">
        <f>IFERROR(IF(VLOOKUP($A19,TableHandbook[],C$2,FALSE)=0,"",VLOOKUP($A19,TableHandbook[],C$2,FALSE)),"")</f>
        <v/>
      </c>
      <c r="D19" s="458" t="str">
        <f>IFERROR(IF(VLOOKUP($A19,TableHandbook[],D$2,FALSE)=0,"",VLOOKUP($A19,TableHandbook[],D$2,FALSE)),"")</f>
        <v/>
      </c>
      <c r="E19" s="457" t="str">
        <f>IF(A19="","",E18)</f>
        <v/>
      </c>
      <c r="F19" s="459" t="str">
        <f>IFERROR(IF(VLOOKUP($A19,TableHandbook[],F$2,FALSE)=0,"",VLOOKUP($A19,TableHandbook[],F$2,FALSE)),"")</f>
        <v/>
      </c>
      <c r="G19" s="457" t="str">
        <f>IFERROR(IF(VLOOKUP($A19,TableHandbook[],G$2,FALSE)=0,"",VLOOKUP($A19,TableHandbook[],G$2,FALSE)),"")</f>
        <v/>
      </c>
      <c r="H19" s="460" t="str">
        <f>IFERROR(VLOOKUP($A19,TableHandbook[],H$2,FALSE),"")</f>
        <v/>
      </c>
      <c r="I19" s="457" t="str">
        <f>IFERROR(VLOOKUP($A19,TableHandbook[],I$2,FALSE),"")</f>
        <v/>
      </c>
      <c r="J19" s="457" t="str">
        <f>IFERROR(VLOOKUP($A19,TableHandbook[],J$2,FALSE),"")</f>
        <v/>
      </c>
      <c r="K19" s="461" t="str">
        <f>IFERROR(VLOOKUP($A19,TableHandbook[],K$2,FALSE),"")</f>
        <v/>
      </c>
      <c r="L19" s="216"/>
      <c r="M19" s="462">
        <v>2</v>
      </c>
      <c r="N19" s="396"/>
      <c r="O19" s="396"/>
      <c r="P19" s="397"/>
      <c r="Q19" s="397"/>
      <c r="R19" s="397"/>
      <c r="S19" s="397"/>
      <c r="T19" s="397"/>
      <c r="U19" s="397"/>
      <c r="V19" s="53"/>
      <c r="W19" s="53"/>
    </row>
    <row r="20" spans="1:23" s="47" customFormat="1" ht="21" x14ac:dyDescent="0.25">
      <c r="A20" s="364" t="s">
        <v>26</v>
      </c>
      <c r="B20" s="364"/>
      <c r="C20" s="364"/>
      <c r="D20" s="399" t="s">
        <v>3</v>
      </c>
      <c r="E20" s="372" t="s">
        <v>17</v>
      </c>
      <c r="F20" s="364" t="s">
        <v>18</v>
      </c>
      <c r="G20" s="364" t="s">
        <v>19</v>
      </c>
      <c r="H20" s="463" t="s">
        <v>921</v>
      </c>
      <c r="I20" s="464" t="s">
        <v>20</v>
      </c>
      <c r="J20" s="372" t="s">
        <v>22</v>
      </c>
      <c r="K20" s="374" t="s">
        <v>23</v>
      </c>
      <c r="L20" s="364" t="s">
        <v>25</v>
      </c>
      <c r="M20" s="465"/>
      <c r="N20" s="370"/>
      <c r="O20" s="370"/>
      <c r="P20" s="371"/>
      <c r="Q20" s="371"/>
      <c r="R20" s="371"/>
      <c r="S20" s="371"/>
      <c r="T20" s="371"/>
      <c r="U20" s="371"/>
      <c r="V20" s="46"/>
      <c r="W20" s="46"/>
    </row>
    <row r="21" spans="1:23" s="50" customFormat="1" ht="20.100000000000001" customHeight="1" x14ac:dyDescent="0.15">
      <c r="A21" s="375" t="str">
        <f>IFERROR(IF(HLOOKUP($L$5,RangeUnitSetsSec,M21,FALSE)=0,"",HLOOKUP($L$5,RangeUnitSetsSec,M21,FALSE)),"")</f>
        <v/>
      </c>
      <c r="B21" s="393" t="str">
        <f>IFERROR(IF(VLOOKUP($A21,TableHandbook[],B$2,FALSE)=0,"",VLOOKUP($A21,TableHandbook[],B$2,FALSE)),"")</f>
        <v/>
      </c>
      <c r="C21" s="393" t="str">
        <f>IFERROR(IF(VLOOKUP($A21,TableHandbook[],C$2,FALSE)=0,"",VLOOKUP($A21,TableHandbook[],C$2,FALSE)),"")</f>
        <v/>
      </c>
      <c r="D21" s="400" t="str">
        <f>IFERROR(IF(VLOOKUP($A21,TableHandbook[],D$2,FALSE)=0,"",VLOOKUP($A21,TableHandbook[],D$2,FALSE)),"")</f>
        <v/>
      </c>
      <c r="E21" s="393" t="str">
        <f>IF(OR(A21="",A21="--"),"",VLOOKUP($D$8,TableStudyPeriods[],2,FALSE))</f>
        <v/>
      </c>
      <c r="F21" s="378" t="str">
        <f>IFERROR(IF(VLOOKUP($A21,TableHandbook[],F$2,FALSE)=0,"",VLOOKUP($A21,TableHandbook[],F$2,FALSE)),"")</f>
        <v/>
      </c>
      <c r="G21" s="376" t="str">
        <f>IFERROR(IF(VLOOKUP($A21,TableHandbook[],G$2,FALSE)=0,"",VLOOKUP($A21,TableHandbook[],G$2,FALSE)),"")</f>
        <v/>
      </c>
      <c r="H21" s="379" t="str">
        <f>IFERROR(VLOOKUP($A21,TableHandbook[],H$2,FALSE),"")</f>
        <v/>
      </c>
      <c r="I21" s="376" t="str">
        <f>IFERROR(VLOOKUP($A21,TableHandbook[],I$2,FALSE),"")</f>
        <v/>
      </c>
      <c r="J21" s="376" t="str">
        <f>IFERROR(VLOOKUP($A21,TableHandbook[],J$2,FALSE),"")</f>
        <v/>
      </c>
      <c r="K21" s="380" t="str">
        <f>IFERROR(VLOOKUP($A21,TableHandbook[],K$2,FALSE),"")</f>
        <v/>
      </c>
      <c r="L21" s="87"/>
      <c r="M21" s="448">
        <v>10</v>
      </c>
      <c r="N21" s="382"/>
      <c r="O21" s="382"/>
      <c r="P21" s="383"/>
      <c r="Q21" s="383"/>
      <c r="R21" s="383"/>
      <c r="S21" s="383"/>
      <c r="T21" s="383"/>
      <c r="U21" s="383"/>
      <c r="V21" s="49"/>
      <c r="W21" s="49"/>
    </row>
    <row r="22" spans="1:23" s="50" customFormat="1" ht="19.5" customHeight="1" x14ac:dyDescent="0.15">
      <c r="A22" s="449" t="str">
        <f>IFERROR(IF(HLOOKUP($L$6,RangeMajorsSec,M22,FALSE)=0,"",HLOOKUP($L$6,RangeMajorsSec,M22,FALSE)),"")</f>
        <v/>
      </c>
      <c r="B22" s="450" t="str">
        <f>IFERROR(IF(VLOOKUP($A22,TableHandbook[],B$2,FALSE)=0,"",VLOOKUP($A22,TableHandbook[],B$2,FALSE)),"")</f>
        <v/>
      </c>
      <c r="C22" s="450" t="str">
        <f>IFERROR(IF(VLOOKUP($A22,TableHandbook[],C$2,FALSE)=0,"",VLOOKUP($A22,TableHandbook[],C$2,FALSE)),"")</f>
        <v/>
      </c>
      <c r="D22" s="466" t="str">
        <f>IFERROR(IF(VLOOKUP($A22,TableHandbook[],D$2,FALSE)=0,"",VLOOKUP($A22,TableHandbook[],D$2,FALSE)),"")</f>
        <v/>
      </c>
      <c r="E22" s="450" t="str">
        <f>IF(A22="","",E21)</f>
        <v/>
      </c>
      <c r="F22" s="452" t="str">
        <f>IFERROR(IF(VLOOKUP($A22,TableHandbook[],F$2,FALSE)=0,"",VLOOKUP($A22,TableHandbook[],F$2,FALSE)),"")</f>
        <v/>
      </c>
      <c r="G22" s="450" t="str">
        <f>IFERROR(IF(VLOOKUP($A22,TableHandbook[],G$2,FALSE)=0,"",VLOOKUP($A22,TableHandbook[],G$2,FALSE)),"")</f>
        <v/>
      </c>
      <c r="H22" s="453" t="str">
        <f>IFERROR(VLOOKUP($A22,TableHandbook[],H$2,FALSE),"")</f>
        <v/>
      </c>
      <c r="I22" s="450" t="str">
        <f>IFERROR(VLOOKUP($A22,TableHandbook[],I$2,FALSE),"")</f>
        <v/>
      </c>
      <c r="J22" s="450" t="str">
        <f>IFERROR(VLOOKUP($A22,TableHandbook[],J$2,FALSE),"")</f>
        <v/>
      </c>
      <c r="K22" s="454" t="str">
        <f>IFERROR(VLOOKUP($A22,TableHandbook[],K$2,FALSE),"")</f>
        <v/>
      </c>
      <c r="L22" s="217"/>
      <c r="M22" s="455">
        <v>3</v>
      </c>
      <c r="N22" s="382"/>
      <c r="O22" s="382"/>
      <c r="P22" s="383"/>
      <c r="Q22" s="383"/>
      <c r="R22" s="383"/>
      <c r="S22" s="383"/>
      <c r="T22" s="383"/>
      <c r="U22" s="383"/>
      <c r="V22" s="49"/>
      <c r="W22" s="49"/>
    </row>
    <row r="23" spans="1:23" s="50" customFormat="1" ht="20.100000000000001" customHeight="1" x14ac:dyDescent="0.15">
      <c r="A23" s="449" t="str">
        <f>IFERROR(IF(HLOOKUP($L$6,RangeMajorsSec,M23,FALSE)=0,"",HLOOKUP($L$6,RangeMajorsSec,M23,FALSE)),"")</f>
        <v/>
      </c>
      <c r="B23" s="450" t="str">
        <f>IFERROR(IF(VLOOKUP($A23,TableHandbook[],B$2,FALSE)=0,"",VLOOKUP($A23,TableHandbook[],B$2,FALSE)),"")</f>
        <v/>
      </c>
      <c r="C23" s="450" t="str">
        <f>IFERROR(IF(VLOOKUP($A23,TableHandbook[],C$2,FALSE)=0,"",VLOOKUP($A23,TableHandbook[],C$2,FALSE)),"")</f>
        <v/>
      </c>
      <c r="D23" s="466" t="str">
        <f>IFERROR(IF(VLOOKUP($A23,TableHandbook[],D$2,FALSE)=0,"",VLOOKUP($A23,TableHandbook[],D$2,FALSE)),"")</f>
        <v/>
      </c>
      <c r="E23" s="450" t="str">
        <f>IF(A23="","",E22)</f>
        <v/>
      </c>
      <c r="F23" s="452" t="str">
        <f>IFERROR(IF(VLOOKUP($A23,TableHandbook[],F$2,FALSE)=0,"",VLOOKUP($A23,TableHandbook[],F$2,FALSE)),"")</f>
        <v/>
      </c>
      <c r="G23" s="450" t="str">
        <f>IFERROR(IF(VLOOKUP($A23,TableHandbook[],G$2,FALSE)=0,"",VLOOKUP($A23,TableHandbook[],G$2,FALSE)),"")</f>
        <v/>
      </c>
      <c r="H23" s="453" t="str">
        <f>IFERROR(VLOOKUP($A23,TableHandbook[],H$2,FALSE),"")</f>
        <v/>
      </c>
      <c r="I23" s="450" t="str">
        <f>IFERROR(VLOOKUP($A23,TableHandbook[],I$2,FALSE),"")</f>
        <v/>
      </c>
      <c r="J23" s="450" t="str">
        <f>IFERROR(VLOOKUP($A23,TableHandbook[],J$2,FALSE),"")</f>
        <v/>
      </c>
      <c r="K23" s="454" t="str">
        <f>IFERROR(VLOOKUP($A23,TableHandbook[],K$2,FALSE),"")</f>
        <v/>
      </c>
      <c r="L23" s="217"/>
      <c r="M23" s="455">
        <v>4</v>
      </c>
      <c r="N23" s="382"/>
      <c r="O23" s="382"/>
      <c r="P23" s="383"/>
      <c r="Q23" s="383"/>
      <c r="R23" s="383"/>
      <c r="S23" s="383"/>
      <c r="T23" s="383"/>
      <c r="U23" s="383"/>
      <c r="V23" s="49"/>
      <c r="W23" s="49"/>
    </row>
    <row r="24" spans="1:23" s="50" customFormat="1" ht="20.100000000000001" customHeight="1" x14ac:dyDescent="0.15">
      <c r="A24" s="456" t="str">
        <f>IFERROR(IF(HLOOKUP($L$7,RangeStreamsSec,M24,FALSE)=0,"",HLOOKUP($L$7,RangeStreamsSec,M24,FALSE)),"")</f>
        <v/>
      </c>
      <c r="B24" s="457" t="str">
        <f>IFERROR(IF(VLOOKUP($A24,TableHandbook[],B$2,FALSE)=0,"",VLOOKUP($A24,TableHandbook[],B$2,FALSE)),"")</f>
        <v/>
      </c>
      <c r="C24" s="457" t="str">
        <f>IFERROR(IF(VLOOKUP($A24,TableHandbook[],C$2,FALSE)=0,"",VLOOKUP($A24,TableHandbook[],C$2,FALSE)),"")</f>
        <v/>
      </c>
      <c r="D24" s="458" t="str">
        <f>IFERROR(IF(VLOOKUP($A24,TableHandbook[],D$2,FALSE)=0,"",VLOOKUP($A24,TableHandbook[],D$2,FALSE)),"")</f>
        <v/>
      </c>
      <c r="E24" s="457" t="str">
        <f>IF(A24="","",E23)</f>
        <v/>
      </c>
      <c r="F24" s="459" t="str">
        <f>IFERROR(IF(VLOOKUP($A24,TableHandbook[],F$2,FALSE)=0,"",VLOOKUP($A24,TableHandbook[],F$2,FALSE)),"")</f>
        <v/>
      </c>
      <c r="G24" s="457" t="str">
        <f>IFERROR(IF(VLOOKUP($A24,TableHandbook[],G$2,FALSE)=0,"",VLOOKUP($A24,TableHandbook[],G$2,FALSE)),"")</f>
        <v/>
      </c>
      <c r="H24" s="460" t="str">
        <f>IFERROR(VLOOKUP($A24,TableHandbook[],H$2,FALSE),"")</f>
        <v/>
      </c>
      <c r="I24" s="457" t="str">
        <f>IFERROR(VLOOKUP($A24,TableHandbook[],I$2,FALSE),"")</f>
        <v/>
      </c>
      <c r="J24" s="457" t="str">
        <f>IFERROR(VLOOKUP($A24,TableHandbook[],J$2,FALSE),"")</f>
        <v/>
      </c>
      <c r="K24" s="461" t="str">
        <f>IFERROR(VLOOKUP($A24,TableHandbook[],K$2,FALSE),"")</f>
        <v/>
      </c>
      <c r="L24" s="229"/>
      <c r="M24" s="462">
        <v>3</v>
      </c>
      <c r="N24" s="382"/>
      <c r="O24" s="382"/>
      <c r="P24" s="383"/>
      <c r="Q24" s="383"/>
      <c r="R24" s="383"/>
      <c r="S24" s="383"/>
      <c r="T24" s="383"/>
      <c r="U24" s="383"/>
      <c r="V24" s="49"/>
      <c r="W24" s="49"/>
    </row>
    <row r="25" spans="1:23" s="50" customFormat="1" ht="5.0999999999999996" customHeight="1" x14ac:dyDescent="0.15">
      <c r="A25" s="386"/>
      <c r="B25" s="387"/>
      <c r="C25" s="387"/>
      <c r="D25" s="388"/>
      <c r="E25" s="387"/>
      <c r="F25" s="389"/>
      <c r="G25" s="387"/>
      <c r="H25" s="390"/>
      <c r="I25" s="387"/>
      <c r="J25" s="387"/>
      <c r="K25" s="391"/>
      <c r="L25" s="391"/>
      <c r="M25" s="448"/>
      <c r="N25" s="382"/>
      <c r="O25" s="382"/>
      <c r="P25" s="382"/>
      <c r="Q25" s="383"/>
      <c r="R25" s="383"/>
      <c r="S25" s="383"/>
      <c r="T25" s="383"/>
      <c r="U25" s="383"/>
      <c r="V25" s="49"/>
      <c r="W25" s="49"/>
    </row>
    <row r="26" spans="1:23" s="50" customFormat="1" ht="20.100000000000001" customHeight="1" x14ac:dyDescent="0.15">
      <c r="A26" s="375" t="str">
        <f>IFERROR(IF(HLOOKUP($L$5,RangeUnitSetsSec,M26,FALSE)=0,"",HLOOKUP($L$5,RangeUnitSetsSec,M26,FALSE)),"")</f>
        <v/>
      </c>
      <c r="B26" s="393" t="str">
        <f>IFERROR(IF(VLOOKUP($A26,TableHandbook[],B$2,FALSE)=0,"",VLOOKUP($A26,TableHandbook[],B$2,FALSE)),"")</f>
        <v/>
      </c>
      <c r="C26" s="393" t="str">
        <f>IFERROR(IF(VLOOKUP($A26,TableHandbook[],C$2,FALSE)=0,"",VLOOKUP($A26,TableHandbook[],C$2,FALSE)),"")</f>
        <v/>
      </c>
      <c r="D26" s="398" t="str">
        <f>IFERROR(IF(VLOOKUP($A26,TableHandbook[],D$2,FALSE)=0,"",VLOOKUP($A26,TableHandbook[],D$2,FALSE)),"")</f>
        <v/>
      </c>
      <c r="E26" s="393" t="str">
        <f>IF(OR(A26="",A26="--"),"",VLOOKUP($D$8,TableStudyPeriods[],3,FALSE))</f>
        <v/>
      </c>
      <c r="F26" s="378" t="str">
        <f>IFERROR(IF(VLOOKUP($A26,TableHandbook[],F$2,FALSE)=0,"",VLOOKUP($A26,TableHandbook[],F$2,FALSE)),"")</f>
        <v/>
      </c>
      <c r="G26" s="376" t="str">
        <f>IFERROR(IF(VLOOKUP($A26,TableHandbook[],G$2,FALSE)=0,"",VLOOKUP($A26,TableHandbook[],G$2,FALSE)),"")</f>
        <v/>
      </c>
      <c r="H26" s="379" t="str">
        <f>IFERROR(VLOOKUP($A26,TableHandbook[],H$2,FALSE),"")</f>
        <v/>
      </c>
      <c r="I26" s="376" t="str">
        <f>IFERROR(VLOOKUP($A26,TableHandbook[],I$2,FALSE),"")</f>
        <v/>
      </c>
      <c r="J26" s="376" t="str">
        <f>IFERROR(VLOOKUP($A26,TableHandbook[],J$2,FALSE),"")</f>
        <v/>
      </c>
      <c r="K26" s="380" t="str">
        <f>IFERROR(VLOOKUP($A26,TableHandbook[],K$2,FALSE),"")</f>
        <v/>
      </c>
      <c r="L26" s="87"/>
      <c r="M26" s="448">
        <v>14</v>
      </c>
      <c r="N26" s="382"/>
      <c r="O26" s="382"/>
      <c r="P26" s="383"/>
      <c r="Q26" s="383"/>
      <c r="R26" s="383"/>
      <c r="S26" s="383"/>
      <c r="T26" s="383"/>
      <c r="U26" s="383"/>
      <c r="V26" s="49"/>
      <c r="W26" s="49"/>
    </row>
    <row r="27" spans="1:23" s="50" customFormat="1" ht="20.100000000000001" customHeight="1" x14ac:dyDescent="0.15">
      <c r="A27" s="449" t="str">
        <f>IFERROR(IF(HLOOKUP($L$6,RangeMajorsSec,M27,FALSE)=0,"",HLOOKUP($L$6,RangeMajorsSec,M27,FALSE)),"")</f>
        <v/>
      </c>
      <c r="B27" s="450" t="str">
        <f>IFERROR(IF(VLOOKUP($A27,TableHandbook[],B$2,FALSE)=0,"",VLOOKUP($A27,TableHandbook[],B$2,FALSE)),"")</f>
        <v/>
      </c>
      <c r="C27" s="450" t="str">
        <f>IFERROR(IF(VLOOKUP($A27,TableHandbook[],C$2,FALSE)=0,"",VLOOKUP($A27,TableHandbook[],C$2,FALSE)),"")</f>
        <v/>
      </c>
      <c r="D27" s="466" t="str">
        <f>IFERROR(IF(VLOOKUP($A27,TableHandbook[],D$2,FALSE)=0,"",VLOOKUP($A27,TableHandbook[],D$2,FALSE)),"")</f>
        <v/>
      </c>
      <c r="E27" s="450" t="str">
        <f>IF(A27="","",E26)</f>
        <v/>
      </c>
      <c r="F27" s="452" t="str">
        <f>IFERROR(IF(VLOOKUP($A27,TableHandbook[],F$2,FALSE)=0,"",VLOOKUP($A27,TableHandbook[],F$2,FALSE)),"")</f>
        <v/>
      </c>
      <c r="G27" s="450" t="str">
        <f>IFERROR(IF(VLOOKUP($A27,TableHandbook[],G$2,FALSE)=0,"",VLOOKUP($A27,TableHandbook[],G$2,FALSE)),"")</f>
        <v/>
      </c>
      <c r="H27" s="453" t="str">
        <f>IFERROR(VLOOKUP($A27,TableHandbook[],H$2,FALSE),"")</f>
        <v/>
      </c>
      <c r="I27" s="450" t="str">
        <f>IFERROR(VLOOKUP($A27,TableHandbook[],I$2,FALSE),"")</f>
        <v/>
      </c>
      <c r="J27" s="450" t="str">
        <f>IFERROR(VLOOKUP($A27,TableHandbook[],J$2,FALSE),"")</f>
        <v/>
      </c>
      <c r="K27" s="454" t="str">
        <f>IFERROR(VLOOKUP($A27,TableHandbook[],K$2,FALSE),"")</f>
        <v/>
      </c>
      <c r="L27" s="217"/>
      <c r="M27" s="455">
        <v>5</v>
      </c>
      <c r="N27" s="382"/>
      <c r="O27" s="382"/>
      <c r="P27" s="383"/>
      <c r="Q27" s="383"/>
      <c r="R27" s="383"/>
      <c r="S27" s="383"/>
      <c r="T27" s="383"/>
      <c r="U27" s="383"/>
      <c r="V27" s="49"/>
      <c r="W27" s="49"/>
    </row>
    <row r="28" spans="1:23" s="54" customFormat="1" ht="20.100000000000001" customHeight="1" x14ac:dyDescent="0.15">
      <c r="A28" s="449" t="str">
        <f>IFERROR(IF(HLOOKUP($L$6,RangeMajorsSec,M28,FALSE)=0,"",HLOOKUP($L$6,RangeMajorsSec,M28,FALSE)),"")</f>
        <v/>
      </c>
      <c r="B28" s="450" t="str">
        <f>IFERROR(IF(VLOOKUP($A28,TableHandbook[],B$2,FALSE)=0,"",VLOOKUP($A28,TableHandbook[],B$2,FALSE)),"")</f>
        <v/>
      </c>
      <c r="C28" s="450" t="str">
        <f>IFERROR(IF(VLOOKUP($A28,TableHandbook[],C$2,FALSE)=0,"",VLOOKUP($A28,TableHandbook[],C$2,FALSE)),"")</f>
        <v/>
      </c>
      <c r="D28" s="466" t="str">
        <f>IFERROR(IF(VLOOKUP($A28,TableHandbook[],D$2,FALSE)=0,"",VLOOKUP($A28,TableHandbook[],D$2,FALSE)),"")</f>
        <v/>
      </c>
      <c r="E28" s="450" t="str">
        <f>IF(A28="","",E27)</f>
        <v/>
      </c>
      <c r="F28" s="452" t="str">
        <f>IFERROR(IF(VLOOKUP($A28,TableHandbook[],F$2,FALSE)=0,"",VLOOKUP($A28,TableHandbook[],F$2,FALSE)),"")</f>
        <v/>
      </c>
      <c r="G28" s="450" t="str">
        <f>IFERROR(IF(VLOOKUP($A28,TableHandbook[],G$2,FALSE)=0,"",VLOOKUP($A28,TableHandbook[],G$2,FALSE)),"")</f>
        <v/>
      </c>
      <c r="H28" s="453" t="str">
        <f>IFERROR(VLOOKUP($A28,TableHandbook[],H$2,FALSE),"")</f>
        <v/>
      </c>
      <c r="I28" s="450" t="str">
        <f>IFERROR(VLOOKUP($A28,TableHandbook[],I$2,FALSE),"")</f>
        <v/>
      </c>
      <c r="J28" s="450" t="str">
        <f>IFERROR(VLOOKUP($A28,TableHandbook[],J$2,FALSE),"")</f>
        <v/>
      </c>
      <c r="K28" s="454" t="str">
        <f>IFERROR(VLOOKUP($A28,TableHandbook[],K$2,FALSE),"")</f>
        <v/>
      </c>
      <c r="L28" s="217"/>
      <c r="M28" s="455">
        <v>6</v>
      </c>
      <c r="N28" s="396"/>
      <c r="O28" s="396"/>
      <c r="P28" s="397"/>
      <c r="Q28" s="397"/>
      <c r="R28" s="397"/>
      <c r="S28" s="397"/>
      <c r="T28" s="397"/>
      <c r="U28" s="397"/>
      <c r="V28" s="53"/>
      <c r="W28" s="53"/>
    </row>
    <row r="29" spans="1:23" s="54" customFormat="1" ht="20.100000000000001" customHeight="1" x14ac:dyDescent="0.15">
      <c r="A29" s="456" t="str">
        <f>IFERROR(IF(HLOOKUP($L$7,RangeStreamsSec,M29,FALSE)=0,"",HLOOKUP($L$7,RangeStreamsSec,M29,FALSE)),"")</f>
        <v/>
      </c>
      <c r="B29" s="457" t="str">
        <f>IFERROR(IF(VLOOKUP($A29,TableHandbook[],B$2,FALSE)=0,"",VLOOKUP($A29,TableHandbook[],B$2,FALSE)),"")</f>
        <v/>
      </c>
      <c r="C29" s="457" t="str">
        <f>IFERROR(IF(VLOOKUP($A29,TableHandbook[],C$2,FALSE)=0,"",VLOOKUP($A29,TableHandbook[],C$2,FALSE)),"")</f>
        <v/>
      </c>
      <c r="D29" s="458" t="str">
        <f>IFERROR(IF(VLOOKUP($A29,TableHandbook[],D$2,FALSE)=0,"",VLOOKUP($A29,TableHandbook[],D$2,FALSE)),"")</f>
        <v/>
      </c>
      <c r="E29" s="457" t="str">
        <f>IF(A29="","",E28)</f>
        <v/>
      </c>
      <c r="F29" s="459" t="str">
        <f>IFERROR(IF(VLOOKUP($A29,TableHandbook[],F$2,FALSE)=0,"",VLOOKUP($A29,TableHandbook[],F$2,FALSE)),"")</f>
        <v/>
      </c>
      <c r="G29" s="457" t="str">
        <f>IFERROR(IF(VLOOKUP($A29,TableHandbook[],G$2,FALSE)=0,"",VLOOKUP($A29,TableHandbook[],G$2,FALSE)),"")</f>
        <v/>
      </c>
      <c r="H29" s="460" t="str">
        <f>IFERROR(VLOOKUP($A29,TableHandbook[],H$2,FALSE),"")</f>
        <v/>
      </c>
      <c r="I29" s="457" t="str">
        <f>IFERROR(VLOOKUP($A29,TableHandbook[],I$2,FALSE),"")</f>
        <v/>
      </c>
      <c r="J29" s="457" t="str">
        <f>IFERROR(VLOOKUP($A29,TableHandbook[],J$2,FALSE),"")</f>
        <v/>
      </c>
      <c r="K29" s="461" t="str">
        <f>IFERROR(VLOOKUP($A29,TableHandbook[],K$2,FALSE),"")</f>
        <v/>
      </c>
      <c r="L29" s="229"/>
      <c r="M29" s="462">
        <v>4</v>
      </c>
      <c r="N29" s="396"/>
      <c r="O29" s="396"/>
      <c r="P29" s="397"/>
      <c r="Q29" s="397"/>
      <c r="R29" s="397"/>
      <c r="S29" s="397"/>
      <c r="T29" s="397"/>
      <c r="U29" s="397"/>
      <c r="V29" s="53"/>
      <c r="W29" s="53"/>
    </row>
    <row r="30" spans="1:23" s="47" customFormat="1" ht="21" x14ac:dyDescent="0.25">
      <c r="A30" s="364" t="s">
        <v>27</v>
      </c>
      <c r="B30" s="364"/>
      <c r="C30" s="364"/>
      <c r="D30" s="399" t="s">
        <v>3</v>
      </c>
      <c r="E30" s="372" t="s">
        <v>17</v>
      </c>
      <c r="F30" s="364" t="s">
        <v>18</v>
      </c>
      <c r="G30" s="364" t="s">
        <v>19</v>
      </c>
      <c r="H30" s="373" t="s">
        <v>921</v>
      </c>
      <c r="I30" s="372" t="s">
        <v>20</v>
      </c>
      <c r="J30" s="372" t="s">
        <v>22</v>
      </c>
      <c r="K30" s="374" t="s">
        <v>23</v>
      </c>
      <c r="L30" s="364" t="s">
        <v>25</v>
      </c>
      <c r="M30" s="465"/>
      <c r="N30" s="370"/>
      <c r="O30" s="370"/>
      <c r="P30" s="371"/>
      <c r="Q30" s="371"/>
      <c r="R30" s="371"/>
      <c r="S30" s="371"/>
      <c r="T30" s="371"/>
      <c r="U30" s="371"/>
      <c r="V30" s="46"/>
      <c r="W30" s="46"/>
    </row>
    <row r="31" spans="1:23" s="50" customFormat="1" ht="20.100000000000001" customHeight="1" x14ac:dyDescent="0.15">
      <c r="A31" s="449" t="str">
        <f>IFERROR(IF(HLOOKUP($L$6,RangeMajorsSec,M31,FALSE)=0,"",HLOOKUP($L$6,RangeMajorsSec,M31,FALSE)),"")</f>
        <v/>
      </c>
      <c r="B31" s="450" t="str">
        <f>IFERROR(IF(VLOOKUP($A31,TableHandbook[],B$2,FALSE)=0,"",VLOOKUP($A31,TableHandbook[],B$2,FALSE)),"")</f>
        <v/>
      </c>
      <c r="C31" s="450" t="str">
        <f>IFERROR(IF(VLOOKUP($A31,TableHandbook[],C$2,FALSE)=0,"",VLOOKUP($A31,TableHandbook[],C$2,FALSE)),"")</f>
        <v/>
      </c>
      <c r="D31" s="451" t="str">
        <f>IFERROR(IF(VLOOKUP($A31,TableHandbook[],D$2,FALSE)=0,"",VLOOKUP($A31,TableHandbook[],D$2,FALSE)),"")</f>
        <v/>
      </c>
      <c r="E31" s="450" t="str">
        <f>IF(OR(A31="",A31="--"),"",VLOOKUP($D$8,TableStudyPeriods[],2,FALSE))</f>
        <v/>
      </c>
      <c r="F31" s="452" t="str">
        <f>IFERROR(IF(VLOOKUP($A31,TableHandbook[],F$2,FALSE)=0,"",VLOOKUP($A31,TableHandbook[],F$2,FALSE)),"")</f>
        <v/>
      </c>
      <c r="G31" s="450" t="str">
        <f>IFERROR(IF(VLOOKUP($A31,TableHandbook[],G$2,FALSE)=0,"",VLOOKUP($A31,TableHandbook[],G$2,FALSE)),"")</f>
        <v/>
      </c>
      <c r="H31" s="453" t="str">
        <f>IFERROR(VLOOKUP($A31,TableHandbook[],H$2,FALSE),"")</f>
        <v/>
      </c>
      <c r="I31" s="450" t="str">
        <f>IFERROR(VLOOKUP($A31,TableHandbook[],I$2,FALSE),"")</f>
        <v/>
      </c>
      <c r="J31" s="450" t="str">
        <f>IFERROR(VLOOKUP($A31,TableHandbook[],J$2,FALSE),"")</f>
        <v/>
      </c>
      <c r="K31" s="454" t="str">
        <f>IFERROR(VLOOKUP($A31,TableHandbook[],K$2,FALSE),"")</f>
        <v/>
      </c>
      <c r="L31" s="217"/>
      <c r="M31" s="455">
        <v>7</v>
      </c>
      <c r="N31" s="382"/>
      <c r="O31" s="382"/>
      <c r="P31" s="383"/>
      <c r="Q31" s="383"/>
      <c r="R31" s="383"/>
      <c r="S31" s="383"/>
      <c r="T31" s="383"/>
      <c r="U31" s="383"/>
      <c r="V31" s="49"/>
      <c r="W31" s="49"/>
    </row>
    <row r="32" spans="1:23" s="50" customFormat="1" ht="19.5" customHeight="1" x14ac:dyDescent="0.15">
      <c r="A32" s="449" t="str">
        <f>IFERROR(IF(HLOOKUP($L$6,RangeMajorsSec,M32,FALSE)=0,"",HLOOKUP($L$6,RangeMajorsSec,M32,FALSE)),"")</f>
        <v/>
      </c>
      <c r="B32" s="450" t="str">
        <f>IFERROR(IF(VLOOKUP($A32,TableHandbook[],B$2,FALSE)=0,"",VLOOKUP($A32,TableHandbook[],B$2,FALSE)),"")</f>
        <v/>
      </c>
      <c r="C32" s="450" t="str">
        <f>IFERROR(IF(VLOOKUP($A32,TableHandbook[],C$2,FALSE)=0,"",VLOOKUP($A32,TableHandbook[],C$2,FALSE)),"")</f>
        <v/>
      </c>
      <c r="D32" s="466" t="str">
        <f>IFERROR(IF(VLOOKUP($A32,TableHandbook[],D$2,FALSE)=0,"",VLOOKUP($A32,TableHandbook[],D$2,FALSE)),"")</f>
        <v/>
      </c>
      <c r="E32" s="450" t="str">
        <f>IF(A32="","",E31)</f>
        <v/>
      </c>
      <c r="F32" s="452" t="str">
        <f>IFERROR(IF(VLOOKUP($A32,TableHandbook[],F$2,FALSE)=0,"",VLOOKUP($A32,TableHandbook[],F$2,FALSE)),"")</f>
        <v/>
      </c>
      <c r="G32" s="450" t="str">
        <f>IFERROR(IF(VLOOKUP($A32,TableHandbook[],G$2,FALSE)=0,"",VLOOKUP($A32,TableHandbook[],G$2,FALSE)),"")</f>
        <v/>
      </c>
      <c r="H32" s="453" t="str">
        <f>IFERROR(VLOOKUP($A32,TableHandbook[],H$2,FALSE),"")</f>
        <v/>
      </c>
      <c r="I32" s="450" t="str">
        <f>IFERROR(VLOOKUP($A32,TableHandbook[],I$2,FALSE),"")</f>
        <v/>
      </c>
      <c r="J32" s="450" t="str">
        <f>IFERROR(VLOOKUP($A32,TableHandbook[],J$2,FALSE),"")</f>
        <v/>
      </c>
      <c r="K32" s="454" t="str">
        <f>IFERROR(VLOOKUP($A32,TableHandbook[],K$2,FALSE),"")</f>
        <v/>
      </c>
      <c r="L32" s="217"/>
      <c r="M32" s="455">
        <v>8</v>
      </c>
      <c r="N32" s="382"/>
      <c r="O32" s="382"/>
      <c r="P32" s="383"/>
      <c r="Q32" s="383"/>
      <c r="R32" s="383"/>
      <c r="S32" s="383"/>
      <c r="T32" s="383"/>
      <c r="U32" s="383"/>
      <c r="V32" s="49"/>
      <c r="W32" s="49"/>
    </row>
    <row r="33" spans="1:23" s="50" customFormat="1" ht="20.100000000000001" customHeight="1" x14ac:dyDescent="0.15">
      <c r="A33" s="456" t="str">
        <f>IFERROR(IF(HLOOKUP($L$7,RangeStreamsSec,M33,FALSE)=0,"",HLOOKUP($L$7,RangeStreamsSec,M33,FALSE)),"")</f>
        <v/>
      </c>
      <c r="B33" s="457" t="str">
        <f>IFERROR(IF(VLOOKUP($A33,TableHandbook[],B$2,FALSE)=0,"",VLOOKUP($A33,TableHandbook[],B$2,FALSE)),"")</f>
        <v/>
      </c>
      <c r="C33" s="457" t="str">
        <f>IFERROR(IF(VLOOKUP($A33,TableHandbook[],C$2,FALSE)=0,"",VLOOKUP($A33,TableHandbook[],C$2,FALSE)),"")</f>
        <v/>
      </c>
      <c r="D33" s="458" t="str">
        <f>IFERROR(IF(VLOOKUP($A33,TableHandbook[],D$2,FALSE)=0,"",VLOOKUP($A33,TableHandbook[],D$2,FALSE)),"")</f>
        <v/>
      </c>
      <c r="E33" s="457" t="str">
        <f>IF(A33="","",E32)</f>
        <v/>
      </c>
      <c r="F33" s="459" t="str">
        <f>IFERROR(IF(VLOOKUP($A33,TableHandbook[],F$2,FALSE)=0,"",VLOOKUP($A33,TableHandbook[],F$2,FALSE)),"")</f>
        <v/>
      </c>
      <c r="G33" s="457" t="str">
        <f>IFERROR(IF(VLOOKUP($A33,TableHandbook[],G$2,FALSE)=0,"",VLOOKUP($A33,TableHandbook[],G$2,FALSE)),"")</f>
        <v/>
      </c>
      <c r="H33" s="460" t="str">
        <f>IFERROR(VLOOKUP($A33,TableHandbook[],H$2,FALSE),"")</f>
        <v/>
      </c>
      <c r="I33" s="457" t="str">
        <f>IFERROR(VLOOKUP($A33,TableHandbook[],I$2,FALSE),"")</f>
        <v/>
      </c>
      <c r="J33" s="457" t="str">
        <f>IFERROR(VLOOKUP($A33,TableHandbook[],J$2,FALSE),"")</f>
        <v/>
      </c>
      <c r="K33" s="461" t="str">
        <f>IFERROR(VLOOKUP($A33,TableHandbook[],K$2,FALSE),"")</f>
        <v/>
      </c>
      <c r="L33" s="229"/>
      <c r="M33" s="462">
        <v>5</v>
      </c>
      <c r="N33" s="382"/>
      <c r="O33" s="382"/>
      <c r="P33" s="383"/>
      <c r="Q33" s="383"/>
      <c r="R33" s="383"/>
      <c r="S33" s="383"/>
      <c r="T33" s="383"/>
      <c r="U33" s="383"/>
      <c r="V33" s="49"/>
      <c r="W33" s="49"/>
    </row>
    <row r="34" spans="1:23" s="50" customFormat="1" ht="20.100000000000001" customHeight="1" x14ac:dyDescent="0.15">
      <c r="A34" s="456" t="str">
        <f>IFERROR(IF(HLOOKUP($L$7,RangeStreamsSec,M34,FALSE)=0,"",HLOOKUP($L$7,RangeStreamsSec,M34,FALSE)),"")</f>
        <v/>
      </c>
      <c r="B34" s="457" t="str">
        <f>IFERROR(IF(VLOOKUP($A34,TableHandbook[],B$2,FALSE)=0,"",VLOOKUP($A34,TableHandbook[],B$2,FALSE)),"")</f>
        <v/>
      </c>
      <c r="C34" s="457" t="str">
        <f>IFERROR(IF(VLOOKUP($A34,TableHandbook[],C$2,FALSE)=0,"",VLOOKUP($A34,TableHandbook[],C$2,FALSE)),"")</f>
        <v/>
      </c>
      <c r="D34" s="458" t="str">
        <f>IFERROR(IF(VLOOKUP($A34,TableHandbook[],D$2,FALSE)=0,"",VLOOKUP($A34,TableHandbook[],D$2,FALSE)),"")</f>
        <v/>
      </c>
      <c r="E34" s="457" t="str">
        <f>IF(A34="","",E33)</f>
        <v/>
      </c>
      <c r="F34" s="459" t="str">
        <f>IFERROR(IF(VLOOKUP($A34,TableHandbook[],F$2,FALSE)=0,"",VLOOKUP($A34,TableHandbook[],F$2,FALSE)),"")</f>
        <v/>
      </c>
      <c r="G34" s="457" t="str">
        <f>IFERROR(IF(VLOOKUP($A34,TableHandbook[],G$2,FALSE)=0,"",VLOOKUP($A34,TableHandbook[],G$2,FALSE)),"")</f>
        <v/>
      </c>
      <c r="H34" s="460" t="str">
        <f>IFERROR(VLOOKUP($A34,TableHandbook[],H$2,FALSE),"")</f>
        <v/>
      </c>
      <c r="I34" s="457" t="str">
        <f>IFERROR(VLOOKUP($A34,TableHandbook[],I$2,FALSE),"")</f>
        <v/>
      </c>
      <c r="J34" s="457" t="str">
        <f>IFERROR(VLOOKUP($A34,TableHandbook[],J$2,FALSE),"")</f>
        <v/>
      </c>
      <c r="K34" s="461" t="str">
        <f>IFERROR(VLOOKUP($A34,TableHandbook[],K$2,FALSE),"")</f>
        <v/>
      </c>
      <c r="L34" s="229"/>
      <c r="M34" s="462">
        <v>6</v>
      </c>
      <c r="N34" s="382"/>
      <c r="O34" s="382"/>
      <c r="P34" s="383"/>
      <c r="Q34" s="383"/>
      <c r="R34" s="383"/>
      <c r="S34" s="383"/>
      <c r="T34" s="383"/>
      <c r="U34" s="383"/>
      <c r="V34" s="49"/>
      <c r="W34" s="49"/>
    </row>
    <row r="35" spans="1:23" s="50" customFormat="1" ht="5.0999999999999996" customHeight="1" x14ac:dyDescent="0.15">
      <c r="A35" s="386"/>
      <c r="B35" s="387"/>
      <c r="C35" s="387"/>
      <c r="D35" s="388"/>
      <c r="E35" s="387"/>
      <c r="F35" s="389"/>
      <c r="G35" s="387"/>
      <c r="H35" s="390"/>
      <c r="I35" s="387"/>
      <c r="J35" s="387"/>
      <c r="K35" s="391"/>
      <c r="L35" s="391"/>
      <c r="M35" s="448"/>
      <c r="N35" s="382"/>
      <c r="O35" s="382"/>
      <c r="P35" s="382"/>
      <c r="Q35" s="383"/>
      <c r="R35" s="383"/>
      <c r="S35" s="383"/>
      <c r="T35" s="383"/>
      <c r="U35" s="383"/>
      <c r="V35" s="49"/>
      <c r="W35" s="49"/>
    </row>
    <row r="36" spans="1:23" s="50" customFormat="1" ht="20.100000000000001" customHeight="1" x14ac:dyDescent="0.15">
      <c r="A36" s="375" t="str">
        <f>IFERROR(IF(HLOOKUP($L$5,RangeUnitSetsSec,M36,FALSE)=0,"",HLOOKUP($L$5,RangeUnitSetsSec,M36,FALSE)),"")</f>
        <v/>
      </c>
      <c r="B36" s="393" t="str">
        <f>IFERROR(IF(VLOOKUP($A36,TableHandbook[],B$2,FALSE)=0,"",VLOOKUP($A36,TableHandbook[],B$2,FALSE)),"")</f>
        <v/>
      </c>
      <c r="C36" s="393" t="str">
        <f>IFERROR(IF(VLOOKUP($A36,TableHandbook[],C$2,FALSE)=0,"",VLOOKUP($A36,TableHandbook[],C$2,FALSE)),"")</f>
        <v/>
      </c>
      <c r="D36" s="398" t="str">
        <f>IFERROR(IF(VLOOKUP($A36,TableHandbook[],D$2,FALSE)=0,"",VLOOKUP($A36,TableHandbook[],D$2,FALSE)),"")</f>
        <v/>
      </c>
      <c r="E36" s="393" t="str">
        <f>IF(OR(A36="",A36="--"),"",VLOOKUP($D$8,TableStudyPeriods[],3,FALSE))</f>
        <v/>
      </c>
      <c r="F36" s="378" t="str">
        <f>IFERROR(IF(VLOOKUP($A36,TableHandbook[],F$2,FALSE)=0,"",VLOOKUP($A36,TableHandbook[],F$2,FALSE)),"")</f>
        <v/>
      </c>
      <c r="G36" s="376" t="str">
        <f>IFERROR(IF(VLOOKUP($A36,TableHandbook[],G$2,FALSE)=0,"",VLOOKUP($A36,TableHandbook[],G$2,FALSE)),"")</f>
        <v/>
      </c>
      <c r="H36" s="379" t="str">
        <f>IFERROR(VLOOKUP($A36,TableHandbook[],H$2,FALSE),"")</f>
        <v/>
      </c>
      <c r="I36" s="376" t="str">
        <f>IFERROR(VLOOKUP($A36,TableHandbook[],I$2,FALSE),"")</f>
        <v/>
      </c>
      <c r="J36" s="376" t="str">
        <f>IFERROR(VLOOKUP($A36,TableHandbook[],J$2,FALSE),"")</f>
        <v/>
      </c>
      <c r="K36" s="380" t="str">
        <f>IFERROR(VLOOKUP($A36,TableHandbook[],K$2,FALSE),"")</f>
        <v/>
      </c>
      <c r="L36" s="87"/>
      <c r="M36" s="448">
        <v>22</v>
      </c>
      <c r="N36" s="382"/>
      <c r="O36" s="382"/>
      <c r="P36" s="383"/>
      <c r="Q36" s="383"/>
      <c r="R36" s="383"/>
      <c r="S36" s="383"/>
      <c r="T36" s="383"/>
      <c r="U36" s="383"/>
      <c r="V36" s="49"/>
      <c r="W36" s="49"/>
    </row>
    <row r="37" spans="1:23" s="50" customFormat="1" ht="20.100000000000001" customHeight="1" x14ac:dyDescent="0.15">
      <c r="A37" s="375" t="str">
        <f>IFERROR(IF(HLOOKUP($L$5,RangeUnitSetsSec,M37,FALSE)=0,"",HLOOKUP($L$5,RangeUnitSetsSec,M37,FALSE)),"")</f>
        <v/>
      </c>
      <c r="B37" s="393" t="str">
        <f>IFERROR(IF(VLOOKUP($A37,TableHandbook[],B$2,FALSE)=0,"",VLOOKUP($A37,TableHandbook[],B$2,FALSE)),"")</f>
        <v/>
      </c>
      <c r="C37" s="393" t="str">
        <f>IFERROR(IF(VLOOKUP($A37,TableHandbook[],C$2,FALSE)=0,"",VLOOKUP($A37,TableHandbook[],C$2,FALSE)),"")</f>
        <v/>
      </c>
      <c r="D37" s="398" t="str">
        <f>IFERROR(IF(VLOOKUP($A37,TableHandbook[],D$2,FALSE)=0,"",VLOOKUP($A37,TableHandbook[],D$2,FALSE)),"")</f>
        <v/>
      </c>
      <c r="E37" s="393" t="str">
        <f>IF(A37="","",E36)</f>
        <v/>
      </c>
      <c r="F37" s="378" t="str">
        <f>IFERROR(IF(VLOOKUP($A37,TableHandbook[],F$2,FALSE)=0,"",VLOOKUP($A37,TableHandbook[],F$2,FALSE)),"")</f>
        <v/>
      </c>
      <c r="G37" s="376" t="str">
        <f>IFERROR(IF(VLOOKUP($A37,TableHandbook[],G$2,FALSE)=0,"",VLOOKUP($A37,TableHandbook[],G$2,FALSE)),"")</f>
        <v/>
      </c>
      <c r="H37" s="379" t="str">
        <f>IFERROR(VLOOKUP($A37,TableHandbook[],H$2,FALSE),"")</f>
        <v/>
      </c>
      <c r="I37" s="376" t="str">
        <f>IFERROR(VLOOKUP($A37,TableHandbook[],I$2,FALSE),"")</f>
        <v/>
      </c>
      <c r="J37" s="376" t="str">
        <f>IFERROR(VLOOKUP($A37,TableHandbook[],J$2,FALSE),"")</f>
        <v/>
      </c>
      <c r="K37" s="380" t="str">
        <f>IFERROR(VLOOKUP($A37,TableHandbook[],K$2,FALSE),"")</f>
        <v/>
      </c>
      <c r="L37" s="87"/>
      <c r="M37" s="448">
        <v>23</v>
      </c>
      <c r="N37" s="382"/>
      <c r="O37" s="382"/>
      <c r="P37" s="383"/>
      <c r="Q37" s="383"/>
      <c r="R37" s="383"/>
      <c r="S37" s="383"/>
      <c r="T37" s="383"/>
      <c r="U37" s="383"/>
      <c r="V37" s="49"/>
      <c r="W37" s="49"/>
    </row>
    <row r="38" spans="1:23" s="54" customFormat="1" ht="20.100000000000001" customHeight="1" x14ac:dyDescent="0.15">
      <c r="A38" s="449" t="str">
        <f>IFERROR(IF(HLOOKUP($L$6,RangeMajorsSec,M38,FALSE)=0,"",HLOOKUP($L$6,RangeMajorsSec,M38,FALSE)),"")</f>
        <v/>
      </c>
      <c r="B38" s="450" t="str">
        <f>IFERROR(IF(VLOOKUP($A38,TableHandbook[],B$2,FALSE)=0,"",VLOOKUP($A38,TableHandbook[],B$2,FALSE)),"")</f>
        <v/>
      </c>
      <c r="C38" s="450" t="str">
        <f>IFERROR(IF(VLOOKUP($A38,TableHandbook[],C$2,FALSE)=0,"",VLOOKUP($A38,TableHandbook[],C$2,FALSE)),"")</f>
        <v/>
      </c>
      <c r="D38" s="466" t="str">
        <f>IFERROR(IF(VLOOKUP($A38,TableHandbook[],D$2,FALSE)=0,"",VLOOKUP($A38,TableHandbook[],D$2,FALSE)),"")</f>
        <v/>
      </c>
      <c r="E38" s="450" t="str">
        <f>IF(A38="","",E37)</f>
        <v/>
      </c>
      <c r="F38" s="452" t="str">
        <f>IFERROR(IF(VLOOKUP($A38,TableHandbook[],F$2,FALSE)=0,"",VLOOKUP($A38,TableHandbook[],F$2,FALSE)),"")</f>
        <v/>
      </c>
      <c r="G38" s="450" t="str">
        <f>IFERROR(IF(VLOOKUP($A38,TableHandbook[],G$2,FALSE)=0,"",VLOOKUP($A38,TableHandbook[],G$2,FALSE)),"")</f>
        <v/>
      </c>
      <c r="H38" s="453" t="str">
        <f>IFERROR(VLOOKUP($A38,TableHandbook[],H$2,FALSE),"")</f>
        <v/>
      </c>
      <c r="I38" s="450" t="str">
        <f>IFERROR(VLOOKUP($A38,TableHandbook[],I$2,FALSE),"")</f>
        <v/>
      </c>
      <c r="J38" s="450" t="str">
        <f>IFERROR(VLOOKUP($A38,TableHandbook[],J$2,FALSE),"")</f>
        <v/>
      </c>
      <c r="K38" s="454" t="str">
        <f>IFERROR(VLOOKUP($A38,TableHandbook[],K$2,FALSE),"")</f>
        <v/>
      </c>
      <c r="L38" s="217"/>
      <c r="M38" s="455">
        <v>9</v>
      </c>
      <c r="N38" s="396"/>
      <c r="O38" s="396"/>
      <c r="P38" s="397"/>
      <c r="Q38" s="397"/>
      <c r="R38" s="397"/>
      <c r="S38" s="397"/>
      <c r="T38" s="397"/>
      <c r="U38" s="397"/>
      <c r="V38" s="53"/>
      <c r="W38" s="53"/>
    </row>
    <row r="39" spans="1:23" s="54" customFormat="1" ht="20.100000000000001" customHeight="1" x14ac:dyDescent="0.15">
      <c r="A39" s="456" t="str">
        <f>IFERROR(IF(HLOOKUP($L$7,RangeStreamsSec,M39,FALSE)=0,"",HLOOKUP($L$7,RangeStreamsSec,M39,FALSE)),"")</f>
        <v/>
      </c>
      <c r="B39" s="457" t="str">
        <f>IFERROR(IF(VLOOKUP($A39,TableHandbook[],B$2,FALSE)=0,"",VLOOKUP($A39,TableHandbook[],B$2,FALSE)),"")</f>
        <v/>
      </c>
      <c r="C39" s="457" t="str">
        <f>IFERROR(IF(VLOOKUP($A39,TableHandbook[],C$2,FALSE)=0,"",VLOOKUP($A39,TableHandbook[],C$2,FALSE)),"")</f>
        <v/>
      </c>
      <c r="D39" s="458" t="str">
        <f>IFERROR(IF(VLOOKUP($A39,TableHandbook[],D$2,FALSE)=0,"",VLOOKUP($A39,TableHandbook[],D$2,FALSE)),"")</f>
        <v/>
      </c>
      <c r="E39" s="457" t="str">
        <f>IF(A39="","",E38)</f>
        <v/>
      </c>
      <c r="F39" s="459" t="str">
        <f>IFERROR(IF(VLOOKUP($A39,TableHandbook[],F$2,FALSE)=0,"",VLOOKUP($A39,TableHandbook[],F$2,FALSE)),"")</f>
        <v/>
      </c>
      <c r="G39" s="457" t="str">
        <f>IFERROR(IF(VLOOKUP($A39,TableHandbook[],G$2,FALSE)=0,"",VLOOKUP($A39,TableHandbook[],G$2,FALSE)),"")</f>
        <v/>
      </c>
      <c r="H39" s="460" t="str">
        <f>IFERROR(VLOOKUP($A39,TableHandbook[],H$2,FALSE),"")</f>
        <v/>
      </c>
      <c r="I39" s="457" t="str">
        <f>IFERROR(VLOOKUP($A39,TableHandbook[],I$2,FALSE),"")</f>
        <v/>
      </c>
      <c r="J39" s="457" t="str">
        <f>IFERROR(VLOOKUP($A39,TableHandbook[],J$2,FALSE),"")</f>
        <v/>
      </c>
      <c r="K39" s="461" t="str">
        <f>IFERROR(VLOOKUP($A39,TableHandbook[],K$2,FALSE),"")</f>
        <v/>
      </c>
      <c r="L39" s="229"/>
      <c r="M39" s="462">
        <v>7</v>
      </c>
      <c r="N39" s="396"/>
      <c r="O39" s="396"/>
      <c r="P39" s="397"/>
      <c r="Q39" s="397"/>
      <c r="R39" s="397"/>
      <c r="S39" s="397"/>
      <c r="T39" s="397"/>
      <c r="U39" s="397"/>
      <c r="V39" s="53"/>
      <c r="W39" s="53"/>
    </row>
    <row r="40" spans="1:23" s="47" customFormat="1" ht="21" x14ac:dyDescent="0.25">
      <c r="A40" s="364" t="s">
        <v>28</v>
      </c>
      <c r="B40" s="364"/>
      <c r="C40" s="364"/>
      <c r="D40" s="399" t="s">
        <v>3</v>
      </c>
      <c r="E40" s="372" t="s">
        <v>17</v>
      </c>
      <c r="F40" s="364" t="s">
        <v>18</v>
      </c>
      <c r="G40" s="364" t="s">
        <v>19</v>
      </c>
      <c r="H40" s="373" t="s">
        <v>921</v>
      </c>
      <c r="I40" s="372" t="s">
        <v>20</v>
      </c>
      <c r="J40" s="372" t="s">
        <v>22</v>
      </c>
      <c r="K40" s="374" t="s">
        <v>23</v>
      </c>
      <c r="L40" s="364" t="s">
        <v>25</v>
      </c>
      <c r="M40" s="465"/>
      <c r="N40" s="370"/>
      <c r="O40" s="370"/>
      <c r="P40" s="371"/>
      <c r="Q40" s="371"/>
      <c r="R40" s="371"/>
      <c r="S40" s="371"/>
      <c r="T40" s="371"/>
      <c r="U40" s="371"/>
      <c r="V40" s="46"/>
      <c r="W40" s="46"/>
    </row>
    <row r="41" spans="1:23" s="50" customFormat="1" ht="20.100000000000001" customHeight="1" x14ac:dyDescent="0.15">
      <c r="A41" s="375" t="str">
        <f>IFERROR(IF(HLOOKUP($L$5,RangeUnitSetsSec,M41,FALSE)=0,"",HLOOKUP($L$5,RangeUnitSetsSec,M41,FALSE)),"")</f>
        <v/>
      </c>
      <c r="B41" s="393" t="str">
        <f>IFERROR(IF(VLOOKUP($A41,TableHandbook[],B$2,FALSE)=0,"",VLOOKUP($A41,TableHandbook[],B$2,FALSE)),"")</f>
        <v/>
      </c>
      <c r="C41" s="393" t="str">
        <f>IFERROR(IF(VLOOKUP($A41,TableHandbook[],C$2,FALSE)=0,"",VLOOKUP($A41,TableHandbook[],C$2,FALSE)),"")</f>
        <v/>
      </c>
      <c r="D41" s="400" t="str">
        <f>IFERROR(IF(VLOOKUP($A41,TableHandbook[],D$2,FALSE)=0,"",VLOOKUP($A41,TableHandbook[],D$2,FALSE)),"")</f>
        <v/>
      </c>
      <c r="E41" s="393" t="str">
        <f>IF(OR(A41="",A41="--"),"",VLOOKUP($D$8,TableStudyPeriods[],2,FALSE))</f>
        <v/>
      </c>
      <c r="F41" s="378" t="str">
        <f>IFERROR(IF(VLOOKUP($A41,TableHandbook[],F$2,FALSE)=0,"",VLOOKUP($A41,TableHandbook[],F$2,FALSE)),"")</f>
        <v/>
      </c>
      <c r="G41" s="376" t="str">
        <f>IFERROR(IF(VLOOKUP($A41,TableHandbook[],G$2,FALSE)=0,"",VLOOKUP($A41,TableHandbook[],G$2,FALSE)),"")</f>
        <v/>
      </c>
      <c r="H41" s="379" t="str">
        <f>IFERROR(VLOOKUP($A41,TableHandbook[],H$2,FALSE),"")</f>
        <v/>
      </c>
      <c r="I41" s="376" t="str">
        <f>IFERROR(VLOOKUP($A41,TableHandbook[],I$2,FALSE),"")</f>
        <v/>
      </c>
      <c r="J41" s="376" t="str">
        <f>IFERROR(VLOOKUP($A41,TableHandbook[],J$2,FALSE),"")</f>
        <v/>
      </c>
      <c r="K41" s="380" t="str">
        <f>IFERROR(VLOOKUP($A41,TableHandbook[],K$2,FALSE),"")</f>
        <v/>
      </c>
      <c r="L41" s="87"/>
      <c r="M41" s="448">
        <v>26</v>
      </c>
      <c r="N41" s="382"/>
      <c r="O41" s="382"/>
      <c r="P41" s="383"/>
      <c r="Q41" s="383"/>
      <c r="R41" s="383"/>
      <c r="S41" s="383"/>
      <c r="T41" s="383"/>
      <c r="U41" s="383"/>
      <c r="V41" s="49"/>
      <c r="W41" s="49"/>
    </row>
    <row r="42" spans="1:23" s="50" customFormat="1" ht="19.5" customHeight="1" x14ac:dyDescent="0.15">
      <c r="A42" s="375" t="str">
        <f>IFERROR(IF(HLOOKUP($L$5,RangeUnitSetsSec,M42,FALSE)=0,"",HLOOKUP($L$5,RangeUnitSetsSec,M42,FALSE)),"")</f>
        <v/>
      </c>
      <c r="B42" s="393" t="str">
        <f>IFERROR(IF(VLOOKUP($A42,TableHandbook[],B$2,FALSE)=0,"",VLOOKUP($A42,TableHandbook[],B$2,FALSE)),"")</f>
        <v/>
      </c>
      <c r="C42" s="393" t="str">
        <f>IFERROR(IF(VLOOKUP($A42,TableHandbook[],C$2,FALSE)=0,"",VLOOKUP($A42,TableHandbook[],C$2,FALSE)),"")</f>
        <v/>
      </c>
      <c r="D42" s="398" t="str">
        <f>IFERROR(IF(VLOOKUP($A42,TableHandbook[],D$2,FALSE)=0,"",VLOOKUP($A42,TableHandbook[],D$2,FALSE)),"")</f>
        <v/>
      </c>
      <c r="E42" s="393" t="str">
        <f>IF(A42="","",E41)</f>
        <v/>
      </c>
      <c r="F42" s="378" t="str">
        <f>IFERROR(IF(VLOOKUP($A42,TableHandbook[],F$2,FALSE)=0,"",VLOOKUP($A42,TableHandbook[],F$2,FALSE)),"")</f>
        <v/>
      </c>
      <c r="G42" s="376" t="str">
        <f>IFERROR(IF(VLOOKUP($A42,TableHandbook[],G$2,FALSE)=0,"",VLOOKUP($A42,TableHandbook[],G$2,FALSE)),"")</f>
        <v/>
      </c>
      <c r="H42" s="379" t="str">
        <f>IFERROR(VLOOKUP($A42,TableHandbook[],H$2,FALSE),"")</f>
        <v/>
      </c>
      <c r="I42" s="376" t="str">
        <f>IFERROR(VLOOKUP($A42,TableHandbook[],I$2,FALSE),"")</f>
        <v/>
      </c>
      <c r="J42" s="376" t="str">
        <f>IFERROR(VLOOKUP($A42,TableHandbook[],J$2,FALSE),"")</f>
        <v/>
      </c>
      <c r="K42" s="380" t="str">
        <f>IFERROR(VLOOKUP($A42,TableHandbook[],K$2,FALSE),"")</f>
        <v/>
      </c>
      <c r="L42" s="87"/>
      <c r="M42" s="448">
        <v>27</v>
      </c>
      <c r="N42" s="382"/>
      <c r="O42" s="382"/>
      <c r="P42" s="383"/>
      <c r="Q42" s="383"/>
      <c r="R42" s="383"/>
      <c r="S42" s="383"/>
      <c r="T42" s="383"/>
      <c r="U42" s="383"/>
      <c r="V42" s="49"/>
      <c r="W42" s="49"/>
    </row>
    <row r="43" spans="1:23" s="50" customFormat="1" ht="20.100000000000001" customHeight="1" x14ac:dyDescent="0.15">
      <c r="A43" s="449" t="str">
        <f>IFERROR(IF(HLOOKUP($L$6,RangeMajorsSec,M43,FALSE)=0,"",HLOOKUP($L$6,RangeMajorsSec,M43,FALSE)),"")</f>
        <v/>
      </c>
      <c r="B43" s="450" t="str">
        <f>IFERROR(IF(VLOOKUP($A43,TableHandbook[],B$2,FALSE)=0,"",VLOOKUP($A43,TableHandbook[],B$2,FALSE)),"")</f>
        <v/>
      </c>
      <c r="C43" s="450" t="str">
        <f>IFERROR(IF(VLOOKUP($A43,TableHandbook[],C$2,FALSE)=0,"",VLOOKUP($A43,TableHandbook[],C$2,FALSE)),"")</f>
        <v/>
      </c>
      <c r="D43" s="466" t="str">
        <f>IFERROR(IF(VLOOKUP($A43,TableHandbook[],D$2,FALSE)=0,"",VLOOKUP($A43,TableHandbook[],D$2,FALSE)),"")</f>
        <v/>
      </c>
      <c r="E43" s="450" t="str">
        <f>IF(A43="","",E42)</f>
        <v/>
      </c>
      <c r="F43" s="452" t="str">
        <f>IFERROR(IF(VLOOKUP($A43,TableHandbook[],F$2,FALSE)=0,"",VLOOKUP($A43,TableHandbook[],F$2,FALSE)),"")</f>
        <v/>
      </c>
      <c r="G43" s="450" t="str">
        <f>IFERROR(IF(VLOOKUP($A43,TableHandbook[],G$2,FALSE)=0,"",VLOOKUP($A43,TableHandbook[],G$2,FALSE)),"")</f>
        <v/>
      </c>
      <c r="H43" s="453" t="str">
        <f>IFERROR(VLOOKUP($A43,TableHandbook[],H$2,FALSE),"")</f>
        <v/>
      </c>
      <c r="I43" s="450" t="str">
        <f>IFERROR(VLOOKUP($A43,TableHandbook[],I$2,FALSE),"")</f>
        <v/>
      </c>
      <c r="J43" s="450" t="str">
        <f>IFERROR(VLOOKUP($A43,TableHandbook[],J$2,FALSE),"")</f>
        <v/>
      </c>
      <c r="K43" s="454" t="str">
        <f>IFERROR(VLOOKUP($A43,TableHandbook[],K$2,FALSE),"")</f>
        <v/>
      </c>
      <c r="L43" s="217"/>
      <c r="M43" s="455">
        <v>10</v>
      </c>
      <c r="N43" s="382"/>
      <c r="O43" s="382"/>
      <c r="P43" s="383"/>
      <c r="Q43" s="383"/>
      <c r="R43" s="383"/>
      <c r="S43" s="383"/>
      <c r="T43" s="383"/>
      <c r="U43" s="383"/>
      <c r="V43" s="49"/>
      <c r="W43" s="49"/>
    </row>
    <row r="44" spans="1:23" s="50" customFormat="1" ht="20.100000000000001" customHeight="1" x14ac:dyDescent="0.15">
      <c r="A44" s="449" t="str">
        <f>IFERROR(IF(HLOOKUP($L$6,RangeMajorsSec,M44,FALSE)=0,"",HLOOKUP($L$6,RangeMajorsSec,M44,FALSE)),"")</f>
        <v/>
      </c>
      <c r="B44" s="450" t="str">
        <f>IFERROR(IF(VLOOKUP($A44,TableHandbook[],B$2,FALSE)=0,"",VLOOKUP($A44,TableHandbook[],B$2,FALSE)),"")</f>
        <v/>
      </c>
      <c r="C44" s="450" t="str">
        <f>IFERROR(IF(VLOOKUP($A44,TableHandbook[],C$2,FALSE)=0,"",VLOOKUP($A44,TableHandbook[],C$2,FALSE)),"")</f>
        <v/>
      </c>
      <c r="D44" s="466" t="str">
        <f>IFERROR(IF(VLOOKUP($A44,TableHandbook[],D$2,FALSE)=0,"",VLOOKUP($A44,TableHandbook[],D$2,FALSE)),"")</f>
        <v/>
      </c>
      <c r="E44" s="450" t="str">
        <f>IF(A44="","",E43)</f>
        <v/>
      </c>
      <c r="F44" s="452" t="str">
        <f>IFERROR(IF(VLOOKUP($A44,TableHandbook[],F$2,FALSE)=0,"",VLOOKUP($A44,TableHandbook[],F$2,FALSE)),"")</f>
        <v/>
      </c>
      <c r="G44" s="450" t="str">
        <f>IFERROR(IF(VLOOKUP($A44,TableHandbook[],G$2,FALSE)=0,"",VLOOKUP($A44,TableHandbook[],G$2,FALSE)),"")</f>
        <v/>
      </c>
      <c r="H44" s="453" t="str">
        <f>IFERROR(VLOOKUP($A44,TableHandbook[],H$2,FALSE),"")</f>
        <v/>
      </c>
      <c r="I44" s="450" t="str">
        <f>IFERROR(VLOOKUP($A44,TableHandbook[],I$2,FALSE),"")</f>
        <v/>
      </c>
      <c r="J44" s="450" t="str">
        <f>IFERROR(VLOOKUP($A44,TableHandbook[],J$2,FALSE),"")</f>
        <v/>
      </c>
      <c r="K44" s="454" t="str">
        <f>IFERROR(VLOOKUP($A44,TableHandbook[],K$2,FALSE),"")</f>
        <v/>
      </c>
      <c r="L44" s="217"/>
      <c r="M44" s="455">
        <v>11</v>
      </c>
      <c r="N44" s="382"/>
      <c r="O44" s="382"/>
      <c r="P44" s="383"/>
      <c r="Q44" s="383"/>
      <c r="R44" s="383"/>
      <c r="S44" s="383"/>
      <c r="T44" s="383"/>
      <c r="U44" s="383"/>
      <c r="V44" s="49"/>
      <c r="W44" s="49"/>
    </row>
    <row r="45" spans="1:23" s="50" customFormat="1" ht="5.0999999999999996" customHeight="1" x14ac:dyDescent="0.15">
      <c r="A45" s="386"/>
      <c r="B45" s="387"/>
      <c r="C45" s="387"/>
      <c r="D45" s="388"/>
      <c r="E45" s="387"/>
      <c r="F45" s="389"/>
      <c r="G45" s="387"/>
      <c r="H45" s="390"/>
      <c r="I45" s="387"/>
      <c r="J45" s="387"/>
      <c r="K45" s="391"/>
      <c r="L45" s="391"/>
      <c r="M45" s="448"/>
      <c r="N45" s="382"/>
      <c r="O45" s="382"/>
      <c r="P45" s="382"/>
      <c r="Q45" s="383"/>
      <c r="R45" s="383"/>
      <c r="S45" s="383"/>
      <c r="T45" s="383"/>
      <c r="U45" s="383"/>
      <c r="V45" s="49"/>
      <c r="W45" s="49"/>
    </row>
    <row r="46" spans="1:23" s="50" customFormat="1" ht="20.100000000000001" customHeight="1" x14ac:dyDescent="0.15">
      <c r="A46" s="375" t="str">
        <f>IFERROR(IF(HLOOKUP($L$5,RangeUnitSetsSec,M46,FALSE)=0,"",HLOOKUP($L$5,RangeUnitSetsSec,M46,FALSE)),"")</f>
        <v/>
      </c>
      <c r="B46" s="393" t="str">
        <f>IFERROR(IF(VLOOKUP($A46,TableHandbook[],B$2,FALSE)=0,"",VLOOKUP($A46,TableHandbook[],B$2,FALSE)),"")</f>
        <v/>
      </c>
      <c r="C46" s="393" t="str">
        <f>IFERROR(IF(VLOOKUP($A46,TableHandbook[],C$2,FALSE)=0,"",VLOOKUP($A46,TableHandbook[],C$2,FALSE)),"")</f>
        <v/>
      </c>
      <c r="D46" s="398" t="str">
        <f>IFERROR(IF(VLOOKUP($A46,TableHandbook[],D$2,FALSE)=0,"",VLOOKUP($A46,TableHandbook[],D$2,FALSE)),"")</f>
        <v/>
      </c>
      <c r="E46" s="393"/>
      <c r="F46" s="378" t="str">
        <f>IFERROR(IF(VLOOKUP($A46,TableHandbook[],F$2,FALSE)=0,"",VLOOKUP($A46,TableHandbook[],F$2,FALSE)),"")</f>
        <v/>
      </c>
      <c r="G46" s="376" t="str">
        <f>IFERROR(IF(VLOOKUP($A46,TableHandbook[],G$2,FALSE)=0,"",VLOOKUP($A46,TableHandbook[],G$2,FALSE)),"")</f>
        <v/>
      </c>
      <c r="H46" s="379" t="str">
        <f>IFERROR(VLOOKUP($A46,TableHandbook[],H$2,FALSE),"")</f>
        <v/>
      </c>
      <c r="I46" s="376" t="str">
        <f>IFERROR(VLOOKUP($A46,TableHandbook[],I$2,FALSE),"")</f>
        <v/>
      </c>
      <c r="J46" s="376" t="str">
        <f>IFERROR(VLOOKUP($A46,TableHandbook[],J$2,FALSE),"")</f>
        <v/>
      </c>
      <c r="K46" s="380" t="str">
        <f>IFERROR(VLOOKUP($A46,TableHandbook[],K$2,FALSE),"")</f>
        <v/>
      </c>
      <c r="L46" s="87"/>
      <c r="M46" s="448">
        <v>30</v>
      </c>
      <c r="N46" s="382"/>
      <c r="O46" s="382"/>
      <c r="P46" s="383"/>
      <c r="Q46" s="383"/>
      <c r="R46" s="383"/>
      <c r="S46" s="383"/>
      <c r="T46" s="383"/>
      <c r="U46" s="383"/>
      <c r="V46" s="49"/>
      <c r="W46" s="49"/>
    </row>
    <row r="47" spans="1:23" s="50" customFormat="1" ht="20.100000000000001" customHeight="1" x14ac:dyDescent="0.15">
      <c r="A47" s="375" t="str">
        <f>IFERROR(IF(HLOOKUP($L$5,RangeUnitSetsSec,M47,FALSE)=0,"",HLOOKUP($L$5,RangeUnitSetsSec,M47,FALSE)),"")</f>
        <v/>
      </c>
      <c r="B47" s="393" t="str">
        <f>IFERROR(IF(VLOOKUP($A47,TableHandbook[],B$2,FALSE)=0,"",VLOOKUP($A47,TableHandbook[],B$2,FALSE)),"")</f>
        <v/>
      </c>
      <c r="C47" s="393" t="str">
        <f>IFERROR(IF(VLOOKUP($A47,TableHandbook[],C$2,FALSE)=0,"",VLOOKUP($A47,TableHandbook[],C$2,FALSE)),"")</f>
        <v/>
      </c>
      <c r="D47" s="398" t="str">
        <f>IFERROR(IF(VLOOKUP($A47,TableHandbook[],D$2,FALSE)=0,"",VLOOKUP($A47,TableHandbook[],D$2,FALSE)),"")</f>
        <v/>
      </c>
      <c r="E47" s="393"/>
      <c r="F47" s="378" t="str">
        <f>IFERROR(IF(VLOOKUP($A47,TableHandbook[],F$2,FALSE)=0,"",VLOOKUP($A47,TableHandbook[],F$2,FALSE)),"")</f>
        <v/>
      </c>
      <c r="G47" s="376" t="str">
        <f>IFERROR(IF(VLOOKUP($A47,TableHandbook[],G$2,FALSE)=0,"",VLOOKUP($A47,TableHandbook[],G$2,FALSE)),"")</f>
        <v/>
      </c>
      <c r="H47" s="379" t="str">
        <f>IFERROR(VLOOKUP($A47,TableHandbook[],H$2,FALSE),"")</f>
        <v/>
      </c>
      <c r="I47" s="376" t="str">
        <f>IFERROR(VLOOKUP($A47,TableHandbook[],I$2,FALSE),"")</f>
        <v/>
      </c>
      <c r="J47" s="376" t="str">
        <f>IFERROR(VLOOKUP($A47,TableHandbook[],J$2,FALSE),"")</f>
        <v/>
      </c>
      <c r="K47" s="380" t="str">
        <f>IFERROR(VLOOKUP($A47,TableHandbook[],K$2,FALSE),"")</f>
        <v/>
      </c>
      <c r="L47" s="87"/>
      <c r="M47" s="448">
        <v>31</v>
      </c>
      <c r="N47" s="382"/>
      <c r="O47" s="382"/>
      <c r="P47" s="383"/>
      <c r="Q47" s="383"/>
      <c r="R47" s="383"/>
      <c r="S47" s="383"/>
      <c r="T47" s="383"/>
      <c r="U47" s="383"/>
      <c r="V47" s="49"/>
      <c r="W47" s="49"/>
    </row>
    <row r="48" spans="1:23" s="62" customFormat="1" ht="13.9" customHeight="1" x14ac:dyDescent="0.2">
      <c r="A48" s="401"/>
      <c r="B48" s="401"/>
      <c r="C48" s="401"/>
      <c r="D48" s="402"/>
      <c r="E48" s="402"/>
      <c r="F48" s="403"/>
      <c r="G48" s="403"/>
      <c r="H48" s="403"/>
      <c r="I48" s="403"/>
      <c r="J48" s="403"/>
      <c r="K48" s="403"/>
      <c r="L48" s="403"/>
      <c r="M48" s="467"/>
      <c r="N48" s="404"/>
      <c r="O48" s="404"/>
      <c r="P48" s="405"/>
      <c r="Q48" s="405"/>
      <c r="R48" s="405"/>
      <c r="S48" s="405"/>
      <c r="T48" s="405"/>
      <c r="U48" s="405"/>
      <c r="V48" s="61"/>
      <c r="W48" s="61"/>
    </row>
    <row r="49" spans="1:23" ht="16.5" x14ac:dyDescent="0.25">
      <c r="A49" s="406" t="s">
        <v>179</v>
      </c>
      <c r="B49" s="407"/>
      <c r="C49" s="407"/>
      <c r="D49" s="408"/>
      <c r="E49" s="409"/>
      <c r="F49" s="409"/>
      <c r="G49" s="409"/>
      <c r="H49" s="410" t="s">
        <v>15</v>
      </c>
      <c r="I49" s="411"/>
      <c r="J49" s="411"/>
      <c r="K49" s="406"/>
      <c r="L49" s="433"/>
      <c r="M49" s="468"/>
      <c r="N49" s="347"/>
      <c r="O49" s="347"/>
      <c r="P49" s="347"/>
      <c r="Q49" s="347"/>
      <c r="R49" s="347"/>
      <c r="S49" s="347"/>
      <c r="T49" s="347"/>
      <c r="U49" s="347"/>
      <c r="V49" s="44"/>
      <c r="W49" s="44"/>
    </row>
    <row r="50" spans="1:23" s="66" customFormat="1" ht="21" x14ac:dyDescent="0.25">
      <c r="A50" s="413"/>
      <c r="B50" s="413"/>
      <c r="C50" s="413"/>
      <c r="D50" s="414" t="s">
        <v>3</v>
      </c>
      <c r="E50" s="413"/>
      <c r="F50" s="413" t="s">
        <v>18</v>
      </c>
      <c r="G50" s="413" t="s">
        <v>19</v>
      </c>
      <c r="H50" s="415" t="s">
        <v>921</v>
      </c>
      <c r="I50" s="416" t="s">
        <v>20</v>
      </c>
      <c r="J50" s="416" t="s">
        <v>22</v>
      </c>
      <c r="K50" s="416" t="s">
        <v>23</v>
      </c>
      <c r="L50" s="417" t="s">
        <v>25</v>
      </c>
      <c r="M50" s="468"/>
      <c r="N50" s="418"/>
      <c r="O50" s="418"/>
      <c r="P50" s="418"/>
      <c r="Q50" s="418"/>
      <c r="R50" s="418"/>
      <c r="S50" s="418"/>
      <c r="T50" s="418"/>
      <c r="U50" s="418"/>
      <c r="V50" s="65"/>
      <c r="W50" s="65"/>
    </row>
    <row r="51" spans="1:23" s="66" customFormat="1" x14ac:dyDescent="0.25">
      <c r="A51" s="419" t="s">
        <v>180</v>
      </c>
      <c r="B51" s="420"/>
      <c r="C51" s="421"/>
      <c r="D51" s="421"/>
      <c r="E51" s="422"/>
      <c r="F51" s="423"/>
      <c r="G51" s="423"/>
      <c r="H51" s="379"/>
      <c r="I51" s="376"/>
      <c r="J51" s="376"/>
      <c r="K51" s="380"/>
      <c r="L51" s="91"/>
      <c r="M51" s="468"/>
      <c r="N51" s="418"/>
      <c r="O51" s="418"/>
      <c r="P51" s="418"/>
      <c r="Q51" s="418"/>
      <c r="R51" s="418"/>
      <c r="S51" s="418"/>
      <c r="T51" s="418"/>
      <c r="U51" s="418"/>
      <c r="V51" s="65"/>
      <c r="W51" s="65"/>
    </row>
    <row r="52" spans="1:23" x14ac:dyDescent="0.25">
      <c r="A52" s="469" t="str">
        <f>IFERROR(IF(HLOOKUP($L$6,RangeMajorsAltCore,M52,FALSE)=0,"",HLOOKUP($L$6,RangeMajorsAltCore,M52,FALSE)),"")</f>
        <v/>
      </c>
      <c r="B52" s="470" t="str">
        <f>IFERROR(IF(VLOOKUP($A52,TableHandbook[],B$2,FALSE)=0,"",VLOOKUP($A52,TableHandbook[],B$2,FALSE)),"")</f>
        <v/>
      </c>
      <c r="C52" s="471" t="str">
        <f>IFERROR(IF(VLOOKUP($A52,TableHandbook[],C$2,FALSE)=0,"",VLOOKUP($A52,TableHandbook[],C$2,FALSE)),"")</f>
        <v/>
      </c>
      <c r="D52" s="472" t="str">
        <f>IFERROR(IF(VLOOKUP($A52,TableHandbook[],D$2,FALSE)=0,"",VLOOKUP($A52,TableHandbook[],D$2,FALSE)),"")</f>
        <v/>
      </c>
      <c r="E52" s="472"/>
      <c r="F52" s="473" t="str">
        <f>IFERROR(IF(VLOOKUP($A52,TableHandbook[],F$2,FALSE)=0,"",VLOOKUP($A52,TableHandbook[],F$2,FALSE)),"")</f>
        <v/>
      </c>
      <c r="G52" s="473" t="str">
        <f>IFERROR(IF(VLOOKUP($A52,TableHandbook[],G$2,FALSE)=0,"",VLOOKUP($A52,TableHandbook[],G$2,FALSE)),"")</f>
        <v/>
      </c>
      <c r="H52" s="453" t="str">
        <f>IFERROR(VLOOKUP($A52,TableHandbook[],H$2,FALSE),"")</f>
        <v/>
      </c>
      <c r="I52" s="450" t="str">
        <f>IFERROR(VLOOKUP($A52,TableHandbook[],I$2,FALSE),"")</f>
        <v/>
      </c>
      <c r="J52" s="450" t="str">
        <f>IFERROR(VLOOKUP($A52,TableHandbook[],J$2,FALSE),"")</f>
        <v/>
      </c>
      <c r="K52" s="454" t="str">
        <f>IFERROR(VLOOKUP($A52,TableHandbook[],K$2,FALSE),"")</f>
        <v/>
      </c>
      <c r="L52" s="215"/>
      <c r="M52" s="455">
        <v>2</v>
      </c>
      <c r="N52" s="347"/>
      <c r="O52" s="347"/>
      <c r="P52" s="347"/>
      <c r="Q52" s="347"/>
      <c r="R52" s="347"/>
      <c r="S52" s="347"/>
      <c r="T52" s="347"/>
      <c r="U52" s="347"/>
      <c r="V52" s="44"/>
      <c r="W52" s="44"/>
    </row>
    <row r="53" spans="1:23" x14ac:dyDescent="0.25">
      <c r="A53" s="469" t="str">
        <f>IFERROR(IF(HLOOKUP($L$6,RangeMajorsAltCore,M53,FALSE)=0,"",HLOOKUP($L$6,RangeMajorsAltCore,M53,FALSE)),"")</f>
        <v/>
      </c>
      <c r="B53" s="470" t="str">
        <f>IFERROR(IF(VLOOKUP($A53,TableHandbook[],2,FALSE)=0,"",VLOOKUP($A53,TableHandbook[],2,FALSE)),"")</f>
        <v/>
      </c>
      <c r="C53" s="471" t="str">
        <f>IFERROR(IF(VLOOKUP($A53,TableHandbook[],3,FALSE)=0,"",VLOOKUP($A53,TableHandbook[],3,FALSE)),"")</f>
        <v/>
      </c>
      <c r="D53" s="471" t="str">
        <f>IFERROR(IF(VLOOKUP($A53,TableHandbook[],4,FALSE)=0,"",VLOOKUP($A53,TableHandbook[],4,FALSE)),"")</f>
        <v/>
      </c>
      <c r="E53" s="472"/>
      <c r="F53" s="473" t="str">
        <f>IFERROR(IF(VLOOKUP($A53,TableHandbook[],6,FALSE)=0,"",VLOOKUP($A53,TableHandbook[],6,FALSE)),"")</f>
        <v/>
      </c>
      <c r="G53" s="473" t="str">
        <f>IFERROR(IF(VLOOKUP($A53,TableHandbook[],5,FALSE)=0,"",VLOOKUP($A53,TableHandbook[],5,FALSE)),"")</f>
        <v/>
      </c>
      <c r="H53" s="453" t="str">
        <f>IFERROR(VLOOKUP($A53,TableHandbook[],H$2,FALSE),"")</f>
        <v/>
      </c>
      <c r="I53" s="450" t="str">
        <f>IFERROR(VLOOKUP($A53,TableHandbook[],I$2,FALSE),"")</f>
        <v/>
      </c>
      <c r="J53" s="450" t="str">
        <f>IFERROR(VLOOKUP($A53,TableHandbook[],J$2,FALSE),"")</f>
        <v/>
      </c>
      <c r="K53" s="454" t="str">
        <f>IFERROR(VLOOKUP($A53,TableHandbook[],K$2,FALSE),"")</f>
        <v/>
      </c>
      <c r="L53" s="215"/>
      <c r="M53" s="455">
        <v>3</v>
      </c>
      <c r="N53" s="347"/>
      <c r="O53" s="347"/>
      <c r="P53" s="347"/>
      <c r="Q53" s="347"/>
      <c r="R53" s="347"/>
      <c r="S53" s="347"/>
      <c r="T53" s="347"/>
      <c r="U53" s="347"/>
      <c r="V53" s="44"/>
      <c r="W53" s="44"/>
    </row>
    <row r="54" spans="1:23" x14ac:dyDescent="0.25">
      <c r="A54" s="469" t="str">
        <f>IFERROR(IF(HLOOKUP($L$6,RangeMajorsAltCore,M54,FALSE)=0,"",HLOOKUP($L$6,RangeMajorsAltCore,M54,FALSE)),"")</f>
        <v/>
      </c>
      <c r="B54" s="470" t="str">
        <f>IFERROR(IF(VLOOKUP($A54,TableHandbook[],2,FALSE)=0,"",VLOOKUP($A54,TableHandbook[],2,FALSE)),"")</f>
        <v/>
      </c>
      <c r="C54" s="471" t="str">
        <f>IFERROR(IF(VLOOKUP($A54,TableHandbook[],3,FALSE)=0,"",VLOOKUP($A54,TableHandbook[],3,FALSE)),"")</f>
        <v/>
      </c>
      <c r="D54" s="471" t="str">
        <f>IFERROR(IF(VLOOKUP($A54,TableHandbook[],4,FALSE)=0,"",VLOOKUP($A54,TableHandbook[],4,FALSE)),"")</f>
        <v/>
      </c>
      <c r="E54" s="472"/>
      <c r="F54" s="473" t="str">
        <f>IFERROR(IF(VLOOKUP($A54,TableHandbook[],6,FALSE)=0,"",VLOOKUP($A54,TableHandbook[],6,FALSE)),"")</f>
        <v/>
      </c>
      <c r="G54" s="473" t="str">
        <f>IFERROR(IF(VLOOKUP($A54,TableHandbook[],5,FALSE)=0,"",VLOOKUP($A54,TableHandbook[],5,FALSE)),"")</f>
        <v/>
      </c>
      <c r="H54" s="453" t="str">
        <f>IFERROR(VLOOKUP($A54,TableHandbook[],H$2,FALSE),"")</f>
        <v/>
      </c>
      <c r="I54" s="450" t="str">
        <f>IFERROR(VLOOKUP($A54,TableHandbook[],I$2,FALSE),"")</f>
        <v/>
      </c>
      <c r="J54" s="450" t="str">
        <f>IFERROR(VLOOKUP($A54,TableHandbook[],J$2,FALSE),"")</f>
        <v/>
      </c>
      <c r="K54" s="454" t="str">
        <f>IFERROR(VLOOKUP($A54,TableHandbook[],K$2,FALSE),"")</f>
        <v/>
      </c>
      <c r="L54" s="215"/>
      <c r="M54" s="455">
        <v>4</v>
      </c>
      <c r="N54" s="347"/>
      <c r="O54" s="347"/>
      <c r="P54" s="347"/>
      <c r="Q54" s="347"/>
      <c r="R54" s="347"/>
      <c r="S54" s="347"/>
      <c r="T54" s="347"/>
      <c r="U54" s="347"/>
      <c r="V54" s="44"/>
      <c r="W54" s="44"/>
    </row>
    <row r="55" spans="1:23" x14ac:dyDescent="0.25">
      <c r="A55" s="419" t="s">
        <v>181</v>
      </c>
      <c r="B55" s="420"/>
      <c r="C55" s="421"/>
      <c r="D55" s="421"/>
      <c r="E55" s="422"/>
      <c r="F55" s="423"/>
      <c r="G55" s="423"/>
      <c r="H55" s="379"/>
      <c r="I55" s="376"/>
      <c r="J55" s="376"/>
      <c r="K55" s="380"/>
      <c r="L55" s="91"/>
      <c r="M55" s="448"/>
      <c r="N55" s="347"/>
      <c r="O55" s="347"/>
      <c r="P55" s="347"/>
      <c r="Q55" s="347"/>
      <c r="R55" s="347"/>
      <c r="S55" s="347"/>
      <c r="T55" s="347"/>
      <c r="U55" s="347"/>
      <c r="V55" s="44"/>
      <c r="W55" s="44"/>
    </row>
    <row r="56" spans="1:23" x14ac:dyDescent="0.25">
      <c r="A56" s="474" t="str">
        <f>IFERROR(IF(HLOOKUP($L$7,RangeStreamsAltCore,$M56,FALSE)=0,"",HLOOKUP($L$7,RangeStreamsAltCore,$M56,FALSE)),"")</f>
        <v/>
      </c>
      <c r="B56" s="475" t="str">
        <f>IFERROR(IF(VLOOKUP($A56,TableHandbook[],2,FALSE)=0,"",VLOOKUP($A56,TableHandbook[],2,FALSE)),"")</f>
        <v/>
      </c>
      <c r="C56" s="476" t="str">
        <f>IFERROR(IF(VLOOKUP($A56,TableHandbook[],3,FALSE)=0,"",VLOOKUP($A56,TableHandbook[],3,FALSE)),"")</f>
        <v/>
      </c>
      <c r="D56" s="476" t="str">
        <f>IFERROR(IF(VLOOKUP($A56,TableHandbook[],4,FALSE)=0,"",VLOOKUP($A56,TableHandbook[],4,FALSE)),"")</f>
        <v/>
      </c>
      <c r="E56" s="477"/>
      <c r="F56" s="478" t="str">
        <f>IFERROR(IF(VLOOKUP($A56,TableHandbook[],6,FALSE)=0,"",VLOOKUP($A56,TableHandbook[],6,FALSE)),"")</f>
        <v/>
      </c>
      <c r="G56" s="478" t="str">
        <f>IFERROR(IF(VLOOKUP($A56,TableHandbook[],5,FALSE)=0,"",VLOOKUP($A56,TableHandbook[],5,FALSE)),"")</f>
        <v/>
      </c>
      <c r="H56" s="460" t="str">
        <f>IFERROR(VLOOKUP($A56,TableHandbook[],H$2,FALSE),"")</f>
        <v/>
      </c>
      <c r="I56" s="457" t="str">
        <f>IFERROR(VLOOKUP($A56,TableHandbook[],I$2,FALSE),"")</f>
        <v/>
      </c>
      <c r="J56" s="457" t="str">
        <f>IFERROR(VLOOKUP($A56,TableHandbook[],J$2,FALSE),"")</f>
        <v/>
      </c>
      <c r="K56" s="461" t="str">
        <f>IFERROR(VLOOKUP($A56,TableHandbook[],K$2,FALSE),"")</f>
        <v/>
      </c>
      <c r="L56" s="216"/>
      <c r="M56" s="462">
        <v>2</v>
      </c>
      <c r="N56" s="347"/>
      <c r="O56" s="347"/>
      <c r="P56" s="347"/>
      <c r="Q56" s="347"/>
      <c r="R56" s="347"/>
      <c r="S56" s="347"/>
      <c r="T56" s="347"/>
      <c r="U56" s="347"/>
      <c r="V56" s="44"/>
      <c r="W56" s="44"/>
    </row>
    <row r="57" spans="1:23" x14ac:dyDescent="0.25">
      <c r="A57" s="474" t="str">
        <f>IFERROR(IF(HLOOKUP($L$7,RangeStreamsAltCore,$M57,FALSE)=0,"",HLOOKUP($L$7,RangeStreamsAltCore,$M57,FALSE)),"")</f>
        <v/>
      </c>
      <c r="B57" s="475" t="str">
        <f>IFERROR(IF(VLOOKUP($A57,TableHandbook[],2,FALSE)=0,"",VLOOKUP($A57,TableHandbook[],2,FALSE)),"")</f>
        <v/>
      </c>
      <c r="C57" s="476" t="str">
        <f>IFERROR(IF(VLOOKUP($A57,TableHandbook[],3,FALSE)=0,"",VLOOKUP($A57,TableHandbook[],3,FALSE)),"")</f>
        <v/>
      </c>
      <c r="D57" s="476" t="str">
        <f>IFERROR(IF(VLOOKUP($A57,TableHandbook[],4,FALSE)=0,"",VLOOKUP($A57,TableHandbook[],4,FALSE)),"")</f>
        <v/>
      </c>
      <c r="E57" s="477"/>
      <c r="F57" s="478" t="str">
        <f>IFERROR(IF(VLOOKUP($A57,TableHandbook[],6,FALSE)=0,"",VLOOKUP($A57,TableHandbook[],6,FALSE)),"")</f>
        <v/>
      </c>
      <c r="G57" s="478" t="str">
        <f>IFERROR(IF(VLOOKUP($A57,TableHandbook[],5,FALSE)=0,"",VLOOKUP($A57,TableHandbook[],5,FALSE)),"")</f>
        <v/>
      </c>
      <c r="H57" s="460" t="str">
        <f>IFERROR(VLOOKUP($A57,TableHandbook[],H$2,FALSE),"")</f>
        <v/>
      </c>
      <c r="I57" s="457" t="str">
        <f>IFERROR(VLOOKUP($A57,TableHandbook[],I$2,FALSE),"")</f>
        <v/>
      </c>
      <c r="J57" s="457" t="str">
        <f>IFERROR(VLOOKUP($A57,TableHandbook[],J$2,FALSE),"")</f>
        <v/>
      </c>
      <c r="K57" s="461" t="str">
        <f>IFERROR(VLOOKUP($A57,TableHandbook[],K$2,FALSE),"")</f>
        <v/>
      </c>
      <c r="L57" s="216"/>
      <c r="M57" s="462">
        <v>3</v>
      </c>
      <c r="N57" s="347"/>
      <c r="O57" s="347"/>
      <c r="P57" s="347"/>
      <c r="Q57" s="347"/>
      <c r="R57" s="347"/>
      <c r="S57" s="347"/>
      <c r="T57" s="347"/>
      <c r="U57" s="347"/>
      <c r="V57" s="44"/>
      <c r="W57" s="44"/>
    </row>
    <row r="58" spans="1:23" x14ac:dyDescent="0.25">
      <c r="A58" s="474" t="str">
        <f>IFERROR(IF(HLOOKUP($L$7,RangeStreamsAltCore,$M58,FALSE)=0,"",HLOOKUP($L$7,RangeStreamsAltCore,$M58,FALSE)),"")</f>
        <v/>
      </c>
      <c r="B58" s="475" t="str">
        <f>IFERROR(IF(VLOOKUP($A58,TableHandbook[],2,FALSE)=0,"",VLOOKUP($A58,TableHandbook[],2,FALSE)),"")</f>
        <v/>
      </c>
      <c r="C58" s="476" t="str">
        <f>IFERROR(IF(VLOOKUP($A58,TableHandbook[],3,FALSE)=0,"",VLOOKUP($A58,TableHandbook[],3,FALSE)),"")</f>
        <v/>
      </c>
      <c r="D58" s="476" t="str">
        <f>IFERROR(IF(VLOOKUP($A58,TableHandbook[],4,FALSE)=0,"",VLOOKUP($A58,TableHandbook[],4,FALSE)),"")</f>
        <v/>
      </c>
      <c r="E58" s="476"/>
      <c r="F58" s="478" t="str">
        <f>IFERROR(IF(VLOOKUP($A58,TableHandbook[],6,FALSE)=0,"",VLOOKUP($A58,TableHandbook[],6,FALSE)),"")</f>
        <v/>
      </c>
      <c r="G58" s="479" t="str">
        <f>IFERROR(IF(VLOOKUP($A58,TableHandbook[],5,FALSE)=0,"",VLOOKUP($A58,TableHandbook[],5,FALSE)),"")</f>
        <v/>
      </c>
      <c r="H58" s="460" t="str">
        <f>IFERROR(VLOOKUP($A58,TableHandbook[],H$2,FALSE),"")</f>
        <v/>
      </c>
      <c r="I58" s="457" t="str">
        <f>IFERROR(VLOOKUP($A58,TableHandbook[],I$2,FALSE),"")</f>
        <v/>
      </c>
      <c r="J58" s="457" t="str">
        <f>IFERROR(VLOOKUP($A58,TableHandbook[],J$2,FALSE),"")</f>
        <v/>
      </c>
      <c r="K58" s="461" t="str">
        <f>IFERROR(VLOOKUP($A58,TableHandbook[],K$2,FALSE),"")</f>
        <v/>
      </c>
      <c r="L58" s="216"/>
      <c r="M58" s="462">
        <v>4</v>
      </c>
      <c r="N58" s="347"/>
      <c r="O58" s="347"/>
      <c r="P58" s="347"/>
      <c r="Q58" s="347"/>
      <c r="R58" s="347"/>
      <c r="S58" s="347"/>
      <c r="T58" s="347"/>
      <c r="U58" s="347"/>
      <c r="V58" s="44"/>
      <c r="W58" s="44"/>
    </row>
    <row r="59" spans="1:23" s="62" customFormat="1" ht="13.9" customHeight="1" x14ac:dyDescent="0.2">
      <c r="A59" s="401"/>
      <c r="B59" s="401"/>
      <c r="C59" s="401"/>
      <c r="D59" s="402"/>
      <c r="E59" s="402"/>
      <c r="F59" s="403"/>
      <c r="G59" s="403"/>
      <c r="H59" s="403"/>
      <c r="I59" s="403"/>
      <c r="J59" s="403"/>
      <c r="K59" s="403"/>
      <c r="L59" s="403"/>
      <c r="M59" s="467"/>
      <c r="N59" s="404"/>
      <c r="O59" s="404"/>
      <c r="P59" s="405"/>
      <c r="Q59" s="405"/>
      <c r="R59" s="405"/>
      <c r="S59" s="405"/>
      <c r="T59" s="405"/>
      <c r="U59" s="405"/>
      <c r="V59" s="61"/>
      <c r="W59" s="61"/>
    </row>
    <row r="60" spans="1:23" s="44" customFormat="1" ht="32.25" customHeight="1" x14ac:dyDescent="0.25">
      <c r="A60" s="504" t="s">
        <v>30</v>
      </c>
      <c r="B60" s="504"/>
      <c r="C60" s="504"/>
      <c r="D60" s="504"/>
      <c r="E60" s="504"/>
      <c r="F60" s="504"/>
      <c r="G60" s="504"/>
      <c r="H60" s="504"/>
      <c r="I60" s="504"/>
      <c r="J60" s="504"/>
      <c r="K60" s="504"/>
      <c r="L60" s="504"/>
      <c r="M60" s="347"/>
      <c r="N60" s="347"/>
      <c r="O60" s="347"/>
      <c r="P60" s="347"/>
      <c r="Q60" s="347"/>
      <c r="R60" s="347"/>
      <c r="S60" s="347"/>
      <c r="T60" s="347"/>
      <c r="U60" s="347"/>
    </row>
    <row r="61" spans="1:23" s="57" customFormat="1" ht="24.95" customHeight="1" x14ac:dyDescent="0.3">
      <c r="A61" s="148" t="s">
        <v>31</v>
      </c>
      <c r="B61" s="148"/>
      <c r="C61" s="148"/>
      <c r="D61" s="149"/>
      <c r="E61" s="149"/>
      <c r="F61" s="149"/>
      <c r="G61" s="149"/>
      <c r="H61" s="149"/>
      <c r="I61" s="149"/>
      <c r="J61" s="149"/>
      <c r="K61" s="149"/>
      <c r="L61" s="149"/>
      <c r="M61" s="425"/>
      <c r="N61" s="425"/>
      <c r="O61" s="425"/>
      <c r="P61" s="426"/>
      <c r="Q61" s="426"/>
      <c r="R61" s="426"/>
      <c r="S61" s="426"/>
      <c r="T61" s="426"/>
      <c r="U61" s="426"/>
      <c r="V61" s="56"/>
      <c r="W61" s="56"/>
    </row>
    <row r="62" spans="1:23" s="44" customFormat="1" ht="15" customHeight="1" x14ac:dyDescent="0.25">
      <c r="A62" s="427" t="s">
        <v>32</v>
      </c>
      <c r="B62" s="427"/>
      <c r="C62" s="427"/>
      <c r="D62" s="427"/>
      <c r="E62" s="428"/>
      <c r="F62" s="403"/>
      <c r="G62" s="429"/>
      <c r="H62" s="429"/>
      <c r="I62" s="429"/>
      <c r="J62" s="429"/>
      <c r="K62" s="429"/>
      <c r="L62" s="429" t="s">
        <v>33</v>
      </c>
      <c r="M62" s="347"/>
      <c r="N62" s="347"/>
      <c r="O62" s="347"/>
      <c r="P62" s="347"/>
      <c r="Q62" s="347"/>
      <c r="R62" s="347"/>
      <c r="S62" s="347"/>
      <c r="T62" s="347"/>
      <c r="U62" s="347"/>
    </row>
    <row r="63" spans="1:23" ht="16.5" x14ac:dyDescent="0.25">
      <c r="A63" s="406" t="s">
        <v>182</v>
      </c>
      <c r="B63" s="407"/>
      <c r="C63" s="407"/>
      <c r="D63" s="408"/>
      <c r="E63" s="409"/>
      <c r="F63" s="409"/>
      <c r="G63" s="409"/>
      <c r="H63" s="410" t="s">
        <v>15</v>
      </c>
      <c r="I63" s="411"/>
      <c r="J63" s="411"/>
      <c r="K63" s="406"/>
      <c r="L63" s="433"/>
      <c r="M63" s="468"/>
      <c r="N63" s="347"/>
      <c r="O63" s="347"/>
      <c r="P63" s="347"/>
      <c r="Q63" s="347"/>
      <c r="R63" s="347"/>
      <c r="S63" s="347"/>
      <c r="T63" s="347"/>
      <c r="U63" s="347"/>
      <c r="V63" s="44"/>
      <c r="W63" s="44"/>
    </row>
    <row r="64" spans="1:23" s="66" customFormat="1" ht="21" x14ac:dyDescent="0.25">
      <c r="A64" s="413"/>
      <c r="B64" s="413"/>
      <c r="C64" s="413"/>
      <c r="D64" s="414" t="s">
        <v>3</v>
      </c>
      <c r="E64" s="413"/>
      <c r="F64" s="413" t="s">
        <v>18</v>
      </c>
      <c r="G64" s="413" t="s">
        <v>19</v>
      </c>
      <c r="H64" s="415" t="s">
        <v>921</v>
      </c>
      <c r="I64" s="416" t="s">
        <v>20</v>
      </c>
      <c r="J64" s="416" t="s">
        <v>22</v>
      </c>
      <c r="K64" s="416" t="s">
        <v>23</v>
      </c>
      <c r="L64" s="417" t="s">
        <v>25</v>
      </c>
      <c r="M64" s="468"/>
      <c r="N64" s="418"/>
      <c r="O64" s="418"/>
      <c r="P64" s="418"/>
      <c r="Q64" s="418"/>
      <c r="R64" s="418"/>
      <c r="S64" s="418"/>
      <c r="T64" s="418"/>
      <c r="U64" s="418"/>
      <c r="V64" s="65"/>
      <c r="W64" s="65"/>
    </row>
    <row r="65" spans="1:23" x14ac:dyDescent="0.25">
      <c r="A65" s="419" t="str">
        <f t="shared" ref="A65:A83" si="0">IFERROR(IF(HLOOKUP($L$7,RangeStreamsOptions,M65,FALSE)=0,"",HLOOKUP($L$7,RangeStreamsOptions,M65,FALSE)),"")</f>
        <v/>
      </c>
      <c r="B65" s="420" t="str">
        <f>IFERROR(IF(VLOOKUP($A65,TableHandbook[],B$2,FALSE)=0,"",VLOOKUP($A65,TableHandbook[],B$2,FALSE)),"")</f>
        <v/>
      </c>
      <c r="C65" s="421" t="str">
        <f>IFERROR(IF(VLOOKUP($A65,TableHandbook[],C$2,FALSE)=0,"",VLOOKUP($A65,TableHandbook[],C$2,FALSE)),"")</f>
        <v/>
      </c>
      <c r="D65" s="422" t="str">
        <f>IFERROR(IF(VLOOKUP($A65,TableHandbook[],D$2,FALSE)=0,"",VLOOKUP($A65,TableHandbook[],D$2,FALSE)),"")</f>
        <v/>
      </c>
      <c r="E65" s="422"/>
      <c r="F65" s="423" t="str">
        <f>IFERROR(IF(VLOOKUP($A65,TableHandbook[],F$2,FALSE)=0,"",VLOOKUP($A65,TableHandbook[],F$2,FALSE)),"")</f>
        <v/>
      </c>
      <c r="G65" s="423" t="str">
        <f>IFERROR(IF(VLOOKUP($A65,TableHandbook[],G$2,FALSE)=0,"",VLOOKUP($A65,TableHandbook[],G$2,FALSE)),"")</f>
        <v/>
      </c>
      <c r="H65" s="394" t="str">
        <f>IFERROR(VLOOKUP($A65,TableHandbook[],H$2,FALSE),"")</f>
        <v/>
      </c>
      <c r="I65" s="393" t="str">
        <f>IFERROR(VLOOKUP($A65,TableHandbook[],I$2,FALSE),"")</f>
        <v/>
      </c>
      <c r="J65" s="393" t="str">
        <f>IFERROR(VLOOKUP($A65,TableHandbook[],J$2,FALSE),"")</f>
        <v/>
      </c>
      <c r="K65" s="395" t="str">
        <f>IFERROR(VLOOKUP($A65,TableHandbook[],K$2,FALSE),"")</f>
        <v/>
      </c>
      <c r="L65" s="91"/>
      <c r="M65" s="448">
        <v>2</v>
      </c>
      <c r="N65" s="347"/>
      <c r="O65" s="347"/>
      <c r="P65" s="347"/>
      <c r="Q65" s="347"/>
      <c r="R65" s="347"/>
      <c r="S65" s="347"/>
      <c r="T65" s="347"/>
      <c r="U65" s="347"/>
      <c r="V65" s="44"/>
      <c r="W65" s="44"/>
    </row>
    <row r="66" spans="1:23" x14ac:dyDescent="0.25">
      <c r="A66" s="419" t="str">
        <f t="shared" si="0"/>
        <v/>
      </c>
      <c r="B66" s="420" t="str">
        <f>IFERROR(IF(VLOOKUP($A66,TableHandbook[],2,FALSE)=0,"",VLOOKUP($A66,TableHandbook[],2,FALSE)),"")</f>
        <v/>
      </c>
      <c r="C66" s="421" t="str">
        <f>IFERROR(IF(VLOOKUP($A66,TableHandbook[],3,FALSE)=0,"",VLOOKUP($A66,TableHandbook[],3,FALSE)),"")</f>
        <v/>
      </c>
      <c r="D66" s="421" t="str">
        <f>IFERROR(IF(VLOOKUP($A66,TableHandbook[],4,FALSE)=0,"",VLOOKUP($A66,TableHandbook[],4,FALSE)),"")</f>
        <v/>
      </c>
      <c r="E66" s="422"/>
      <c r="F66" s="423" t="str">
        <f>IFERROR(IF(VLOOKUP($A66,TableHandbook[],6,FALSE)=0,"",VLOOKUP($A66,TableHandbook[],6,FALSE)),"")</f>
        <v/>
      </c>
      <c r="G66" s="423" t="str">
        <f>IFERROR(IF(VLOOKUP($A66,TableHandbook[],5,FALSE)=0,"",VLOOKUP($A66,TableHandbook[],5,FALSE)),"")</f>
        <v/>
      </c>
      <c r="H66" s="394" t="str">
        <f>IFERROR(VLOOKUP($A66,TableHandbook[],H$2,FALSE),"")</f>
        <v/>
      </c>
      <c r="I66" s="393" t="str">
        <f>IFERROR(VLOOKUP($A66,TableHandbook[],I$2,FALSE),"")</f>
        <v/>
      </c>
      <c r="J66" s="393" t="str">
        <f>IFERROR(VLOOKUP($A66,TableHandbook[],J$2,FALSE),"")</f>
        <v/>
      </c>
      <c r="K66" s="395" t="str">
        <f>IFERROR(VLOOKUP($A66,TableHandbook[],K$2,FALSE),"")</f>
        <v/>
      </c>
      <c r="L66" s="91"/>
      <c r="M66" s="448">
        <v>3</v>
      </c>
      <c r="N66" s="347"/>
      <c r="O66" s="347"/>
      <c r="P66" s="347"/>
      <c r="Q66" s="347"/>
      <c r="R66" s="347"/>
      <c r="S66" s="347"/>
      <c r="T66" s="347"/>
      <c r="U66" s="347"/>
      <c r="V66" s="44"/>
      <c r="W66" s="44"/>
    </row>
    <row r="67" spans="1:23" x14ac:dyDescent="0.25">
      <c r="A67" s="419" t="str">
        <f t="shared" si="0"/>
        <v/>
      </c>
      <c r="B67" s="420" t="str">
        <f>IFERROR(IF(VLOOKUP($A67,TableHandbook[],2,FALSE)=0,"",VLOOKUP($A67,TableHandbook[],2,FALSE)),"")</f>
        <v/>
      </c>
      <c r="C67" s="421" t="str">
        <f>IFERROR(IF(VLOOKUP($A67,TableHandbook[],3,FALSE)=0,"",VLOOKUP($A67,TableHandbook[],3,FALSE)),"")</f>
        <v/>
      </c>
      <c r="D67" s="421" t="str">
        <f>IFERROR(IF(VLOOKUP($A67,TableHandbook[],4,FALSE)=0,"",VLOOKUP($A67,TableHandbook[],4,FALSE)),"")</f>
        <v/>
      </c>
      <c r="E67" s="422"/>
      <c r="F67" s="423" t="str">
        <f>IFERROR(IF(VLOOKUP($A67,TableHandbook[],6,FALSE)=0,"",VLOOKUP($A67,TableHandbook[],6,FALSE)),"")</f>
        <v/>
      </c>
      <c r="G67" s="423" t="str">
        <f>IFERROR(IF(VLOOKUP($A67,TableHandbook[],5,FALSE)=0,"",VLOOKUP($A67,TableHandbook[],5,FALSE)),"")</f>
        <v/>
      </c>
      <c r="H67" s="394" t="str">
        <f>IFERROR(VLOOKUP($A67,TableHandbook[],H$2,FALSE),"")</f>
        <v/>
      </c>
      <c r="I67" s="393" t="str">
        <f>IFERROR(VLOOKUP($A67,TableHandbook[],I$2,FALSE),"")</f>
        <v/>
      </c>
      <c r="J67" s="393" t="str">
        <f>IFERROR(VLOOKUP($A67,TableHandbook[],J$2,FALSE),"")</f>
        <v/>
      </c>
      <c r="K67" s="395" t="str">
        <f>IFERROR(VLOOKUP($A67,TableHandbook[],K$2,FALSE),"")</f>
        <v/>
      </c>
      <c r="L67" s="91"/>
      <c r="M67" s="448">
        <v>4</v>
      </c>
      <c r="N67" s="347"/>
      <c r="O67" s="347"/>
      <c r="P67" s="347"/>
      <c r="Q67" s="347"/>
      <c r="R67" s="347"/>
      <c r="S67" s="347"/>
      <c r="T67" s="347"/>
      <c r="U67" s="347"/>
      <c r="V67" s="44"/>
      <c r="W67" s="44"/>
    </row>
    <row r="68" spans="1:23" x14ac:dyDescent="0.25">
      <c r="A68" s="419" t="str">
        <f t="shared" si="0"/>
        <v/>
      </c>
      <c r="B68" s="420" t="str">
        <f>IFERROR(IF(VLOOKUP($A68,TableHandbook[],2,FALSE)=0,"",VLOOKUP($A68,TableHandbook[],2,FALSE)),"")</f>
        <v/>
      </c>
      <c r="C68" s="421" t="str">
        <f>IFERROR(IF(VLOOKUP($A68,TableHandbook[],3,FALSE)=0,"",VLOOKUP($A68,TableHandbook[],3,FALSE)),"")</f>
        <v/>
      </c>
      <c r="D68" s="421" t="str">
        <f>IFERROR(IF(VLOOKUP($A68,TableHandbook[],4,FALSE)=0,"",VLOOKUP($A68,TableHandbook[],4,FALSE)),"")</f>
        <v/>
      </c>
      <c r="E68" s="422"/>
      <c r="F68" s="423" t="str">
        <f>IFERROR(IF(VLOOKUP($A68,TableHandbook[],6,FALSE)=0,"",VLOOKUP($A68,TableHandbook[],6,FALSE)),"")</f>
        <v/>
      </c>
      <c r="G68" s="423" t="str">
        <f>IFERROR(IF(VLOOKUP($A68,TableHandbook[],5,FALSE)=0,"",VLOOKUP($A68,TableHandbook[],5,FALSE)),"")</f>
        <v/>
      </c>
      <c r="H68" s="394" t="str">
        <f>IFERROR(VLOOKUP($A68,TableHandbook[],H$2,FALSE),"")</f>
        <v/>
      </c>
      <c r="I68" s="393" t="str">
        <f>IFERROR(VLOOKUP($A68,TableHandbook[],I$2,FALSE),"")</f>
        <v/>
      </c>
      <c r="J68" s="393" t="str">
        <f>IFERROR(VLOOKUP($A68,TableHandbook[],J$2,FALSE),"")</f>
        <v/>
      </c>
      <c r="K68" s="395" t="str">
        <f>IFERROR(VLOOKUP($A68,TableHandbook[],K$2,FALSE),"")</f>
        <v/>
      </c>
      <c r="L68" s="91"/>
      <c r="M68" s="448">
        <v>5</v>
      </c>
      <c r="N68" s="347"/>
      <c r="O68" s="347"/>
      <c r="P68" s="347"/>
      <c r="Q68" s="347"/>
      <c r="R68" s="347"/>
      <c r="S68" s="347"/>
      <c r="T68" s="347"/>
      <c r="U68" s="347"/>
      <c r="V68" s="44"/>
      <c r="W68" s="44"/>
    </row>
    <row r="69" spans="1:23" x14ac:dyDescent="0.25">
      <c r="A69" s="419" t="str">
        <f t="shared" si="0"/>
        <v/>
      </c>
      <c r="B69" s="420" t="str">
        <f>IFERROR(IF(VLOOKUP($A69,TableHandbook[],2,FALSE)=0,"",VLOOKUP($A69,TableHandbook[],2,FALSE)),"")</f>
        <v/>
      </c>
      <c r="C69" s="421" t="str">
        <f>IFERROR(IF(VLOOKUP($A69,TableHandbook[],3,FALSE)=0,"",VLOOKUP($A69,TableHandbook[],3,FALSE)),"")</f>
        <v/>
      </c>
      <c r="D69" s="421" t="str">
        <f>IFERROR(IF(VLOOKUP($A69,TableHandbook[],4,FALSE)=0,"",VLOOKUP($A69,TableHandbook[],4,FALSE)),"")</f>
        <v/>
      </c>
      <c r="E69" s="422"/>
      <c r="F69" s="423" t="str">
        <f>IFERROR(IF(VLOOKUP($A69,TableHandbook[],6,FALSE)=0,"",VLOOKUP($A69,TableHandbook[],6,FALSE)),"")</f>
        <v/>
      </c>
      <c r="G69" s="423" t="str">
        <f>IFERROR(IF(VLOOKUP($A69,TableHandbook[],5,FALSE)=0,"",VLOOKUP($A69,TableHandbook[],5,FALSE)),"")</f>
        <v/>
      </c>
      <c r="H69" s="394" t="str">
        <f>IFERROR(VLOOKUP($A69,TableHandbook[],H$2,FALSE),"")</f>
        <v/>
      </c>
      <c r="I69" s="393" t="str">
        <f>IFERROR(VLOOKUP($A69,TableHandbook[],I$2,FALSE),"")</f>
        <v/>
      </c>
      <c r="J69" s="393" t="str">
        <f>IFERROR(VLOOKUP($A69,TableHandbook[],J$2,FALSE),"")</f>
        <v/>
      </c>
      <c r="K69" s="395" t="str">
        <f>IFERROR(VLOOKUP($A69,TableHandbook[],K$2,FALSE),"")</f>
        <v/>
      </c>
      <c r="L69" s="91"/>
      <c r="M69" s="448">
        <v>6</v>
      </c>
      <c r="N69" s="347"/>
      <c r="O69" s="347"/>
      <c r="P69" s="347"/>
      <c r="Q69" s="347"/>
      <c r="R69" s="347"/>
      <c r="S69" s="347"/>
      <c r="T69" s="347"/>
      <c r="U69" s="347"/>
      <c r="V69" s="44"/>
      <c r="W69" s="44"/>
    </row>
    <row r="70" spans="1:23" x14ac:dyDescent="0.25">
      <c r="A70" s="419" t="str">
        <f t="shared" si="0"/>
        <v/>
      </c>
      <c r="B70" s="420" t="str">
        <f>IFERROR(IF(VLOOKUP($A70,TableHandbook[],2,FALSE)=0,"",VLOOKUP($A70,TableHandbook[],2,FALSE)),"")</f>
        <v/>
      </c>
      <c r="C70" s="421" t="str">
        <f>IFERROR(IF(VLOOKUP($A70,TableHandbook[],3,FALSE)=0,"",VLOOKUP($A70,TableHandbook[],3,FALSE)),"")</f>
        <v/>
      </c>
      <c r="D70" s="421" t="str">
        <f>IFERROR(IF(VLOOKUP($A70,TableHandbook[],4,FALSE)=0,"",VLOOKUP($A70,TableHandbook[],4,FALSE)),"")</f>
        <v/>
      </c>
      <c r="E70" s="421"/>
      <c r="F70" s="423" t="str">
        <f>IFERROR(IF(VLOOKUP($A70,TableHandbook[],6,FALSE)=0,"",VLOOKUP($A70,TableHandbook[],6,FALSE)),"")</f>
        <v/>
      </c>
      <c r="G70" s="424" t="str">
        <f>IFERROR(IF(VLOOKUP($A70,TableHandbook[],5,FALSE)=0,"",VLOOKUP($A70,TableHandbook[],5,FALSE)),"")</f>
        <v/>
      </c>
      <c r="H70" s="394" t="str">
        <f>IFERROR(VLOOKUP($A70,TableHandbook[],H$2,FALSE),"")</f>
        <v/>
      </c>
      <c r="I70" s="393" t="str">
        <f>IFERROR(VLOOKUP($A70,TableHandbook[],I$2,FALSE),"")</f>
        <v/>
      </c>
      <c r="J70" s="393" t="str">
        <f>IFERROR(VLOOKUP($A70,TableHandbook[],J$2,FALSE),"")</f>
        <v/>
      </c>
      <c r="K70" s="395" t="str">
        <f>IFERROR(VLOOKUP($A70,TableHandbook[],K$2,FALSE),"")</f>
        <v/>
      </c>
      <c r="L70" s="91"/>
      <c r="M70" s="448">
        <v>7</v>
      </c>
      <c r="N70" s="347"/>
      <c r="O70" s="347"/>
      <c r="P70" s="347"/>
      <c r="Q70" s="347"/>
      <c r="R70" s="347"/>
      <c r="S70" s="347"/>
      <c r="T70" s="347"/>
      <c r="U70" s="347"/>
      <c r="V70" s="44"/>
      <c r="W70" s="44"/>
    </row>
    <row r="71" spans="1:23" x14ac:dyDescent="0.25">
      <c r="A71" s="419" t="str">
        <f t="shared" si="0"/>
        <v/>
      </c>
      <c r="B71" s="420" t="str">
        <f>IFERROR(IF(VLOOKUP($A71,TableHandbook[],2,FALSE)=0,"",VLOOKUP($A71,TableHandbook[],2,FALSE)),"")</f>
        <v/>
      </c>
      <c r="C71" s="421" t="str">
        <f>IFERROR(IF(VLOOKUP($A71,TableHandbook[],3,FALSE)=0,"",VLOOKUP($A71,TableHandbook[],3,FALSE)),"")</f>
        <v/>
      </c>
      <c r="D71" s="421" t="str">
        <f>IFERROR(IF(VLOOKUP($A71,TableHandbook[],4,FALSE)=0,"",VLOOKUP($A71,TableHandbook[],4,FALSE)),"")</f>
        <v/>
      </c>
      <c r="E71" s="422"/>
      <c r="F71" s="423" t="str">
        <f>IFERROR(IF(VLOOKUP($A71,TableHandbook[],6,FALSE)=0,"",VLOOKUP($A71,TableHandbook[],6,FALSE)),"")</f>
        <v/>
      </c>
      <c r="G71" s="423" t="str">
        <f>IFERROR(IF(VLOOKUP($A71,TableHandbook[],5,FALSE)=0,"",VLOOKUP($A71,TableHandbook[],5,FALSE)),"")</f>
        <v/>
      </c>
      <c r="H71" s="379" t="str">
        <f>IFERROR(VLOOKUP($A71,TableHandbook[],H$2,FALSE),"")</f>
        <v/>
      </c>
      <c r="I71" s="376" t="str">
        <f>IFERROR(VLOOKUP($A71,TableHandbook[],I$2,FALSE),"")</f>
        <v/>
      </c>
      <c r="J71" s="376" t="str">
        <f>IFERROR(VLOOKUP($A71,TableHandbook[],J$2,FALSE),"")</f>
        <v/>
      </c>
      <c r="K71" s="380" t="str">
        <f>IFERROR(VLOOKUP($A71,TableHandbook[],K$2,FALSE),"")</f>
        <v/>
      </c>
      <c r="L71" s="90"/>
      <c r="M71" s="448">
        <v>8</v>
      </c>
      <c r="N71" s="347"/>
      <c r="O71" s="347"/>
      <c r="P71" s="347"/>
      <c r="Q71" s="347"/>
      <c r="R71" s="347"/>
      <c r="S71" s="347"/>
      <c r="T71" s="347"/>
      <c r="U71" s="347"/>
      <c r="V71" s="44"/>
      <c r="W71" s="44"/>
    </row>
    <row r="72" spans="1:23" x14ac:dyDescent="0.25">
      <c r="A72" s="419" t="str">
        <f t="shared" si="0"/>
        <v/>
      </c>
      <c r="B72" s="420" t="str">
        <f>IFERROR(IF(VLOOKUP($A72,TableHandbook[],2,FALSE)=0,"",VLOOKUP($A72,TableHandbook[],2,FALSE)),"")</f>
        <v/>
      </c>
      <c r="C72" s="421" t="str">
        <f>IFERROR(IF(VLOOKUP($A72,TableHandbook[],3,FALSE)=0,"",VLOOKUP($A72,TableHandbook[],3,FALSE)),"")</f>
        <v/>
      </c>
      <c r="D72" s="421" t="str">
        <f>IFERROR(IF(VLOOKUP($A72,TableHandbook[],4,FALSE)=0,"",VLOOKUP($A72,TableHandbook[],4,FALSE)),"")</f>
        <v/>
      </c>
      <c r="E72" s="422"/>
      <c r="F72" s="423" t="str">
        <f>IFERROR(IF(VLOOKUP($A72,TableHandbook[],6,FALSE)=0,"",VLOOKUP($A72,TableHandbook[],6,FALSE)),"")</f>
        <v/>
      </c>
      <c r="G72" s="423" t="str">
        <f>IFERROR(IF(VLOOKUP($A72,TableHandbook[],5,FALSE)=0,"",VLOOKUP($A72,TableHandbook[],5,FALSE)),"")</f>
        <v/>
      </c>
      <c r="H72" s="379" t="str">
        <f>IFERROR(VLOOKUP($A72,TableHandbook[],H$2,FALSE),"")</f>
        <v/>
      </c>
      <c r="I72" s="376" t="str">
        <f>IFERROR(VLOOKUP($A72,TableHandbook[],I$2,FALSE),"")</f>
        <v/>
      </c>
      <c r="J72" s="376" t="str">
        <f>IFERROR(VLOOKUP($A72,TableHandbook[],J$2,FALSE),"")</f>
        <v/>
      </c>
      <c r="K72" s="380" t="str">
        <f>IFERROR(VLOOKUP($A72,TableHandbook[],K$2,FALSE),"")</f>
        <v/>
      </c>
      <c r="L72" s="91"/>
      <c r="M72" s="448">
        <v>9</v>
      </c>
      <c r="N72" s="347"/>
      <c r="O72" s="347"/>
      <c r="P72" s="347"/>
      <c r="Q72" s="347"/>
      <c r="R72" s="347"/>
      <c r="S72" s="347"/>
      <c r="T72" s="347"/>
      <c r="U72" s="347"/>
      <c r="V72" s="44"/>
      <c r="W72" s="44"/>
    </row>
    <row r="73" spans="1:23" x14ac:dyDescent="0.25">
      <c r="A73" s="419" t="str">
        <f t="shared" si="0"/>
        <v/>
      </c>
      <c r="B73" s="420" t="str">
        <f>IFERROR(IF(VLOOKUP($A73,TableHandbook[],2,FALSE)=0,"",VLOOKUP($A73,TableHandbook[],2,FALSE)),"")</f>
        <v/>
      </c>
      <c r="C73" s="421" t="str">
        <f>IFERROR(IF(VLOOKUP($A73,TableHandbook[],3,FALSE)=0,"",VLOOKUP($A73,TableHandbook[],3,FALSE)),"")</f>
        <v/>
      </c>
      <c r="D73" s="421" t="str">
        <f>IFERROR(IF(VLOOKUP($A73,TableHandbook[],4,FALSE)=0,"",VLOOKUP($A73,TableHandbook[],4,FALSE)),"")</f>
        <v/>
      </c>
      <c r="E73" s="422"/>
      <c r="F73" s="423" t="str">
        <f>IFERROR(IF(VLOOKUP($A73,TableHandbook[],6,FALSE)=0,"",VLOOKUP($A73,TableHandbook[],6,FALSE)),"")</f>
        <v/>
      </c>
      <c r="G73" s="423" t="str">
        <f>IFERROR(IF(VLOOKUP($A73,TableHandbook[],5,FALSE)=0,"",VLOOKUP($A73,TableHandbook[],5,FALSE)),"")</f>
        <v/>
      </c>
      <c r="H73" s="379" t="str">
        <f>IFERROR(VLOOKUP($A73,TableHandbook[],H$2,FALSE),"")</f>
        <v/>
      </c>
      <c r="I73" s="376" t="str">
        <f>IFERROR(VLOOKUP($A73,TableHandbook[],I$2,FALSE),"")</f>
        <v/>
      </c>
      <c r="J73" s="376" t="str">
        <f>IFERROR(VLOOKUP($A73,TableHandbook[],J$2,FALSE),"")</f>
        <v/>
      </c>
      <c r="K73" s="380" t="str">
        <f>IFERROR(VLOOKUP($A73,TableHandbook[],K$2,FALSE),"")</f>
        <v/>
      </c>
      <c r="L73" s="91"/>
      <c r="M73" s="448">
        <v>10</v>
      </c>
      <c r="N73" s="347"/>
      <c r="O73" s="347"/>
      <c r="P73" s="347"/>
      <c r="Q73" s="347"/>
      <c r="R73" s="347"/>
      <c r="S73" s="347"/>
      <c r="T73" s="347"/>
      <c r="U73" s="347"/>
      <c r="V73" s="44"/>
      <c r="W73" s="44"/>
    </row>
    <row r="74" spans="1:23" x14ac:dyDescent="0.25">
      <c r="A74" s="419" t="str">
        <f t="shared" si="0"/>
        <v/>
      </c>
      <c r="B74" s="420" t="str">
        <f>IFERROR(IF(VLOOKUP($A74,TableHandbook[],2,FALSE)=0,"",VLOOKUP($A74,TableHandbook[],2,FALSE)),"")</f>
        <v/>
      </c>
      <c r="C74" s="421" t="str">
        <f>IFERROR(IF(VLOOKUP($A74,TableHandbook[],3,FALSE)=0,"",VLOOKUP($A74,TableHandbook[],3,FALSE)),"")</f>
        <v/>
      </c>
      <c r="D74" s="421" t="str">
        <f>IFERROR(IF(VLOOKUP($A74,TableHandbook[],4,FALSE)=0,"",VLOOKUP($A74,TableHandbook[],4,FALSE)),"")</f>
        <v/>
      </c>
      <c r="E74" s="421"/>
      <c r="F74" s="423" t="str">
        <f>IFERROR(IF(VLOOKUP($A74,TableHandbook[],6,FALSE)=0,"",VLOOKUP($A74,TableHandbook[],6,FALSE)),"")</f>
        <v/>
      </c>
      <c r="G74" s="423" t="str">
        <f>IFERROR(IF(VLOOKUP($A74,TableHandbook[],5,FALSE)=0,"",VLOOKUP($A74,TableHandbook[],5,FALSE)),"")</f>
        <v/>
      </c>
      <c r="H74" s="379" t="str">
        <f>IFERROR(VLOOKUP($A74,TableHandbook[],H$2,FALSE),"")</f>
        <v/>
      </c>
      <c r="I74" s="376" t="str">
        <f>IFERROR(VLOOKUP($A74,TableHandbook[],I$2,FALSE),"")</f>
        <v/>
      </c>
      <c r="J74" s="376" t="str">
        <f>IFERROR(VLOOKUP($A74,TableHandbook[],J$2,FALSE),"")</f>
        <v/>
      </c>
      <c r="K74" s="380" t="str">
        <f>IFERROR(VLOOKUP($A74,TableHandbook[],K$2,FALSE),"")</f>
        <v/>
      </c>
      <c r="L74" s="91"/>
      <c r="M74" s="448">
        <v>11</v>
      </c>
      <c r="N74" s="347"/>
      <c r="O74" s="347"/>
      <c r="P74" s="347"/>
      <c r="Q74" s="347"/>
      <c r="R74" s="347"/>
      <c r="S74" s="347"/>
      <c r="T74" s="347"/>
      <c r="U74" s="347"/>
      <c r="V74" s="44"/>
      <c r="W74" s="44"/>
    </row>
    <row r="75" spans="1:23" x14ac:dyDescent="0.25">
      <c r="A75" s="419" t="str">
        <f t="shared" si="0"/>
        <v/>
      </c>
      <c r="B75" s="420" t="str">
        <f>IFERROR(IF(VLOOKUP($A75,TableHandbook[],2,FALSE)=0,"",VLOOKUP($A75,TableHandbook[],2,FALSE)),"")</f>
        <v/>
      </c>
      <c r="C75" s="421" t="str">
        <f>IFERROR(IF(VLOOKUP($A75,TableHandbook[],3,FALSE)=0,"",VLOOKUP($A75,TableHandbook[],3,FALSE)),"")</f>
        <v/>
      </c>
      <c r="D75" s="421" t="str">
        <f>IFERROR(IF(VLOOKUP($A75,TableHandbook[],4,FALSE)=0,"",VLOOKUP($A75,TableHandbook[],4,FALSE)),"")</f>
        <v/>
      </c>
      <c r="E75" s="421"/>
      <c r="F75" s="423" t="str">
        <f>IFERROR(IF(VLOOKUP($A75,TableHandbook[],6,FALSE)=0,"",VLOOKUP($A75,TableHandbook[],6,FALSE)),"")</f>
        <v/>
      </c>
      <c r="G75" s="423" t="str">
        <f>IFERROR(IF(VLOOKUP($A75,TableHandbook[],5,FALSE)=0,"",VLOOKUP($A75,TableHandbook[],5,FALSE)),"")</f>
        <v/>
      </c>
      <c r="H75" s="379" t="str">
        <f>IFERROR(VLOOKUP($A75,TableHandbook[],H$2,FALSE),"")</f>
        <v/>
      </c>
      <c r="I75" s="376" t="str">
        <f>IFERROR(VLOOKUP($A75,TableHandbook[],I$2,FALSE),"")</f>
        <v/>
      </c>
      <c r="J75" s="376" t="str">
        <f>IFERROR(VLOOKUP($A75,TableHandbook[],J$2,FALSE),"")</f>
        <v/>
      </c>
      <c r="K75" s="380" t="str">
        <f>IFERROR(VLOOKUP($A75,TableHandbook[],K$2,FALSE),"")</f>
        <v/>
      </c>
      <c r="L75" s="91"/>
      <c r="M75" s="448">
        <v>12</v>
      </c>
      <c r="N75" s="347"/>
      <c r="O75" s="347"/>
      <c r="P75" s="347"/>
      <c r="Q75" s="347"/>
      <c r="R75" s="347"/>
      <c r="S75" s="347"/>
      <c r="T75" s="347"/>
      <c r="U75" s="347"/>
      <c r="V75" s="44"/>
      <c r="W75" s="44"/>
    </row>
    <row r="76" spans="1:23" x14ac:dyDescent="0.25">
      <c r="A76" s="419" t="str">
        <f t="shared" si="0"/>
        <v/>
      </c>
      <c r="B76" s="420" t="str">
        <f>IFERROR(IF(VLOOKUP($A76,TableHandbook[],2,FALSE)=0,"",VLOOKUP($A76,TableHandbook[],2,FALSE)),"")</f>
        <v/>
      </c>
      <c r="C76" s="421" t="str">
        <f>IFERROR(IF(VLOOKUP($A76,TableHandbook[],3,FALSE)=0,"",VLOOKUP($A76,TableHandbook[],3,FALSE)),"")</f>
        <v/>
      </c>
      <c r="D76" s="421" t="str">
        <f>IFERROR(IF(VLOOKUP($A76,TableHandbook[],4,FALSE)=0,"",VLOOKUP($A76,TableHandbook[],4,FALSE)),"")</f>
        <v/>
      </c>
      <c r="E76" s="421"/>
      <c r="F76" s="423" t="str">
        <f>IFERROR(IF(VLOOKUP($A76,TableHandbook[],6,FALSE)=0,"",VLOOKUP($A76,TableHandbook[],6,FALSE)),"")</f>
        <v/>
      </c>
      <c r="G76" s="423" t="str">
        <f>IFERROR(IF(VLOOKUP($A76,TableHandbook[],5,FALSE)=0,"",VLOOKUP($A76,TableHandbook[],5,FALSE)),"")</f>
        <v/>
      </c>
      <c r="H76" s="379" t="str">
        <f>IFERROR(VLOOKUP($A76,TableHandbook[],H$2,FALSE),"")</f>
        <v/>
      </c>
      <c r="I76" s="376" t="str">
        <f>IFERROR(VLOOKUP($A76,TableHandbook[],I$2,FALSE),"")</f>
        <v/>
      </c>
      <c r="J76" s="376" t="str">
        <f>IFERROR(VLOOKUP($A76,TableHandbook[],J$2,FALSE),"")</f>
        <v/>
      </c>
      <c r="K76" s="380" t="str">
        <f>IFERROR(VLOOKUP($A76,TableHandbook[],K$2,FALSE),"")</f>
        <v/>
      </c>
      <c r="L76" s="91"/>
      <c r="M76" s="448">
        <v>13</v>
      </c>
      <c r="N76" s="347"/>
      <c r="O76" s="347"/>
      <c r="P76" s="347"/>
      <c r="Q76" s="347"/>
      <c r="R76" s="347"/>
      <c r="S76" s="347"/>
      <c r="T76" s="347"/>
      <c r="U76" s="347"/>
      <c r="V76" s="44"/>
      <c r="W76" s="44"/>
    </row>
    <row r="77" spans="1:23" x14ac:dyDescent="0.25">
      <c r="A77" s="419" t="str">
        <f t="shared" si="0"/>
        <v/>
      </c>
      <c r="B77" s="420" t="str">
        <f>IFERROR(IF(VLOOKUP($A77,TableHandbook[],2,FALSE)=0,"",VLOOKUP($A77,TableHandbook[],2,FALSE)),"")</f>
        <v/>
      </c>
      <c r="C77" s="421" t="str">
        <f>IFERROR(IF(VLOOKUP($A77,TableHandbook[],3,FALSE)=0,"",VLOOKUP($A77,TableHandbook[],3,FALSE)),"")</f>
        <v/>
      </c>
      <c r="D77" s="421" t="str">
        <f>IFERROR(IF(VLOOKUP($A77,TableHandbook[],4,FALSE)=0,"",VLOOKUP($A77,TableHandbook[],4,FALSE)),"")</f>
        <v/>
      </c>
      <c r="E77" s="421"/>
      <c r="F77" s="423" t="str">
        <f>IFERROR(IF(VLOOKUP($A77,TableHandbook[],6,FALSE)=0,"",VLOOKUP($A77,TableHandbook[],6,FALSE)),"")</f>
        <v/>
      </c>
      <c r="G77" s="423" t="str">
        <f>IFERROR(IF(VLOOKUP($A77,TableHandbook[],5,FALSE)=0,"",VLOOKUP($A77,TableHandbook[],5,FALSE)),"")</f>
        <v/>
      </c>
      <c r="H77" s="379" t="str">
        <f>IFERROR(VLOOKUP($A77,TableHandbook[],H$2,FALSE),"")</f>
        <v/>
      </c>
      <c r="I77" s="376" t="str">
        <f>IFERROR(VLOOKUP($A77,TableHandbook[],I$2,FALSE),"")</f>
        <v/>
      </c>
      <c r="J77" s="376" t="str">
        <f>IFERROR(VLOOKUP($A77,TableHandbook[],J$2,FALSE),"")</f>
        <v/>
      </c>
      <c r="K77" s="380" t="str">
        <f>IFERROR(VLOOKUP($A77,TableHandbook[],K$2,FALSE),"")</f>
        <v/>
      </c>
      <c r="L77" s="91"/>
      <c r="M77" s="448">
        <v>14</v>
      </c>
      <c r="N77" s="347"/>
      <c r="O77" s="347"/>
      <c r="P77" s="347"/>
      <c r="Q77" s="347"/>
      <c r="R77" s="347"/>
      <c r="S77" s="347"/>
      <c r="T77" s="347"/>
      <c r="U77" s="347"/>
      <c r="V77" s="44"/>
      <c r="W77" s="44"/>
    </row>
    <row r="78" spans="1:23" x14ac:dyDescent="0.25">
      <c r="A78" s="419" t="str">
        <f t="shared" si="0"/>
        <v/>
      </c>
      <c r="B78" s="420" t="str">
        <f>IFERROR(IF(VLOOKUP($A78,TableHandbook[],2,FALSE)=0,"",VLOOKUP($A78,TableHandbook[],2,FALSE)),"")</f>
        <v/>
      </c>
      <c r="C78" s="421" t="str">
        <f>IFERROR(IF(VLOOKUP($A78,TableHandbook[],3,FALSE)=0,"",VLOOKUP($A78,TableHandbook[],3,FALSE)),"")</f>
        <v/>
      </c>
      <c r="D78" s="421" t="str">
        <f>IFERROR(IF(VLOOKUP($A78,TableHandbook[],4,FALSE)=0,"",VLOOKUP($A78,TableHandbook[],4,FALSE)),"")</f>
        <v/>
      </c>
      <c r="E78" s="421"/>
      <c r="F78" s="423" t="str">
        <f>IFERROR(IF(VLOOKUP($A78,TableHandbook[],6,FALSE)=0,"",VLOOKUP($A78,TableHandbook[],6,FALSE)),"")</f>
        <v/>
      </c>
      <c r="G78" s="423" t="str">
        <f>IFERROR(IF(VLOOKUP($A78,TableHandbook[],5,FALSE)=0,"",VLOOKUP($A78,TableHandbook[],5,FALSE)),"")</f>
        <v/>
      </c>
      <c r="H78" s="379" t="str">
        <f>IFERROR(VLOOKUP($A78,TableHandbook[],H$2,FALSE),"")</f>
        <v/>
      </c>
      <c r="I78" s="376" t="str">
        <f>IFERROR(VLOOKUP($A78,TableHandbook[],I$2,FALSE),"")</f>
        <v/>
      </c>
      <c r="J78" s="376" t="str">
        <f>IFERROR(VLOOKUP($A78,TableHandbook[],J$2,FALSE),"")</f>
        <v/>
      </c>
      <c r="K78" s="380" t="str">
        <f>IFERROR(VLOOKUP($A78,TableHandbook[],K$2,FALSE),"")</f>
        <v/>
      </c>
      <c r="L78" s="91"/>
      <c r="M78" s="448">
        <v>15</v>
      </c>
      <c r="N78" s="347"/>
      <c r="O78" s="347"/>
      <c r="P78" s="347"/>
      <c r="Q78" s="347"/>
      <c r="R78" s="347"/>
      <c r="S78" s="347"/>
      <c r="T78" s="347"/>
      <c r="U78" s="347"/>
      <c r="V78" s="44"/>
      <c r="W78" s="44"/>
    </row>
    <row r="79" spans="1:23" x14ac:dyDescent="0.25">
      <c r="A79" s="419" t="str">
        <f t="shared" si="0"/>
        <v/>
      </c>
      <c r="B79" s="420" t="str">
        <f>IFERROR(IF(VLOOKUP($A79,TableHandbook[],2,FALSE)=0,"",VLOOKUP($A79,TableHandbook[],2,FALSE)),"")</f>
        <v/>
      </c>
      <c r="C79" s="421" t="str">
        <f>IFERROR(IF(VLOOKUP($A79,TableHandbook[],3,FALSE)=0,"",VLOOKUP($A79,TableHandbook[],3,FALSE)),"")</f>
        <v/>
      </c>
      <c r="D79" s="421" t="str">
        <f>IFERROR(IF(VLOOKUP($A79,TableHandbook[],4,FALSE)=0,"",VLOOKUP($A79,TableHandbook[],4,FALSE)),"")</f>
        <v/>
      </c>
      <c r="E79" s="421"/>
      <c r="F79" s="423" t="str">
        <f>IFERROR(IF(VLOOKUP($A79,TableHandbook[],6,FALSE)=0,"",VLOOKUP($A79,TableHandbook[],6,FALSE)),"")</f>
        <v/>
      </c>
      <c r="G79" s="423" t="str">
        <f>IFERROR(IF(VLOOKUP($A79,TableHandbook[],5,FALSE)=0,"",VLOOKUP($A79,TableHandbook[],5,FALSE)),"")</f>
        <v/>
      </c>
      <c r="H79" s="379" t="str">
        <f>IFERROR(VLOOKUP($A79,TableHandbook[],H$2,FALSE),"")</f>
        <v/>
      </c>
      <c r="I79" s="376" t="str">
        <f>IFERROR(VLOOKUP($A79,TableHandbook[],I$2,FALSE),"")</f>
        <v/>
      </c>
      <c r="J79" s="376" t="str">
        <f>IFERROR(VLOOKUP($A79,TableHandbook[],J$2,FALSE),"")</f>
        <v/>
      </c>
      <c r="K79" s="380" t="str">
        <f>IFERROR(VLOOKUP($A79,TableHandbook[],K$2,FALSE),"")</f>
        <v/>
      </c>
      <c r="L79" s="91"/>
      <c r="M79" s="448">
        <v>16</v>
      </c>
      <c r="N79" s="347"/>
      <c r="O79" s="347"/>
      <c r="P79" s="347"/>
      <c r="Q79" s="347"/>
      <c r="R79" s="347"/>
      <c r="S79" s="347"/>
      <c r="T79" s="347"/>
      <c r="U79" s="347"/>
      <c r="V79" s="44"/>
      <c r="W79" s="44"/>
    </row>
    <row r="80" spans="1:23" x14ac:dyDescent="0.25">
      <c r="A80" s="419" t="str">
        <f t="shared" si="0"/>
        <v/>
      </c>
      <c r="B80" s="420" t="str">
        <f>IFERROR(IF(VLOOKUP($A80,TableHandbook[],2,FALSE)=0,"",VLOOKUP($A80,TableHandbook[],2,FALSE)),"")</f>
        <v/>
      </c>
      <c r="C80" s="421" t="str">
        <f>IFERROR(IF(VLOOKUP($A80,TableHandbook[],3,FALSE)=0,"",VLOOKUP($A80,TableHandbook[],3,FALSE)),"")</f>
        <v/>
      </c>
      <c r="D80" s="421" t="str">
        <f>IFERROR(IF(VLOOKUP($A80,TableHandbook[],4,FALSE)=0,"",VLOOKUP($A80,TableHandbook[],4,FALSE)),"")</f>
        <v/>
      </c>
      <c r="E80" s="421"/>
      <c r="F80" s="423" t="str">
        <f>IFERROR(IF(VLOOKUP($A80,TableHandbook[],6,FALSE)=0,"",VLOOKUP($A80,TableHandbook[],6,FALSE)),"")</f>
        <v/>
      </c>
      <c r="G80" s="423" t="str">
        <f>IFERROR(IF(VLOOKUP($A80,TableHandbook[],5,FALSE)=0,"",VLOOKUP($A80,TableHandbook[],5,FALSE)),"")</f>
        <v/>
      </c>
      <c r="H80" s="379" t="str">
        <f>IFERROR(VLOOKUP($A80,TableHandbook[],H$2,FALSE),"")</f>
        <v/>
      </c>
      <c r="I80" s="376" t="str">
        <f>IFERROR(VLOOKUP($A80,TableHandbook[],I$2,FALSE),"")</f>
        <v/>
      </c>
      <c r="J80" s="376" t="str">
        <f>IFERROR(VLOOKUP($A80,TableHandbook[],J$2,FALSE),"")</f>
        <v/>
      </c>
      <c r="K80" s="380" t="str">
        <f>IFERROR(VLOOKUP($A80,TableHandbook[],K$2,FALSE),"")</f>
        <v/>
      </c>
      <c r="L80" s="91"/>
      <c r="M80" s="448">
        <v>17</v>
      </c>
      <c r="N80" s="347"/>
      <c r="O80" s="347"/>
      <c r="P80" s="347"/>
      <c r="Q80" s="347"/>
      <c r="R80" s="347"/>
      <c r="S80" s="347"/>
      <c r="T80" s="347"/>
      <c r="U80" s="347"/>
      <c r="V80" s="44"/>
      <c r="W80" s="44"/>
    </row>
    <row r="81" spans="1:23" x14ac:dyDescent="0.25">
      <c r="A81" s="419" t="str">
        <f t="shared" si="0"/>
        <v/>
      </c>
      <c r="B81" s="420" t="str">
        <f>IFERROR(IF(VLOOKUP($A81,TableHandbook[],2,FALSE)=0,"",VLOOKUP($A81,TableHandbook[],2,FALSE)),"")</f>
        <v/>
      </c>
      <c r="C81" s="421" t="str">
        <f>IFERROR(IF(VLOOKUP($A81,TableHandbook[],3,FALSE)=0,"",VLOOKUP($A81,TableHandbook[],3,FALSE)),"")</f>
        <v/>
      </c>
      <c r="D81" s="421" t="str">
        <f>IFERROR(IF(VLOOKUP($A81,TableHandbook[],4,FALSE)=0,"",VLOOKUP($A81,TableHandbook[],4,FALSE)),"")</f>
        <v/>
      </c>
      <c r="E81" s="421"/>
      <c r="F81" s="423" t="str">
        <f>IFERROR(IF(VLOOKUP($A81,TableHandbook[],6,FALSE)=0,"",VLOOKUP($A81,TableHandbook[],6,FALSE)),"")</f>
        <v/>
      </c>
      <c r="G81" s="423" t="str">
        <f>IFERROR(IF(VLOOKUP($A81,TableHandbook[],5,FALSE)=0,"",VLOOKUP($A81,TableHandbook[],5,FALSE)),"")</f>
        <v/>
      </c>
      <c r="H81" s="379" t="str">
        <f>IFERROR(VLOOKUP($A81,TableHandbook[],H$2,FALSE),"")</f>
        <v/>
      </c>
      <c r="I81" s="376" t="str">
        <f>IFERROR(VLOOKUP($A81,TableHandbook[],I$2,FALSE),"")</f>
        <v/>
      </c>
      <c r="J81" s="376" t="str">
        <f>IFERROR(VLOOKUP($A81,TableHandbook[],J$2,FALSE),"")</f>
        <v/>
      </c>
      <c r="K81" s="380" t="str">
        <f>IFERROR(VLOOKUP($A81,TableHandbook[],K$2,FALSE),"")</f>
        <v/>
      </c>
      <c r="L81" s="91"/>
      <c r="M81" s="448">
        <v>18</v>
      </c>
      <c r="N81" s="347"/>
      <c r="O81" s="347"/>
      <c r="P81" s="347"/>
      <c r="Q81" s="347"/>
      <c r="R81" s="347"/>
      <c r="S81" s="347"/>
      <c r="T81" s="347"/>
      <c r="U81" s="347"/>
      <c r="V81" s="44"/>
      <c r="W81" s="44"/>
    </row>
    <row r="82" spans="1:23" x14ac:dyDescent="0.25">
      <c r="A82" s="419" t="str">
        <f t="shared" si="0"/>
        <v/>
      </c>
      <c r="B82" s="420" t="str">
        <f>IFERROR(IF(VLOOKUP($A82,TableHandbook[],2,FALSE)=0,"",VLOOKUP($A82,TableHandbook[],2,FALSE)),"")</f>
        <v/>
      </c>
      <c r="C82" s="421" t="str">
        <f>IFERROR(IF(VLOOKUP($A82,TableHandbook[],3,FALSE)=0,"",VLOOKUP($A82,TableHandbook[],3,FALSE)),"")</f>
        <v/>
      </c>
      <c r="D82" s="421" t="str">
        <f>IFERROR(IF(VLOOKUP($A82,TableHandbook[],4,FALSE)=0,"",VLOOKUP($A82,TableHandbook[],4,FALSE)),"")</f>
        <v/>
      </c>
      <c r="E82" s="421"/>
      <c r="F82" s="423" t="str">
        <f>IFERROR(IF(VLOOKUP($A82,TableHandbook[],6,FALSE)=0,"",VLOOKUP($A82,TableHandbook[],6,FALSE)),"")</f>
        <v/>
      </c>
      <c r="G82" s="423" t="str">
        <f>IFERROR(IF(VLOOKUP($A82,TableHandbook[],5,FALSE)=0,"",VLOOKUP($A82,TableHandbook[],5,FALSE)),"")</f>
        <v/>
      </c>
      <c r="H82" s="379" t="str">
        <f>IFERROR(VLOOKUP($A82,TableHandbook[],H$2,FALSE),"")</f>
        <v/>
      </c>
      <c r="I82" s="376" t="str">
        <f>IFERROR(VLOOKUP($A82,TableHandbook[],I$2,FALSE),"")</f>
        <v/>
      </c>
      <c r="J82" s="376" t="str">
        <f>IFERROR(VLOOKUP($A82,TableHandbook[],J$2,FALSE),"")</f>
        <v/>
      </c>
      <c r="K82" s="380" t="str">
        <f>IFERROR(VLOOKUP($A82,TableHandbook[],K$2,FALSE),"")</f>
        <v/>
      </c>
      <c r="L82" s="91"/>
      <c r="M82" s="448">
        <v>19</v>
      </c>
      <c r="N82" s="347"/>
      <c r="O82" s="347"/>
      <c r="P82" s="347"/>
      <c r="Q82" s="347"/>
      <c r="R82" s="347"/>
      <c r="S82" s="347"/>
      <c r="T82" s="347"/>
      <c r="U82" s="347"/>
      <c r="V82" s="44"/>
      <c r="W82" s="44"/>
    </row>
    <row r="83" spans="1:23" x14ac:dyDescent="0.25">
      <c r="A83" s="419" t="str">
        <f t="shared" si="0"/>
        <v/>
      </c>
      <c r="B83" s="420" t="str">
        <f>IFERROR(IF(VLOOKUP($A83,TableHandbook[],2,FALSE)=0,"",VLOOKUP($A83,TableHandbook[],2,FALSE)),"")</f>
        <v/>
      </c>
      <c r="C83" s="421" t="str">
        <f>IFERROR(IF(VLOOKUP($A83,TableHandbook[],3,FALSE)=0,"",VLOOKUP($A83,TableHandbook[],3,FALSE)),"")</f>
        <v/>
      </c>
      <c r="D83" s="421" t="str">
        <f>IFERROR(IF(VLOOKUP($A83,TableHandbook[],4,FALSE)=0,"",VLOOKUP($A83,TableHandbook[],4,FALSE)),"")</f>
        <v/>
      </c>
      <c r="E83" s="421"/>
      <c r="F83" s="423" t="str">
        <f>IFERROR(IF(VLOOKUP($A83,TableHandbook[],6,FALSE)=0,"",VLOOKUP($A83,TableHandbook[],6,FALSE)),"")</f>
        <v/>
      </c>
      <c r="G83" s="423" t="str">
        <f>IFERROR(IF(VLOOKUP($A83,TableHandbook[],5,FALSE)=0,"",VLOOKUP($A83,TableHandbook[],5,FALSE)),"")</f>
        <v/>
      </c>
      <c r="H83" s="379" t="str">
        <f>IFERROR(VLOOKUP($A83,TableHandbook[],H$2,FALSE),"")</f>
        <v/>
      </c>
      <c r="I83" s="376" t="str">
        <f>IFERROR(VLOOKUP($A83,TableHandbook[],I$2,FALSE),"")</f>
        <v/>
      </c>
      <c r="J83" s="376" t="str">
        <f>IFERROR(VLOOKUP($A83,TableHandbook[],J$2,FALSE),"")</f>
        <v/>
      </c>
      <c r="K83" s="380" t="str">
        <f>IFERROR(VLOOKUP($A83,TableHandbook[],K$2,FALSE),"")</f>
        <v/>
      </c>
      <c r="L83" s="91"/>
      <c r="M83" s="448">
        <v>20</v>
      </c>
      <c r="N83" s="347"/>
      <c r="O83" s="347"/>
      <c r="P83" s="347"/>
      <c r="Q83" s="347"/>
      <c r="R83" s="347"/>
      <c r="S83" s="347"/>
      <c r="T83" s="347"/>
      <c r="U83" s="347"/>
      <c r="V83" s="44"/>
      <c r="W83" s="44"/>
    </row>
    <row r="84" spans="1:23" s="44" customFormat="1" ht="32.25" customHeight="1" x14ac:dyDescent="0.25">
      <c r="A84" s="504" t="s">
        <v>30</v>
      </c>
      <c r="B84" s="504"/>
      <c r="C84" s="504"/>
      <c r="D84" s="504"/>
      <c r="E84" s="504"/>
      <c r="F84" s="504"/>
      <c r="G84" s="504"/>
      <c r="H84" s="504"/>
      <c r="I84" s="504"/>
      <c r="J84" s="504"/>
      <c r="K84" s="504"/>
      <c r="L84" s="504"/>
      <c r="M84" s="347"/>
      <c r="N84" s="347"/>
      <c r="O84" s="347"/>
      <c r="P84" s="347"/>
      <c r="Q84" s="347"/>
      <c r="R84" s="347"/>
      <c r="S84" s="347"/>
      <c r="T84" s="347"/>
      <c r="U84" s="347"/>
    </row>
    <row r="85" spans="1:23" s="57" customFormat="1" ht="24.95" customHeight="1" x14ac:dyDescent="0.3">
      <c r="A85" s="148" t="s">
        <v>31</v>
      </c>
      <c r="B85" s="148"/>
      <c r="C85" s="148"/>
      <c r="D85" s="149"/>
      <c r="E85" s="149"/>
      <c r="F85" s="149"/>
      <c r="G85" s="149"/>
      <c r="H85" s="149"/>
      <c r="I85" s="149"/>
      <c r="J85" s="149"/>
      <c r="K85" s="149"/>
      <c r="L85" s="149"/>
      <c r="M85" s="425"/>
      <c r="N85" s="425"/>
      <c r="O85" s="425"/>
      <c r="P85" s="426"/>
      <c r="Q85" s="426"/>
      <c r="R85" s="426"/>
      <c r="S85" s="426"/>
      <c r="T85" s="426"/>
      <c r="U85" s="426"/>
      <c r="V85" s="56"/>
      <c r="W85" s="56"/>
    </row>
    <row r="86" spans="1:23" s="44" customFormat="1" ht="15" customHeight="1" x14ac:dyDescent="0.25">
      <c r="A86" s="427" t="s">
        <v>32</v>
      </c>
      <c r="B86" s="427"/>
      <c r="C86" s="427"/>
      <c r="D86" s="427"/>
      <c r="E86" s="428"/>
      <c r="F86" s="403"/>
      <c r="G86" s="429"/>
      <c r="H86" s="429"/>
      <c r="I86" s="429"/>
      <c r="J86" s="429"/>
      <c r="K86" s="429"/>
      <c r="L86" s="429" t="s">
        <v>33</v>
      </c>
      <c r="M86" s="347"/>
      <c r="N86" s="347"/>
      <c r="O86" s="347"/>
      <c r="P86" s="347"/>
      <c r="Q86" s="347"/>
      <c r="R86" s="347"/>
      <c r="S86" s="347"/>
      <c r="T86" s="347"/>
      <c r="U86" s="347"/>
    </row>
  </sheetData>
  <sheetProtection formatCells="0"/>
  <mergeCells count="3">
    <mergeCell ref="A3:D3"/>
    <mergeCell ref="A84:L84"/>
    <mergeCell ref="A60:L60"/>
  </mergeCells>
  <conditionalFormatting sqref="A51:L58 A63:L83">
    <cfRule type="expression" dxfId="1075" priority="7">
      <formula>LEFT($D51,8)="Bachelor"</formula>
    </cfRule>
    <cfRule type="expression" dxfId="1074" priority="8">
      <formula>RIGHT($D51,7)="Options"</formula>
    </cfRule>
    <cfRule type="expression" dxfId="1073" priority="9">
      <formula>LEFT($D51,5)="Study"</formula>
    </cfRule>
  </conditionalFormatting>
  <conditionalFormatting sqref="D5:D8">
    <cfRule type="containsText" dxfId="1072" priority="10" operator="containsText" text="Choose">
      <formula>NOT(ISERROR(SEARCH("Choose",D5)))</formula>
    </cfRule>
  </conditionalFormatting>
  <dataValidations count="2">
    <dataValidation type="list" allowBlank="1" showInputMessage="1" showErrorMessage="1" sqref="L25 L15 L35 L45"/>
    <dataValidation type="list" showInputMessage="1" showErrorMessage="1" sqref="D7">
      <formula1>INDIRECT($L$8)</formula1>
    </dataValidation>
  </dataValidations>
  <hyperlinks>
    <hyperlink ref="A85:L85" r:id="rId1" display="If you have any queries about your course, please contact Curtin Connect."/>
    <hyperlink ref="A61:L61" r:id="rId2"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59" fitToHeight="0" orientation="portrait" r:id="rId3"/>
  <rowBreaks count="1" manualBreakCount="1">
    <brk id="62" max="13" man="1"/>
  </rowBreaks>
  <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Unitsets!$A$13:$A$15</xm:f>
          </x14:formula1>
          <xm:sqref>D8</xm:sqref>
        </x14:dataValidation>
        <x14:dataValidation type="list" showInputMessage="1" showErrorMessage="1">
          <x14:formula1>
            <xm:f>UnitsetsSecondary!$A$7:$A$22</xm:f>
          </x14:formula1>
          <xm:sqref>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tint="0.79998168889431442"/>
    <pageSetUpPr fitToPage="1"/>
  </sheetPr>
  <dimension ref="A1:W58"/>
  <sheetViews>
    <sheetView showGridLines="0" topLeftCell="A3" zoomScaleNormal="100" workbookViewId="0">
      <selection activeCell="D9" sqref="D9"/>
    </sheetView>
  </sheetViews>
  <sheetFormatPr defaultColWidth="9" defaultRowHeight="15" x14ac:dyDescent="0.25"/>
  <cols>
    <col min="1" max="1" width="11.375" style="37" customWidth="1"/>
    <col min="2" max="2" width="3.25" style="37" customWidth="1"/>
    <col min="3" max="3" width="5.875" style="37" customWidth="1"/>
    <col min="4" max="4" width="59.25" style="36" bestFit="1" customWidth="1"/>
    <col min="5" max="5" width="7" style="36" customWidth="1"/>
    <col min="6" max="6" width="23.25" style="36" customWidth="1"/>
    <col min="7" max="7" width="5.625" style="36" customWidth="1"/>
    <col min="8" max="11" width="4.625" style="36" customWidth="1"/>
    <col min="12" max="12" width="19.25" style="36" bestFit="1" customWidth="1"/>
    <col min="13" max="13" width="2.375" style="36" hidden="1" customWidth="1"/>
    <col min="14" max="16384" width="9" style="36"/>
  </cols>
  <sheetData>
    <row r="1" spans="1:23" hidden="1" x14ac:dyDescent="0.25">
      <c r="A1" s="163" t="s">
        <v>0</v>
      </c>
      <c r="B1" s="163" t="s">
        <v>1</v>
      </c>
      <c r="C1" s="163" t="s">
        <v>2</v>
      </c>
      <c r="D1" s="164" t="s">
        <v>3</v>
      </c>
      <c r="E1" s="164"/>
      <c r="F1" s="164" t="s">
        <v>4</v>
      </c>
      <c r="G1" s="164" t="s">
        <v>5</v>
      </c>
      <c r="H1" s="164" t="s">
        <v>6</v>
      </c>
      <c r="I1" s="164"/>
      <c r="J1" s="164"/>
      <c r="K1" s="164"/>
      <c r="L1" s="164" t="s">
        <v>7</v>
      </c>
    </row>
    <row r="2" spans="1:23" hidden="1" x14ac:dyDescent="0.25">
      <c r="A2" s="162"/>
      <c r="B2" s="162">
        <v>2</v>
      </c>
      <c r="C2" s="162">
        <v>3</v>
      </c>
      <c r="D2" s="162">
        <v>4</v>
      </c>
      <c r="E2" s="162"/>
      <c r="F2" s="162">
        <v>6</v>
      </c>
      <c r="G2" s="162">
        <v>5</v>
      </c>
      <c r="H2" s="162">
        <v>7</v>
      </c>
      <c r="I2" s="162">
        <v>8</v>
      </c>
      <c r="J2" s="162">
        <v>10</v>
      </c>
      <c r="K2" s="162">
        <v>11</v>
      </c>
      <c r="L2" s="162"/>
    </row>
    <row r="3" spans="1:23" ht="39.950000000000003" customHeight="1" x14ac:dyDescent="0.25">
      <c r="A3" s="503" t="s">
        <v>8</v>
      </c>
      <c r="B3" s="503"/>
      <c r="C3" s="503"/>
      <c r="D3" s="503"/>
      <c r="E3" s="346"/>
      <c r="F3" s="346"/>
      <c r="G3" s="346"/>
      <c r="H3" s="346"/>
      <c r="I3" s="346"/>
      <c r="J3" s="346"/>
      <c r="K3" s="346"/>
      <c r="L3" s="346"/>
      <c r="M3" s="347"/>
      <c r="N3" s="347"/>
      <c r="O3" s="347"/>
      <c r="P3" s="347"/>
      <c r="Q3" s="347"/>
      <c r="R3" s="347"/>
      <c r="S3" s="347"/>
      <c r="T3" s="347"/>
      <c r="U3" s="347"/>
    </row>
    <row r="4" spans="1:23" ht="26.25" x14ac:dyDescent="0.25">
      <c r="A4" s="348"/>
      <c r="B4" s="349"/>
      <c r="C4" s="349"/>
      <c r="D4" s="350"/>
      <c r="E4" s="351" t="s">
        <v>9</v>
      </c>
      <c r="F4" s="349"/>
      <c r="G4" s="352"/>
      <c r="H4" s="352"/>
      <c r="I4" s="352"/>
      <c r="J4" s="352"/>
      <c r="K4" s="352"/>
      <c r="L4" s="445"/>
      <c r="M4" s="347"/>
      <c r="N4" s="347"/>
      <c r="O4" s="347"/>
      <c r="P4" s="347"/>
      <c r="Q4" s="347"/>
      <c r="R4" s="347"/>
      <c r="S4" s="347"/>
      <c r="T4" s="347"/>
      <c r="U4" s="347"/>
    </row>
    <row r="5" spans="1:23" ht="20.100000000000001" customHeight="1" x14ac:dyDescent="0.25">
      <c r="A5" s="354"/>
      <c r="B5" s="355"/>
      <c r="C5" s="356" t="s">
        <v>10</v>
      </c>
      <c r="D5" s="485" t="s">
        <v>79</v>
      </c>
      <c r="E5" s="358"/>
      <c r="F5" s="356" t="s">
        <v>12</v>
      </c>
      <c r="G5" s="358" t="str">
        <f>IFERROR(CONCATENATE(VLOOKUP(D5,TableCourses[],2,FALSE)," ",VLOOKUP(D5,TableCourses[],3,FALSE)),"")</f>
        <v>B-EDSC v.4</v>
      </c>
      <c r="H5" s="358"/>
      <c r="I5" s="358"/>
      <c r="J5" s="358"/>
      <c r="K5" s="358"/>
      <c r="L5" s="432" t="e">
        <f>CONCATENATE(VLOOKUP(D5,TableCourseSecondary[],2,FALSE),VLOOKUP(D8,TableStudyPeriods[],2,FALSE))</f>
        <v>#N/A</v>
      </c>
      <c r="M5" s="347"/>
      <c r="N5" s="347"/>
      <c r="O5" s="347"/>
      <c r="P5" s="347"/>
      <c r="Q5" s="347"/>
      <c r="R5" s="347"/>
      <c r="S5" s="347"/>
      <c r="T5" s="347"/>
      <c r="U5" s="347"/>
    </row>
    <row r="6" spans="1:23" ht="20.100000000000001" customHeight="1" x14ac:dyDescent="0.25">
      <c r="A6" s="354"/>
      <c r="B6" s="355"/>
      <c r="C6" s="356" t="s">
        <v>173</v>
      </c>
      <c r="D6" s="480" t="s">
        <v>527</v>
      </c>
      <c r="E6" s="358"/>
      <c r="F6" s="356" t="s">
        <v>175</v>
      </c>
      <c r="G6" s="358" t="str">
        <f>IFERROR(CONCATENATE(VLOOKUP(D6,TableMajors[],2,FALSE)," ",VLOOKUP(D6,TableMajors[],3,FALSE)),"")</f>
        <v/>
      </c>
      <c r="H6" s="358"/>
      <c r="I6" s="358"/>
      <c r="J6" s="358"/>
      <c r="K6" s="347"/>
      <c r="L6" s="432" t="e">
        <f>CONCATENATE(VLOOKUP(D6,TableMajors[],2,FALSE),VLOOKUP(D8,TableStudyPeriods[],2,FALSE))</f>
        <v>#N/A</v>
      </c>
      <c r="M6" s="347"/>
      <c r="N6" s="347"/>
      <c r="O6" s="347"/>
      <c r="P6" s="347"/>
      <c r="Q6" s="347"/>
      <c r="R6" s="347"/>
      <c r="S6" s="347"/>
      <c r="T6" s="347"/>
      <c r="U6" s="347"/>
    </row>
    <row r="7" spans="1:23" ht="20.100000000000001" customHeight="1" x14ac:dyDescent="0.25">
      <c r="A7" s="354"/>
      <c r="B7" s="355"/>
      <c r="C7" s="446" t="s">
        <v>176</v>
      </c>
      <c r="D7" s="486" t="s">
        <v>184</v>
      </c>
      <c r="E7" s="358"/>
      <c r="F7" s="356" t="s">
        <v>178</v>
      </c>
      <c r="G7" s="358" t="str">
        <f>IFERROR(CONCATENATE(VLOOKUP(D7,TableStreams[],2,FALSE)," ",VLOOKUP(D7,TableStreams[],3,FALSE)),"")</f>
        <v>STRU-MATHM v.2</v>
      </c>
      <c r="H7" s="358"/>
      <c r="I7" s="358"/>
      <c r="J7" s="358"/>
      <c r="K7" s="487"/>
      <c r="L7" s="432" t="e">
        <f>IF(OR(LEFT(L6,10)="MJRU-HLTPE",LEFT(L6,10)="MJRU-SCIPH"),L6,CONCATENATE(VLOOKUP(D7,TableStreams[],2,FALSE),VLOOKUP(D8,TableStudyPeriods[],2,FALSE)))</f>
        <v>#N/A</v>
      </c>
      <c r="M7" s="347"/>
      <c r="N7" s="347"/>
      <c r="O7" s="347"/>
      <c r="P7" s="347"/>
      <c r="Q7" s="347"/>
      <c r="R7" s="347"/>
      <c r="S7" s="347"/>
      <c r="T7" s="347"/>
      <c r="U7" s="347"/>
    </row>
    <row r="8" spans="1:23" ht="20.100000000000001" customHeight="1" x14ac:dyDescent="0.25">
      <c r="A8" s="360"/>
      <c r="B8" s="361"/>
      <c r="C8" s="356" t="s">
        <v>13</v>
      </c>
      <c r="D8" s="430" t="s">
        <v>952</v>
      </c>
      <c r="E8" s="362"/>
      <c r="F8" s="356" t="s">
        <v>14</v>
      </c>
      <c r="G8" s="358" t="str">
        <f>IFERROR(VLOOKUP($D$5,TableCourses[],4,FALSE),"")</f>
        <v xml:space="preserve">800 credit points required </v>
      </c>
      <c r="H8" s="363"/>
      <c r="I8" s="363"/>
      <c r="J8" s="363"/>
      <c r="K8" s="363"/>
      <c r="L8" s="447" t="s">
        <v>185</v>
      </c>
      <c r="M8" s="347"/>
      <c r="N8" s="347"/>
      <c r="O8" s="347"/>
      <c r="P8" s="347"/>
      <c r="Q8" s="347"/>
      <c r="R8" s="347"/>
      <c r="S8" s="347"/>
      <c r="T8" s="347"/>
      <c r="U8" s="347"/>
      <c r="V8" s="44"/>
      <c r="W8" s="44"/>
    </row>
    <row r="9" spans="1:23" s="47" customFormat="1" ht="14.1" customHeight="1" x14ac:dyDescent="0.25">
      <c r="A9" s="364"/>
      <c r="B9" s="364"/>
      <c r="C9" s="364"/>
      <c r="D9" s="365"/>
      <c r="E9" s="366"/>
      <c r="F9" s="364"/>
      <c r="G9" s="364"/>
      <c r="H9" s="367" t="s">
        <v>15</v>
      </c>
      <c r="I9" s="368"/>
      <c r="J9" s="368"/>
      <c r="K9" s="369"/>
      <c r="L9" s="366"/>
      <c r="M9" s="370"/>
      <c r="N9" s="370"/>
      <c r="O9" s="370"/>
      <c r="P9" s="371"/>
      <c r="Q9" s="371"/>
      <c r="R9" s="371"/>
      <c r="S9" s="371"/>
      <c r="T9" s="371"/>
      <c r="U9" s="371"/>
      <c r="V9" s="46"/>
      <c r="W9" s="46"/>
    </row>
    <row r="10" spans="1:23" s="47" customFormat="1" ht="21" x14ac:dyDescent="0.25">
      <c r="A10" s="364" t="s">
        <v>16</v>
      </c>
      <c r="B10" s="364"/>
      <c r="C10" s="364"/>
      <c r="D10" s="365" t="s">
        <v>3</v>
      </c>
      <c r="E10" s="372" t="s">
        <v>17</v>
      </c>
      <c r="F10" s="364" t="s">
        <v>18</v>
      </c>
      <c r="G10" s="364" t="s">
        <v>19</v>
      </c>
      <c r="H10" s="373" t="s">
        <v>921</v>
      </c>
      <c r="I10" s="372" t="s">
        <v>20</v>
      </c>
      <c r="J10" s="372" t="s">
        <v>22</v>
      </c>
      <c r="K10" s="374" t="s">
        <v>23</v>
      </c>
      <c r="L10" s="364" t="s">
        <v>25</v>
      </c>
      <c r="M10" s="370"/>
      <c r="N10" s="370"/>
      <c r="O10" s="370"/>
      <c r="P10" s="371"/>
      <c r="Q10" s="371"/>
      <c r="R10" s="371"/>
      <c r="S10" s="371"/>
      <c r="T10" s="371"/>
      <c r="U10" s="371"/>
      <c r="V10" s="46"/>
      <c r="W10" s="46"/>
    </row>
    <row r="11" spans="1:23" s="50" customFormat="1" ht="20.100000000000001" customHeight="1" x14ac:dyDescent="0.15">
      <c r="A11" s="375" t="str">
        <f>IFERROR(IF(HLOOKUP($L$5,RangeUnitSetsSec,M11,FALSE)=0,"",HLOOKUP($L$5,RangeUnitSetsSec,M11,FALSE)),"")</f>
        <v/>
      </c>
      <c r="B11" s="376" t="str">
        <f>IFERROR(IF(VLOOKUP($A11,TableHandbook[],B$2,FALSE)=0,"",VLOOKUP($A11,TableHandbook[],B$2,FALSE)),"")</f>
        <v/>
      </c>
      <c r="C11" s="376" t="str">
        <f>IFERROR(IF(VLOOKUP($A11,TableHandbook[],C$2,FALSE)=0,"",VLOOKUP($A11,TableHandbook[],C$2,FALSE)),"")</f>
        <v/>
      </c>
      <c r="D11" s="377" t="str">
        <f>IFERROR(IF(VLOOKUP($A11,TableHandbook[],D$2,FALSE)=0,"",VLOOKUP($A11,TableHandbook[],D$2,FALSE)),"")</f>
        <v/>
      </c>
      <c r="E11" s="376" t="str">
        <f>IF(OR(A11="",A11="--"),"",VLOOKUP($D$8,TableStudyPeriods[],2,FALSE))</f>
        <v/>
      </c>
      <c r="F11" s="378" t="str">
        <f>IFERROR(IF(VLOOKUP($A11,TableHandbook[],F$2,FALSE)=0,"",VLOOKUP($A11,TableHandbook[],F$2,FALSE)),"")</f>
        <v/>
      </c>
      <c r="G11" s="376" t="str">
        <f>IFERROR(IF(VLOOKUP($A11,TableHandbook[],G$2,FALSE)=0,"",VLOOKUP($A11,TableHandbook[],G$2,FALSE)),"")</f>
        <v/>
      </c>
      <c r="H11" s="379" t="str">
        <f>IFERROR(VLOOKUP($A11,TableHandbook[],H$2,FALSE),"")</f>
        <v/>
      </c>
      <c r="I11" s="376" t="str">
        <f>IFERROR(VLOOKUP($A11,TableHandbook[],I$2,FALSE),"")</f>
        <v/>
      </c>
      <c r="J11" s="376" t="str">
        <f>IFERROR(VLOOKUP($A11,TableHandbook[],J$2,FALSE),"")</f>
        <v/>
      </c>
      <c r="K11" s="380" t="str">
        <f>IFERROR(VLOOKUP($A11,TableHandbook[],K$2,FALSE),"")</f>
        <v/>
      </c>
      <c r="L11" s="90"/>
      <c r="M11" s="448">
        <v>2</v>
      </c>
      <c r="N11" s="382"/>
      <c r="O11" s="382"/>
      <c r="P11" s="383"/>
      <c r="Q11" s="383"/>
      <c r="R11" s="383"/>
      <c r="S11" s="383"/>
      <c r="T11" s="383"/>
      <c r="U11" s="383"/>
      <c r="V11" s="49"/>
      <c r="W11" s="49"/>
    </row>
    <row r="12" spans="1:23" s="50" customFormat="1" ht="20.100000000000001" customHeight="1" x14ac:dyDescent="0.15">
      <c r="A12" s="375" t="str">
        <f>IFERROR(IF(HLOOKUP($L$5,RangeUnitSetsSec,M12,FALSE)=0,"",HLOOKUP($L$5,RangeUnitSetsSec,M12,FALSE)),"")</f>
        <v/>
      </c>
      <c r="B12" s="376" t="str">
        <f>IFERROR(IF(VLOOKUP($A12,TableHandbook[],B$2,FALSE)=0,"",VLOOKUP($A12,TableHandbook[],B$2,FALSE)),"")</f>
        <v/>
      </c>
      <c r="C12" s="376" t="str">
        <f>IFERROR(IF(VLOOKUP($A12,TableHandbook[],C$2,FALSE)=0,"",VLOOKUP($A12,TableHandbook[],C$2,FALSE)),"")</f>
        <v/>
      </c>
      <c r="D12" s="377" t="str">
        <f>IFERROR(IF(VLOOKUP($A12,TableHandbook[],D$2,FALSE)=0,"",VLOOKUP($A12,TableHandbook[],D$2,FALSE)),"")</f>
        <v/>
      </c>
      <c r="E12" s="376" t="str">
        <f>IF(A12="","",E11)</f>
        <v/>
      </c>
      <c r="F12" s="378" t="str">
        <f>IFERROR(IF(VLOOKUP($A12,TableHandbook[],F$2,FALSE)=0,"",VLOOKUP($A12,TableHandbook[],F$2,FALSE)),"")</f>
        <v/>
      </c>
      <c r="G12" s="376" t="str">
        <f>IFERROR(IF(VLOOKUP($A12,TableHandbook[],G$2,FALSE)=0,"",VLOOKUP($A12,TableHandbook[],G$2,FALSE)),"")</f>
        <v/>
      </c>
      <c r="H12" s="379" t="str">
        <f>IFERROR(VLOOKUP($A12,TableHandbook[],H$2,FALSE),"")</f>
        <v/>
      </c>
      <c r="I12" s="376" t="str">
        <f>IFERROR(VLOOKUP($A12,TableHandbook[],I$2,FALSE),"")</f>
        <v/>
      </c>
      <c r="J12" s="376" t="str">
        <f>IFERROR(VLOOKUP($A12,TableHandbook[],J$2,FALSE),"")</f>
        <v/>
      </c>
      <c r="K12" s="380" t="str">
        <f>IFERROR(VLOOKUP($A12,TableHandbook[],K$2,FALSE),"")</f>
        <v/>
      </c>
      <c r="L12" s="90"/>
      <c r="M12" s="448">
        <v>3</v>
      </c>
      <c r="N12" s="382"/>
      <c r="O12" s="382"/>
      <c r="P12" s="383"/>
      <c r="Q12" s="383"/>
      <c r="R12" s="383"/>
      <c r="S12" s="383"/>
      <c r="T12" s="383"/>
      <c r="U12" s="383"/>
      <c r="V12" s="49"/>
      <c r="W12" s="49"/>
    </row>
    <row r="13" spans="1:23" s="50" customFormat="1" ht="20.100000000000001" customHeight="1" x14ac:dyDescent="0.15">
      <c r="A13" s="375" t="str">
        <f>IFERROR(IF(HLOOKUP($L$5,RangeUnitSetsSec,M13,FALSE)=0,"",HLOOKUP($L$5,RangeUnitSetsSec,M13,FALSE)),"")</f>
        <v/>
      </c>
      <c r="B13" s="376" t="str">
        <f>IFERROR(IF(VLOOKUP($A13,TableHandbook[],B$2,FALSE)=0,"",VLOOKUP($A13,TableHandbook[],B$2,FALSE)),"")</f>
        <v/>
      </c>
      <c r="C13" s="376" t="str">
        <f>IFERROR(IF(VLOOKUP($A13,TableHandbook[],C$2,FALSE)=0,"",VLOOKUP($A13,TableHandbook[],C$2,FALSE)),"")</f>
        <v/>
      </c>
      <c r="D13" s="377" t="str">
        <f>IFERROR(IF(VLOOKUP($A13,TableHandbook[],D$2,FALSE)=0,"",VLOOKUP($A13,TableHandbook[],D$2,FALSE)),"")</f>
        <v/>
      </c>
      <c r="E13" s="376" t="str">
        <f>IF(A13="","",E12)</f>
        <v/>
      </c>
      <c r="F13" s="378" t="str">
        <f>IFERROR(IF(VLOOKUP($A13,TableHandbook[],F$2,FALSE)=0,"",VLOOKUP($A13,TableHandbook[],F$2,FALSE)),"")</f>
        <v/>
      </c>
      <c r="G13" s="376" t="str">
        <f>IFERROR(IF(VLOOKUP($A13,TableHandbook[],G$2,FALSE)=0,"",VLOOKUP($A13,TableHandbook[],G$2,FALSE)),"")</f>
        <v/>
      </c>
      <c r="H13" s="379" t="str">
        <f>IFERROR(VLOOKUP($A13,TableHandbook[],H$2,FALSE),"")</f>
        <v/>
      </c>
      <c r="I13" s="376" t="str">
        <f>IFERROR(VLOOKUP($A13,TableHandbook[],I$2,FALSE),"")</f>
        <v/>
      </c>
      <c r="J13" s="376" t="str">
        <f>IFERROR(VLOOKUP($A13,TableHandbook[],J$2,FALSE),"")</f>
        <v/>
      </c>
      <c r="K13" s="380" t="str">
        <f>IFERROR(VLOOKUP($A13,TableHandbook[],K$2,FALSE),"")</f>
        <v/>
      </c>
      <c r="L13" s="91"/>
      <c r="M13" s="448">
        <v>4</v>
      </c>
      <c r="N13" s="382"/>
      <c r="O13" s="382"/>
      <c r="P13" s="383"/>
      <c r="Q13" s="383"/>
      <c r="R13" s="383"/>
      <c r="S13" s="383"/>
      <c r="T13" s="383"/>
      <c r="U13" s="383"/>
      <c r="V13" s="49"/>
      <c r="W13" s="49"/>
    </row>
    <row r="14" spans="1:23" s="50" customFormat="1" ht="20.100000000000001" customHeight="1" x14ac:dyDescent="0.15">
      <c r="A14" s="375" t="str">
        <f>IFERROR(IF(HLOOKUP($L$5,RangeUnitSetsSec,M14,FALSE)=0,"",HLOOKUP($L$5,RangeUnitSetsSec,M14,FALSE)),"")</f>
        <v/>
      </c>
      <c r="B14" s="376" t="str">
        <f>IFERROR(IF(VLOOKUP($A14,TableHandbook[],B$2,FALSE)=0,"",VLOOKUP($A14,TableHandbook[],B$2,FALSE)),"")</f>
        <v/>
      </c>
      <c r="C14" s="376" t="str">
        <f>IFERROR(IF(VLOOKUP($A14,TableHandbook[],C$2,FALSE)=0,"",VLOOKUP($A14,TableHandbook[],C$2,FALSE)),"")</f>
        <v/>
      </c>
      <c r="D14" s="377" t="str">
        <f>IFERROR(IF(VLOOKUP($A14,TableHandbook[],D$2,FALSE)=0,"",VLOOKUP($A14,TableHandbook[],D$2,FALSE)),"")</f>
        <v/>
      </c>
      <c r="E14" s="376" t="str">
        <f>IF(A14="","",E13)</f>
        <v/>
      </c>
      <c r="F14" s="378" t="str">
        <f>IFERROR(IF(VLOOKUP($A14,TableHandbook[],F$2,FALSE)=0,"",VLOOKUP($A14,TableHandbook[],F$2,FALSE)),"")</f>
        <v/>
      </c>
      <c r="G14" s="376" t="str">
        <f>IFERROR(IF(VLOOKUP($A14,TableHandbook[],G$2,FALSE)=0,"",VLOOKUP($A14,TableHandbook[],G$2,FALSE)),"")</f>
        <v/>
      </c>
      <c r="H14" s="379" t="str">
        <f>IFERROR(VLOOKUP($A14,TableHandbook[],H$2,FALSE),"")</f>
        <v/>
      </c>
      <c r="I14" s="376" t="str">
        <f>IFERROR(VLOOKUP($A14,TableHandbook[],I$2,FALSE),"")</f>
        <v/>
      </c>
      <c r="J14" s="376" t="str">
        <f>IFERROR(VLOOKUP($A14,TableHandbook[],J$2,FALSE),"")</f>
        <v/>
      </c>
      <c r="K14" s="380" t="str">
        <f>IFERROR(VLOOKUP($A14,TableHandbook[],K$2,FALSE),"")</f>
        <v/>
      </c>
      <c r="L14" s="90"/>
      <c r="M14" s="448">
        <v>5</v>
      </c>
      <c r="N14" s="382"/>
      <c r="O14" s="382"/>
      <c r="P14" s="383"/>
      <c r="Q14" s="383"/>
      <c r="R14" s="383"/>
      <c r="S14" s="383"/>
      <c r="T14" s="383"/>
      <c r="U14" s="383"/>
      <c r="V14" s="49"/>
      <c r="W14" s="49"/>
    </row>
    <row r="15" spans="1:23" s="50" customFormat="1" ht="5.0999999999999996" customHeight="1" x14ac:dyDescent="0.15">
      <c r="A15" s="386"/>
      <c r="B15" s="387"/>
      <c r="C15" s="387"/>
      <c r="D15" s="388"/>
      <c r="E15" s="387"/>
      <c r="F15" s="389"/>
      <c r="G15" s="387"/>
      <c r="H15" s="390"/>
      <c r="I15" s="387"/>
      <c r="J15" s="387"/>
      <c r="K15" s="391"/>
      <c r="L15" s="391"/>
      <c r="M15" s="448"/>
      <c r="N15" s="382"/>
      <c r="O15" s="382"/>
      <c r="P15" s="382"/>
      <c r="Q15" s="383"/>
      <c r="R15" s="383"/>
      <c r="S15" s="383"/>
      <c r="T15" s="383"/>
      <c r="U15" s="383"/>
      <c r="V15" s="49"/>
      <c r="W15" s="49"/>
    </row>
    <row r="16" spans="1:23" s="50" customFormat="1" ht="20.100000000000001" customHeight="1" x14ac:dyDescent="0.15">
      <c r="A16" s="375" t="str">
        <f>IFERROR(IF(HLOOKUP($L$5,RangeUnitSetsSec,M16,FALSE)=0,"",HLOOKUP($L$5,RangeUnitSetsSec,M16,FALSE)),"")</f>
        <v/>
      </c>
      <c r="B16" s="393" t="str">
        <f>IFERROR(IF(VLOOKUP($A16,TableHandbook[],B$2,FALSE)=0,"",VLOOKUP($A16,TableHandbook[],B$2,FALSE)),"")</f>
        <v/>
      </c>
      <c r="C16" s="393" t="str">
        <f>IFERROR(IF(VLOOKUP($A16,TableHandbook[],C$2,FALSE)=0,"",VLOOKUP($A16,TableHandbook[],C$2,FALSE)),"")</f>
        <v/>
      </c>
      <c r="D16" s="377" t="str">
        <f>IFERROR(IF(VLOOKUP($A16,TableHandbook[],D$2,FALSE)=0,"",VLOOKUP($A16,TableHandbook[],D$2,FALSE)),"")</f>
        <v/>
      </c>
      <c r="E16" s="376" t="str">
        <f>IF(OR(A16="",A16="--"),"",VLOOKUP($D$8,TableStudyPeriods[],3,FALSE))</f>
        <v/>
      </c>
      <c r="F16" s="378" t="str">
        <f>IFERROR(IF(VLOOKUP($A16,TableHandbook[],F$2,FALSE)=0,"",VLOOKUP($A16,TableHandbook[],F$2,FALSE)),"")</f>
        <v/>
      </c>
      <c r="G16" s="393" t="str">
        <f>IFERROR(IF(VLOOKUP($A16,TableHandbook[],G$2,FALSE)=0,"",VLOOKUP($A16,TableHandbook[],G$2,FALSE)),"")</f>
        <v/>
      </c>
      <c r="H16" s="394" t="str">
        <f>IFERROR(VLOOKUP($A16,TableHandbook[],H$2,FALSE),"")</f>
        <v/>
      </c>
      <c r="I16" s="393" t="str">
        <f>IFERROR(VLOOKUP($A16,TableHandbook[],I$2,FALSE),"")</f>
        <v/>
      </c>
      <c r="J16" s="393" t="str">
        <f>IFERROR(VLOOKUP($A16,TableHandbook[],J$2,FALSE),"")</f>
        <v/>
      </c>
      <c r="K16" s="395" t="str">
        <f>IFERROR(VLOOKUP($A16,TableHandbook[],K$2,FALSE),"")</f>
        <v/>
      </c>
      <c r="L16" s="91"/>
      <c r="M16" s="448">
        <v>6</v>
      </c>
      <c r="N16" s="382"/>
      <c r="O16" s="382"/>
      <c r="P16" s="383"/>
      <c r="Q16" s="383"/>
      <c r="R16" s="383"/>
      <c r="S16" s="383"/>
      <c r="T16" s="383"/>
      <c r="U16" s="383"/>
      <c r="V16" s="49"/>
      <c r="W16" s="49"/>
    </row>
    <row r="17" spans="1:23" s="54" customFormat="1" ht="20.100000000000001" customHeight="1" x14ac:dyDescent="0.15">
      <c r="A17" s="375" t="str">
        <f>IFERROR(IF(HLOOKUP($L$5,RangeUnitSetsSec,M17,FALSE)=0,"",HLOOKUP($L$5,RangeUnitSetsSec,M17,FALSE)),"")</f>
        <v/>
      </c>
      <c r="B17" s="393" t="str">
        <f>IFERROR(IF(VLOOKUP($A17,TableHandbook[],B$2,FALSE)=0,"",VLOOKUP($A17,TableHandbook[],B$2,FALSE)),"")</f>
        <v/>
      </c>
      <c r="C17" s="393" t="str">
        <f>IFERROR(IF(VLOOKUP($A17,TableHandbook[],C$2,FALSE)=0,"",VLOOKUP($A17,TableHandbook[],C$2,FALSE)),"")</f>
        <v/>
      </c>
      <c r="D17" s="377" t="str">
        <f>IFERROR(IF(VLOOKUP($A17,TableHandbook[],D$2,FALSE)=0,"",VLOOKUP($A17,TableHandbook[],D$2,FALSE)),"")</f>
        <v/>
      </c>
      <c r="E17" s="376" t="str">
        <f>IF(A17="","",E16)</f>
        <v/>
      </c>
      <c r="F17" s="378" t="str">
        <f>IFERROR(IF(VLOOKUP($A17,TableHandbook[],F$2,FALSE)=0,"",VLOOKUP($A17,TableHandbook[],F$2,FALSE)),"")</f>
        <v/>
      </c>
      <c r="G17" s="393" t="str">
        <f>IFERROR(IF(VLOOKUP($A17,TableHandbook[],G$2,FALSE)=0,"",VLOOKUP($A17,TableHandbook[],G$2,FALSE)),"")</f>
        <v/>
      </c>
      <c r="H17" s="394" t="str">
        <f>IFERROR(VLOOKUP($A17,TableHandbook[],H$2,FALSE),"")</f>
        <v/>
      </c>
      <c r="I17" s="393" t="str">
        <f>IFERROR(VLOOKUP($A17,TableHandbook[],I$2,FALSE),"")</f>
        <v/>
      </c>
      <c r="J17" s="393" t="str">
        <f>IFERROR(VLOOKUP($A17,TableHandbook[],J$2,FALSE),"")</f>
        <v/>
      </c>
      <c r="K17" s="395" t="str">
        <f>IFERROR(VLOOKUP($A17,TableHandbook[],K$2,FALSE),"")</f>
        <v/>
      </c>
      <c r="L17" s="91"/>
      <c r="M17" s="448">
        <v>7</v>
      </c>
      <c r="N17" s="396"/>
      <c r="O17" s="396"/>
      <c r="P17" s="397"/>
      <c r="Q17" s="397"/>
      <c r="R17" s="397"/>
      <c r="S17" s="397"/>
      <c r="T17" s="397"/>
      <c r="U17" s="397"/>
      <c r="V17" s="53"/>
      <c r="W17" s="53"/>
    </row>
    <row r="18" spans="1:23" s="54" customFormat="1" ht="20.100000000000001" customHeight="1" x14ac:dyDescent="0.15">
      <c r="A18" s="449" t="str">
        <f>IFERROR(IF(HLOOKUP($L$6,RangeMajorsSec,M18,FALSE)=0,"",HLOOKUP($L$6,RangeMajorsSec,M18,FALSE)),"")</f>
        <v/>
      </c>
      <c r="B18" s="450" t="str">
        <f>IFERROR(IF(VLOOKUP($A18,TableHandbook[],B$2,FALSE)=0,"",VLOOKUP($A18,TableHandbook[],B$2,FALSE)),"")</f>
        <v/>
      </c>
      <c r="C18" s="450" t="str">
        <f>IFERROR(IF(VLOOKUP($A18,TableHandbook[],C$2,FALSE)=0,"",VLOOKUP($A18,TableHandbook[],C$2,FALSE)),"")</f>
        <v/>
      </c>
      <c r="D18" s="451" t="str">
        <f>IFERROR(IF(VLOOKUP($A18,TableHandbook[],D$2,FALSE)=0,"",VLOOKUP($A18,TableHandbook[],D$2,FALSE)),"")</f>
        <v/>
      </c>
      <c r="E18" s="450" t="str">
        <f>IF(A18="","",E17)</f>
        <v/>
      </c>
      <c r="F18" s="452" t="str">
        <f>IFERROR(IF(VLOOKUP($A18,TableHandbook[],F$2,FALSE)=0,"",VLOOKUP($A18,TableHandbook[],F$2,FALSE)),"")</f>
        <v/>
      </c>
      <c r="G18" s="450" t="str">
        <f>IFERROR(IF(VLOOKUP($A18,TableHandbook[],G$2,FALSE)=0,"",VLOOKUP($A18,TableHandbook[],G$2,FALSE)),"")</f>
        <v/>
      </c>
      <c r="H18" s="453" t="str">
        <f>IFERROR(VLOOKUP($A18,TableHandbook[],H$2,FALSE),"")</f>
        <v/>
      </c>
      <c r="I18" s="450" t="str">
        <f>IFERROR(VLOOKUP($A18,TableHandbook[],I$2,FALSE),"")</f>
        <v/>
      </c>
      <c r="J18" s="450" t="str">
        <f>IFERROR(VLOOKUP($A18,TableHandbook[],J$2,FALSE),"")</f>
        <v/>
      </c>
      <c r="K18" s="454" t="str">
        <f>IFERROR(VLOOKUP($A18,TableHandbook[],K$2,FALSE),"")</f>
        <v/>
      </c>
      <c r="L18" s="215"/>
      <c r="M18" s="455">
        <v>2</v>
      </c>
      <c r="N18" s="396"/>
      <c r="O18" s="396"/>
      <c r="P18" s="397"/>
      <c r="Q18" s="397"/>
      <c r="R18" s="397"/>
      <c r="S18" s="397"/>
      <c r="T18" s="397"/>
      <c r="U18" s="397"/>
      <c r="V18" s="53"/>
      <c r="W18" s="53"/>
    </row>
    <row r="19" spans="1:23" s="54" customFormat="1" ht="20.100000000000001" customHeight="1" x14ac:dyDescent="0.15">
      <c r="A19" s="488" t="str">
        <f>IFERROR(IF(HLOOKUP($L$7,RangeMathNoMethods,M19,FALSE)=0,"",HLOOKUP($L$7,RangeMathNoMethods,M19,FALSE)),"")</f>
        <v/>
      </c>
      <c r="B19" s="489" t="str">
        <f>IFERROR(IF(VLOOKUP($A19,TableHandbook[],B$2,FALSE)=0,"",VLOOKUP($A19,TableHandbook[],B$2,FALSE)),"")</f>
        <v/>
      </c>
      <c r="C19" s="489" t="str">
        <f>IFERROR(IF(VLOOKUP($A19,TableHandbook[],C$2,FALSE)=0,"",VLOOKUP($A19,TableHandbook[],C$2,FALSE)),"")</f>
        <v/>
      </c>
      <c r="D19" s="490" t="str">
        <f>IFERROR(IF(VLOOKUP($A19,TableHandbook[],D$2,FALSE)=0,"",VLOOKUP($A19,TableHandbook[],D$2,FALSE)),"")</f>
        <v/>
      </c>
      <c r="E19" s="489" t="str">
        <f>IF(A19="","",E18)</f>
        <v/>
      </c>
      <c r="F19" s="491" t="str">
        <f>IFERROR(IF(VLOOKUP($A19,TableHandbook[],F$2,FALSE)=0,"",VLOOKUP($A19,TableHandbook[],F$2,FALSE)),"")</f>
        <v/>
      </c>
      <c r="G19" s="489" t="str">
        <f>IFERROR(IF(VLOOKUP($A19,TableHandbook[],G$2,FALSE)=0,"",VLOOKUP($A19,TableHandbook[],G$2,FALSE)),"")</f>
        <v/>
      </c>
      <c r="H19" s="492" t="str">
        <f>IFERROR(VLOOKUP($A19,TableHandbook[],H$2,FALSE),"")</f>
        <v/>
      </c>
      <c r="I19" s="489" t="str">
        <f>IFERROR(VLOOKUP($A19,TableHandbook[],I$2,FALSE),"")</f>
        <v/>
      </c>
      <c r="J19" s="489" t="str">
        <f>IFERROR(VLOOKUP($A19,TableHandbook[],J$2,FALSE),"")</f>
        <v/>
      </c>
      <c r="K19" s="493" t="str">
        <f>IFERROR(VLOOKUP($A19,TableHandbook[],K$2,FALSE),"")</f>
        <v/>
      </c>
      <c r="L19" s="255"/>
      <c r="M19" s="494">
        <v>2</v>
      </c>
      <c r="N19" s="396"/>
      <c r="O19" s="396"/>
      <c r="P19" s="397"/>
      <c r="Q19" s="397"/>
      <c r="R19" s="397"/>
      <c r="S19" s="397"/>
      <c r="T19" s="397"/>
      <c r="U19" s="397"/>
      <c r="V19" s="53"/>
      <c r="W19" s="53"/>
    </row>
    <row r="20" spans="1:23" s="47" customFormat="1" ht="21" x14ac:dyDescent="0.25">
      <c r="A20" s="364" t="s">
        <v>26</v>
      </c>
      <c r="B20" s="364"/>
      <c r="C20" s="364"/>
      <c r="D20" s="399" t="s">
        <v>3</v>
      </c>
      <c r="E20" s="372" t="s">
        <v>17</v>
      </c>
      <c r="F20" s="364" t="s">
        <v>18</v>
      </c>
      <c r="G20" s="364" t="s">
        <v>19</v>
      </c>
      <c r="H20" s="373" t="s">
        <v>921</v>
      </c>
      <c r="I20" s="372" t="s">
        <v>20</v>
      </c>
      <c r="J20" s="372" t="s">
        <v>22</v>
      </c>
      <c r="K20" s="374" t="s">
        <v>23</v>
      </c>
      <c r="L20" s="364" t="s">
        <v>25</v>
      </c>
      <c r="M20" s="465"/>
      <c r="N20" s="370"/>
      <c r="O20" s="370"/>
      <c r="P20" s="371"/>
      <c r="Q20" s="371"/>
      <c r="R20" s="371"/>
      <c r="S20" s="371"/>
      <c r="T20" s="371"/>
      <c r="U20" s="371"/>
      <c r="V20" s="46"/>
      <c r="W20" s="46"/>
    </row>
    <row r="21" spans="1:23" s="50" customFormat="1" ht="20.100000000000001" customHeight="1" x14ac:dyDescent="0.15">
      <c r="A21" s="375" t="str">
        <f>IFERROR(IF(HLOOKUP($L$5,RangeUnitSetsSec,M21,FALSE)=0,"",HLOOKUP($L$5,RangeUnitSetsSec,M21,FALSE)),"")</f>
        <v/>
      </c>
      <c r="B21" s="393" t="str">
        <f>IFERROR(IF(VLOOKUP($A21,TableHandbook[],B$2,FALSE)=0,"",VLOOKUP($A21,TableHandbook[],B$2,FALSE)),"")</f>
        <v/>
      </c>
      <c r="C21" s="393" t="str">
        <f>IFERROR(IF(VLOOKUP($A21,TableHandbook[],C$2,FALSE)=0,"",VLOOKUP($A21,TableHandbook[],C$2,FALSE)),"")</f>
        <v/>
      </c>
      <c r="D21" s="400" t="str">
        <f>IFERROR(IF(VLOOKUP($A21,TableHandbook[],D$2,FALSE)=0,"",VLOOKUP($A21,TableHandbook[],D$2,FALSE)),"")</f>
        <v/>
      </c>
      <c r="E21" s="393" t="str">
        <f>IF(OR(A21="",A21="--"),"",VLOOKUP($D$8,TableStudyPeriods[],2,FALSE))</f>
        <v/>
      </c>
      <c r="F21" s="378" t="str">
        <f>IFERROR(IF(VLOOKUP($A21,TableHandbook[],F$2,FALSE)=0,"",VLOOKUP($A21,TableHandbook[],F$2,FALSE)),"")</f>
        <v/>
      </c>
      <c r="G21" s="376" t="str">
        <f>IFERROR(IF(VLOOKUP($A21,TableHandbook[],G$2,FALSE)=0,"",VLOOKUP($A21,TableHandbook[],G$2,FALSE)),"")</f>
        <v/>
      </c>
      <c r="H21" s="379" t="str">
        <f>IFERROR(VLOOKUP($A21,TableHandbook[],H$2,FALSE),"")</f>
        <v/>
      </c>
      <c r="I21" s="376" t="str">
        <f>IFERROR(VLOOKUP($A21,TableHandbook[],I$2,FALSE),"")</f>
        <v/>
      </c>
      <c r="J21" s="376" t="str">
        <f>IFERROR(VLOOKUP($A21,TableHandbook[],J$2,FALSE),"")</f>
        <v/>
      </c>
      <c r="K21" s="380" t="str">
        <f>IFERROR(VLOOKUP($A21,TableHandbook[],K$2,FALSE),"")</f>
        <v/>
      </c>
      <c r="L21" s="87"/>
      <c r="M21" s="448">
        <v>10</v>
      </c>
      <c r="N21" s="382"/>
      <c r="O21" s="382"/>
      <c r="P21" s="383"/>
      <c r="Q21" s="383"/>
      <c r="R21" s="383"/>
      <c r="S21" s="383"/>
      <c r="T21" s="383"/>
      <c r="U21" s="383"/>
      <c r="V21" s="49"/>
      <c r="W21" s="49"/>
    </row>
    <row r="22" spans="1:23" s="50" customFormat="1" ht="19.5" customHeight="1" x14ac:dyDescent="0.15">
      <c r="A22" s="449" t="str">
        <f>IFERROR(IF(HLOOKUP($L$6,RangeMajorsSec,M22,FALSE)=0,"",HLOOKUP($L$6,RangeMajorsSec,M22,FALSE)),"")</f>
        <v/>
      </c>
      <c r="B22" s="450" t="str">
        <f>IFERROR(IF(VLOOKUP($A22,TableHandbook[],B$2,FALSE)=0,"",VLOOKUP($A22,TableHandbook[],B$2,FALSE)),"")</f>
        <v/>
      </c>
      <c r="C22" s="450" t="str">
        <f>IFERROR(IF(VLOOKUP($A22,TableHandbook[],C$2,FALSE)=0,"",VLOOKUP($A22,TableHandbook[],C$2,FALSE)),"")</f>
        <v/>
      </c>
      <c r="D22" s="466" t="str">
        <f>IFERROR(IF(VLOOKUP($A22,TableHandbook[],D$2,FALSE)=0,"",VLOOKUP($A22,TableHandbook[],D$2,FALSE)),"")</f>
        <v/>
      </c>
      <c r="E22" s="450" t="str">
        <f>IF(A22="","",E21)</f>
        <v/>
      </c>
      <c r="F22" s="452" t="str">
        <f>IFERROR(IF(VLOOKUP($A22,TableHandbook[],F$2,FALSE)=0,"",VLOOKUP($A22,TableHandbook[],F$2,FALSE)),"")</f>
        <v/>
      </c>
      <c r="G22" s="450" t="str">
        <f>IFERROR(IF(VLOOKUP($A22,TableHandbook[],G$2,FALSE)=0,"",VLOOKUP($A22,TableHandbook[],G$2,FALSE)),"")</f>
        <v/>
      </c>
      <c r="H22" s="453" t="str">
        <f>IFERROR(VLOOKUP($A22,TableHandbook[],H$2,FALSE),"")</f>
        <v/>
      </c>
      <c r="I22" s="450" t="str">
        <f>IFERROR(VLOOKUP($A22,TableHandbook[],I$2,FALSE),"")</f>
        <v/>
      </c>
      <c r="J22" s="450" t="str">
        <f>IFERROR(VLOOKUP($A22,TableHandbook[],J$2,FALSE),"")</f>
        <v/>
      </c>
      <c r="K22" s="454" t="str">
        <f>IFERROR(VLOOKUP($A22,TableHandbook[],K$2,FALSE),"")</f>
        <v/>
      </c>
      <c r="L22" s="217"/>
      <c r="M22" s="455">
        <v>3</v>
      </c>
      <c r="N22" s="382"/>
      <c r="O22" s="382"/>
      <c r="P22" s="383"/>
      <c r="Q22" s="383"/>
      <c r="R22" s="383"/>
      <c r="S22" s="383"/>
      <c r="T22" s="383"/>
      <c r="U22" s="383"/>
      <c r="V22" s="49"/>
      <c r="W22" s="49"/>
    </row>
    <row r="23" spans="1:23" s="50" customFormat="1" ht="20.100000000000001" customHeight="1" x14ac:dyDescent="0.15">
      <c r="A23" s="449" t="str">
        <f>IFERROR(IF(HLOOKUP($L$6,RangeMajorsSec,M23,FALSE)=0,"",HLOOKUP($L$6,RangeMajorsSec,M23,FALSE)),"")</f>
        <v/>
      </c>
      <c r="B23" s="450" t="str">
        <f>IFERROR(IF(VLOOKUP($A23,TableHandbook[],B$2,FALSE)=0,"",VLOOKUP($A23,TableHandbook[],B$2,FALSE)),"")</f>
        <v/>
      </c>
      <c r="C23" s="450" t="str">
        <f>IFERROR(IF(VLOOKUP($A23,TableHandbook[],C$2,FALSE)=0,"",VLOOKUP($A23,TableHandbook[],C$2,FALSE)),"")</f>
        <v/>
      </c>
      <c r="D23" s="466" t="str">
        <f>IFERROR(IF(VLOOKUP($A23,TableHandbook[],D$2,FALSE)=0,"",VLOOKUP($A23,TableHandbook[],D$2,FALSE)),"")</f>
        <v/>
      </c>
      <c r="E23" s="450" t="str">
        <f>IF(A23="","",E22)</f>
        <v/>
      </c>
      <c r="F23" s="452" t="str">
        <f>IFERROR(IF(VLOOKUP($A23,TableHandbook[],F$2,FALSE)=0,"",VLOOKUP($A23,TableHandbook[],F$2,FALSE)),"")</f>
        <v/>
      </c>
      <c r="G23" s="450" t="str">
        <f>IFERROR(IF(VLOOKUP($A23,TableHandbook[],G$2,FALSE)=0,"",VLOOKUP($A23,TableHandbook[],G$2,FALSE)),"")</f>
        <v/>
      </c>
      <c r="H23" s="453" t="str">
        <f>IFERROR(VLOOKUP($A23,TableHandbook[],H$2,FALSE),"")</f>
        <v/>
      </c>
      <c r="I23" s="450" t="str">
        <f>IFERROR(VLOOKUP($A23,TableHandbook[],I$2,FALSE),"")</f>
        <v/>
      </c>
      <c r="J23" s="450" t="str">
        <f>IFERROR(VLOOKUP($A23,TableHandbook[],J$2,FALSE),"")</f>
        <v/>
      </c>
      <c r="K23" s="454" t="str">
        <f>IFERROR(VLOOKUP($A23,TableHandbook[],K$2,FALSE),"")</f>
        <v/>
      </c>
      <c r="L23" s="217"/>
      <c r="M23" s="455">
        <v>4</v>
      </c>
      <c r="N23" s="382"/>
      <c r="O23" s="382"/>
      <c r="P23" s="383"/>
      <c r="Q23" s="383"/>
      <c r="R23" s="383"/>
      <c r="S23" s="383"/>
      <c r="T23" s="383"/>
      <c r="U23" s="383"/>
      <c r="V23" s="49"/>
      <c r="W23" s="49"/>
    </row>
    <row r="24" spans="1:23" s="50" customFormat="1" ht="20.100000000000001" customHeight="1" x14ac:dyDescent="0.15">
      <c r="A24" s="488" t="str">
        <f>IFERROR(IF(HLOOKUP($L$7,RangeMathNoMethods,M24,FALSE)=0,"",HLOOKUP($L$7,RangeMathNoMethods,M24,FALSE)),"")</f>
        <v/>
      </c>
      <c r="B24" s="489" t="str">
        <f>IFERROR(IF(VLOOKUP($A24,TableHandbook[],B$2,FALSE)=0,"",VLOOKUP($A24,TableHandbook[],B$2,FALSE)),"")</f>
        <v/>
      </c>
      <c r="C24" s="489" t="str">
        <f>IFERROR(IF(VLOOKUP($A24,TableHandbook[],C$2,FALSE)=0,"",VLOOKUP($A24,TableHandbook[],C$2,FALSE)),"")</f>
        <v/>
      </c>
      <c r="D24" s="490" t="str">
        <f>IFERROR(IF(VLOOKUP($A24,TableHandbook[],D$2,FALSE)=0,"",VLOOKUP($A24,TableHandbook[],D$2,FALSE)),"")</f>
        <v/>
      </c>
      <c r="E24" s="489" t="str">
        <f>IF(A24="","",E23)</f>
        <v/>
      </c>
      <c r="F24" s="491" t="str">
        <f>IFERROR(IF(VLOOKUP($A24,TableHandbook[],F$2,FALSE)=0,"",VLOOKUP($A24,TableHandbook[],F$2,FALSE)),"")</f>
        <v/>
      </c>
      <c r="G24" s="489" t="str">
        <f>IFERROR(IF(VLOOKUP($A24,TableHandbook[],G$2,FALSE)=0,"",VLOOKUP($A24,TableHandbook[],G$2,FALSE)),"")</f>
        <v/>
      </c>
      <c r="H24" s="492" t="str">
        <f>IFERROR(VLOOKUP($A24,TableHandbook[],H$2,FALSE),"")</f>
        <v/>
      </c>
      <c r="I24" s="489" t="str">
        <f>IFERROR(VLOOKUP($A24,TableHandbook[],I$2,FALSE),"")</f>
        <v/>
      </c>
      <c r="J24" s="489" t="str">
        <f>IFERROR(VLOOKUP($A24,TableHandbook[],J$2,FALSE),"")</f>
        <v/>
      </c>
      <c r="K24" s="493" t="str">
        <f>IFERROR(VLOOKUP($A24,TableHandbook[],K$2,FALSE),"")</f>
        <v/>
      </c>
      <c r="L24" s="256"/>
      <c r="M24" s="494">
        <v>3</v>
      </c>
      <c r="N24" s="382"/>
      <c r="O24" s="382"/>
      <c r="P24" s="383"/>
      <c r="Q24" s="383"/>
      <c r="R24" s="383"/>
      <c r="S24" s="383"/>
      <c r="T24" s="383"/>
      <c r="U24" s="383"/>
      <c r="V24" s="49"/>
      <c r="W24" s="49"/>
    </row>
    <row r="25" spans="1:23" s="50" customFormat="1" ht="5.0999999999999996" customHeight="1" x14ac:dyDescent="0.15">
      <c r="A25" s="386"/>
      <c r="B25" s="387"/>
      <c r="C25" s="387"/>
      <c r="D25" s="388"/>
      <c r="E25" s="387"/>
      <c r="F25" s="389"/>
      <c r="G25" s="387"/>
      <c r="H25" s="390"/>
      <c r="I25" s="387"/>
      <c r="J25" s="387"/>
      <c r="K25" s="391"/>
      <c r="L25" s="391"/>
      <c r="M25" s="448"/>
      <c r="N25" s="382"/>
      <c r="O25" s="382"/>
      <c r="P25" s="382"/>
      <c r="Q25" s="383"/>
      <c r="R25" s="383"/>
      <c r="S25" s="383"/>
      <c r="T25" s="383"/>
      <c r="U25" s="383"/>
      <c r="V25" s="49"/>
      <c r="W25" s="49"/>
    </row>
    <row r="26" spans="1:23" s="50" customFormat="1" ht="20.100000000000001" customHeight="1" x14ac:dyDescent="0.15">
      <c r="A26" s="375" t="str">
        <f>IFERROR(IF(HLOOKUP($L$5,RangeUnitSetsSec,M26,FALSE)=0,"",HLOOKUP($L$5,RangeUnitSetsSec,M26,FALSE)),"")</f>
        <v/>
      </c>
      <c r="B26" s="393" t="str">
        <f>IFERROR(IF(VLOOKUP($A26,TableHandbook[],B$2,FALSE)=0,"",VLOOKUP($A26,TableHandbook[],B$2,FALSE)),"")</f>
        <v/>
      </c>
      <c r="C26" s="393" t="str">
        <f>IFERROR(IF(VLOOKUP($A26,TableHandbook[],C$2,FALSE)=0,"",VLOOKUP($A26,TableHandbook[],C$2,FALSE)),"")</f>
        <v/>
      </c>
      <c r="D26" s="398" t="str">
        <f>IFERROR(IF(VLOOKUP($A26,TableHandbook[],D$2,FALSE)=0,"",VLOOKUP($A26,TableHandbook[],D$2,FALSE)),"")</f>
        <v/>
      </c>
      <c r="E26" s="393" t="str">
        <f>IF(OR(A26="",A26="--"),"",VLOOKUP($D$8,TableStudyPeriods[],3,FALSE))</f>
        <v/>
      </c>
      <c r="F26" s="378" t="str">
        <f>IFERROR(IF(VLOOKUP($A26,TableHandbook[],F$2,FALSE)=0,"",VLOOKUP($A26,TableHandbook[],F$2,FALSE)),"")</f>
        <v/>
      </c>
      <c r="G26" s="376" t="str">
        <f>IFERROR(IF(VLOOKUP($A26,TableHandbook[],G$2,FALSE)=0,"",VLOOKUP($A26,TableHandbook[],G$2,FALSE)),"")</f>
        <v/>
      </c>
      <c r="H26" s="379" t="str">
        <f>IFERROR(VLOOKUP($A26,TableHandbook[],H$2,FALSE),"")</f>
        <v/>
      </c>
      <c r="I26" s="376" t="str">
        <f>IFERROR(VLOOKUP($A26,TableHandbook[],I$2,FALSE),"")</f>
        <v/>
      </c>
      <c r="J26" s="376" t="str">
        <f>IFERROR(VLOOKUP($A26,TableHandbook[],J$2,FALSE),"")</f>
        <v/>
      </c>
      <c r="K26" s="380" t="str">
        <f>IFERROR(VLOOKUP($A26,TableHandbook[],K$2,FALSE),"")</f>
        <v/>
      </c>
      <c r="L26" s="87"/>
      <c r="M26" s="448">
        <v>14</v>
      </c>
      <c r="N26" s="382"/>
      <c r="O26" s="382"/>
      <c r="P26" s="383"/>
      <c r="Q26" s="383"/>
      <c r="R26" s="383"/>
      <c r="S26" s="383"/>
      <c r="T26" s="383"/>
      <c r="U26" s="383"/>
      <c r="V26" s="49"/>
      <c r="W26" s="49"/>
    </row>
    <row r="27" spans="1:23" s="50" customFormat="1" ht="20.100000000000001" customHeight="1" x14ac:dyDescent="0.15">
      <c r="A27" s="449" t="str">
        <f>IFERROR(IF(HLOOKUP($L$6,RangeMajorsSec,M27,FALSE)=0,"",HLOOKUP($L$6,RangeMajorsSec,M27,FALSE)),"")</f>
        <v/>
      </c>
      <c r="B27" s="450" t="str">
        <f>IFERROR(IF(VLOOKUP($A27,TableHandbook[],B$2,FALSE)=0,"",VLOOKUP($A27,TableHandbook[],B$2,FALSE)),"")</f>
        <v/>
      </c>
      <c r="C27" s="450" t="str">
        <f>IFERROR(IF(VLOOKUP($A27,TableHandbook[],C$2,FALSE)=0,"",VLOOKUP($A27,TableHandbook[],C$2,FALSE)),"")</f>
        <v/>
      </c>
      <c r="D27" s="466" t="str">
        <f>IFERROR(IF(VLOOKUP($A27,TableHandbook[],D$2,FALSE)=0,"",VLOOKUP($A27,TableHandbook[],D$2,FALSE)),"")</f>
        <v/>
      </c>
      <c r="E27" s="450" t="str">
        <f>IF(A27="","",E26)</f>
        <v/>
      </c>
      <c r="F27" s="452" t="str">
        <f>IFERROR(IF(VLOOKUP($A27,TableHandbook[],F$2,FALSE)=0,"",VLOOKUP($A27,TableHandbook[],F$2,FALSE)),"")</f>
        <v/>
      </c>
      <c r="G27" s="450" t="str">
        <f>IFERROR(IF(VLOOKUP($A27,TableHandbook[],G$2,FALSE)=0,"",VLOOKUP($A27,TableHandbook[],G$2,FALSE)),"")</f>
        <v/>
      </c>
      <c r="H27" s="453" t="str">
        <f>IFERROR(VLOOKUP($A27,TableHandbook[],H$2,FALSE),"")</f>
        <v/>
      </c>
      <c r="I27" s="450" t="str">
        <f>IFERROR(VLOOKUP($A27,TableHandbook[],I$2,FALSE),"")</f>
        <v/>
      </c>
      <c r="J27" s="450" t="str">
        <f>IFERROR(VLOOKUP($A27,TableHandbook[],J$2,FALSE),"")</f>
        <v/>
      </c>
      <c r="K27" s="454" t="str">
        <f>IFERROR(VLOOKUP($A27,TableHandbook[],K$2,FALSE),"")</f>
        <v/>
      </c>
      <c r="L27" s="217"/>
      <c r="M27" s="455">
        <v>5</v>
      </c>
      <c r="N27" s="382"/>
      <c r="O27" s="382"/>
      <c r="P27" s="383"/>
      <c r="Q27" s="383"/>
      <c r="R27" s="383"/>
      <c r="S27" s="383"/>
      <c r="T27" s="383"/>
      <c r="U27" s="383"/>
      <c r="V27" s="49"/>
      <c r="W27" s="49"/>
    </row>
    <row r="28" spans="1:23" s="54" customFormat="1" ht="20.100000000000001" customHeight="1" x14ac:dyDescent="0.15">
      <c r="A28" s="449" t="str">
        <f>IFERROR(IF(HLOOKUP($L$6,RangeMajorsSec,M28,FALSE)=0,"",HLOOKUP($L$6,RangeMajorsSec,M28,FALSE)),"")</f>
        <v/>
      </c>
      <c r="B28" s="450" t="str">
        <f>IFERROR(IF(VLOOKUP($A28,TableHandbook[],B$2,FALSE)=0,"",VLOOKUP($A28,TableHandbook[],B$2,FALSE)),"")</f>
        <v/>
      </c>
      <c r="C28" s="450" t="str">
        <f>IFERROR(IF(VLOOKUP($A28,TableHandbook[],C$2,FALSE)=0,"",VLOOKUP($A28,TableHandbook[],C$2,FALSE)),"")</f>
        <v/>
      </c>
      <c r="D28" s="466" t="str">
        <f>IFERROR(IF(VLOOKUP($A28,TableHandbook[],D$2,FALSE)=0,"",VLOOKUP($A28,TableHandbook[],D$2,FALSE)),"")</f>
        <v/>
      </c>
      <c r="E28" s="450" t="str">
        <f>IF(A28="","",E27)</f>
        <v/>
      </c>
      <c r="F28" s="452" t="str">
        <f>IFERROR(IF(VLOOKUP($A28,TableHandbook[],F$2,FALSE)=0,"",VLOOKUP($A28,TableHandbook[],F$2,FALSE)),"")</f>
        <v/>
      </c>
      <c r="G28" s="450" t="str">
        <f>IFERROR(IF(VLOOKUP($A28,TableHandbook[],G$2,FALSE)=0,"",VLOOKUP($A28,TableHandbook[],G$2,FALSE)),"")</f>
        <v/>
      </c>
      <c r="H28" s="453" t="str">
        <f>IFERROR(VLOOKUP($A28,TableHandbook[],H$2,FALSE),"")</f>
        <v/>
      </c>
      <c r="I28" s="450" t="str">
        <f>IFERROR(VLOOKUP($A28,TableHandbook[],I$2,FALSE),"")</f>
        <v/>
      </c>
      <c r="J28" s="450" t="str">
        <f>IFERROR(VLOOKUP($A28,TableHandbook[],J$2,FALSE),"")</f>
        <v/>
      </c>
      <c r="K28" s="454" t="str">
        <f>IFERROR(VLOOKUP($A28,TableHandbook[],K$2,FALSE),"")</f>
        <v/>
      </c>
      <c r="L28" s="217"/>
      <c r="M28" s="455">
        <v>6</v>
      </c>
      <c r="N28" s="396"/>
      <c r="O28" s="396"/>
      <c r="P28" s="397"/>
      <c r="Q28" s="397"/>
      <c r="R28" s="397"/>
      <c r="S28" s="397"/>
      <c r="T28" s="397"/>
      <c r="U28" s="397"/>
      <c r="V28" s="53"/>
      <c r="W28" s="53"/>
    </row>
    <row r="29" spans="1:23" s="54" customFormat="1" ht="20.100000000000001" customHeight="1" x14ac:dyDescent="0.15">
      <c r="A29" s="488" t="str">
        <f>IFERROR(IF(HLOOKUP($L$7,RangeMathNoMethods,M29,FALSE)=0,"",HLOOKUP($L$7,RangeMathNoMethods,M29,FALSE)),"")</f>
        <v/>
      </c>
      <c r="B29" s="495" t="str">
        <f>IFERROR(IF(VLOOKUP($A29,TableHandbook[],B$2,FALSE)=0,"",VLOOKUP($A29,TableHandbook[],B$2,FALSE)),"")</f>
        <v/>
      </c>
      <c r="C29" s="495" t="str">
        <f>IFERROR(IF(VLOOKUP($A29,TableHandbook[],C$2,FALSE)=0,"",VLOOKUP($A29,TableHandbook[],C$2,FALSE)),"")</f>
        <v/>
      </c>
      <c r="D29" s="496" t="str">
        <f>IFERROR(IF(VLOOKUP($A29,TableHandbook[],D$2,FALSE)=0,"",VLOOKUP($A29,TableHandbook[],D$2,FALSE)),"")</f>
        <v/>
      </c>
      <c r="E29" s="495" t="str">
        <f>IF(A29="","",E28)</f>
        <v/>
      </c>
      <c r="F29" s="497" t="str">
        <f>IFERROR(IF(VLOOKUP($A29,TableHandbook[],F$2,FALSE)=0,"",VLOOKUP($A29,TableHandbook[],F$2,FALSE)),"")</f>
        <v/>
      </c>
      <c r="G29" s="495" t="str">
        <f>IFERROR(IF(VLOOKUP($A29,TableHandbook[],G$2,FALSE)=0,"",VLOOKUP($A29,TableHandbook[],G$2,FALSE)),"")</f>
        <v/>
      </c>
      <c r="H29" s="498" t="str">
        <f>IFERROR(VLOOKUP($A29,TableHandbook[],H$2,FALSE),"")</f>
        <v/>
      </c>
      <c r="I29" s="495" t="str">
        <f>IFERROR(VLOOKUP($A29,TableHandbook[],I$2,FALSE),"")</f>
        <v/>
      </c>
      <c r="J29" s="495" t="str">
        <f>IFERROR(VLOOKUP($A29,TableHandbook[],J$2,FALSE),"")</f>
        <v/>
      </c>
      <c r="K29" s="499" t="str">
        <f>IFERROR(VLOOKUP($A29,TableHandbook[],K$2,FALSE),"")</f>
        <v/>
      </c>
      <c r="L29" s="257"/>
      <c r="M29" s="500">
        <v>4</v>
      </c>
      <c r="N29" s="396"/>
      <c r="O29" s="396"/>
      <c r="P29" s="397"/>
      <c r="Q29" s="397"/>
      <c r="R29" s="397"/>
      <c r="S29" s="397"/>
      <c r="T29" s="397"/>
      <c r="U29" s="397"/>
      <c r="V29" s="53"/>
      <c r="W29" s="53"/>
    </row>
    <row r="30" spans="1:23" s="47" customFormat="1" ht="21" x14ac:dyDescent="0.25">
      <c r="A30" s="364" t="s">
        <v>27</v>
      </c>
      <c r="B30" s="364"/>
      <c r="C30" s="364"/>
      <c r="D30" s="399" t="s">
        <v>3</v>
      </c>
      <c r="E30" s="372" t="s">
        <v>17</v>
      </c>
      <c r="F30" s="364" t="s">
        <v>18</v>
      </c>
      <c r="G30" s="364" t="s">
        <v>19</v>
      </c>
      <c r="H30" s="373" t="s">
        <v>921</v>
      </c>
      <c r="I30" s="372" t="s">
        <v>20</v>
      </c>
      <c r="J30" s="372" t="s">
        <v>22</v>
      </c>
      <c r="K30" s="374" t="s">
        <v>23</v>
      </c>
      <c r="L30" s="364" t="s">
        <v>25</v>
      </c>
      <c r="M30" s="465"/>
      <c r="N30" s="370"/>
      <c r="O30" s="370"/>
      <c r="P30" s="371"/>
      <c r="Q30" s="371"/>
      <c r="R30" s="371"/>
      <c r="S30" s="371"/>
      <c r="T30" s="371"/>
      <c r="U30" s="371"/>
      <c r="V30" s="46"/>
      <c r="W30" s="46"/>
    </row>
    <row r="31" spans="1:23" s="50" customFormat="1" ht="20.100000000000001" customHeight="1" x14ac:dyDescent="0.15">
      <c r="A31" s="449" t="str">
        <f>IFERROR(IF(HLOOKUP($L$6,RangeMajorsSec,M31,FALSE)=0,"",HLOOKUP($L$6,RangeMajorsSec,M31,FALSE)),"")</f>
        <v/>
      </c>
      <c r="B31" s="450" t="str">
        <f>IFERROR(IF(VLOOKUP($A31,TableHandbook[],B$2,FALSE)=0,"",VLOOKUP($A31,TableHandbook[],B$2,FALSE)),"")</f>
        <v/>
      </c>
      <c r="C31" s="450" t="str">
        <f>IFERROR(IF(VLOOKUP($A31,TableHandbook[],C$2,FALSE)=0,"",VLOOKUP($A31,TableHandbook[],C$2,FALSE)),"")</f>
        <v/>
      </c>
      <c r="D31" s="451" t="str">
        <f>IFERROR(IF(VLOOKUP($A31,TableHandbook[],D$2,FALSE)=0,"",VLOOKUP($A31,TableHandbook[],D$2,FALSE)),"")</f>
        <v/>
      </c>
      <c r="E31" s="450" t="str">
        <f>IF(OR(A31="",A31="--"),"",VLOOKUP($D$8,TableStudyPeriods[],2,FALSE))</f>
        <v/>
      </c>
      <c r="F31" s="452" t="str">
        <f>IFERROR(IF(VLOOKUP($A31,TableHandbook[],F$2,FALSE)=0,"",VLOOKUP($A31,TableHandbook[],F$2,FALSE)),"")</f>
        <v/>
      </c>
      <c r="G31" s="450" t="str">
        <f>IFERROR(IF(VLOOKUP($A31,TableHandbook[],G$2,FALSE)=0,"",VLOOKUP($A31,TableHandbook[],G$2,FALSE)),"")</f>
        <v/>
      </c>
      <c r="H31" s="453" t="str">
        <f>IFERROR(VLOOKUP($A31,TableHandbook[],H$2,FALSE),"")</f>
        <v/>
      </c>
      <c r="I31" s="450" t="str">
        <f>IFERROR(VLOOKUP($A31,TableHandbook[],I$2,FALSE),"")</f>
        <v/>
      </c>
      <c r="J31" s="450" t="str">
        <f>IFERROR(VLOOKUP($A31,TableHandbook[],J$2,FALSE),"")</f>
        <v/>
      </c>
      <c r="K31" s="454" t="str">
        <f>IFERROR(VLOOKUP($A31,TableHandbook[],K$2,FALSE),"")</f>
        <v/>
      </c>
      <c r="L31" s="217"/>
      <c r="M31" s="455">
        <v>7</v>
      </c>
      <c r="N31" s="382"/>
      <c r="O31" s="382"/>
      <c r="P31" s="383"/>
      <c r="Q31" s="383"/>
      <c r="R31" s="383"/>
      <c r="S31" s="383"/>
      <c r="T31" s="383"/>
      <c r="U31" s="383"/>
      <c r="V31" s="49"/>
      <c r="W31" s="49"/>
    </row>
    <row r="32" spans="1:23" s="50" customFormat="1" ht="19.5" customHeight="1" x14ac:dyDescent="0.15">
      <c r="A32" s="449" t="str">
        <f>IFERROR(IF(HLOOKUP($L$6,RangeMajorsSec,M32,FALSE)=0,"",HLOOKUP($L$6,RangeMajorsSec,M32,FALSE)),"")</f>
        <v/>
      </c>
      <c r="B32" s="450" t="str">
        <f>IFERROR(IF(VLOOKUP($A32,TableHandbook[],B$2,FALSE)=0,"",VLOOKUP($A32,TableHandbook[],B$2,FALSE)),"")</f>
        <v/>
      </c>
      <c r="C32" s="450" t="str">
        <f>IFERROR(IF(VLOOKUP($A32,TableHandbook[],C$2,FALSE)=0,"",VLOOKUP($A32,TableHandbook[],C$2,FALSE)),"")</f>
        <v/>
      </c>
      <c r="D32" s="466" t="str">
        <f>IFERROR(IF(VLOOKUP($A32,TableHandbook[],D$2,FALSE)=0,"",VLOOKUP($A32,TableHandbook[],D$2,FALSE)),"")</f>
        <v/>
      </c>
      <c r="E32" s="450" t="str">
        <f>IF(A32="","",E31)</f>
        <v/>
      </c>
      <c r="F32" s="452" t="str">
        <f>IFERROR(IF(VLOOKUP($A32,TableHandbook[],F$2,FALSE)=0,"",VLOOKUP($A32,TableHandbook[],F$2,FALSE)),"")</f>
        <v/>
      </c>
      <c r="G32" s="450" t="str">
        <f>IFERROR(IF(VLOOKUP($A32,TableHandbook[],G$2,FALSE)=0,"",VLOOKUP($A32,TableHandbook[],G$2,FALSE)),"")</f>
        <v/>
      </c>
      <c r="H32" s="453" t="str">
        <f>IFERROR(VLOOKUP($A32,TableHandbook[],H$2,FALSE),"")</f>
        <v/>
      </c>
      <c r="I32" s="450" t="str">
        <f>IFERROR(VLOOKUP($A32,TableHandbook[],I$2,FALSE),"")</f>
        <v/>
      </c>
      <c r="J32" s="450" t="str">
        <f>IFERROR(VLOOKUP($A32,TableHandbook[],J$2,FALSE),"")</f>
        <v/>
      </c>
      <c r="K32" s="454" t="str">
        <f>IFERROR(VLOOKUP($A32,TableHandbook[],K$2,FALSE),"")</f>
        <v/>
      </c>
      <c r="L32" s="217"/>
      <c r="M32" s="455">
        <v>8</v>
      </c>
      <c r="N32" s="382"/>
      <c r="O32" s="382"/>
      <c r="P32" s="383"/>
      <c r="Q32" s="383"/>
      <c r="R32" s="383"/>
      <c r="S32" s="383"/>
      <c r="T32" s="383"/>
      <c r="U32" s="383"/>
      <c r="V32" s="49"/>
      <c r="W32" s="49"/>
    </row>
    <row r="33" spans="1:23" s="50" customFormat="1" ht="20.100000000000001" customHeight="1" x14ac:dyDescent="0.15">
      <c r="A33" s="488" t="str">
        <f>IFERROR(IF(HLOOKUP($L$7,RangeMathNoMethods,M33,FALSE)=0,"",HLOOKUP($L$7,RangeMathNoMethods,M33,FALSE)),"")</f>
        <v/>
      </c>
      <c r="B33" s="495" t="str">
        <f>IFERROR(IF(VLOOKUP($A33,TableHandbook[],B$2,FALSE)=0,"",VLOOKUP($A33,TableHandbook[],B$2,FALSE)),"")</f>
        <v/>
      </c>
      <c r="C33" s="495" t="str">
        <f>IFERROR(IF(VLOOKUP($A33,TableHandbook[],C$2,FALSE)=0,"",VLOOKUP($A33,TableHandbook[],C$2,FALSE)),"")</f>
        <v/>
      </c>
      <c r="D33" s="496" t="str">
        <f>IFERROR(IF(VLOOKUP($A33,TableHandbook[],D$2,FALSE)=0,"",VLOOKUP($A33,TableHandbook[],D$2,FALSE)),"")</f>
        <v/>
      </c>
      <c r="E33" s="495" t="str">
        <f>IF(A33="","",E32)</f>
        <v/>
      </c>
      <c r="F33" s="497" t="str">
        <f>IFERROR(IF(VLOOKUP($A33,TableHandbook[],F$2,FALSE)=0,"",VLOOKUP($A33,TableHandbook[],F$2,FALSE)),"")</f>
        <v/>
      </c>
      <c r="G33" s="495" t="str">
        <f>IFERROR(IF(VLOOKUP($A33,TableHandbook[],G$2,FALSE)=0,"",VLOOKUP($A33,TableHandbook[],G$2,FALSE)),"")</f>
        <v/>
      </c>
      <c r="H33" s="498" t="str">
        <f>IFERROR(VLOOKUP($A33,TableHandbook[],H$2,FALSE),"")</f>
        <v/>
      </c>
      <c r="I33" s="495" t="str">
        <f>IFERROR(VLOOKUP($A33,TableHandbook[],I$2,FALSE),"")</f>
        <v/>
      </c>
      <c r="J33" s="495" t="str">
        <f>IFERROR(VLOOKUP($A33,TableHandbook[],J$2,FALSE),"")</f>
        <v/>
      </c>
      <c r="K33" s="499" t="str">
        <f>IFERROR(VLOOKUP($A33,TableHandbook[],K$2,FALSE),"")</f>
        <v/>
      </c>
      <c r="L33" s="257"/>
      <c r="M33" s="500">
        <v>5</v>
      </c>
      <c r="N33" s="382"/>
      <c r="O33" s="382"/>
      <c r="P33" s="383"/>
      <c r="Q33" s="383"/>
      <c r="R33" s="383"/>
      <c r="S33" s="383"/>
      <c r="T33" s="383"/>
      <c r="U33" s="383"/>
      <c r="V33" s="49"/>
      <c r="W33" s="49"/>
    </row>
    <row r="34" spans="1:23" s="50" customFormat="1" ht="20.100000000000001" customHeight="1" x14ac:dyDescent="0.15">
      <c r="A34" s="488" t="str">
        <f>IFERROR(IF(HLOOKUP($L$7,RangeMathNoMethods,M34,FALSE)=0,"",HLOOKUP($L$7,RangeMathNoMethods,M34,FALSE)),"")</f>
        <v/>
      </c>
      <c r="B34" s="495" t="str">
        <f>IFERROR(IF(VLOOKUP($A34,TableHandbook[],B$2,FALSE)=0,"",VLOOKUP($A34,TableHandbook[],B$2,FALSE)),"")</f>
        <v/>
      </c>
      <c r="C34" s="495" t="str">
        <f>IFERROR(IF(VLOOKUP($A34,TableHandbook[],C$2,FALSE)=0,"",VLOOKUP($A34,TableHandbook[],C$2,FALSE)),"")</f>
        <v/>
      </c>
      <c r="D34" s="496" t="str">
        <f>IFERROR(IF(VLOOKUP($A34,TableHandbook[],D$2,FALSE)=0,"",VLOOKUP($A34,TableHandbook[],D$2,FALSE)),"")</f>
        <v/>
      </c>
      <c r="E34" s="495" t="str">
        <f>IF(A34="","",E33)</f>
        <v/>
      </c>
      <c r="F34" s="497" t="str">
        <f>IFERROR(IF(VLOOKUP($A34,TableHandbook[],F$2,FALSE)=0,"",VLOOKUP($A34,TableHandbook[],F$2,FALSE)),"")</f>
        <v/>
      </c>
      <c r="G34" s="495" t="str">
        <f>IFERROR(IF(VLOOKUP($A34,TableHandbook[],G$2,FALSE)=0,"",VLOOKUP($A34,TableHandbook[],G$2,FALSE)),"")</f>
        <v/>
      </c>
      <c r="H34" s="498" t="str">
        <f>IFERROR(VLOOKUP($A34,TableHandbook[],H$2,FALSE),"")</f>
        <v/>
      </c>
      <c r="I34" s="495" t="str">
        <f>IFERROR(VLOOKUP($A34,TableHandbook[],I$2,FALSE),"")</f>
        <v/>
      </c>
      <c r="J34" s="495" t="str">
        <f>IFERROR(VLOOKUP($A34,TableHandbook[],J$2,FALSE),"")</f>
        <v/>
      </c>
      <c r="K34" s="499" t="str">
        <f>IFERROR(VLOOKUP($A34,TableHandbook[],K$2,FALSE),"")</f>
        <v/>
      </c>
      <c r="L34" s="257"/>
      <c r="M34" s="500">
        <v>6</v>
      </c>
      <c r="N34" s="382"/>
      <c r="O34" s="382"/>
      <c r="P34" s="383"/>
      <c r="Q34" s="383"/>
      <c r="R34" s="383"/>
      <c r="S34" s="383"/>
      <c r="T34" s="383"/>
      <c r="U34" s="383"/>
      <c r="V34" s="49"/>
      <c r="W34" s="49"/>
    </row>
    <row r="35" spans="1:23" s="50" customFormat="1" ht="5.0999999999999996" customHeight="1" x14ac:dyDescent="0.15">
      <c r="A35" s="386"/>
      <c r="B35" s="387"/>
      <c r="C35" s="387"/>
      <c r="D35" s="388"/>
      <c r="E35" s="387"/>
      <c r="F35" s="389"/>
      <c r="G35" s="387"/>
      <c r="H35" s="390"/>
      <c r="I35" s="387"/>
      <c r="J35" s="387"/>
      <c r="K35" s="391"/>
      <c r="L35" s="391"/>
      <c r="M35" s="448"/>
      <c r="N35" s="382"/>
      <c r="O35" s="382"/>
      <c r="P35" s="382"/>
      <c r="Q35" s="383"/>
      <c r="R35" s="383"/>
      <c r="S35" s="383"/>
      <c r="T35" s="383"/>
      <c r="U35" s="383"/>
      <c r="V35" s="49"/>
      <c r="W35" s="49"/>
    </row>
    <row r="36" spans="1:23" s="50" customFormat="1" ht="20.100000000000001" customHeight="1" x14ac:dyDescent="0.15">
      <c r="A36" s="375" t="str">
        <f>IFERROR(IF(HLOOKUP($L$5,RangeUnitSetsSec,M36,FALSE)=0,"",HLOOKUP($L$5,RangeUnitSetsSec,M36,FALSE)),"")</f>
        <v/>
      </c>
      <c r="B36" s="393" t="str">
        <f>IFERROR(IF(VLOOKUP($A36,TableHandbook[],B$2,FALSE)=0,"",VLOOKUP($A36,TableHandbook[],B$2,FALSE)),"")</f>
        <v/>
      </c>
      <c r="C36" s="393" t="str">
        <f>IFERROR(IF(VLOOKUP($A36,TableHandbook[],C$2,FALSE)=0,"",VLOOKUP($A36,TableHandbook[],C$2,FALSE)),"")</f>
        <v/>
      </c>
      <c r="D36" s="398" t="str">
        <f>IFERROR(IF(VLOOKUP($A36,TableHandbook[],D$2,FALSE)=0,"",VLOOKUP($A36,TableHandbook[],D$2,FALSE)),"")</f>
        <v/>
      </c>
      <c r="E36" s="393" t="str">
        <f>IF(OR(A36="",A36="--"),"",VLOOKUP($D$8,TableStudyPeriods[],3,FALSE))</f>
        <v/>
      </c>
      <c r="F36" s="378" t="str">
        <f>IFERROR(IF(VLOOKUP($A36,TableHandbook[],F$2,FALSE)=0,"",VLOOKUP($A36,TableHandbook[],F$2,FALSE)),"")</f>
        <v/>
      </c>
      <c r="G36" s="376" t="str">
        <f>IFERROR(IF(VLOOKUP($A36,TableHandbook[],G$2,FALSE)=0,"",VLOOKUP($A36,TableHandbook[],G$2,FALSE)),"")</f>
        <v/>
      </c>
      <c r="H36" s="379" t="str">
        <f>IFERROR(VLOOKUP($A36,TableHandbook[],H$2,FALSE),"")</f>
        <v/>
      </c>
      <c r="I36" s="376" t="str">
        <f>IFERROR(VLOOKUP($A36,TableHandbook[],I$2,FALSE),"")</f>
        <v/>
      </c>
      <c r="J36" s="376" t="str">
        <f>IFERROR(VLOOKUP($A36,TableHandbook[],J$2,FALSE),"")</f>
        <v/>
      </c>
      <c r="K36" s="380" t="str">
        <f>IFERROR(VLOOKUP($A36,TableHandbook[],K$2,FALSE),"")</f>
        <v/>
      </c>
      <c r="L36" s="87"/>
      <c r="M36" s="448">
        <v>22</v>
      </c>
      <c r="N36" s="382"/>
      <c r="O36" s="382"/>
      <c r="P36" s="383"/>
      <c r="Q36" s="383"/>
      <c r="R36" s="383"/>
      <c r="S36" s="383"/>
      <c r="T36" s="383"/>
      <c r="U36" s="383"/>
      <c r="V36" s="49"/>
      <c r="W36" s="49"/>
    </row>
    <row r="37" spans="1:23" s="50" customFormat="1" ht="20.100000000000001" customHeight="1" x14ac:dyDescent="0.15">
      <c r="A37" s="375" t="str">
        <f>IFERROR(IF(HLOOKUP($L$5,RangeUnitSetsSec,M37,FALSE)=0,"",HLOOKUP($L$5,RangeUnitSetsSec,M37,FALSE)),"")</f>
        <v/>
      </c>
      <c r="B37" s="393" t="str">
        <f>IFERROR(IF(VLOOKUP($A37,TableHandbook[],B$2,FALSE)=0,"",VLOOKUP($A37,TableHandbook[],B$2,FALSE)),"")</f>
        <v/>
      </c>
      <c r="C37" s="393" t="str">
        <f>IFERROR(IF(VLOOKUP($A37,TableHandbook[],C$2,FALSE)=0,"",VLOOKUP($A37,TableHandbook[],C$2,FALSE)),"")</f>
        <v/>
      </c>
      <c r="D37" s="398" t="str">
        <f>IFERROR(IF(VLOOKUP($A37,TableHandbook[],D$2,FALSE)=0,"",VLOOKUP($A37,TableHandbook[],D$2,FALSE)),"")</f>
        <v/>
      </c>
      <c r="E37" s="393" t="str">
        <f>IF(A37="","",E36)</f>
        <v/>
      </c>
      <c r="F37" s="378" t="str">
        <f>IFERROR(IF(VLOOKUP($A37,TableHandbook[],F$2,FALSE)=0,"",VLOOKUP($A37,TableHandbook[],F$2,FALSE)),"")</f>
        <v/>
      </c>
      <c r="G37" s="376" t="str">
        <f>IFERROR(IF(VLOOKUP($A37,TableHandbook[],G$2,FALSE)=0,"",VLOOKUP($A37,TableHandbook[],G$2,FALSE)),"")</f>
        <v/>
      </c>
      <c r="H37" s="379" t="str">
        <f>IFERROR(VLOOKUP($A37,TableHandbook[],H$2,FALSE),"")</f>
        <v/>
      </c>
      <c r="I37" s="376" t="str">
        <f>IFERROR(VLOOKUP($A37,TableHandbook[],I$2,FALSE),"")</f>
        <v/>
      </c>
      <c r="J37" s="376" t="str">
        <f>IFERROR(VLOOKUP($A37,TableHandbook[],J$2,FALSE),"")</f>
        <v/>
      </c>
      <c r="K37" s="380" t="str">
        <f>IFERROR(VLOOKUP($A37,TableHandbook[],K$2,FALSE),"")</f>
        <v/>
      </c>
      <c r="L37" s="87"/>
      <c r="M37" s="448">
        <v>23</v>
      </c>
      <c r="N37" s="382"/>
      <c r="O37" s="382"/>
      <c r="P37" s="383"/>
      <c r="Q37" s="383"/>
      <c r="R37" s="383"/>
      <c r="S37" s="383"/>
      <c r="T37" s="383"/>
      <c r="U37" s="383"/>
      <c r="V37" s="49"/>
      <c r="W37" s="49"/>
    </row>
    <row r="38" spans="1:23" s="54" customFormat="1" ht="20.100000000000001" customHeight="1" x14ac:dyDescent="0.15">
      <c r="A38" s="449" t="str">
        <f>IFERROR(IF(HLOOKUP($L$6,RangeMajorsSec,M38,FALSE)=0,"",HLOOKUP($L$6,RangeMajorsSec,M38,FALSE)),"")</f>
        <v/>
      </c>
      <c r="B38" s="450" t="str">
        <f>IFERROR(IF(VLOOKUP($A38,TableHandbook[],B$2,FALSE)=0,"",VLOOKUP($A38,TableHandbook[],B$2,FALSE)),"")</f>
        <v/>
      </c>
      <c r="C38" s="450" t="str">
        <f>IFERROR(IF(VLOOKUP($A38,TableHandbook[],C$2,FALSE)=0,"",VLOOKUP($A38,TableHandbook[],C$2,FALSE)),"")</f>
        <v/>
      </c>
      <c r="D38" s="466" t="str">
        <f>IFERROR(IF(VLOOKUP($A38,TableHandbook[],D$2,FALSE)=0,"",VLOOKUP($A38,TableHandbook[],D$2,FALSE)),"")</f>
        <v/>
      </c>
      <c r="E38" s="450" t="str">
        <f>IF(A38="","",E37)</f>
        <v/>
      </c>
      <c r="F38" s="452" t="str">
        <f>IFERROR(IF(VLOOKUP($A38,TableHandbook[],F$2,FALSE)=0,"",VLOOKUP($A38,TableHandbook[],F$2,FALSE)),"")</f>
        <v/>
      </c>
      <c r="G38" s="450" t="str">
        <f>IFERROR(IF(VLOOKUP($A38,TableHandbook[],G$2,FALSE)=0,"",VLOOKUP($A38,TableHandbook[],G$2,FALSE)),"")</f>
        <v/>
      </c>
      <c r="H38" s="453" t="str">
        <f>IFERROR(VLOOKUP($A38,TableHandbook[],H$2,FALSE),"")</f>
        <v/>
      </c>
      <c r="I38" s="450" t="str">
        <f>IFERROR(VLOOKUP($A38,TableHandbook[],I$2,FALSE),"")</f>
        <v/>
      </c>
      <c r="J38" s="450" t="str">
        <f>IFERROR(VLOOKUP($A38,TableHandbook[],J$2,FALSE),"")</f>
        <v/>
      </c>
      <c r="K38" s="454" t="str">
        <f>IFERROR(VLOOKUP($A38,TableHandbook[],K$2,FALSE),"")</f>
        <v/>
      </c>
      <c r="L38" s="217"/>
      <c r="M38" s="455">
        <v>9</v>
      </c>
      <c r="N38" s="396"/>
      <c r="O38" s="396"/>
      <c r="P38" s="397"/>
      <c r="Q38" s="397"/>
      <c r="R38" s="397"/>
      <c r="S38" s="397"/>
      <c r="T38" s="397"/>
      <c r="U38" s="397"/>
      <c r="V38" s="53"/>
      <c r="W38" s="53"/>
    </row>
    <row r="39" spans="1:23" s="54" customFormat="1" ht="20.100000000000001" customHeight="1" x14ac:dyDescent="0.15">
      <c r="A39" s="488" t="str">
        <f>IFERROR(IF(HLOOKUP($L$7,RangeMathNoMethods,M39,FALSE)=0,"",HLOOKUP($L$7,RangeMathNoMethods,M39,FALSE)),"")</f>
        <v/>
      </c>
      <c r="B39" s="495" t="str">
        <f>IFERROR(IF(VLOOKUP($A39,TableHandbook[],B$2,FALSE)=0,"",VLOOKUP($A39,TableHandbook[],B$2,FALSE)),"")</f>
        <v/>
      </c>
      <c r="C39" s="495" t="str">
        <f>IFERROR(IF(VLOOKUP($A39,TableHandbook[],C$2,FALSE)=0,"",VLOOKUP($A39,TableHandbook[],C$2,FALSE)),"")</f>
        <v/>
      </c>
      <c r="D39" s="496" t="str">
        <f>IFERROR(IF(VLOOKUP($A39,TableHandbook[],D$2,FALSE)=0,"",VLOOKUP($A39,TableHandbook[],D$2,FALSE)),"")</f>
        <v/>
      </c>
      <c r="E39" s="495" t="str">
        <f>IF(A39="","",E38)</f>
        <v/>
      </c>
      <c r="F39" s="497" t="str">
        <f>IFERROR(IF(VLOOKUP($A39,TableHandbook[],F$2,FALSE)=0,"",VLOOKUP($A39,TableHandbook[],F$2,FALSE)),"")</f>
        <v/>
      </c>
      <c r="G39" s="495" t="str">
        <f>IFERROR(IF(VLOOKUP($A39,TableHandbook[],G$2,FALSE)=0,"",VLOOKUP($A39,TableHandbook[],G$2,FALSE)),"")</f>
        <v/>
      </c>
      <c r="H39" s="498" t="str">
        <f>IFERROR(VLOOKUP($A39,TableHandbook[],H$2,FALSE),"")</f>
        <v/>
      </c>
      <c r="I39" s="495" t="str">
        <f>IFERROR(VLOOKUP($A39,TableHandbook[],I$2,FALSE),"")</f>
        <v/>
      </c>
      <c r="J39" s="495" t="str">
        <f>IFERROR(VLOOKUP($A39,TableHandbook[],J$2,FALSE),"")</f>
        <v/>
      </c>
      <c r="K39" s="499" t="str">
        <f>IFERROR(VLOOKUP($A39,TableHandbook[],K$2,FALSE),"")</f>
        <v/>
      </c>
      <c r="L39" s="257"/>
      <c r="M39" s="500">
        <v>7</v>
      </c>
      <c r="N39" s="396"/>
      <c r="O39" s="396"/>
      <c r="P39" s="397"/>
      <c r="Q39" s="397"/>
      <c r="R39" s="397"/>
      <c r="S39" s="397"/>
      <c r="T39" s="397"/>
      <c r="U39" s="397"/>
      <c r="V39" s="53"/>
      <c r="W39" s="53"/>
    </row>
    <row r="40" spans="1:23" s="47" customFormat="1" ht="21" x14ac:dyDescent="0.25">
      <c r="A40" s="364" t="s">
        <v>28</v>
      </c>
      <c r="B40" s="364"/>
      <c r="C40" s="364"/>
      <c r="D40" s="399" t="s">
        <v>3</v>
      </c>
      <c r="E40" s="372" t="s">
        <v>17</v>
      </c>
      <c r="F40" s="364" t="s">
        <v>18</v>
      </c>
      <c r="G40" s="364" t="s">
        <v>19</v>
      </c>
      <c r="H40" s="373" t="s">
        <v>921</v>
      </c>
      <c r="I40" s="372" t="s">
        <v>20</v>
      </c>
      <c r="J40" s="372" t="s">
        <v>22</v>
      </c>
      <c r="K40" s="374" t="s">
        <v>23</v>
      </c>
      <c r="L40" s="364" t="s">
        <v>25</v>
      </c>
      <c r="M40" s="465"/>
      <c r="N40" s="370"/>
      <c r="O40" s="370"/>
      <c r="P40" s="371"/>
      <c r="Q40" s="371"/>
      <c r="R40" s="371"/>
      <c r="S40" s="371"/>
      <c r="T40" s="371"/>
      <c r="U40" s="371"/>
      <c r="V40" s="46"/>
      <c r="W40" s="46"/>
    </row>
    <row r="41" spans="1:23" s="50" customFormat="1" ht="20.100000000000001" customHeight="1" x14ac:dyDescent="0.15">
      <c r="A41" s="375" t="str">
        <f>IFERROR(IF(HLOOKUP($L$5,RangeUnitSetsSec,M41,FALSE)=0,"",HLOOKUP($L$5,RangeUnitSetsSec,M41,FALSE)),"")</f>
        <v/>
      </c>
      <c r="B41" s="393" t="str">
        <f>IFERROR(IF(VLOOKUP($A41,TableHandbook[],B$2,FALSE)=0,"",VLOOKUP($A41,TableHandbook[],B$2,FALSE)),"")</f>
        <v/>
      </c>
      <c r="C41" s="393" t="str">
        <f>IFERROR(IF(VLOOKUP($A41,TableHandbook[],C$2,FALSE)=0,"",VLOOKUP($A41,TableHandbook[],C$2,FALSE)),"")</f>
        <v/>
      </c>
      <c r="D41" s="400" t="str">
        <f>IFERROR(IF(VLOOKUP($A41,TableHandbook[],D$2,FALSE)=0,"",VLOOKUP($A41,TableHandbook[],D$2,FALSE)),"")</f>
        <v/>
      </c>
      <c r="E41" s="393" t="str">
        <f>IF(OR(A41="",A41="--"),"",VLOOKUP($D$8,TableStudyPeriods[],2,FALSE))</f>
        <v/>
      </c>
      <c r="F41" s="378" t="str">
        <f>IFERROR(IF(VLOOKUP($A41,TableHandbook[],F$2,FALSE)=0,"",VLOOKUP($A41,TableHandbook[],F$2,FALSE)),"")</f>
        <v/>
      </c>
      <c r="G41" s="376" t="str">
        <f>IFERROR(IF(VLOOKUP($A41,TableHandbook[],G$2,FALSE)=0,"",VLOOKUP($A41,TableHandbook[],G$2,FALSE)),"")</f>
        <v/>
      </c>
      <c r="H41" s="379" t="str">
        <f>IFERROR(VLOOKUP($A41,TableHandbook[],H$2,FALSE),"")</f>
        <v/>
      </c>
      <c r="I41" s="376" t="str">
        <f>IFERROR(VLOOKUP($A41,TableHandbook[],I$2,FALSE),"")</f>
        <v/>
      </c>
      <c r="J41" s="376" t="str">
        <f>IFERROR(VLOOKUP($A41,TableHandbook[],J$2,FALSE),"")</f>
        <v/>
      </c>
      <c r="K41" s="380" t="str">
        <f>IFERROR(VLOOKUP($A41,TableHandbook[],K$2,FALSE),"")</f>
        <v/>
      </c>
      <c r="L41" s="87"/>
      <c r="M41" s="448">
        <v>26</v>
      </c>
      <c r="N41" s="382"/>
      <c r="O41" s="382"/>
      <c r="P41" s="383"/>
      <c r="Q41" s="383"/>
      <c r="R41" s="383"/>
      <c r="S41" s="383"/>
      <c r="T41" s="383"/>
      <c r="U41" s="383"/>
      <c r="V41" s="49"/>
      <c r="W41" s="49"/>
    </row>
    <row r="42" spans="1:23" s="50" customFormat="1" ht="19.5" customHeight="1" x14ac:dyDescent="0.15">
      <c r="A42" s="375" t="str">
        <f>IFERROR(IF(HLOOKUP($L$5,RangeUnitSetsSec,M42,FALSE)=0,"",HLOOKUP($L$5,RangeUnitSetsSec,M42,FALSE)),"")</f>
        <v/>
      </c>
      <c r="B42" s="393" t="str">
        <f>IFERROR(IF(VLOOKUP($A42,TableHandbook[],B$2,FALSE)=0,"",VLOOKUP($A42,TableHandbook[],B$2,FALSE)),"")</f>
        <v/>
      </c>
      <c r="C42" s="393" t="str">
        <f>IFERROR(IF(VLOOKUP($A42,TableHandbook[],C$2,FALSE)=0,"",VLOOKUP($A42,TableHandbook[],C$2,FALSE)),"")</f>
        <v/>
      </c>
      <c r="D42" s="398" t="str">
        <f>IFERROR(IF(VLOOKUP($A42,TableHandbook[],D$2,FALSE)=0,"",VLOOKUP($A42,TableHandbook[],D$2,FALSE)),"")</f>
        <v/>
      </c>
      <c r="E42" s="393" t="str">
        <f>IF(A42="","",E41)</f>
        <v/>
      </c>
      <c r="F42" s="378" t="str">
        <f>IFERROR(IF(VLOOKUP($A42,TableHandbook[],F$2,FALSE)=0,"",VLOOKUP($A42,TableHandbook[],F$2,FALSE)),"")</f>
        <v/>
      </c>
      <c r="G42" s="376" t="str">
        <f>IFERROR(IF(VLOOKUP($A42,TableHandbook[],G$2,FALSE)=0,"",VLOOKUP($A42,TableHandbook[],G$2,FALSE)),"")</f>
        <v/>
      </c>
      <c r="H42" s="379" t="str">
        <f>IFERROR(VLOOKUP($A42,TableHandbook[],H$2,FALSE),"")</f>
        <v/>
      </c>
      <c r="I42" s="376" t="str">
        <f>IFERROR(VLOOKUP($A42,TableHandbook[],I$2,FALSE),"")</f>
        <v/>
      </c>
      <c r="J42" s="376" t="str">
        <f>IFERROR(VLOOKUP($A42,TableHandbook[],J$2,FALSE),"")</f>
        <v/>
      </c>
      <c r="K42" s="380" t="str">
        <f>IFERROR(VLOOKUP($A42,TableHandbook[],K$2,FALSE),"")</f>
        <v/>
      </c>
      <c r="L42" s="87"/>
      <c r="M42" s="448">
        <v>27</v>
      </c>
      <c r="N42" s="382"/>
      <c r="O42" s="382"/>
      <c r="P42" s="383"/>
      <c r="Q42" s="383"/>
      <c r="R42" s="383"/>
      <c r="S42" s="383"/>
      <c r="T42" s="383"/>
      <c r="U42" s="383"/>
      <c r="V42" s="49"/>
      <c r="W42" s="49"/>
    </row>
    <row r="43" spans="1:23" s="50" customFormat="1" ht="20.100000000000001" customHeight="1" x14ac:dyDescent="0.15">
      <c r="A43" s="449" t="str">
        <f>IFERROR(IF(HLOOKUP($L$6,RangeMajorsSec,M43,FALSE)=0,"",HLOOKUP($L$6,RangeMajorsSec,M43,FALSE)),"")</f>
        <v/>
      </c>
      <c r="B43" s="450" t="str">
        <f>IFERROR(IF(VLOOKUP($A43,TableHandbook[],B$2,FALSE)=0,"",VLOOKUP($A43,TableHandbook[],B$2,FALSE)),"")</f>
        <v/>
      </c>
      <c r="C43" s="450" t="str">
        <f>IFERROR(IF(VLOOKUP($A43,TableHandbook[],C$2,FALSE)=0,"",VLOOKUP($A43,TableHandbook[],C$2,FALSE)),"")</f>
        <v/>
      </c>
      <c r="D43" s="466" t="str">
        <f>IFERROR(IF(VLOOKUP($A43,TableHandbook[],D$2,FALSE)=0,"",VLOOKUP($A43,TableHandbook[],D$2,FALSE)),"")</f>
        <v/>
      </c>
      <c r="E43" s="450" t="str">
        <f>IF(A43="","",E42)</f>
        <v/>
      </c>
      <c r="F43" s="452" t="str">
        <f>IFERROR(IF(VLOOKUP($A43,TableHandbook[],F$2,FALSE)=0,"",VLOOKUP($A43,TableHandbook[],F$2,FALSE)),"")</f>
        <v/>
      </c>
      <c r="G43" s="450" t="str">
        <f>IFERROR(IF(VLOOKUP($A43,TableHandbook[],G$2,FALSE)=0,"",VLOOKUP($A43,TableHandbook[],G$2,FALSE)),"")</f>
        <v/>
      </c>
      <c r="H43" s="453" t="str">
        <f>IFERROR(VLOOKUP($A43,TableHandbook[],H$2,FALSE),"")</f>
        <v/>
      </c>
      <c r="I43" s="450" t="str">
        <f>IFERROR(VLOOKUP($A43,TableHandbook[],I$2,FALSE),"")</f>
        <v/>
      </c>
      <c r="J43" s="450" t="str">
        <f>IFERROR(VLOOKUP($A43,TableHandbook[],J$2,FALSE),"")</f>
        <v/>
      </c>
      <c r="K43" s="454" t="str">
        <f>IFERROR(VLOOKUP($A43,TableHandbook[],K$2,FALSE),"")</f>
        <v/>
      </c>
      <c r="L43" s="217"/>
      <c r="M43" s="455">
        <v>10</v>
      </c>
      <c r="N43" s="382"/>
      <c r="O43" s="382"/>
      <c r="P43" s="383"/>
      <c r="Q43" s="383"/>
      <c r="R43" s="383"/>
      <c r="S43" s="383"/>
      <c r="T43" s="383"/>
      <c r="U43" s="383"/>
      <c r="V43" s="49"/>
      <c r="W43" s="49"/>
    </row>
    <row r="44" spans="1:23" s="50" customFormat="1" ht="20.100000000000001" customHeight="1" x14ac:dyDescent="0.15">
      <c r="A44" s="488" t="str">
        <f>IFERROR(IF(HLOOKUP($L$7,RangeMathNoMethods,M44,FALSE)=0,"",HLOOKUP($L$7,RangeMathNoMethods,M44,FALSE)),"")</f>
        <v/>
      </c>
      <c r="B44" s="495" t="str">
        <f>IFERROR(IF(VLOOKUP($A44,TableHandbook[],B$2,FALSE)=0,"",VLOOKUP($A44,TableHandbook[],B$2,FALSE)),"")</f>
        <v/>
      </c>
      <c r="C44" s="495" t="str">
        <f>IFERROR(IF(VLOOKUP($A44,TableHandbook[],C$2,FALSE)=0,"",VLOOKUP($A44,TableHandbook[],C$2,FALSE)),"")</f>
        <v/>
      </c>
      <c r="D44" s="496" t="str">
        <f>IFERROR(IF(VLOOKUP($A44,TableHandbook[],D$2,FALSE)=0,"",VLOOKUP($A44,TableHandbook[],D$2,FALSE)),"")</f>
        <v/>
      </c>
      <c r="E44" s="495" t="str">
        <f>IF(A44="","",E43)</f>
        <v/>
      </c>
      <c r="F44" s="497" t="str">
        <f>IFERROR(IF(VLOOKUP($A44,TableHandbook[],F$2,FALSE)=0,"",VLOOKUP($A44,TableHandbook[],F$2,FALSE)),"")</f>
        <v/>
      </c>
      <c r="G44" s="495" t="str">
        <f>IFERROR(IF(VLOOKUP($A44,TableHandbook[],G$2,FALSE)=0,"",VLOOKUP($A44,TableHandbook[],G$2,FALSE)),"")</f>
        <v/>
      </c>
      <c r="H44" s="498" t="str">
        <f>IFERROR(VLOOKUP($A44,TableHandbook[],H$2,FALSE),"")</f>
        <v/>
      </c>
      <c r="I44" s="495" t="str">
        <f>IFERROR(VLOOKUP($A44,TableHandbook[],I$2,FALSE),"")</f>
        <v/>
      </c>
      <c r="J44" s="495" t="str">
        <f>IFERROR(VLOOKUP($A44,TableHandbook[],J$2,FALSE),"")</f>
        <v/>
      </c>
      <c r="K44" s="499" t="str">
        <f>IFERROR(VLOOKUP($A44,TableHandbook[],K$2,FALSE),"")</f>
        <v/>
      </c>
      <c r="L44" s="257"/>
      <c r="M44" s="500">
        <v>8</v>
      </c>
      <c r="N44" s="382"/>
      <c r="O44" s="382"/>
      <c r="P44" s="383"/>
      <c r="Q44" s="383"/>
      <c r="R44" s="383"/>
      <c r="S44" s="383"/>
      <c r="T44" s="383"/>
      <c r="U44" s="383"/>
      <c r="V44" s="49"/>
      <c r="W44" s="49"/>
    </row>
    <row r="45" spans="1:23" s="50" customFormat="1" ht="5.0999999999999996" customHeight="1" x14ac:dyDescent="0.15">
      <c r="A45" s="386"/>
      <c r="B45" s="387"/>
      <c r="C45" s="387"/>
      <c r="D45" s="388"/>
      <c r="E45" s="387"/>
      <c r="F45" s="389"/>
      <c r="G45" s="387"/>
      <c r="H45" s="390"/>
      <c r="I45" s="387"/>
      <c r="J45" s="387"/>
      <c r="K45" s="391"/>
      <c r="L45" s="391"/>
      <c r="M45" s="448"/>
      <c r="N45" s="382"/>
      <c r="O45" s="382"/>
      <c r="P45" s="382"/>
      <c r="Q45" s="383"/>
      <c r="R45" s="383"/>
      <c r="S45" s="383"/>
      <c r="T45" s="383"/>
      <c r="U45" s="383"/>
      <c r="V45" s="49"/>
      <c r="W45" s="49"/>
    </row>
    <row r="46" spans="1:23" s="50" customFormat="1" ht="20.100000000000001" customHeight="1" x14ac:dyDescent="0.15">
      <c r="A46" s="375" t="str">
        <f>IFERROR(IF(HLOOKUP($L$5,RangeUnitSetsSec,M46,FALSE)=0,"",HLOOKUP($L$5,RangeUnitSetsSec,M46,FALSE)),"")</f>
        <v/>
      </c>
      <c r="B46" s="393" t="str">
        <f>IFERROR(IF(VLOOKUP($A46,TableHandbook[],B$2,FALSE)=0,"",VLOOKUP($A46,TableHandbook[],B$2,FALSE)),"")</f>
        <v/>
      </c>
      <c r="C46" s="393" t="str">
        <f>IFERROR(IF(VLOOKUP($A46,TableHandbook[],C$2,FALSE)=0,"",VLOOKUP($A46,TableHandbook[],C$2,FALSE)),"")</f>
        <v/>
      </c>
      <c r="D46" s="398" t="str">
        <f>IFERROR(IF(VLOOKUP($A46,TableHandbook[],D$2,FALSE)=0,"",VLOOKUP($A46,TableHandbook[],D$2,FALSE)),"")</f>
        <v/>
      </c>
      <c r="E46" s="393"/>
      <c r="F46" s="378" t="str">
        <f>IFERROR(IF(VLOOKUP($A46,TableHandbook[],F$2,FALSE)=0,"",VLOOKUP($A46,TableHandbook[],F$2,FALSE)),"")</f>
        <v/>
      </c>
      <c r="G46" s="376" t="str">
        <f>IFERROR(IF(VLOOKUP($A46,TableHandbook[],G$2,FALSE)=0,"",VLOOKUP($A46,TableHandbook[],G$2,FALSE)),"")</f>
        <v/>
      </c>
      <c r="H46" s="379" t="str">
        <f>IFERROR(VLOOKUP($A46,TableHandbook[],H$2,FALSE),"")</f>
        <v/>
      </c>
      <c r="I46" s="376" t="str">
        <f>IFERROR(VLOOKUP($A46,TableHandbook[],I$2,FALSE),"")</f>
        <v/>
      </c>
      <c r="J46" s="376" t="str">
        <f>IFERROR(VLOOKUP($A46,TableHandbook[],J$2,FALSE),"")</f>
        <v/>
      </c>
      <c r="K46" s="380" t="str">
        <f>IFERROR(VLOOKUP($A46,TableHandbook[],K$2,FALSE),"")</f>
        <v/>
      </c>
      <c r="L46" s="87"/>
      <c r="M46" s="448">
        <v>30</v>
      </c>
      <c r="N46" s="382"/>
      <c r="O46" s="382"/>
      <c r="P46" s="383"/>
      <c r="Q46" s="383"/>
      <c r="R46" s="383"/>
      <c r="S46" s="383"/>
      <c r="T46" s="383"/>
      <c r="U46" s="383"/>
      <c r="V46" s="49"/>
      <c r="W46" s="49"/>
    </row>
    <row r="47" spans="1:23" s="50" customFormat="1" ht="20.100000000000001" customHeight="1" x14ac:dyDescent="0.15">
      <c r="A47" s="375" t="str">
        <f>IFERROR(IF(HLOOKUP($L$5,RangeUnitSetsSec,M47,FALSE)=0,"",HLOOKUP($L$5,RangeUnitSetsSec,M47,FALSE)),"")</f>
        <v/>
      </c>
      <c r="B47" s="393" t="str">
        <f>IFERROR(IF(VLOOKUP($A47,TableHandbook[],B$2,FALSE)=0,"",VLOOKUP($A47,TableHandbook[],B$2,FALSE)),"")</f>
        <v/>
      </c>
      <c r="C47" s="393" t="str">
        <f>IFERROR(IF(VLOOKUP($A47,TableHandbook[],C$2,FALSE)=0,"",VLOOKUP($A47,TableHandbook[],C$2,FALSE)),"")</f>
        <v/>
      </c>
      <c r="D47" s="398" t="str">
        <f>IFERROR(IF(VLOOKUP($A47,TableHandbook[],D$2,FALSE)=0,"",VLOOKUP($A47,TableHandbook[],D$2,FALSE)),"")</f>
        <v/>
      </c>
      <c r="E47" s="393"/>
      <c r="F47" s="378" t="str">
        <f>IFERROR(IF(VLOOKUP($A47,TableHandbook[],F$2,FALSE)=0,"",VLOOKUP($A47,TableHandbook[],F$2,FALSE)),"")</f>
        <v/>
      </c>
      <c r="G47" s="376" t="str">
        <f>IFERROR(IF(VLOOKUP($A47,TableHandbook[],G$2,FALSE)=0,"",VLOOKUP($A47,TableHandbook[],G$2,FALSE)),"")</f>
        <v/>
      </c>
      <c r="H47" s="379" t="str">
        <f>IFERROR(VLOOKUP($A47,TableHandbook[],H$2,FALSE),"")</f>
        <v/>
      </c>
      <c r="I47" s="376" t="str">
        <f>IFERROR(VLOOKUP($A47,TableHandbook[],I$2,FALSE),"")</f>
        <v/>
      </c>
      <c r="J47" s="376" t="str">
        <f>IFERROR(VLOOKUP($A47,TableHandbook[],J$2,FALSE),"")</f>
        <v/>
      </c>
      <c r="K47" s="380" t="str">
        <f>IFERROR(VLOOKUP($A47,TableHandbook[],K$2,FALSE),"")</f>
        <v/>
      </c>
      <c r="L47" s="87"/>
      <c r="M47" s="448">
        <v>31</v>
      </c>
      <c r="N47" s="382"/>
      <c r="O47" s="382"/>
      <c r="P47" s="383"/>
      <c r="Q47" s="383"/>
      <c r="R47" s="383"/>
      <c r="S47" s="383"/>
      <c r="T47" s="383"/>
      <c r="U47" s="383"/>
      <c r="V47" s="49"/>
      <c r="W47" s="49"/>
    </row>
    <row r="48" spans="1:23" s="62" customFormat="1" ht="13.9" customHeight="1" x14ac:dyDescent="0.2">
      <c r="A48" s="401"/>
      <c r="B48" s="401"/>
      <c r="C48" s="401"/>
      <c r="D48" s="402"/>
      <c r="E48" s="402"/>
      <c r="F48" s="403"/>
      <c r="G48" s="403"/>
      <c r="H48" s="403"/>
      <c r="I48" s="403"/>
      <c r="J48" s="403"/>
      <c r="K48" s="403"/>
      <c r="L48" s="403"/>
      <c r="M48" s="467"/>
      <c r="N48" s="404"/>
      <c r="O48" s="404"/>
      <c r="P48" s="405"/>
      <c r="Q48" s="405"/>
      <c r="R48" s="405"/>
      <c r="S48" s="405"/>
      <c r="T48" s="405"/>
      <c r="U48" s="405"/>
      <c r="V48" s="61"/>
      <c r="W48" s="61"/>
    </row>
    <row r="49" spans="1:23" ht="16.5" x14ac:dyDescent="0.25">
      <c r="A49" s="406" t="s">
        <v>179</v>
      </c>
      <c r="B49" s="407"/>
      <c r="C49" s="407"/>
      <c r="D49" s="408"/>
      <c r="E49" s="409"/>
      <c r="F49" s="409"/>
      <c r="G49" s="409"/>
      <c r="H49" s="410" t="s">
        <v>15</v>
      </c>
      <c r="I49" s="411"/>
      <c r="J49" s="411"/>
      <c r="K49" s="406"/>
      <c r="L49" s="433"/>
      <c r="M49" s="468"/>
      <c r="N49" s="347"/>
      <c r="O49" s="347"/>
      <c r="P49" s="347"/>
      <c r="Q49" s="347"/>
      <c r="R49" s="347"/>
      <c r="S49" s="347"/>
      <c r="T49" s="347"/>
      <c r="U49" s="347"/>
      <c r="V49" s="44"/>
      <c r="W49" s="44"/>
    </row>
    <row r="50" spans="1:23" s="66" customFormat="1" ht="21" x14ac:dyDescent="0.25">
      <c r="A50" s="413"/>
      <c r="B50" s="413"/>
      <c r="C50" s="413"/>
      <c r="D50" s="414" t="s">
        <v>3</v>
      </c>
      <c r="E50" s="413"/>
      <c r="F50" s="413" t="s">
        <v>18</v>
      </c>
      <c r="G50" s="413" t="s">
        <v>19</v>
      </c>
      <c r="H50" s="415" t="s">
        <v>921</v>
      </c>
      <c r="I50" s="416" t="s">
        <v>20</v>
      </c>
      <c r="J50" s="416" t="s">
        <v>22</v>
      </c>
      <c r="K50" s="416" t="s">
        <v>23</v>
      </c>
      <c r="L50" s="417" t="s">
        <v>25</v>
      </c>
      <c r="M50" s="468"/>
      <c r="N50" s="418"/>
      <c r="O50" s="418"/>
      <c r="P50" s="418"/>
      <c r="Q50" s="418"/>
      <c r="R50" s="418"/>
      <c r="S50" s="418"/>
      <c r="T50" s="418"/>
      <c r="U50" s="418"/>
      <c r="V50" s="65"/>
      <c r="W50" s="65"/>
    </row>
    <row r="51" spans="1:23" s="66" customFormat="1" x14ac:dyDescent="0.25">
      <c r="A51" s="419" t="s">
        <v>180</v>
      </c>
      <c r="B51" s="420"/>
      <c r="C51" s="421"/>
      <c r="D51" s="421"/>
      <c r="E51" s="422"/>
      <c r="F51" s="423"/>
      <c r="G51" s="423"/>
      <c r="H51" s="379"/>
      <c r="I51" s="376"/>
      <c r="J51" s="376"/>
      <c r="K51" s="380"/>
      <c r="L51" s="91"/>
      <c r="M51" s="468"/>
      <c r="N51" s="418"/>
      <c r="O51" s="418"/>
      <c r="P51" s="418"/>
      <c r="Q51" s="418"/>
      <c r="R51" s="418"/>
      <c r="S51" s="418"/>
      <c r="T51" s="418"/>
      <c r="U51" s="418"/>
      <c r="V51" s="65"/>
      <c r="W51" s="65"/>
    </row>
    <row r="52" spans="1:23" ht="24" customHeight="1" x14ac:dyDescent="0.25">
      <c r="A52" s="469" t="str">
        <f>IFERROR(IF(HLOOKUP($L$6,RangeMajorsAltCore,M52,FALSE)=0,"",HLOOKUP($L$6,RangeMajorsAltCore,M52,FALSE)),"")</f>
        <v/>
      </c>
      <c r="B52" s="470" t="str">
        <f>IFERROR(IF(VLOOKUP($A52,TableHandbook[],B$2,FALSE)=0,"",VLOOKUP($A52,TableHandbook[],B$2,FALSE)),"")</f>
        <v/>
      </c>
      <c r="C52" s="471" t="str">
        <f>IFERROR(IF(VLOOKUP($A52,TableHandbook[],C$2,FALSE)=0,"",VLOOKUP($A52,TableHandbook[],C$2,FALSE)),"")</f>
        <v/>
      </c>
      <c r="D52" s="472" t="str">
        <f>IFERROR(IF(VLOOKUP($A52,TableHandbook[],D$2,FALSE)=0,"",VLOOKUP($A52,TableHandbook[],D$2,FALSE)),"")</f>
        <v/>
      </c>
      <c r="E52" s="472"/>
      <c r="F52" s="473" t="str">
        <f>IFERROR(IF(VLOOKUP($A52,TableHandbook[],F$2,FALSE)=0,"",VLOOKUP($A52,TableHandbook[],F$2,FALSE)),"")</f>
        <v/>
      </c>
      <c r="G52" s="473" t="str">
        <f>IFERROR(IF(VLOOKUP($A52,TableHandbook[],G$2,FALSE)=0,"",VLOOKUP($A52,TableHandbook[],G$2,FALSE)),"")</f>
        <v/>
      </c>
      <c r="H52" s="453" t="str">
        <f>IFERROR(VLOOKUP($A52,TableHandbook[],H$2,FALSE),"")</f>
        <v/>
      </c>
      <c r="I52" s="450" t="str">
        <f>IFERROR(VLOOKUP($A52,TableHandbook[],I$2,FALSE),"")</f>
        <v/>
      </c>
      <c r="J52" s="450" t="str">
        <f>IFERROR(VLOOKUP($A52,TableHandbook[],J$2,FALSE),"")</f>
        <v/>
      </c>
      <c r="K52" s="454" t="str">
        <f>IFERROR(VLOOKUP($A52,TableHandbook[],K$2,FALSE),"")</f>
        <v/>
      </c>
      <c r="L52" s="215"/>
      <c r="M52" s="455">
        <v>2</v>
      </c>
      <c r="N52" s="347"/>
      <c r="O52" s="347"/>
      <c r="P52" s="347"/>
      <c r="Q52" s="347"/>
      <c r="R52" s="347"/>
      <c r="S52" s="347"/>
      <c r="T52" s="347"/>
      <c r="U52" s="347"/>
      <c r="V52" s="44"/>
      <c r="W52" s="44"/>
    </row>
    <row r="53" spans="1:23" ht="24" customHeight="1" x14ac:dyDescent="0.25">
      <c r="A53" s="469" t="str">
        <f>IFERROR(IF(HLOOKUP($L$6,RangeMajorsAltCore,M53,FALSE)=0,"",HLOOKUP($L$6,RangeMajorsAltCore,M53,FALSE)),"")</f>
        <v/>
      </c>
      <c r="B53" s="470" t="str">
        <f>IFERROR(IF(VLOOKUP($A53,TableHandbook[],2,FALSE)=0,"",VLOOKUP($A53,TableHandbook[],2,FALSE)),"")</f>
        <v/>
      </c>
      <c r="C53" s="471" t="str">
        <f>IFERROR(IF(VLOOKUP($A53,TableHandbook[],3,FALSE)=0,"",VLOOKUP($A53,TableHandbook[],3,FALSE)),"")</f>
        <v/>
      </c>
      <c r="D53" s="471" t="str">
        <f>IFERROR(IF(VLOOKUP($A53,TableHandbook[],4,FALSE)=0,"",VLOOKUP($A53,TableHandbook[],4,FALSE)),"")</f>
        <v/>
      </c>
      <c r="E53" s="472"/>
      <c r="F53" s="473" t="str">
        <f>IFERROR(IF(VLOOKUP($A53,TableHandbook[],6,FALSE)=0,"",VLOOKUP($A53,TableHandbook[],6,FALSE)),"")</f>
        <v/>
      </c>
      <c r="G53" s="473" t="str">
        <f>IFERROR(IF(VLOOKUP($A53,TableHandbook[],5,FALSE)=0,"",VLOOKUP($A53,TableHandbook[],5,FALSE)),"")</f>
        <v/>
      </c>
      <c r="H53" s="453" t="str">
        <f>IFERROR(VLOOKUP($A53,TableHandbook[],H$2,FALSE),"")</f>
        <v/>
      </c>
      <c r="I53" s="450" t="str">
        <f>IFERROR(VLOOKUP($A53,TableHandbook[],I$2,FALSE),"")</f>
        <v/>
      </c>
      <c r="J53" s="450" t="str">
        <f>IFERROR(VLOOKUP($A53,TableHandbook[],J$2,FALSE),"")</f>
        <v/>
      </c>
      <c r="K53" s="454" t="str">
        <f>IFERROR(VLOOKUP($A53,TableHandbook[],K$2,FALSE),"")</f>
        <v/>
      </c>
      <c r="L53" s="215"/>
      <c r="M53" s="455">
        <v>3</v>
      </c>
      <c r="N53" s="347"/>
      <c r="O53" s="347"/>
      <c r="P53" s="347"/>
      <c r="Q53" s="347"/>
      <c r="R53" s="347"/>
      <c r="S53" s="347"/>
      <c r="T53" s="347"/>
      <c r="U53" s="347"/>
      <c r="V53" s="44"/>
      <c r="W53" s="44"/>
    </row>
    <row r="54" spans="1:23" ht="24" customHeight="1" x14ac:dyDescent="0.25">
      <c r="A54" s="469" t="str">
        <f>IFERROR(IF(HLOOKUP($L$6,RangeMajorsAltCore,M54,FALSE)=0,"",HLOOKUP($L$6,RangeMajorsAltCore,M54,FALSE)),"")</f>
        <v/>
      </c>
      <c r="B54" s="470" t="str">
        <f>IFERROR(IF(VLOOKUP($A54,TableHandbook[],2,FALSE)=0,"",VLOOKUP($A54,TableHandbook[],2,FALSE)),"")</f>
        <v/>
      </c>
      <c r="C54" s="471" t="str">
        <f>IFERROR(IF(VLOOKUP($A54,TableHandbook[],3,FALSE)=0,"",VLOOKUP($A54,TableHandbook[],3,FALSE)),"")</f>
        <v/>
      </c>
      <c r="D54" s="471" t="str">
        <f>IFERROR(IF(VLOOKUP($A54,TableHandbook[],4,FALSE)=0,"",VLOOKUP($A54,TableHandbook[],4,FALSE)),"")</f>
        <v/>
      </c>
      <c r="E54" s="472"/>
      <c r="F54" s="473" t="str">
        <f>IFERROR(IF(VLOOKUP($A54,TableHandbook[],6,FALSE)=0,"",VLOOKUP($A54,TableHandbook[],6,FALSE)),"")</f>
        <v/>
      </c>
      <c r="G54" s="473" t="str">
        <f>IFERROR(IF(VLOOKUP($A54,TableHandbook[],5,FALSE)=0,"",VLOOKUP($A54,TableHandbook[],5,FALSE)),"")</f>
        <v/>
      </c>
      <c r="H54" s="453" t="str">
        <f>IFERROR(VLOOKUP($A54,TableHandbook[],H$2,FALSE),"")</f>
        <v/>
      </c>
      <c r="I54" s="450" t="str">
        <f>IFERROR(VLOOKUP($A54,TableHandbook[],I$2,FALSE),"")</f>
        <v/>
      </c>
      <c r="J54" s="450" t="str">
        <f>IFERROR(VLOOKUP($A54,TableHandbook[],J$2,FALSE),"")</f>
        <v/>
      </c>
      <c r="K54" s="454" t="str">
        <f>IFERROR(VLOOKUP($A54,TableHandbook[],K$2,FALSE),"")</f>
        <v/>
      </c>
      <c r="L54" s="215"/>
      <c r="M54" s="455">
        <v>4</v>
      </c>
      <c r="N54" s="347"/>
      <c r="O54" s="347"/>
      <c r="P54" s="347"/>
      <c r="Q54" s="347"/>
      <c r="R54" s="347"/>
      <c r="S54" s="347"/>
      <c r="T54" s="347"/>
      <c r="U54" s="347"/>
      <c r="V54" s="44"/>
      <c r="W54" s="44"/>
    </row>
    <row r="55" spans="1:23" s="62" customFormat="1" ht="13.9" customHeight="1" x14ac:dyDescent="0.2">
      <c r="A55" s="401"/>
      <c r="B55" s="401"/>
      <c r="C55" s="401"/>
      <c r="D55" s="402"/>
      <c r="E55" s="402"/>
      <c r="F55" s="403"/>
      <c r="G55" s="403"/>
      <c r="H55" s="403"/>
      <c r="I55" s="403"/>
      <c r="J55" s="403"/>
      <c r="K55" s="403"/>
      <c r="L55" s="403"/>
      <c r="M55" s="467"/>
      <c r="N55" s="404"/>
      <c r="O55" s="404"/>
      <c r="P55" s="405"/>
      <c r="Q55" s="405"/>
      <c r="R55" s="405"/>
      <c r="S55" s="405"/>
      <c r="T55" s="405"/>
      <c r="U55" s="405"/>
      <c r="V55" s="61"/>
      <c r="W55" s="61"/>
    </row>
    <row r="56" spans="1:23" s="44" customFormat="1" ht="32.25" customHeight="1" x14ac:dyDescent="0.25">
      <c r="A56" s="504" t="s">
        <v>30</v>
      </c>
      <c r="B56" s="504"/>
      <c r="C56" s="504"/>
      <c r="D56" s="504"/>
      <c r="E56" s="504"/>
      <c r="F56" s="504"/>
      <c r="G56" s="504"/>
      <c r="H56" s="504"/>
      <c r="I56" s="504"/>
      <c r="J56" s="504"/>
      <c r="K56" s="504"/>
      <c r="L56" s="504"/>
      <c r="M56" s="347"/>
      <c r="N56" s="347"/>
      <c r="O56" s="347"/>
      <c r="P56" s="347"/>
      <c r="Q56" s="347"/>
      <c r="R56" s="347"/>
      <c r="S56" s="347"/>
      <c r="T56" s="347"/>
      <c r="U56" s="347"/>
    </row>
    <row r="57" spans="1:23" s="57" customFormat="1" ht="24.95" customHeight="1" x14ac:dyDescent="0.3">
      <c r="A57" s="148" t="s">
        <v>31</v>
      </c>
      <c r="B57" s="148"/>
      <c r="C57" s="148"/>
      <c r="D57" s="149"/>
      <c r="E57" s="149"/>
      <c r="F57" s="149"/>
      <c r="G57" s="149"/>
      <c r="H57" s="149"/>
      <c r="I57" s="149"/>
      <c r="J57" s="149"/>
      <c r="K57" s="149"/>
      <c r="L57" s="149"/>
      <c r="M57" s="425"/>
      <c r="N57" s="425"/>
      <c r="O57" s="425"/>
      <c r="P57" s="426"/>
      <c r="Q57" s="426"/>
      <c r="R57" s="426"/>
      <c r="S57" s="426"/>
      <c r="T57" s="426"/>
      <c r="U57" s="426"/>
      <c r="V57" s="56"/>
      <c r="W57" s="56"/>
    </row>
    <row r="58" spans="1:23" s="44" customFormat="1" ht="15" customHeight="1" x14ac:dyDescent="0.25">
      <c r="A58" s="427" t="s">
        <v>32</v>
      </c>
      <c r="B58" s="427"/>
      <c r="C58" s="427"/>
      <c r="D58" s="427"/>
      <c r="E58" s="428"/>
      <c r="F58" s="403"/>
      <c r="G58" s="429"/>
      <c r="H58" s="429"/>
      <c r="I58" s="429"/>
      <c r="J58" s="429"/>
      <c r="K58" s="429"/>
      <c r="L58" s="429" t="s">
        <v>33</v>
      </c>
      <c r="M58" s="347"/>
      <c r="N58" s="347"/>
      <c r="O58" s="347"/>
      <c r="P58" s="347"/>
      <c r="Q58" s="347"/>
      <c r="R58" s="347"/>
      <c r="S58" s="347"/>
      <c r="T58" s="347"/>
      <c r="U58" s="347"/>
    </row>
  </sheetData>
  <sheetProtection formatCells="0"/>
  <mergeCells count="2">
    <mergeCell ref="A3:D3"/>
    <mergeCell ref="A56:L56"/>
  </mergeCells>
  <conditionalFormatting sqref="A51:L54">
    <cfRule type="expression" dxfId="1071" priority="4">
      <formula>LEFT($D51,8)="Bachelor"</formula>
    </cfRule>
    <cfRule type="expression" dxfId="1070" priority="5">
      <formula>RIGHT($D51,7)="Options"</formula>
    </cfRule>
    <cfRule type="expression" dxfId="1069" priority="6">
      <formula>LEFT($D51,5)="Study"</formula>
    </cfRule>
  </conditionalFormatting>
  <conditionalFormatting sqref="D5:D8">
    <cfRule type="containsText" dxfId="1068" priority="7" operator="containsText" text="Choose">
      <formula>NOT(ISERROR(SEARCH("Choose",D5)))</formula>
    </cfRule>
  </conditionalFormatting>
  <dataValidations count="2">
    <dataValidation type="list" allowBlank="1" showInputMessage="1" showErrorMessage="1" sqref="L25 L15 L35 L45"/>
    <dataValidation type="list" showInputMessage="1" showErrorMessage="1" sqref="D6">
      <formula1>INDIRECT($L$8)</formula1>
    </dataValidation>
  </dataValidations>
  <hyperlinks>
    <hyperlink ref="A57:L57"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58"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Unitsets!$A$13:$A$15</xm:f>
          </x14:formula1>
          <xm:sqref>D8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tint="0.79998168889431442"/>
  </sheetPr>
  <dimension ref="A2:DV134"/>
  <sheetViews>
    <sheetView zoomScale="85" zoomScaleNormal="85" workbookViewId="0">
      <selection activeCell="D9" sqref="D9"/>
    </sheetView>
  </sheetViews>
  <sheetFormatPr defaultRowHeight="15.75" x14ac:dyDescent="0.25"/>
  <cols>
    <col min="1" max="1" width="81.5" bestFit="1" customWidth="1"/>
    <col min="2" max="2" width="11.75" bestFit="1" customWidth="1"/>
    <col min="3" max="3" width="9.875" bestFit="1" customWidth="1"/>
    <col min="4" max="4" width="19.875" bestFit="1" customWidth="1"/>
    <col min="5" max="5" width="14.25" bestFit="1" customWidth="1"/>
    <col min="6" max="6" width="13.625" bestFit="1" customWidth="1"/>
    <col min="7" max="7" width="15.75" customWidth="1"/>
    <col min="8" max="8" width="9.125" customWidth="1"/>
    <col min="9" max="9" width="13.75" bestFit="1" customWidth="1"/>
    <col min="10" max="10" width="82.375" bestFit="1" customWidth="1"/>
    <col min="11" max="11" width="11.75" bestFit="1" customWidth="1"/>
    <col min="12" max="12" width="9.125" customWidth="1"/>
    <col min="13" max="13" width="17.125" bestFit="1" customWidth="1"/>
    <col min="14" max="14" width="2.5" bestFit="1" customWidth="1"/>
    <col min="15" max="15" width="6.125" bestFit="1" customWidth="1"/>
    <col min="16" max="16" width="11.5" bestFit="1" customWidth="1"/>
    <col min="17" max="17" width="6.125" bestFit="1" customWidth="1"/>
    <col min="18" max="18" width="11.625" bestFit="1" customWidth="1"/>
    <col min="19" max="19" width="6.125" bestFit="1" customWidth="1"/>
    <col min="20" max="20" width="11.25" customWidth="1"/>
    <col min="21" max="21" width="10.25" bestFit="1" customWidth="1"/>
    <col min="22" max="22" width="15.75" bestFit="1" customWidth="1"/>
    <col min="23" max="23" width="6.125" bestFit="1" customWidth="1"/>
    <col min="27" max="27" width="6.125" bestFit="1" customWidth="1"/>
    <col min="31" max="31" width="6.125" bestFit="1" customWidth="1"/>
    <col min="32" max="32" width="10.75" customWidth="1"/>
    <col min="35" max="35" width="6.125" bestFit="1" customWidth="1"/>
    <col min="39" max="39" width="6.125" bestFit="1" customWidth="1"/>
    <col min="43" max="43" width="6.125" bestFit="1" customWidth="1"/>
    <col min="47" max="47" width="6.125" bestFit="1" customWidth="1"/>
    <col min="51" max="51" width="6.125" bestFit="1" customWidth="1"/>
    <col min="55" max="55" width="6.125" bestFit="1" customWidth="1"/>
    <col min="59" max="59" width="6.125" bestFit="1" customWidth="1"/>
    <col min="63" max="63" width="6.125" bestFit="1" customWidth="1"/>
    <col min="67" max="67" width="6.125" bestFit="1" customWidth="1"/>
    <col min="71" max="71" width="6.125" bestFit="1" customWidth="1"/>
    <col min="75" max="75" width="6.125" bestFit="1" customWidth="1"/>
    <col min="79" max="79" width="6.125" bestFit="1" customWidth="1"/>
    <col min="83" max="83" width="6.125" bestFit="1" customWidth="1"/>
    <col min="87" max="87" width="6.125" bestFit="1" customWidth="1"/>
    <col min="91" max="91" width="6.125" bestFit="1" customWidth="1"/>
    <col min="95" max="95" width="6.125" bestFit="1" customWidth="1"/>
    <col min="99" max="99" width="6.125" bestFit="1" customWidth="1"/>
    <col min="103" max="103" width="6.125" bestFit="1" customWidth="1"/>
    <col min="107" max="107" width="6.125" bestFit="1" customWidth="1"/>
    <col min="111" max="111" width="6.125" bestFit="1" customWidth="1"/>
    <col min="115" max="115" width="6.125" bestFit="1" customWidth="1"/>
    <col min="119" max="119" width="6.125" bestFit="1" customWidth="1"/>
    <col min="123" max="123" width="6.125" bestFit="1" customWidth="1"/>
  </cols>
  <sheetData>
    <row r="2" spans="1:18" x14ac:dyDescent="0.25">
      <c r="A2" s="189" t="s">
        <v>186</v>
      </c>
      <c r="B2" s="11"/>
      <c r="C2" s="11"/>
      <c r="D2" s="11"/>
      <c r="E2" s="11"/>
      <c r="F2" s="11"/>
      <c r="G2" s="11"/>
      <c r="I2" s="189" t="s">
        <v>187</v>
      </c>
    </row>
    <row r="3" spans="1:18" x14ac:dyDescent="0.25">
      <c r="A3" s="11" t="s">
        <v>11</v>
      </c>
      <c r="B3" s="19" t="s">
        <v>0</v>
      </c>
      <c r="C3" s="11" t="s">
        <v>60</v>
      </c>
      <c r="D3" s="11" t="s">
        <v>61</v>
      </c>
      <c r="E3" s="11" t="s">
        <v>62</v>
      </c>
      <c r="F3" s="11" t="s">
        <v>63</v>
      </c>
      <c r="G3" s="11" t="s">
        <v>6</v>
      </c>
      <c r="I3" s="236" t="s">
        <v>188</v>
      </c>
      <c r="J3" s="237" t="s">
        <v>177</v>
      </c>
      <c r="K3" s="236"/>
      <c r="M3" s="147" t="s">
        <v>189</v>
      </c>
      <c r="N3" s="3">
        <v>1</v>
      </c>
      <c r="O3" s="1"/>
      <c r="P3" s="16" t="s">
        <v>190</v>
      </c>
      <c r="Q3" s="32"/>
      <c r="R3" s="17" t="s">
        <v>191</v>
      </c>
    </row>
    <row r="4" spans="1:18" x14ac:dyDescent="0.25">
      <c r="A4" s="11" t="s">
        <v>79</v>
      </c>
      <c r="B4" s="263" t="s">
        <v>80</v>
      </c>
      <c r="C4" s="12" t="s">
        <v>81</v>
      </c>
      <c r="D4" s="157" t="s">
        <v>73</v>
      </c>
      <c r="E4" s="31">
        <v>44197</v>
      </c>
      <c r="F4" s="31">
        <v>45017</v>
      </c>
      <c r="G4" s="264" t="s">
        <v>82</v>
      </c>
      <c r="I4" s="233" t="s">
        <v>192</v>
      </c>
      <c r="J4" s="238" t="str">
        <f>INDEX(TableStreams[Choose your Specialisation Stream second (drop-down list)],MATCH(K4,TableStreams[UDC],0))</f>
        <v>Biological Sciences Education Minor Teaching Area Stream (BEd Secondary)</v>
      </c>
      <c r="K4" s="233" t="s">
        <v>193</v>
      </c>
      <c r="M4" s="11"/>
      <c r="N4" s="26">
        <v>2</v>
      </c>
      <c r="O4" s="178" t="s">
        <v>50</v>
      </c>
      <c r="P4" s="177" t="s">
        <v>51</v>
      </c>
      <c r="Q4" s="178" t="s">
        <v>52</v>
      </c>
      <c r="R4" s="185" t="s">
        <v>194</v>
      </c>
    </row>
    <row r="5" spans="1:18" x14ac:dyDescent="0.25">
      <c r="I5" s="234"/>
      <c r="J5" s="239" t="str">
        <f>INDEX(TableStreams[Choose your Specialisation Stream second (drop-down list)],MATCH(K5,TableStreams[UDC],0))</f>
        <v>Education Speciality and The Arts Teaching Area Stream (BEd Secondary)</v>
      </c>
      <c r="K5" s="234" t="s">
        <v>195</v>
      </c>
      <c r="M5" s="11"/>
      <c r="N5" s="26">
        <v>3</v>
      </c>
      <c r="O5" s="179" t="s">
        <v>50</v>
      </c>
      <c r="P5" s="166" t="s">
        <v>140</v>
      </c>
      <c r="Q5" s="179" t="s">
        <v>52</v>
      </c>
      <c r="R5" s="166"/>
    </row>
    <row r="6" spans="1:18" x14ac:dyDescent="0.25">
      <c r="A6" s="189" t="s">
        <v>196</v>
      </c>
      <c r="D6" s="11"/>
      <c r="E6" s="11"/>
      <c r="F6" s="25"/>
      <c r="G6" s="25"/>
      <c r="I6" s="234"/>
      <c r="J6" s="239" t="str">
        <f>INDEX(TableStreams[Choose your Specialisation Stream second (drop-down list)],MATCH(K6,TableStreams[UDC],0))</f>
        <v>English Education Minor Teaching Area Stream (BEd Secondary)</v>
      </c>
      <c r="K6" s="234" t="s">
        <v>197</v>
      </c>
      <c r="M6" s="11"/>
      <c r="N6" s="26">
        <v>4</v>
      </c>
      <c r="O6" s="179" t="s">
        <v>50</v>
      </c>
      <c r="P6" s="166" t="s">
        <v>54</v>
      </c>
      <c r="Q6" s="179" t="s">
        <v>52</v>
      </c>
      <c r="R6" s="166"/>
    </row>
    <row r="7" spans="1:18" x14ac:dyDescent="0.25">
      <c r="A7" s="11" t="s">
        <v>174</v>
      </c>
      <c r="B7" s="19" t="s">
        <v>0</v>
      </c>
      <c r="C7" s="11" t="s">
        <v>60</v>
      </c>
      <c r="D7" s="11" t="s">
        <v>61</v>
      </c>
      <c r="E7" s="11" t="s">
        <v>62</v>
      </c>
      <c r="F7" s="11" t="s">
        <v>63</v>
      </c>
      <c r="G7" s="11" t="s">
        <v>6</v>
      </c>
      <c r="I7" s="234"/>
      <c r="J7" s="239" t="str">
        <f>INDEX(TableStreams[Choose your Specialisation Stream second (drop-down list)],MATCH(K7,TableStreams[UDC],0))</f>
        <v>Humanities and Social Sciences - Humanities Education Minor Teaching Area Stream (BEd Secondary)</v>
      </c>
      <c r="K7" s="234" t="s">
        <v>198</v>
      </c>
      <c r="M7" s="11"/>
      <c r="N7" s="26">
        <v>5</v>
      </c>
      <c r="O7" s="180" t="s">
        <v>50</v>
      </c>
      <c r="P7" s="165" t="s">
        <v>56</v>
      </c>
      <c r="Q7" s="180" t="s">
        <v>52</v>
      </c>
      <c r="R7" s="165"/>
    </row>
    <row r="8" spans="1:18" x14ac:dyDescent="0.25">
      <c r="A8" s="11" t="s">
        <v>199</v>
      </c>
      <c r="B8" s="263" t="s">
        <v>192</v>
      </c>
      <c r="C8" s="12" t="s">
        <v>200</v>
      </c>
      <c r="D8" s="11" t="s">
        <v>201</v>
      </c>
      <c r="E8" s="31">
        <v>43466</v>
      </c>
      <c r="F8" s="31">
        <v>43831</v>
      </c>
      <c r="G8" s="31"/>
      <c r="I8" s="234"/>
      <c r="J8" s="239" t="str">
        <f>INDEX(TableStreams[Choose your Specialisation Stream second (drop-down list)],MATCH(K8,TableStreams[UDC],0))</f>
        <v>Mathematics Education Minor Teaching Area Stream (BEd Secondary)</v>
      </c>
      <c r="K8" s="234" t="s">
        <v>202</v>
      </c>
      <c r="N8" s="26">
        <v>6</v>
      </c>
      <c r="O8" s="179" t="s">
        <v>52</v>
      </c>
      <c r="P8" s="166" t="s">
        <v>90</v>
      </c>
      <c r="Q8" s="179" t="s">
        <v>50</v>
      </c>
      <c r="R8" s="166"/>
    </row>
    <row r="9" spans="1:18" x14ac:dyDescent="0.25">
      <c r="A9" s="11" t="s">
        <v>203</v>
      </c>
      <c r="B9" s="263" t="s">
        <v>204</v>
      </c>
      <c r="C9" s="12" t="s">
        <v>200</v>
      </c>
      <c r="D9" s="11" t="s">
        <v>201</v>
      </c>
      <c r="E9" s="31">
        <v>43466</v>
      </c>
      <c r="F9" s="31">
        <v>44197</v>
      </c>
      <c r="G9" s="31"/>
      <c r="I9" s="234"/>
      <c r="J9" s="239" t="str">
        <f>INDEX(TableStreams[Choose your Specialisation Stream second (drop-down list)],MATCH(K9,TableStreams[UDC],0))</f>
        <v>Broadening Performing Arts Teaching Area Stream (BEd Secondary)</v>
      </c>
      <c r="K9" s="234" t="s">
        <v>205</v>
      </c>
      <c r="N9" s="26">
        <v>7</v>
      </c>
      <c r="O9" s="179" t="s">
        <v>52</v>
      </c>
      <c r="P9" s="166" t="s">
        <v>98</v>
      </c>
      <c r="Q9" s="179" t="s">
        <v>50</v>
      </c>
      <c r="R9" s="166"/>
    </row>
    <row r="10" spans="1:18" x14ac:dyDescent="0.25">
      <c r="A10" s="11" t="s">
        <v>206</v>
      </c>
      <c r="B10" s="12" t="s">
        <v>207</v>
      </c>
      <c r="C10" s="263" t="s">
        <v>200</v>
      </c>
      <c r="D10" s="11" t="s">
        <v>201</v>
      </c>
      <c r="E10" s="275">
        <v>43466</v>
      </c>
      <c r="F10" s="275">
        <v>43831</v>
      </c>
      <c r="G10" s="31"/>
      <c r="I10" s="234"/>
      <c r="J10" s="239" t="str">
        <f>INDEX(TableStreams[Choose your Specialisation Stream second (drop-down list)],MATCH(K10,TableStreams[UDC],0))</f>
        <v>Physical Sciences Education Minor Teaching Area Stream (BEd Secondary)</v>
      </c>
      <c r="K10" s="234" t="s">
        <v>208</v>
      </c>
      <c r="N10" s="26">
        <v>8</v>
      </c>
      <c r="O10" s="179" t="s">
        <v>52</v>
      </c>
      <c r="P10" s="211" t="s">
        <v>209</v>
      </c>
      <c r="Q10" s="179" t="s">
        <v>50</v>
      </c>
      <c r="R10" s="166"/>
    </row>
    <row r="11" spans="1:18" x14ac:dyDescent="0.25">
      <c r="A11" s="11" t="s">
        <v>210</v>
      </c>
      <c r="B11" s="263" t="s">
        <v>211</v>
      </c>
      <c r="C11" s="12" t="s">
        <v>77</v>
      </c>
      <c r="D11" s="11" t="s">
        <v>201</v>
      </c>
      <c r="E11" s="31">
        <v>44197</v>
      </c>
      <c r="F11" s="31">
        <v>44562</v>
      </c>
      <c r="G11" s="31"/>
      <c r="I11" s="234"/>
      <c r="J11" s="239" t="str">
        <f>INDEX(TableStreams[Choose your Specialisation Stream second (drop-down list)],MATCH(K11,TableStreams[UDC],0))</f>
        <v>Psychology Education Minor Teaching Area Stream (BEd Secondary)</v>
      </c>
      <c r="K11" s="234" t="s">
        <v>212</v>
      </c>
      <c r="N11" s="26">
        <v>9</v>
      </c>
      <c r="O11" s="180" t="s">
        <v>52</v>
      </c>
      <c r="P11" s="212" t="s">
        <v>213</v>
      </c>
      <c r="Q11" s="180" t="s">
        <v>50</v>
      </c>
      <c r="R11" s="165"/>
    </row>
    <row r="12" spans="1:18" x14ac:dyDescent="0.25">
      <c r="A12" s="11" t="s">
        <v>214</v>
      </c>
      <c r="B12" s="263" t="s">
        <v>215</v>
      </c>
      <c r="C12" s="12" t="s">
        <v>67</v>
      </c>
      <c r="D12" s="11" t="s">
        <v>201</v>
      </c>
      <c r="E12" s="31">
        <v>44927</v>
      </c>
      <c r="F12" s="31">
        <v>44927</v>
      </c>
      <c r="G12" s="31"/>
      <c r="I12" s="235"/>
      <c r="J12" s="240" t="str">
        <f>INDEX(TableStreams[Choose your Specialisation Stream second (drop-down list)],MATCH(K12,TableStreams[UDC],0))</f>
        <v>Humanities and Social Sciences - Social Sciences Education Minor Teaching Area Stream (BEd Secondary)</v>
      </c>
      <c r="K12" s="235" t="s">
        <v>216</v>
      </c>
      <c r="N12" s="26">
        <v>10</v>
      </c>
      <c r="O12" s="178" t="s">
        <v>84</v>
      </c>
      <c r="P12" s="177" t="s">
        <v>217</v>
      </c>
      <c r="Q12" s="178" t="s">
        <v>86</v>
      </c>
      <c r="R12" s="177"/>
    </row>
    <row r="13" spans="1:18" x14ac:dyDescent="0.25">
      <c r="A13" s="11" t="s">
        <v>183</v>
      </c>
      <c r="B13" s="263" t="s">
        <v>218</v>
      </c>
      <c r="C13" s="12" t="s">
        <v>200</v>
      </c>
      <c r="D13" s="11" t="s">
        <v>201</v>
      </c>
      <c r="E13" s="31">
        <v>43466</v>
      </c>
      <c r="F13" s="31">
        <v>43831</v>
      </c>
      <c r="G13" s="31"/>
      <c r="I13" s="234" t="s">
        <v>204</v>
      </c>
      <c r="J13" s="239" t="str">
        <f>INDEX(TableStreams[Choose your Specialisation Stream second (drop-down list)],MATCH(K13,TableStreams[UDC],0))</f>
        <v>Biological Sciences Education Minor Teaching Area Stream (BEd Secondary)</v>
      </c>
      <c r="K13" s="234" t="s">
        <v>193</v>
      </c>
      <c r="N13" s="26">
        <v>11</v>
      </c>
      <c r="O13" s="179" t="s">
        <v>84</v>
      </c>
      <c r="P13" s="211" t="s">
        <v>209</v>
      </c>
      <c r="Q13" s="179" t="s">
        <v>86</v>
      </c>
      <c r="R13" s="166"/>
    </row>
    <row r="14" spans="1:18" x14ac:dyDescent="0.25">
      <c r="A14" s="11" t="s">
        <v>219</v>
      </c>
      <c r="B14" s="263" t="s">
        <v>220</v>
      </c>
      <c r="C14" s="12" t="s">
        <v>200</v>
      </c>
      <c r="D14" s="11" t="s">
        <v>201</v>
      </c>
      <c r="E14" s="31">
        <v>43466</v>
      </c>
      <c r="F14" s="31">
        <v>44197</v>
      </c>
      <c r="G14" s="31"/>
      <c r="I14" s="234"/>
      <c r="J14" s="239" t="str">
        <f>INDEX(TableStreams[Choose your Specialisation Stream second (drop-down list)],MATCH(K14,TableStreams[UDC],0))</f>
        <v>Education Speciality and The Arts Teaching Area Stream (BEd Secondary)</v>
      </c>
      <c r="K14" s="234" t="s">
        <v>195</v>
      </c>
      <c r="N14" s="26">
        <v>12</v>
      </c>
      <c r="O14" s="179" t="s">
        <v>84</v>
      </c>
      <c r="P14" s="211" t="s">
        <v>209</v>
      </c>
      <c r="Q14" s="179" t="s">
        <v>86</v>
      </c>
      <c r="R14" s="166"/>
    </row>
    <row r="15" spans="1:18" x14ac:dyDescent="0.25">
      <c r="A15" s="11" t="s">
        <v>221</v>
      </c>
      <c r="B15" s="263" t="s">
        <v>222</v>
      </c>
      <c r="C15" s="12" t="s">
        <v>200</v>
      </c>
      <c r="D15" s="11" t="s">
        <v>201</v>
      </c>
      <c r="E15" s="31">
        <v>43466</v>
      </c>
      <c r="F15" s="31">
        <v>44197</v>
      </c>
      <c r="G15" s="31"/>
      <c r="I15" s="234"/>
      <c r="J15" s="239" t="str">
        <f>INDEX(TableStreams[Choose your Specialisation Stream second (drop-down list)],MATCH(K15,TableStreams[UDC],0))</f>
        <v>English Education Minor Teaching Area Stream (BEd Secondary)</v>
      </c>
      <c r="K15" s="234" t="s">
        <v>197</v>
      </c>
      <c r="N15" s="26">
        <v>13</v>
      </c>
      <c r="O15" s="179" t="s">
        <v>84</v>
      </c>
      <c r="P15" s="212" t="s">
        <v>213</v>
      </c>
      <c r="Q15" s="179" t="s">
        <v>86</v>
      </c>
      <c r="R15" s="166"/>
    </row>
    <row r="16" spans="1:18" x14ac:dyDescent="0.25">
      <c r="A16" s="19" t="s">
        <v>223</v>
      </c>
      <c r="B16" s="12" t="s">
        <v>224</v>
      </c>
      <c r="C16" s="263" t="s">
        <v>67</v>
      </c>
      <c r="D16" s="11" t="s">
        <v>201</v>
      </c>
      <c r="E16" s="275">
        <v>45292</v>
      </c>
      <c r="F16" s="275">
        <v>45292</v>
      </c>
      <c r="G16" s="31"/>
      <c r="I16" s="234"/>
      <c r="J16" s="239" t="str">
        <f>INDEX(TableStreams[Choose your Specialisation Stream second (drop-down list)],MATCH(K16,TableStreams[UDC],0))</f>
        <v>Humanities and Social Sciences - Humanities Education Minor Teaching Area Stream (BEd Secondary)</v>
      </c>
      <c r="K16" s="234" t="s">
        <v>198</v>
      </c>
      <c r="N16" s="26">
        <v>14</v>
      </c>
      <c r="O16" s="178" t="s">
        <v>86</v>
      </c>
      <c r="P16" s="177" t="s">
        <v>225</v>
      </c>
      <c r="Q16" s="178" t="s">
        <v>84</v>
      </c>
      <c r="R16" s="177"/>
    </row>
    <row r="17" spans="1:18" x14ac:dyDescent="0.25">
      <c r="A17" s="19" t="s">
        <v>226</v>
      </c>
      <c r="B17" s="263" t="s">
        <v>227</v>
      </c>
      <c r="C17" s="12" t="s">
        <v>67</v>
      </c>
      <c r="D17" s="11" t="s">
        <v>201</v>
      </c>
      <c r="E17" s="31">
        <v>43101</v>
      </c>
      <c r="F17" s="31">
        <v>44562</v>
      </c>
      <c r="G17" s="31"/>
      <c r="I17" s="234"/>
      <c r="J17" s="239" t="str">
        <f>INDEX(TableStreams[Choose your Specialisation Stream second (drop-down list)],MATCH(K17,TableStreams[UDC],0))</f>
        <v>Mathematics Education Minor Teaching Area Stream (BEd Secondary)</v>
      </c>
      <c r="K17" s="234" t="s">
        <v>202</v>
      </c>
      <c r="N17" s="26">
        <v>15</v>
      </c>
      <c r="O17" s="179" t="s">
        <v>86</v>
      </c>
      <c r="P17" s="211" t="s">
        <v>209</v>
      </c>
      <c r="Q17" s="179" t="s">
        <v>84</v>
      </c>
      <c r="R17" s="166"/>
    </row>
    <row r="18" spans="1:18" x14ac:dyDescent="0.25">
      <c r="A18" s="19" t="s">
        <v>228</v>
      </c>
      <c r="B18" s="263" t="s">
        <v>229</v>
      </c>
      <c r="C18" s="12" t="s">
        <v>200</v>
      </c>
      <c r="D18" s="11" t="s">
        <v>201</v>
      </c>
      <c r="E18" s="31">
        <v>43466</v>
      </c>
      <c r="F18" s="31">
        <v>44562</v>
      </c>
      <c r="G18" s="31"/>
      <c r="I18" s="234"/>
      <c r="J18" s="239" t="str">
        <f>INDEX(TableStreams[Choose your Specialisation Stream second (drop-down list)],MATCH(K18,TableStreams[UDC],0))</f>
        <v>Broadening Performing Arts Teaching Area Stream (BEd Secondary)</v>
      </c>
      <c r="K18" s="234" t="s">
        <v>205</v>
      </c>
      <c r="N18" s="26">
        <v>16</v>
      </c>
      <c r="O18" s="179" t="s">
        <v>86</v>
      </c>
      <c r="P18" s="211" t="s">
        <v>209</v>
      </c>
      <c r="Q18" s="179" t="s">
        <v>84</v>
      </c>
      <c r="R18" s="166"/>
    </row>
    <row r="19" spans="1:18" x14ac:dyDescent="0.25">
      <c r="A19" s="19" t="s">
        <v>230</v>
      </c>
      <c r="B19" s="263" t="s">
        <v>231</v>
      </c>
      <c r="C19" s="12" t="s">
        <v>200</v>
      </c>
      <c r="D19" s="11" t="s">
        <v>201</v>
      </c>
      <c r="E19" s="31">
        <v>43466</v>
      </c>
      <c r="F19" s="31">
        <v>43831</v>
      </c>
      <c r="G19" s="31"/>
      <c r="I19" s="234"/>
      <c r="J19" s="239" t="str">
        <f>INDEX(TableStreams[Choose your Specialisation Stream second (drop-down list)],MATCH(K19,TableStreams[UDC],0))</f>
        <v>Physical Sciences Education Minor Teaching Area Stream (BEd Secondary)</v>
      </c>
      <c r="K19" s="234" t="s">
        <v>208</v>
      </c>
      <c r="N19" s="26">
        <v>17</v>
      </c>
      <c r="O19" s="180" t="s">
        <v>86</v>
      </c>
      <c r="P19" s="212" t="s">
        <v>213</v>
      </c>
      <c r="Q19" s="180" t="s">
        <v>84</v>
      </c>
      <c r="R19" s="165"/>
    </row>
    <row r="20" spans="1:18" x14ac:dyDescent="0.25">
      <c r="A20" s="19" t="s">
        <v>232</v>
      </c>
      <c r="B20" s="263" t="s">
        <v>233</v>
      </c>
      <c r="C20" s="12" t="s">
        <v>67</v>
      </c>
      <c r="D20" s="11" t="s">
        <v>201</v>
      </c>
      <c r="E20" s="31">
        <v>44927</v>
      </c>
      <c r="F20" s="31">
        <v>44927</v>
      </c>
      <c r="G20" s="31"/>
      <c r="I20" s="234"/>
      <c r="J20" s="239" t="str">
        <f>INDEX(TableStreams[Choose your Specialisation Stream second (drop-down list)],MATCH(K20,TableStreams[UDC],0))</f>
        <v>Psychology Education Minor Teaching Area Stream (BEd Secondary)</v>
      </c>
      <c r="K20" s="234" t="s">
        <v>212</v>
      </c>
      <c r="N20" s="26">
        <v>18</v>
      </c>
      <c r="O20" s="178" t="s">
        <v>109</v>
      </c>
      <c r="P20" s="211" t="s">
        <v>209</v>
      </c>
      <c r="Q20" s="178" t="s">
        <v>111</v>
      </c>
      <c r="R20" s="177"/>
    </row>
    <row r="21" spans="1:18" x14ac:dyDescent="0.25">
      <c r="A21" s="19" t="s">
        <v>234</v>
      </c>
      <c r="B21" s="263" t="s">
        <v>235</v>
      </c>
      <c r="C21" s="12" t="s">
        <v>200</v>
      </c>
      <c r="D21" s="11" t="s">
        <v>201</v>
      </c>
      <c r="E21" s="31">
        <v>43466</v>
      </c>
      <c r="F21" s="31">
        <v>44562</v>
      </c>
      <c r="G21" s="31"/>
      <c r="I21" s="235"/>
      <c r="J21" s="240" t="str">
        <f>INDEX(TableStreams[Choose your Specialisation Stream second (drop-down list)],MATCH(K21,TableStreams[UDC],0))</f>
        <v>Humanities and Social Sciences - Social Sciences Education Minor Teaching Area Stream (BEd Secondary)</v>
      </c>
      <c r="K21" s="235" t="s">
        <v>216</v>
      </c>
      <c r="N21" s="26">
        <v>19</v>
      </c>
      <c r="O21" s="179" t="s">
        <v>109</v>
      </c>
      <c r="P21" s="211" t="s">
        <v>209</v>
      </c>
      <c r="Q21" s="179" t="s">
        <v>111</v>
      </c>
      <c r="R21" s="166"/>
    </row>
    <row r="22" spans="1:18" x14ac:dyDescent="0.25">
      <c r="A22" s="19" t="s">
        <v>236</v>
      </c>
      <c r="B22" s="263" t="s">
        <v>237</v>
      </c>
      <c r="C22" s="12" t="s">
        <v>200</v>
      </c>
      <c r="D22" s="11" t="s">
        <v>201</v>
      </c>
      <c r="E22" s="31">
        <v>43466</v>
      </c>
      <c r="F22" s="31">
        <v>43831</v>
      </c>
      <c r="G22" s="31"/>
      <c r="I22" s="233" t="s">
        <v>207</v>
      </c>
      <c r="J22" s="238" t="str">
        <f>INDEX(TableStreams[Choose your Specialisation Stream second (drop-down list)],MATCH(K22,TableStreams[UDC],0))</f>
        <v>Biological Sciences Education Minor Teaching Area Stream (BEd Secondary)</v>
      </c>
      <c r="K22" s="233" t="s">
        <v>193</v>
      </c>
      <c r="N22" s="26">
        <v>20</v>
      </c>
      <c r="O22" s="179" t="s">
        <v>109</v>
      </c>
      <c r="P22" s="214" t="s">
        <v>213</v>
      </c>
      <c r="Q22" s="179" t="s">
        <v>111</v>
      </c>
      <c r="R22" s="166"/>
    </row>
    <row r="23" spans="1:18" x14ac:dyDescent="0.25">
      <c r="A23" s="19"/>
      <c r="B23" s="11"/>
      <c r="C23" s="11"/>
      <c r="D23" s="11"/>
      <c r="E23" s="11"/>
      <c r="F23" s="11"/>
      <c r="G23" s="11"/>
      <c r="I23" s="234"/>
      <c r="J23" s="239" t="str">
        <f>INDEX(TableStreams[Choose your Specialisation Stream second (drop-down list)],MATCH(K23,TableStreams[UDC],0))</f>
        <v>Education Speciality and The Arts Teaching Area Stream (BEd Secondary)</v>
      </c>
      <c r="K23" s="234" t="s">
        <v>195</v>
      </c>
      <c r="M23" s="11"/>
      <c r="N23" s="26">
        <v>21</v>
      </c>
      <c r="O23" s="179" t="s">
        <v>109</v>
      </c>
      <c r="P23" s="212" t="s">
        <v>213</v>
      </c>
      <c r="Q23" s="179" t="s">
        <v>111</v>
      </c>
      <c r="R23" s="165"/>
    </row>
    <row r="24" spans="1:18" x14ac:dyDescent="0.25">
      <c r="A24" s="189" t="s">
        <v>238</v>
      </c>
      <c r="D24" s="11"/>
      <c r="E24" s="11"/>
      <c r="F24" s="25"/>
      <c r="G24" s="25"/>
      <c r="I24" s="234"/>
      <c r="J24" s="239" t="str">
        <f>INDEX(TableStreams[Choose your Specialisation Stream second (drop-down list)],MATCH(K24,TableStreams[UDC],0))</f>
        <v>English Education Minor Teaching Area Stream (BEd Secondary)</v>
      </c>
      <c r="K24" s="234" t="s">
        <v>197</v>
      </c>
      <c r="M24" s="11"/>
      <c r="N24" s="26">
        <v>22</v>
      </c>
      <c r="O24" s="178" t="s">
        <v>111</v>
      </c>
      <c r="P24" s="177" t="s">
        <v>239</v>
      </c>
      <c r="Q24" s="178" t="s">
        <v>109</v>
      </c>
      <c r="R24" s="177"/>
    </row>
    <row r="25" spans="1:18" x14ac:dyDescent="0.25">
      <c r="A25" s="11" t="s">
        <v>177</v>
      </c>
      <c r="B25" s="19" t="s">
        <v>0</v>
      </c>
      <c r="C25" s="11" t="s">
        <v>60</v>
      </c>
      <c r="D25" s="11" t="s">
        <v>61</v>
      </c>
      <c r="E25" s="11" t="s">
        <v>62</v>
      </c>
      <c r="F25" s="11" t="s">
        <v>63</v>
      </c>
      <c r="G25" s="11" t="s">
        <v>6</v>
      </c>
      <c r="I25" s="234"/>
      <c r="J25" s="239" t="str">
        <f>INDEX(TableStreams[Choose your Specialisation Stream second (drop-down list)],MATCH(K25,TableStreams[UDC],0))</f>
        <v>Humanities and Social Sciences - Humanities Education Minor Teaching Area Stream (BEd Secondary)</v>
      </c>
      <c r="K25" s="234" t="s">
        <v>198</v>
      </c>
      <c r="M25" s="11"/>
      <c r="N25" s="26">
        <v>23</v>
      </c>
      <c r="O25" s="179" t="s">
        <v>111</v>
      </c>
      <c r="P25" s="166" t="s">
        <v>110</v>
      </c>
      <c r="Q25" s="179" t="s">
        <v>109</v>
      </c>
      <c r="R25" s="166"/>
    </row>
    <row r="26" spans="1:18" x14ac:dyDescent="0.25">
      <c r="A26" s="11" t="s">
        <v>240</v>
      </c>
      <c r="B26" s="263" t="s">
        <v>241</v>
      </c>
      <c r="C26" s="12" t="s">
        <v>77</v>
      </c>
      <c r="D26" s="11" t="s">
        <v>242</v>
      </c>
      <c r="E26" s="31">
        <v>44927</v>
      </c>
      <c r="F26" s="275">
        <v>45292</v>
      </c>
      <c r="G26" s="11"/>
      <c r="I26" s="234"/>
      <c r="J26" s="239" t="str">
        <f>INDEX(TableStreams[Choose your Specialisation Stream second (drop-down list)],MATCH(K26,TableStreams[UDC],0))</f>
        <v>Mathematics Education Minor Teaching Area Stream (BEd Secondary)</v>
      </c>
      <c r="K26" s="234" t="s">
        <v>202</v>
      </c>
      <c r="M26" s="11"/>
      <c r="N26" s="26">
        <v>24</v>
      </c>
      <c r="O26" s="179" t="s">
        <v>111</v>
      </c>
      <c r="P26" s="211" t="s">
        <v>209</v>
      </c>
      <c r="Q26" s="179" t="s">
        <v>109</v>
      </c>
      <c r="R26" s="166"/>
    </row>
    <row r="27" spans="1:18" x14ac:dyDescent="0.25">
      <c r="A27" s="11" t="s">
        <v>243</v>
      </c>
      <c r="B27" s="263" t="s">
        <v>193</v>
      </c>
      <c r="C27" s="12" t="s">
        <v>67</v>
      </c>
      <c r="D27" s="11" t="s">
        <v>242</v>
      </c>
      <c r="E27" s="31">
        <v>43466</v>
      </c>
      <c r="F27" s="31">
        <v>44562</v>
      </c>
      <c r="G27" s="11"/>
      <c r="I27" s="234"/>
      <c r="J27" s="239" t="str">
        <f>INDEX(TableStreams[Choose your Specialisation Stream second (drop-down list)],MATCH(K27,TableStreams[UDC],0))</f>
        <v>Physical Sciences Education Minor Teaching Area Stream (BEd Secondary)</v>
      </c>
      <c r="K27" s="234" t="s">
        <v>208</v>
      </c>
      <c r="M27" s="11"/>
      <c r="N27" s="26">
        <v>25</v>
      </c>
      <c r="O27" s="180" t="s">
        <v>111</v>
      </c>
      <c r="P27" s="212" t="s">
        <v>213</v>
      </c>
      <c r="Q27" s="180" t="s">
        <v>109</v>
      </c>
      <c r="R27" s="165"/>
    </row>
    <row r="28" spans="1:18" x14ac:dyDescent="0.25">
      <c r="A28" s="11" t="s">
        <v>244</v>
      </c>
      <c r="B28" s="263" t="s">
        <v>245</v>
      </c>
      <c r="C28" s="12" t="s">
        <v>67</v>
      </c>
      <c r="D28" s="11" t="s">
        <v>242</v>
      </c>
      <c r="E28" s="31">
        <v>43466</v>
      </c>
      <c r="F28" s="275">
        <v>45292</v>
      </c>
      <c r="G28" s="11"/>
      <c r="I28" s="234"/>
      <c r="J28" s="239" t="str">
        <f>INDEX(TableStreams[Choose your Specialisation Stream second (drop-down list)],MATCH(K28,TableStreams[UDC],0))</f>
        <v>Psychology Education Minor Teaching Area Stream (BEd Secondary)</v>
      </c>
      <c r="K28" s="234" t="s">
        <v>212</v>
      </c>
      <c r="M28" s="11"/>
      <c r="N28" s="26">
        <v>26</v>
      </c>
      <c r="O28" s="178" t="s">
        <v>129</v>
      </c>
      <c r="P28" s="185" t="s">
        <v>146</v>
      </c>
      <c r="Q28" s="178" t="s">
        <v>131</v>
      </c>
      <c r="R28" s="177"/>
    </row>
    <row r="29" spans="1:18" x14ac:dyDescent="0.25">
      <c r="A29" s="11" t="s">
        <v>246</v>
      </c>
      <c r="B29" s="263" t="s">
        <v>247</v>
      </c>
      <c r="C29" s="12" t="s">
        <v>200</v>
      </c>
      <c r="D29" s="11" t="s">
        <v>242</v>
      </c>
      <c r="E29" s="31">
        <v>43466</v>
      </c>
      <c r="F29" s="275">
        <v>45292</v>
      </c>
      <c r="G29" s="11"/>
      <c r="I29" s="234"/>
      <c r="J29" s="239" t="str">
        <f>INDEX(TableStreams[Choose your Specialisation Stream second (drop-down list)],MATCH(K29,TableStreams[UDC],0))</f>
        <v>Humanities and Social Sciences - Social Sciences Education Minor Teaching Area Stream (BEd Secondary)</v>
      </c>
      <c r="K29" s="234" t="s">
        <v>216</v>
      </c>
      <c r="M29" s="11"/>
      <c r="N29" s="26">
        <v>27</v>
      </c>
      <c r="O29" s="179" t="s">
        <v>129</v>
      </c>
      <c r="P29" s="166" t="s">
        <v>135</v>
      </c>
      <c r="Q29" s="179" t="s">
        <v>131</v>
      </c>
      <c r="R29" s="166"/>
    </row>
    <row r="30" spans="1:18" x14ac:dyDescent="0.25">
      <c r="A30" s="11" t="s">
        <v>248</v>
      </c>
      <c r="B30" s="263" t="s">
        <v>195</v>
      </c>
      <c r="C30" s="12" t="s">
        <v>67</v>
      </c>
      <c r="D30" s="11" t="s">
        <v>242</v>
      </c>
      <c r="E30" s="31">
        <v>43466</v>
      </c>
      <c r="F30" s="275">
        <v>45292</v>
      </c>
      <c r="G30" s="11"/>
      <c r="I30" s="235"/>
      <c r="J30" s="240" t="str">
        <f>INDEX(TableStreams[Choose your Specialisation Stream second (drop-down list)],MATCH(K30,TableStreams[UDC],0))</f>
        <v>Broadening Visual Arts Teaching Area Stream (BEd Secondary)</v>
      </c>
      <c r="K30" s="235" t="s">
        <v>249</v>
      </c>
      <c r="M30" s="11"/>
      <c r="N30" s="26">
        <v>28</v>
      </c>
      <c r="O30" s="179" t="s">
        <v>129</v>
      </c>
      <c r="P30" s="211" t="s">
        <v>209</v>
      </c>
      <c r="Q30" s="179" t="s">
        <v>131</v>
      </c>
      <c r="R30" s="166"/>
    </row>
    <row r="31" spans="1:18" x14ac:dyDescent="0.25">
      <c r="A31" s="264" t="s">
        <v>250</v>
      </c>
      <c r="B31" s="12" t="s">
        <v>251</v>
      </c>
      <c r="C31" s="263" t="s">
        <v>77</v>
      </c>
      <c r="D31" s="11" t="s">
        <v>242</v>
      </c>
      <c r="E31" s="275">
        <v>45292</v>
      </c>
      <c r="F31" s="275">
        <v>45292</v>
      </c>
      <c r="G31" s="11"/>
      <c r="I31" s="233" t="s">
        <v>211</v>
      </c>
      <c r="J31" s="238" t="str">
        <f>INDEX(TableStreams[Choose your Specialisation Stream second (drop-down list)],MATCH(K31,TableStreams[UDC],0))</f>
        <v>Biological Sciences Education Minor Teaching Area Stream (BEd Secondary)</v>
      </c>
      <c r="K31" s="233" t="s">
        <v>193</v>
      </c>
      <c r="M31" s="11"/>
      <c r="N31" s="26">
        <v>29</v>
      </c>
      <c r="O31" s="179" t="s">
        <v>129</v>
      </c>
      <c r="P31" s="213" t="s">
        <v>209</v>
      </c>
      <c r="Q31" s="179" t="s">
        <v>131</v>
      </c>
      <c r="R31" s="165"/>
    </row>
    <row r="32" spans="1:18" x14ac:dyDescent="0.25">
      <c r="A32" s="11" t="s">
        <v>252</v>
      </c>
      <c r="B32" s="263" t="s">
        <v>253</v>
      </c>
      <c r="C32" s="12" t="s">
        <v>67</v>
      </c>
      <c r="D32" s="11" t="s">
        <v>242</v>
      </c>
      <c r="E32" s="31">
        <v>43466</v>
      </c>
      <c r="F32" s="275">
        <v>45292</v>
      </c>
      <c r="G32" s="11"/>
      <c r="I32" s="234"/>
      <c r="J32" s="239" t="str">
        <f>INDEX(TableStreams[Choose your Specialisation Stream second (drop-down list)],MATCH(K32,TableStreams[UDC],0))</f>
        <v>Education Speciality and English Teaching Area Stream (BEd Secondary)</v>
      </c>
      <c r="K32" s="234" t="s">
        <v>251</v>
      </c>
      <c r="M32" s="11"/>
      <c r="N32" s="26">
        <v>30</v>
      </c>
      <c r="O32" s="178" t="s">
        <v>131</v>
      </c>
      <c r="P32" s="177" t="s">
        <v>136</v>
      </c>
      <c r="Q32" s="178" t="s">
        <v>129</v>
      </c>
      <c r="R32" s="177"/>
    </row>
    <row r="33" spans="1:74" x14ac:dyDescent="0.25">
      <c r="A33" s="11" t="s">
        <v>254</v>
      </c>
      <c r="B33" s="263" t="s">
        <v>255</v>
      </c>
      <c r="C33" s="12" t="s">
        <v>67</v>
      </c>
      <c r="D33" s="11" t="s">
        <v>242</v>
      </c>
      <c r="E33" s="31">
        <v>43466</v>
      </c>
      <c r="F33" s="275">
        <v>45292</v>
      </c>
      <c r="G33" s="11"/>
      <c r="I33" s="234"/>
      <c r="J33" s="239" t="str">
        <f>INDEX(TableStreams[Choose your Specialisation Stream second (drop-down list)],MATCH(K33,TableStreams[UDC],0))</f>
        <v>Broadening English Teaching Area Stream (BEd Secondary)</v>
      </c>
      <c r="K33" s="234" t="s">
        <v>256</v>
      </c>
      <c r="M33" s="11"/>
      <c r="N33" s="26">
        <v>31</v>
      </c>
      <c r="O33" s="179" t="s">
        <v>131</v>
      </c>
      <c r="P33" s="190" t="s">
        <v>137</v>
      </c>
      <c r="Q33" s="179" t="s">
        <v>129</v>
      </c>
      <c r="R33" s="166"/>
    </row>
    <row r="34" spans="1:74" x14ac:dyDescent="0.25">
      <c r="A34" s="19" t="s">
        <v>257</v>
      </c>
      <c r="B34" s="263" t="s">
        <v>258</v>
      </c>
      <c r="C34" s="12" t="s">
        <v>67</v>
      </c>
      <c r="D34" s="11" t="s">
        <v>242</v>
      </c>
      <c r="E34" s="31">
        <v>43466</v>
      </c>
      <c r="F34" s="275">
        <v>45292</v>
      </c>
      <c r="G34" s="11"/>
      <c r="I34" s="234"/>
      <c r="J34" s="239" t="str">
        <f>INDEX(TableStreams[Choose your Specialisation Stream second (drop-down list)],MATCH(K34,TableStreams[UDC],0))</f>
        <v>Humanities and Social Sciences - Humanities Education Minor Teaching Area Stream (BEd Secondary)</v>
      </c>
      <c r="K34" s="234" t="s">
        <v>198</v>
      </c>
      <c r="M34" s="11"/>
      <c r="N34" s="26">
        <v>32</v>
      </c>
      <c r="O34" s="179" t="s">
        <v>131</v>
      </c>
      <c r="P34" s="166"/>
      <c r="Q34" s="179" t="s">
        <v>129</v>
      </c>
      <c r="R34" s="166"/>
    </row>
    <row r="35" spans="1:74" x14ac:dyDescent="0.25">
      <c r="A35" s="19" t="s">
        <v>259</v>
      </c>
      <c r="B35" s="263" t="s">
        <v>256</v>
      </c>
      <c r="C35" s="12" t="s">
        <v>77</v>
      </c>
      <c r="D35" s="11" t="s">
        <v>242</v>
      </c>
      <c r="E35" s="31">
        <v>44562</v>
      </c>
      <c r="F35" s="275">
        <v>45292</v>
      </c>
      <c r="G35" s="11"/>
      <c r="I35" s="234"/>
      <c r="J35" s="239" t="str">
        <f>INDEX(TableStreams[Choose your Specialisation Stream second (drop-down list)],MATCH(K35,TableStreams[UDC],0))</f>
        <v>Mathematics Education Minor Teaching Area Stream (BEd Secondary)</v>
      </c>
      <c r="K35" s="234" t="s">
        <v>202</v>
      </c>
      <c r="M35" s="11"/>
      <c r="N35" s="26">
        <v>33</v>
      </c>
      <c r="O35" s="180" t="s">
        <v>131</v>
      </c>
      <c r="P35" s="165"/>
      <c r="Q35" s="180" t="s">
        <v>129</v>
      </c>
      <c r="R35" s="165"/>
    </row>
    <row r="36" spans="1:74" x14ac:dyDescent="0.25">
      <c r="A36" s="19" t="s">
        <v>260</v>
      </c>
      <c r="B36" s="263" t="s">
        <v>197</v>
      </c>
      <c r="C36" s="12" t="s">
        <v>77</v>
      </c>
      <c r="D36" s="11" t="s">
        <v>242</v>
      </c>
      <c r="E36" s="31">
        <v>44562</v>
      </c>
      <c r="F36" s="31">
        <v>44562</v>
      </c>
      <c r="G36" s="11"/>
      <c r="I36" s="234"/>
      <c r="J36" s="239" t="str">
        <f>INDEX(TableStreams[Choose your Specialisation Stream second (drop-down list)],MATCH(K36,TableStreams[UDC],0))</f>
        <v>The Arts - Performing Arts Education Minor Teaching Area Stream (BEd Secondary)</v>
      </c>
      <c r="K36" s="234" t="s">
        <v>261</v>
      </c>
    </row>
    <row r="37" spans="1:74" x14ac:dyDescent="0.25">
      <c r="A37" s="19" t="s">
        <v>262</v>
      </c>
      <c r="B37" s="263" t="s">
        <v>263</v>
      </c>
      <c r="C37" s="12" t="s">
        <v>200</v>
      </c>
      <c r="D37" s="11" t="s">
        <v>242</v>
      </c>
      <c r="E37" s="31">
        <v>43466</v>
      </c>
      <c r="F37" s="275">
        <v>45292</v>
      </c>
      <c r="G37" s="11"/>
      <c r="I37" s="234"/>
      <c r="J37" s="239" t="str">
        <f>INDEX(TableStreams[Choose your Specialisation Stream second (drop-down list)],MATCH(K37,TableStreams[UDC],0))</f>
        <v>Physical Sciences Education Minor Teaching Area Stream (BEd Secondary)</v>
      </c>
      <c r="K37" s="234" t="s">
        <v>208</v>
      </c>
    </row>
    <row r="38" spans="1:74" x14ac:dyDescent="0.25">
      <c r="A38" s="19" t="s">
        <v>264</v>
      </c>
      <c r="B38" s="263" t="s">
        <v>265</v>
      </c>
      <c r="C38" s="12" t="s">
        <v>200</v>
      </c>
      <c r="D38" s="11" t="s">
        <v>242</v>
      </c>
      <c r="E38" s="31">
        <v>43466</v>
      </c>
      <c r="F38" s="275">
        <v>45292</v>
      </c>
      <c r="G38" s="11"/>
      <c r="I38" s="234"/>
      <c r="J38" s="239" t="str">
        <f>INDEX(TableStreams[Choose your Specialisation Stream second (drop-down list)],MATCH(K38,TableStreams[UDC],0))</f>
        <v>Psychology Education Minor Teaching Area Stream (BEd Secondary)</v>
      </c>
      <c r="K38" s="234" t="s">
        <v>212</v>
      </c>
      <c r="M38" s="147" t="s">
        <v>266</v>
      </c>
      <c r="N38" s="3">
        <v>1</v>
      </c>
      <c r="O38" s="218"/>
      <c r="P38" s="219" t="s">
        <v>267</v>
      </c>
      <c r="Q38" s="220"/>
      <c r="R38" s="219" t="s">
        <v>268</v>
      </c>
      <c r="S38" s="218"/>
      <c r="T38" s="219" t="s">
        <v>269</v>
      </c>
      <c r="U38" s="221"/>
      <c r="V38" s="219" t="s">
        <v>270</v>
      </c>
      <c r="W38" s="218"/>
      <c r="X38" s="222" t="s">
        <v>271</v>
      </c>
      <c r="Y38" s="220"/>
      <c r="Z38" s="222" t="s">
        <v>272</v>
      </c>
      <c r="AA38" s="218"/>
      <c r="AB38" s="222" t="s">
        <v>273</v>
      </c>
      <c r="AC38" s="220"/>
      <c r="AD38" s="222" t="s">
        <v>274</v>
      </c>
      <c r="AE38" s="218"/>
      <c r="AF38" s="222" t="s">
        <v>275</v>
      </c>
      <c r="AG38" s="220"/>
      <c r="AH38" s="222" t="s">
        <v>276</v>
      </c>
      <c r="AI38" s="218"/>
      <c r="AJ38" s="222" t="s">
        <v>277</v>
      </c>
      <c r="AK38" s="220"/>
      <c r="AL38" s="222" t="s">
        <v>278</v>
      </c>
      <c r="AM38" s="218"/>
      <c r="AN38" s="222" t="s">
        <v>279</v>
      </c>
      <c r="AO38" s="220"/>
      <c r="AP38" s="222" t="s">
        <v>280</v>
      </c>
      <c r="AQ38" s="218"/>
      <c r="AR38" s="222" t="s">
        <v>281</v>
      </c>
      <c r="AS38" s="220"/>
      <c r="AT38" s="222" t="s">
        <v>282</v>
      </c>
      <c r="AU38" s="218"/>
      <c r="AV38" s="222" t="s">
        <v>283</v>
      </c>
      <c r="AW38" s="220"/>
      <c r="AX38" s="222" t="s">
        <v>284</v>
      </c>
      <c r="AY38" s="218"/>
      <c r="AZ38" s="222" t="s">
        <v>285</v>
      </c>
      <c r="BA38" s="220"/>
      <c r="BB38" s="222" t="s">
        <v>286</v>
      </c>
      <c r="BC38" s="218"/>
      <c r="BD38" s="222" t="s">
        <v>287</v>
      </c>
      <c r="BE38" s="220"/>
      <c r="BF38" s="222" t="s">
        <v>288</v>
      </c>
      <c r="BG38" s="218"/>
      <c r="BH38" s="222" t="s">
        <v>289</v>
      </c>
      <c r="BI38" s="220"/>
      <c r="BJ38" s="222" t="s">
        <v>290</v>
      </c>
      <c r="BK38" s="218"/>
      <c r="BL38" s="222" t="s">
        <v>291</v>
      </c>
      <c r="BM38" s="220"/>
      <c r="BN38" s="222" t="s">
        <v>292</v>
      </c>
      <c r="BO38" s="218"/>
      <c r="BP38" s="222" t="s">
        <v>293</v>
      </c>
      <c r="BQ38" s="220"/>
      <c r="BR38" s="222" t="s">
        <v>294</v>
      </c>
      <c r="BS38" s="218"/>
      <c r="BT38" s="222" t="s">
        <v>295</v>
      </c>
      <c r="BU38" s="220"/>
      <c r="BV38" s="222" t="s">
        <v>296</v>
      </c>
    </row>
    <row r="39" spans="1:74" x14ac:dyDescent="0.25">
      <c r="A39" s="19" t="s">
        <v>297</v>
      </c>
      <c r="B39" s="263" t="s">
        <v>198</v>
      </c>
      <c r="C39" s="12" t="s">
        <v>67</v>
      </c>
      <c r="D39" s="11" t="s">
        <v>242</v>
      </c>
      <c r="E39" s="31">
        <v>43466</v>
      </c>
      <c r="F39" s="31">
        <v>44197</v>
      </c>
      <c r="G39" s="11"/>
      <c r="I39" s="234"/>
      <c r="J39" s="239" t="str">
        <f>INDEX(TableStreams[Choose your Specialisation Stream second (drop-down list)],MATCH(K39,TableStreams[UDC],0))</f>
        <v>Humanities and Social Sciences - Social Sciences Education Minor Teaching Area Stream (BEd Secondary)</v>
      </c>
      <c r="K39" s="234" t="s">
        <v>216</v>
      </c>
      <c r="M39" s="11"/>
      <c r="N39" s="26">
        <v>2</v>
      </c>
      <c r="O39" s="178" t="s">
        <v>52</v>
      </c>
      <c r="P39" s="228" t="s">
        <v>298</v>
      </c>
      <c r="Q39" s="178"/>
      <c r="R39" s="177"/>
      <c r="S39" s="178" t="s">
        <v>52</v>
      </c>
      <c r="T39" s="228" t="s">
        <v>299</v>
      </c>
      <c r="U39" s="178"/>
      <c r="V39" s="177"/>
      <c r="W39" s="178" t="s">
        <v>52</v>
      </c>
      <c r="X39" s="177" t="s">
        <v>300</v>
      </c>
      <c r="Y39" s="178"/>
      <c r="Z39" s="177"/>
      <c r="AA39" s="178" t="s">
        <v>52</v>
      </c>
      <c r="AB39" s="177" t="s">
        <v>301</v>
      </c>
      <c r="AC39" s="178"/>
      <c r="AD39" s="177"/>
      <c r="AE39" s="178" t="s">
        <v>52</v>
      </c>
      <c r="AF39" s="177" t="s">
        <v>302</v>
      </c>
      <c r="AG39" s="178"/>
      <c r="AH39" s="177"/>
      <c r="AI39" s="178" t="s">
        <v>52</v>
      </c>
      <c r="AJ39" s="177" t="s">
        <v>303</v>
      </c>
      <c r="AK39" s="178"/>
      <c r="AL39" s="177"/>
      <c r="AM39" s="178" t="s">
        <v>52</v>
      </c>
      <c r="AN39" s="177" t="s">
        <v>304</v>
      </c>
      <c r="AO39" s="178"/>
      <c r="AP39" s="177"/>
      <c r="AQ39" s="178" t="s">
        <v>52</v>
      </c>
      <c r="AR39" s="177" t="s">
        <v>305</v>
      </c>
      <c r="AS39" s="178"/>
      <c r="AT39" s="177"/>
      <c r="AU39" s="178" t="s">
        <v>52</v>
      </c>
      <c r="AV39" s="177" t="s">
        <v>306</v>
      </c>
      <c r="AW39" s="178"/>
      <c r="AX39" s="177"/>
      <c r="AY39" s="178" t="s">
        <v>52</v>
      </c>
      <c r="AZ39" s="177" t="s">
        <v>307</v>
      </c>
      <c r="BA39" s="286"/>
      <c r="BB39" s="177"/>
      <c r="BC39" s="178" t="s">
        <v>52</v>
      </c>
      <c r="BD39" s="177" t="s">
        <v>308</v>
      </c>
      <c r="BE39" s="178"/>
      <c r="BF39" s="177"/>
      <c r="BG39" s="178" t="s">
        <v>52</v>
      </c>
      <c r="BH39" s="177" t="s">
        <v>309</v>
      </c>
      <c r="BI39" s="178"/>
      <c r="BJ39" s="177"/>
      <c r="BK39" s="178" t="s">
        <v>52</v>
      </c>
      <c r="BL39" s="177" t="s">
        <v>310</v>
      </c>
      <c r="BM39" s="178"/>
      <c r="BN39" s="177"/>
      <c r="BO39" s="178" t="s">
        <v>52</v>
      </c>
      <c r="BP39" s="177" t="s">
        <v>311</v>
      </c>
      <c r="BQ39" s="178"/>
      <c r="BR39" s="177"/>
      <c r="BS39" s="178" t="s">
        <v>52</v>
      </c>
      <c r="BT39" s="177" t="s">
        <v>312</v>
      </c>
      <c r="BU39" s="178"/>
      <c r="BV39" s="177"/>
    </row>
    <row r="40" spans="1:74" x14ac:dyDescent="0.25">
      <c r="A40" s="19" t="s">
        <v>313</v>
      </c>
      <c r="B40" s="263" t="s">
        <v>314</v>
      </c>
      <c r="C40" s="12" t="s">
        <v>67</v>
      </c>
      <c r="D40" s="11" t="s">
        <v>242</v>
      </c>
      <c r="E40" s="31">
        <v>43466</v>
      </c>
      <c r="F40" s="275">
        <v>45292</v>
      </c>
      <c r="G40" s="11"/>
      <c r="I40" s="235"/>
      <c r="J40" s="240" t="str">
        <f>INDEX(TableStreams[Choose your Specialisation Stream second (drop-down list)],MATCH(K40,TableStreams[UDC],0))</f>
        <v>The Arts - Visual Arts Education Minor Teaching Area Stream (BEd Secondary)</v>
      </c>
      <c r="K40" s="235" t="s">
        <v>315</v>
      </c>
      <c r="M40" s="11"/>
      <c r="N40" s="26">
        <v>3</v>
      </c>
      <c r="O40" s="179" t="s">
        <v>84</v>
      </c>
      <c r="P40" s="211" t="s">
        <v>316</v>
      </c>
      <c r="Q40" s="179"/>
      <c r="R40" s="166"/>
      <c r="S40" s="179" t="s">
        <v>84</v>
      </c>
      <c r="T40" s="211" t="s">
        <v>317</v>
      </c>
      <c r="U40" s="179"/>
      <c r="V40" s="166"/>
      <c r="W40" s="179" t="s">
        <v>84</v>
      </c>
      <c r="X40" s="166" t="s">
        <v>318</v>
      </c>
      <c r="Y40" s="179"/>
      <c r="Z40" s="166"/>
      <c r="AA40" s="179" t="s">
        <v>84</v>
      </c>
      <c r="AB40" s="166" t="s">
        <v>318</v>
      </c>
      <c r="AC40" s="179"/>
      <c r="AD40" s="166"/>
      <c r="AE40" s="179" t="s">
        <v>84</v>
      </c>
      <c r="AF40" s="166" t="s">
        <v>318</v>
      </c>
      <c r="AG40" s="179"/>
      <c r="AH40" s="166"/>
      <c r="AI40" s="179" t="s">
        <v>84</v>
      </c>
      <c r="AJ40" s="166" t="s">
        <v>319</v>
      </c>
      <c r="AK40" s="179"/>
      <c r="AL40" s="166"/>
      <c r="AM40" s="179" t="s">
        <v>84</v>
      </c>
      <c r="AN40" s="166" t="s">
        <v>320</v>
      </c>
      <c r="AO40" s="179"/>
      <c r="AP40" s="166"/>
      <c r="AQ40" s="179" t="s">
        <v>84</v>
      </c>
      <c r="AR40" s="166" t="s">
        <v>320</v>
      </c>
      <c r="AS40" s="179"/>
      <c r="AT40" s="166"/>
      <c r="AU40" s="179" t="s">
        <v>84</v>
      </c>
      <c r="AV40" s="166" t="s">
        <v>320</v>
      </c>
      <c r="AW40" s="179"/>
      <c r="AX40" s="166"/>
      <c r="AY40" s="179" t="s">
        <v>84</v>
      </c>
      <c r="AZ40" s="166" t="s">
        <v>320</v>
      </c>
      <c r="BA40" s="287"/>
      <c r="BB40" s="166"/>
      <c r="BC40" s="179" t="s">
        <v>84</v>
      </c>
      <c r="BD40" s="166" t="s">
        <v>321</v>
      </c>
      <c r="BE40" s="179"/>
      <c r="BF40" s="166"/>
      <c r="BG40" s="179" t="s">
        <v>84</v>
      </c>
      <c r="BH40" s="166" t="s">
        <v>317</v>
      </c>
      <c r="BI40" s="179"/>
      <c r="BJ40" s="166"/>
      <c r="BK40" s="179" t="s">
        <v>84</v>
      </c>
      <c r="BL40" s="166" t="s">
        <v>317</v>
      </c>
      <c r="BM40" s="179"/>
      <c r="BN40" s="166"/>
      <c r="BO40" s="179" t="s">
        <v>84</v>
      </c>
      <c r="BP40" s="166" t="s">
        <v>317</v>
      </c>
      <c r="BQ40" s="179"/>
      <c r="BR40" s="166"/>
      <c r="BS40" s="179" t="s">
        <v>84</v>
      </c>
      <c r="BT40" s="166" t="s">
        <v>317</v>
      </c>
      <c r="BU40" s="179"/>
      <c r="BV40" s="166"/>
    </row>
    <row r="41" spans="1:74" x14ac:dyDescent="0.25">
      <c r="A41" s="19" t="s">
        <v>322</v>
      </c>
      <c r="B41" s="12" t="s">
        <v>323</v>
      </c>
      <c r="C41" s="263" t="s">
        <v>77</v>
      </c>
      <c r="D41" s="11" t="s">
        <v>242</v>
      </c>
      <c r="E41" s="275">
        <v>45292</v>
      </c>
      <c r="F41" s="275">
        <v>45292</v>
      </c>
      <c r="G41" s="11"/>
      <c r="I41" s="236" t="s">
        <v>215</v>
      </c>
      <c r="J41" s="241" t="s">
        <v>324</v>
      </c>
      <c r="K41" s="236"/>
      <c r="M41" s="11"/>
      <c r="N41" s="26">
        <v>4</v>
      </c>
      <c r="O41" s="179" t="s">
        <v>84</v>
      </c>
      <c r="P41" s="211" t="s">
        <v>85</v>
      </c>
      <c r="Q41" s="179"/>
      <c r="R41" s="166"/>
      <c r="S41" s="179" t="s">
        <v>84</v>
      </c>
      <c r="T41" s="211" t="s">
        <v>325</v>
      </c>
      <c r="U41" s="179"/>
      <c r="V41" s="166"/>
      <c r="W41" s="179" t="s">
        <v>84</v>
      </c>
      <c r="X41" s="166" t="s">
        <v>326</v>
      </c>
      <c r="Y41" s="179"/>
      <c r="Z41" s="166"/>
      <c r="AA41" s="179" t="s">
        <v>84</v>
      </c>
      <c r="AB41" s="166" t="s">
        <v>327</v>
      </c>
      <c r="AC41" s="179"/>
      <c r="AD41" s="166"/>
      <c r="AE41" s="179" t="s">
        <v>84</v>
      </c>
      <c r="AF41" s="166" t="s">
        <v>328</v>
      </c>
      <c r="AG41" s="179"/>
      <c r="AH41" s="166"/>
      <c r="AI41" s="179" t="s">
        <v>84</v>
      </c>
      <c r="AJ41" s="166" t="s">
        <v>329</v>
      </c>
      <c r="AK41" s="179"/>
      <c r="AL41" s="166"/>
      <c r="AM41" s="179" t="s">
        <v>84</v>
      </c>
      <c r="AN41" s="166" t="s">
        <v>330</v>
      </c>
      <c r="AO41" s="179"/>
      <c r="AP41" s="166"/>
      <c r="AQ41" s="179" t="s">
        <v>84</v>
      </c>
      <c r="AR41" s="166" t="s">
        <v>331</v>
      </c>
      <c r="AS41" s="179"/>
      <c r="AT41" s="166"/>
      <c r="AU41" s="179" t="s">
        <v>84</v>
      </c>
      <c r="AV41" s="166" t="s">
        <v>332</v>
      </c>
      <c r="AW41" s="179"/>
      <c r="AX41" s="166"/>
      <c r="AY41" s="179" t="s">
        <v>84</v>
      </c>
      <c r="AZ41" s="166" t="s">
        <v>333</v>
      </c>
      <c r="BA41" s="287"/>
      <c r="BB41" s="166"/>
      <c r="BC41" s="179" t="s">
        <v>84</v>
      </c>
      <c r="BD41" s="166" t="s">
        <v>334</v>
      </c>
      <c r="BE41" s="179"/>
      <c r="BF41" s="166"/>
      <c r="BG41" s="179" t="s">
        <v>84</v>
      </c>
      <c r="BH41" s="166" t="s">
        <v>335</v>
      </c>
      <c r="BI41" s="179"/>
      <c r="BJ41" s="166"/>
      <c r="BK41" s="179" t="s">
        <v>84</v>
      </c>
      <c r="BL41" s="166" t="s">
        <v>336</v>
      </c>
      <c r="BM41" s="179"/>
      <c r="BN41" s="166"/>
      <c r="BO41" s="179" t="s">
        <v>84</v>
      </c>
      <c r="BP41" s="166" t="s">
        <v>337</v>
      </c>
      <c r="BQ41" s="179"/>
      <c r="BR41" s="166"/>
      <c r="BS41" s="179" t="s">
        <v>84</v>
      </c>
      <c r="BT41" s="166" t="s">
        <v>338</v>
      </c>
      <c r="BU41" s="179"/>
      <c r="BV41" s="166"/>
    </row>
    <row r="42" spans="1:74" x14ac:dyDescent="0.25">
      <c r="A42" s="19" t="s">
        <v>184</v>
      </c>
      <c r="B42" s="263" t="s">
        <v>202</v>
      </c>
      <c r="C42" s="12" t="s">
        <v>67</v>
      </c>
      <c r="D42" s="11" t="s">
        <v>242</v>
      </c>
      <c r="E42" s="31">
        <v>43466</v>
      </c>
      <c r="F42" s="31">
        <v>43831</v>
      </c>
      <c r="G42" s="11"/>
      <c r="I42" s="233" t="s">
        <v>218</v>
      </c>
      <c r="J42" s="238" t="str">
        <f>INDEX(TableStreams[Choose your Specialisation Stream second (drop-down list)],MATCH(K42,TableStreams[UDC],0))</f>
        <v>Biological Sciences Education Minor Teaching Area Stream (BEd Secondary)</v>
      </c>
      <c r="K42" s="233" t="s">
        <v>193</v>
      </c>
      <c r="M42" s="11"/>
      <c r="N42" s="26">
        <v>5</v>
      </c>
      <c r="O42" s="179" t="s">
        <v>86</v>
      </c>
      <c r="P42" s="211" t="s">
        <v>339</v>
      </c>
      <c r="Q42" s="179"/>
      <c r="R42" s="166"/>
      <c r="S42" s="179" t="s">
        <v>86</v>
      </c>
      <c r="T42" s="211" t="s">
        <v>340</v>
      </c>
      <c r="U42" s="179"/>
      <c r="V42" s="166"/>
      <c r="W42" s="179" t="s">
        <v>86</v>
      </c>
      <c r="X42" s="166" t="s">
        <v>341</v>
      </c>
      <c r="Y42" s="179"/>
      <c r="Z42" s="166"/>
      <c r="AA42" s="179" t="s">
        <v>86</v>
      </c>
      <c r="AB42" s="166" t="s">
        <v>341</v>
      </c>
      <c r="AC42" s="179"/>
      <c r="AD42" s="166"/>
      <c r="AE42" s="179" t="s">
        <v>86</v>
      </c>
      <c r="AF42" s="166" t="s">
        <v>341</v>
      </c>
      <c r="AG42" s="179"/>
      <c r="AH42" s="166"/>
      <c r="AI42" s="179" t="s">
        <v>86</v>
      </c>
      <c r="AJ42" s="166" t="s">
        <v>342</v>
      </c>
      <c r="AK42" s="179"/>
      <c r="AL42" s="166"/>
      <c r="AM42" s="179" t="s">
        <v>86</v>
      </c>
      <c r="AN42" s="166" t="s">
        <v>343</v>
      </c>
      <c r="AO42" s="179"/>
      <c r="AP42" s="166"/>
      <c r="AQ42" s="179" t="s">
        <v>86</v>
      </c>
      <c r="AR42" s="166" t="s">
        <v>343</v>
      </c>
      <c r="AS42" s="179"/>
      <c r="AT42" s="166"/>
      <c r="AU42" s="179" t="s">
        <v>86</v>
      </c>
      <c r="AV42" s="166" t="s">
        <v>343</v>
      </c>
      <c r="AW42" s="179"/>
      <c r="AX42" s="166"/>
      <c r="AY42" s="179" t="s">
        <v>86</v>
      </c>
      <c r="AZ42" s="166" t="s">
        <v>343</v>
      </c>
      <c r="BA42" s="287"/>
      <c r="BB42" s="166"/>
      <c r="BC42" s="179" t="s">
        <v>86</v>
      </c>
      <c r="BD42" s="166" t="s">
        <v>344</v>
      </c>
      <c r="BE42" s="179"/>
      <c r="BF42" s="166"/>
      <c r="BG42" s="179" t="s">
        <v>86</v>
      </c>
      <c r="BH42" s="166" t="s">
        <v>340</v>
      </c>
      <c r="BI42" s="179"/>
      <c r="BJ42" s="166"/>
      <c r="BK42" s="179" t="s">
        <v>86</v>
      </c>
      <c r="BL42" s="166" t="s">
        <v>340</v>
      </c>
      <c r="BM42" s="179"/>
      <c r="BN42" s="166"/>
      <c r="BO42" s="179" t="s">
        <v>86</v>
      </c>
      <c r="BP42" s="166" t="s">
        <v>340</v>
      </c>
      <c r="BQ42" s="179"/>
      <c r="BR42" s="166"/>
      <c r="BS42" s="179" t="s">
        <v>86</v>
      </c>
      <c r="BT42" s="166" t="s">
        <v>340</v>
      </c>
      <c r="BU42" s="179"/>
      <c r="BV42" s="166"/>
    </row>
    <row r="43" spans="1:74" x14ac:dyDescent="0.25">
      <c r="A43" s="19" t="s">
        <v>345</v>
      </c>
      <c r="B43" s="263" t="s">
        <v>205</v>
      </c>
      <c r="C43" s="12" t="s">
        <v>67</v>
      </c>
      <c r="D43" s="11" t="s">
        <v>242</v>
      </c>
      <c r="E43" s="31">
        <v>43466</v>
      </c>
      <c r="F43" s="275">
        <v>45292</v>
      </c>
      <c r="G43" s="11"/>
      <c r="I43" s="234"/>
      <c r="J43" s="239" t="str">
        <f>INDEX(TableStreams[Choose your Specialisation Stream second (drop-down list)],MATCH(K43,TableStreams[UDC],0))</f>
        <v>Broadening Humanities and Social Sciences for Economics Teaching Area Stream (BEd Secondary)</v>
      </c>
      <c r="K43" s="234" t="s">
        <v>247</v>
      </c>
      <c r="M43" s="11"/>
      <c r="N43" s="26">
        <v>6</v>
      </c>
      <c r="O43" s="179" t="s">
        <v>86</v>
      </c>
      <c r="P43" s="211" t="s">
        <v>346</v>
      </c>
      <c r="Q43" s="179"/>
      <c r="R43" s="166"/>
      <c r="S43" s="179" t="s">
        <v>86</v>
      </c>
      <c r="T43" s="211" t="s">
        <v>347</v>
      </c>
      <c r="U43" s="179"/>
      <c r="V43" s="166"/>
      <c r="W43" s="179" t="s">
        <v>86</v>
      </c>
      <c r="X43" s="166" t="s">
        <v>348</v>
      </c>
      <c r="Y43" s="179"/>
      <c r="Z43" s="166"/>
      <c r="AA43" s="179" t="s">
        <v>86</v>
      </c>
      <c r="AB43" s="166" t="s">
        <v>349</v>
      </c>
      <c r="AC43" s="179"/>
      <c r="AD43" s="166"/>
      <c r="AE43" s="179" t="s">
        <v>86</v>
      </c>
      <c r="AF43" s="166" t="s">
        <v>350</v>
      </c>
      <c r="AG43" s="179"/>
      <c r="AH43" s="166"/>
      <c r="AI43" s="179" t="s">
        <v>86</v>
      </c>
      <c r="AJ43" s="166" t="s">
        <v>351</v>
      </c>
      <c r="AK43" s="179"/>
      <c r="AL43" s="166"/>
      <c r="AM43" s="179" t="s">
        <v>86</v>
      </c>
      <c r="AN43" s="166" t="s">
        <v>352</v>
      </c>
      <c r="AO43" s="179"/>
      <c r="AP43" s="166"/>
      <c r="AQ43" s="179" t="s">
        <v>86</v>
      </c>
      <c r="AR43" s="166" t="s">
        <v>353</v>
      </c>
      <c r="AS43" s="179"/>
      <c r="AT43" s="166"/>
      <c r="AU43" s="179" t="s">
        <v>86</v>
      </c>
      <c r="AV43" s="166" t="s">
        <v>354</v>
      </c>
      <c r="AW43" s="179"/>
      <c r="AX43" s="166"/>
      <c r="AY43" s="179" t="s">
        <v>86</v>
      </c>
      <c r="AZ43" s="166" t="s">
        <v>355</v>
      </c>
      <c r="BA43" s="287"/>
      <c r="BB43" s="166"/>
      <c r="BC43" s="179" t="s">
        <v>86</v>
      </c>
      <c r="BD43" s="166" t="s">
        <v>347</v>
      </c>
      <c r="BE43" s="179"/>
      <c r="BF43" s="166"/>
      <c r="BG43" s="179" t="s">
        <v>86</v>
      </c>
      <c r="BH43" s="166" t="s">
        <v>356</v>
      </c>
      <c r="BI43" s="179"/>
      <c r="BJ43" s="166"/>
      <c r="BK43" s="179" t="s">
        <v>86</v>
      </c>
      <c r="BL43" s="166" t="s">
        <v>357</v>
      </c>
      <c r="BM43" s="179"/>
      <c r="BN43" s="166"/>
      <c r="BO43" s="179" t="s">
        <v>86</v>
      </c>
      <c r="BP43" s="166" t="s">
        <v>358</v>
      </c>
      <c r="BQ43" s="179"/>
      <c r="BR43" s="166"/>
      <c r="BS43" s="179" t="s">
        <v>86</v>
      </c>
      <c r="BT43" s="166" t="s">
        <v>355</v>
      </c>
      <c r="BU43" s="179"/>
      <c r="BV43" s="166"/>
    </row>
    <row r="44" spans="1:74" x14ac:dyDescent="0.25">
      <c r="A44" s="19" t="s">
        <v>359</v>
      </c>
      <c r="B44" s="263" t="s">
        <v>261</v>
      </c>
      <c r="C44" s="12" t="s">
        <v>67</v>
      </c>
      <c r="D44" s="11" t="s">
        <v>242</v>
      </c>
      <c r="E44" s="31">
        <v>43466</v>
      </c>
      <c r="F44" s="31">
        <v>43466</v>
      </c>
      <c r="G44" s="11"/>
      <c r="I44" s="234"/>
      <c r="J44" s="239" t="str">
        <f>INDEX(TableStreams[Choose your Specialisation Stream second (drop-down list)],MATCH(K44,TableStreams[UDC],0))</f>
        <v>Education Speciality and Humanities and Social Science Teaching Area Stream (BEd Secondary)</v>
      </c>
      <c r="K44" s="234" t="s">
        <v>253</v>
      </c>
      <c r="M44" s="11"/>
      <c r="N44" s="26">
        <v>7</v>
      </c>
      <c r="O44" s="179" t="s">
        <v>109</v>
      </c>
      <c r="P44" s="211" t="s">
        <v>360</v>
      </c>
      <c r="Q44" s="179"/>
      <c r="R44" s="166"/>
      <c r="S44" s="179" t="s">
        <v>109</v>
      </c>
      <c r="T44" s="211" t="s">
        <v>360</v>
      </c>
      <c r="U44" s="179"/>
      <c r="V44" s="166"/>
      <c r="W44" s="179" t="s">
        <v>109</v>
      </c>
      <c r="X44" s="166" t="s">
        <v>360</v>
      </c>
      <c r="Y44" s="179"/>
      <c r="Z44" s="166"/>
      <c r="AA44" s="179" t="s">
        <v>109</v>
      </c>
      <c r="AB44" s="166" t="s">
        <v>360</v>
      </c>
      <c r="AC44" s="179"/>
      <c r="AD44" s="166"/>
      <c r="AE44" s="179" t="s">
        <v>109</v>
      </c>
      <c r="AF44" s="166" t="s">
        <v>360</v>
      </c>
      <c r="AG44" s="179"/>
      <c r="AH44" s="166"/>
      <c r="AI44" s="179" t="s">
        <v>109</v>
      </c>
      <c r="AJ44" s="166" t="s">
        <v>360</v>
      </c>
      <c r="AK44" s="179"/>
      <c r="AL44" s="166"/>
      <c r="AM44" s="179" t="s">
        <v>109</v>
      </c>
      <c r="AN44" s="166" t="s">
        <v>360</v>
      </c>
      <c r="AO44" s="179"/>
      <c r="AP44" s="166"/>
      <c r="AQ44" s="179" t="s">
        <v>109</v>
      </c>
      <c r="AR44" s="166" t="s">
        <v>360</v>
      </c>
      <c r="AS44" s="179"/>
      <c r="AT44" s="166"/>
      <c r="AU44" s="179" t="s">
        <v>109</v>
      </c>
      <c r="AV44" s="166" t="s">
        <v>360</v>
      </c>
      <c r="AW44" s="179"/>
      <c r="AX44" s="166"/>
      <c r="AY44" s="179" t="s">
        <v>109</v>
      </c>
      <c r="AZ44" s="166" t="s">
        <v>360</v>
      </c>
      <c r="BA44" s="287"/>
      <c r="BB44" s="166"/>
      <c r="BC44" s="179" t="s">
        <v>109</v>
      </c>
      <c r="BD44" s="166" t="s">
        <v>360</v>
      </c>
      <c r="BE44" s="179"/>
      <c r="BF44" s="166"/>
      <c r="BG44" s="179" t="s">
        <v>109</v>
      </c>
      <c r="BH44" s="166" t="s">
        <v>360</v>
      </c>
      <c r="BI44" s="179"/>
      <c r="BJ44" s="166"/>
      <c r="BK44" s="179" t="s">
        <v>109</v>
      </c>
      <c r="BL44" s="166" t="s">
        <v>360</v>
      </c>
      <c r="BM44" s="179"/>
      <c r="BN44" s="166"/>
      <c r="BO44" s="179" t="s">
        <v>109</v>
      </c>
      <c r="BP44" s="166" t="s">
        <v>360</v>
      </c>
      <c r="BQ44" s="179"/>
      <c r="BR44" s="166"/>
      <c r="BS44" s="179" t="s">
        <v>109</v>
      </c>
      <c r="BT44" s="166" t="s">
        <v>360</v>
      </c>
      <c r="BU44" s="179"/>
      <c r="BV44" s="166"/>
    </row>
    <row r="45" spans="1:74" x14ac:dyDescent="0.25">
      <c r="A45" s="19" t="s">
        <v>361</v>
      </c>
      <c r="B45" s="263" t="s">
        <v>362</v>
      </c>
      <c r="C45" s="12" t="s">
        <v>200</v>
      </c>
      <c r="D45" s="11" t="s">
        <v>242</v>
      </c>
      <c r="E45" s="31">
        <v>43466</v>
      </c>
      <c r="F45" s="275">
        <v>45292</v>
      </c>
      <c r="G45" s="11"/>
      <c r="I45" s="234"/>
      <c r="J45" s="239" t="str">
        <f>INDEX(TableStreams[Choose your Specialisation Stream second (drop-down list)],MATCH(K45,TableStreams[UDC],0))</f>
        <v>English Education Minor Teaching Area Stream (BEd Secondary)</v>
      </c>
      <c r="K45" s="234" t="s">
        <v>197</v>
      </c>
      <c r="M45" s="11"/>
      <c r="N45" s="26">
        <v>8</v>
      </c>
      <c r="O45" s="179" t="s">
        <v>109</v>
      </c>
      <c r="P45" s="211" t="s">
        <v>363</v>
      </c>
      <c r="Q45" s="179"/>
      <c r="R45" s="166"/>
      <c r="S45" s="179" t="s">
        <v>109</v>
      </c>
      <c r="T45" s="211" t="s">
        <v>321</v>
      </c>
      <c r="U45" s="179"/>
      <c r="V45" s="166"/>
      <c r="W45" s="179" t="s">
        <v>109</v>
      </c>
      <c r="X45" s="166" t="s">
        <v>364</v>
      </c>
      <c r="Y45" s="179"/>
      <c r="Z45" s="166"/>
      <c r="AA45" s="179" t="s">
        <v>109</v>
      </c>
      <c r="AB45" s="166" t="s">
        <v>365</v>
      </c>
      <c r="AC45" s="179"/>
      <c r="AD45" s="166"/>
      <c r="AE45" s="179" t="s">
        <v>109</v>
      </c>
      <c r="AF45" s="166" t="s">
        <v>366</v>
      </c>
      <c r="AG45" s="179"/>
      <c r="AH45" s="166"/>
      <c r="AI45" s="179" t="s">
        <v>109</v>
      </c>
      <c r="AJ45" s="166" t="s">
        <v>367</v>
      </c>
      <c r="AK45" s="179"/>
      <c r="AL45" s="166"/>
      <c r="AM45" s="179" t="s">
        <v>109</v>
      </c>
      <c r="AN45" s="166" t="s">
        <v>368</v>
      </c>
      <c r="AO45" s="179"/>
      <c r="AP45" s="166"/>
      <c r="AQ45" s="179" t="s">
        <v>109</v>
      </c>
      <c r="AR45" s="166" t="s">
        <v>369</v>
      </c>
      <c r="AS45" s="179"/>
      <c r="AT45" s="166"/>
      <c r="AU45" s="179" t="s">
        <v>109</v>
      </c>
      <c r="AV45" s="166" t="s">
        <v>370</v>
      </c>
      <c r="AW45" s="179"/>
      <c r="AX45" s="166"/>
      <c r="AY45" s="179" t="s">
        <v>109</v>
      </c>
      <c r="AZ45" s="166" t="s">
        <v>371</v>
      </c>
      <c r="BA45" s="287"/>
      <c r="BB45" s="166"/>
      <c r="BC45" s="179" t="s">
        <v>109</v>
      </c>
      <c r="BD45" s="166" t="s">
        <v>325</v>
      </c>
      <c r="BE45" s="179"/>
      <c r="BF45" s="166"/>
      <c r="BG45" s="179" t="s">
        <v>109</v>
      </c>
      <c r="BH45" s="166" t="s">
        <v>372</v>
      </c>
      <c r="BI45" s="179"/>
      <c r="BJ45" s="166"/>
      <c r="BK45" s="179" t="s">
        <v>109</v>
      </c>
      <c r="BL45" s="166" t="s">
        <v>373</v>
      </c>
      <c r="BM45" s="179"/>
      <c r="BN45" s="166"/>
      <c r="BO45" s="179" t="s">
        <v>109</v>
      </c>
      <c r="BP45" s="166" t="s">
        <v>374</v>
      </c>
      <c r="BQ45" s="179"/>
      <c r="BR45" s="166"/>
      <c r="BS45" s="179" t="s">
        <v>109</v>
      </c>
      <c r="BT45" s="166" t="s">
        <v>375</v>
      </c>
      <c r="BU45" s="179"/>
      <c r="BV45" s="166"/>
    </row>
    <row r="46" spans="1:74" x14ac:dyDescent="0.25">
      <c r="A46" s="19" t="s">
        <v>376</v>
      </c>
      <c r="B46" s="263" t="s">
        <v>208</v>
      </c>
      <c r="C46" s="12" t="s">
        <v>67</v>
      </c>
      <c r="D46" s="11" t="s">
        <v>242</v>
      </c>
      <c r="E46" s="31">
        <v>43466</v>
      </c>
      <c r="F46" s="31">
        <v>43466</v>
      </c>
      <c r="G46" s="11"/>
      <c r="I46" s="234"/>
      <c r="J46" s="239" t="str">
        <f>INDEX(TableStreams[Choose your Specialisation Stream second (drop-down list)],MATCH(K46,TableStreams[UDC],0))</f>
        <v>Mathematics Education Minor Teaching Area Stream (BEd Secondary)</v>
      </c>
      <c r="K46" s="234" t="s">
        <v>202</v>
      </c>
      <c r="M46" s="11"/>
      <c r="N46" s="26">
        <v>9</v>
      </c>
      <c r="O46" s="179" t="s">
        <v>111</v>
      </c>
      <c r="P46" s="211" t="s">
        <v>377</v>
      </c>
      <c r="Q46" s="179"/>
      <c r="R46" s="166"/>
      <c r="S46" s="179" t="s">
        <v>111</v>
      </c>
      <c r="T46" s="211" t="s">
        <v>378</v>
      </c>
      <c r="U46" s="179"/>
      <c r="V46" s="166"/>
      <c r="W46" s="179" t="s">
        <v>111</v>
      </c>
      <c r="X46" s="166" t="s">
        <v>379</v>
      </c>
      <c r="Y46" s="179"/>
      <c r="Z46" s="166"/>
      <c r="AA46" s="179" t="s">
        <v>111</v>
      </c>
      <c r="AB46" s="166" t="s">
        <v>380</v>
      </c>
      <c r="AC46" s="179"/>
      <c r="AD46" s="166"/>
      <c r="AE46" s="179" t="s">
        <v>111</v>
      </c>
      <c r="AF46" s="166" t="s">
        <v>121</v>
      </c>
      <c r="AG46" s="179"/>
      <c r="AH46" s="166"/>
      <c r="AI46" s="179" t="s">
        <v>111</v>
      </c>
      <c r="AJ46" s="166" t="s">
        <v>381</v>
      </c>
      <c r="AK46" s="179"/>
      <c r="AL46" s="166"/>
      <c r="AM46" s="179" t="s">
        <v>111</v>
      </c>
      <c r="AN46" s="166" t="s">
        <v>382</v>
      </c>
      <c r="AO46" s="179"/>
      <c r="AP46" s="166"/>
      <c r="AQ46" s="179" t="s">
        <v>111</v>
      </c>
      <c r="AR46" s="166" t="s">
        <v>383</v>
      </c>
      <c r="AS46" s="179"/>
      <c r="AT46" s="166"/>
      <c r="AU46" s="179" t="s">
        <v>111</v>
      </c>
      <c r="AV46" s="166" t="s">
        <v>384</v>
      </c>
      <c r="AW46" s="179"/>
      <c r="AX46" s="166"/>
      <c r="AY46" s="179" t="s">
        <v>111</v>
      </c>
      <c r="AZ46" s="166" t="s">
        <v>385</v>
      </c>
      <c r="BA46" s="287"/>
      <c r="BB46" s="166"/>
      <c r="BC46" s="179" t="s">
        <v>111</v>
      </c>
      <c r="BD46" s="166" t="s">
        <v>378</v>
      </c>
      <c r="BE46" s="179"/>
      <c r="BF46" s="166"/>
      <c r="BG46" s="179" t="s">
        <v>111</v>
      </c>
      <c r="BH46" s="166" t="s">
        <v>386</v>
      </c>
      <c r="BI46" s="179"/>
      <c r="BJ46" s="166"/>
      <c r="BK46" s="179" t="s">
        <v>111</v>
      </c>
      <c r="BL46" s="166" t="s">
        <v>387</v>
      </c>
      <c r="BM46" s="179"/>
      <c r="BN46" s="166"/>
      <c r="BO46" s="179" t="s">
        <v>111</v>
      </c>
      <c r="BP46" s="166" t="s">
        <v>388</v>
      </c>
      <c r="BQ46" s="179"/>
      <c r="BR46" s="166"/>
      <c r="BS46" s="179" t="s">
        <v>111</v>
      </c>
      <c r="BT46" s="166" t="s">
        <v>389</v>
      </c>
      <c r="BU46" s="179"/>
      <c r="BV46" s="166"/>
    </row>
    <row r="47" spans="1:74" x14ac:dyDescent="0.25">
      <c r="A47" s="19" t="s">
        <v>390</v>
      </c>
      <c r="B47" s="263" t="s">
        <v>391</v>
      </c>
      <c r="C47" s="12" t="s">
        <v>67</v>
      </c>
      <c r="D47" s="11" t="s">
        <v>242</v>
      </c>
      <c r="E47" s="31">
        <v>43466</v>
      </c>
      <c r="F47" s="275">
        <v>45292</v>
      </c>
      <c r="G47" s="11"/>
      <c r="I47" s="234"/>
      <c r="J47" s="239" t="str">
        <f>INDEX(TableStreams[Choose your Specialisation Stream second (drop-down list)],MATCH(K47,TableStreams[UDC],0))</f>
        <v>The Arts - Performing Arts Education Minor Teaching Area Stream (BEd Secondary)</v>
      </c>
      <c r="K47" s="234" t="s">
        <v>261</v>
      </c>
      <c r="M47" s="11"/>
      <c r="N47" s="26">
        <v>10</v>
      </c>
      <c r="O47" s="179" t="s">
        <v>129</v>
      </c>
      <c r="P47" s="211" t="s">
        <v>392</v>
      </c>
      <c r="Q47" s="179"/>
      <c r="R47" s="166"/>
      <c r="S47" s="179" t="s">
        <v>129</v>
      </c>
      <c r="T47" s="211" t="s">
        <v>393</v>
      </c>
      <c r="U47" s="179"/>
      <c r="V47" s="166"/>
      <c r="W47" s="179" t="s">
        <v>129</v>
      </c>
      <c r="X47" s="166" t="s">
        <v>394</v>
      </c>
      <c r="Y47" s="179"/>
      <c r="Z47" s="166"/>
      <c r="AA47" s="179" t="s">
        <v>129</v>
      </c>
      <c r="AB47" s="166" t="s">
        <v>395</v>
      </c>
      <c r="AC47" s="179"/>
      <c r="AD47" s="166"/>
      <c r="AE47" s="179" t="s">
        <v>129</v>
      </c>
      <c r="AF47" s="166" t="s">
        <v>396</v>
      </c>
      <c r="AG47" s="179"/>
      <c r="AH47" s="166"/>
      <c r="AI47" s="179" t="s">
        <v>129</v>
      </c>
      <c r="AJ47" s="166" t="s">
        <v>397</v>
      </c>
      <c r="AK47" s="179"/>
      <c r="AL47" s="166"/>
      <c r="AM47" s="179" t="s">
        <v>129</v>
      </c>
      <c r="AN47" s="166" t="s">
        <v>398</v>
      </c>
      <c r="AO47" s="179"/>
      <c r="AP47" s="166"/>
      <c r="AQ47" s="179" t="s">
        <v>129</v>
      </c>
      <c r="AR47" s="166" t="s">
        <v>399</v>
      </c>
      <c r="AS47" s="179"/>
      <c r="AT47" s="166"/>
      <c r="AU47" s="179" t="s">
        <v>129</v>
      </c>
      <c r="AV47" s="166" t="s">
        <v>400</v>
      </c>
      <c r="AW47" s="179"/>
      <c r="AX47" s="166"/>
      <c r="AY47" s="179" t="s">
        <v>129</v>
      </c>
      <c r="AZ47" s="166" t="s">
        <v>401</v>
      </c>
      <c r="BA47" s="287"/>
      <c r="BB47" s="166"/>
      <c r="BC47" s="179" t="s">
        <v>129</v>
      </c>
      <c r="BD47" s="166" t="s">
        <v>402</v>
      </c>
      <c r="BE47" s="179"/>
      <c r="BF47" s="166"/>
      <c r="BG47" s="179" t="s">
        <v>129</v>
      </c>
      <c r="BH47" s="166" t="s">
        <v>403</v>
      </c>
      <c r="BI47" s="179"/>
      <c r="BJ47" s="166"/>
      <c r="BK47" s="179" t="s">
        <v>129</v>
      </c>
      <c r="BL47" s="166" t="s">
        <v>404</v>
      </c>
      <c r="BM47" s="179"/>
      <c r="BN47" s="166"/>
      <c r="BO47" s="179" t="s">
        <v>129</v>
      </c>
      <c r="BP47" s="166" t="s">
        <v>405</v>
      </c>
      <c r="BQ47" s="179"/>
      <c r="BR47" s="166"/>
      <c r="BS47" s="179" t="s">
        <v>129</v>
      </c>
      <c r="BT47" s="166" t="s">
        <v>406</v>
      </c>
      <c r="BU47" s="179"/>
      <c r="BV47" s="166"/>
    </row>
    <row r="48" spans="1:74" x14ac:dyDescent="0.25">
      <c r="A48" s="19" t="s">
        <v>407</v>
      </c>
      <c r="B48" s="263" t="s">
        <v>212</v>
      </c>
      <c r="C48" s="12" t="s">
        <v>67</v>
      </c>
      <c r="D48" s="11" t="s">
        <v>242</v>
      </c>
      <c r="E48" s="31">
        <v>43466</v>
      </c>
      <c r="F48" s="31">
        <v>44197</v>
      </c>
      <c r="G48" s="11"/>
      <c r="I48" s="234"/>
      <c r="J48" s="239" t="str">
        <f>INDEX(TableStreams[Choose your Specialisation Stream second (drop-down list)],MATCH(K48,TableStreams[UDC],0))</f>
        <v>Physical Sciences Education Minor Teaching Area Stream (BEd Secondary)</v>
      </c>
      <c r="K48" s="234" t="s">
        <v>208</v>
      </c>
      <c r="M48" s="11"/>
      <c r="N48" s="26">
        <v>11</v>
      </c>
      <c r="O48" s="180" t="s">
        <v>129</v>
      </c>
      <c r="P48" s="213" t="s">
        <v>156</v>
      </c>
      <c r="Q48" s="180"/>
      <c r="R48" s="165"/>
      <c r="S48" s="180" t="s">
        <v>129</v>
      </c>
      <c r="T48" s="213" t="s">
        <v>408</v>
      </c>
      <c r="U48" s="180"/>
      <c r="V48" s="165"/>
      <c r="W48" s="180" t="s">
        <v>129</v>
      </c>
      <c r="X48" s="165" t="s">
        <v>121</v>
      </c>
      <c r="Y48" s="180"/>
      <c r="Z48" s="165"/>
      <c r="AA48" s="180" t="s">
        <v>129</v>
      </c>
      <c r="AB48" s="165" t="s">
        <v>121</v>
      </c>
      <c r="AC48" s="180"/>
      <c r="AD48" s="165"/>
      <c r="AE48" s="180" t="s">
        <v>129</v>
      </c>
      <c r="AF48" s="165" t="s">
        <v>409</v>
      </c>
      <c r="AG48" s="180"/>
      <c r="AH48" s="165"/>
      <c r="AI48" s="180" t="s">
        <v>129</v>
      </c>
      <c r="AJ48" s="165" t="s">
        <v>121</v>
      </c>
      <c r="AK48" s="180"/>
      <c r="AL48" s="165"/>
      <c r="AM48" s="180" t="s">
        <v>129</v>
      </c>
      <c r="AN48" s="165" t="s">
        <v>121</v>
      </c>
      <c r="AO48" s="180"/>
      <c r="AP48" s="165"/>
      <c r="AQ48" s="180" t="s">
        <v>129</v>
      </c>
      <c r="AR48" s="165" t="s">
        <v>121</v>
      </c>
      <c r="AS48" s="180"/>
      <c r="AT48" s="165"/>
      <c r="AU48" s="180" t="s">
        <v>129</v>
      </c>
      <c r="AV48" s="165" t="s">
        <v>121</v>
      </c>
      <c r="AW48" s="180"/>
      <c r="AX48" s="165"/>
      <c r="AY48" s="180" t="s">
        <v>129</v>
      </c>
      <c r="AZ48" s="165" t="s">
        <v>121</v>
      </c>
      <c r="BA48" s="288"/>
      <c r="BB48" s="165"/>
      <c r="BC48" s="180" t="s">
        <v>129</v>
      </c>
      <c r="BD48" s="165" t="s">
        <v>121</v>
      </c>
      <c r="BE48" s="180"/>
      <c r="BF48" s="165"/>
      <c r="BG48" s="180" t="s">
        <v>129</v>
      </c>
      <c r="BH48" s="165" t="s">
        <v>121</v>
      </c>
      <c r="BI48" s="180"/>
      <c r="BJ48" s="165"/>
      <c r="BK48" s="180" t="s">
        <v>129</v>
      </c>
      <c r="BL48" s="165" t="s">
        <v>121</v>
      </c>
      <c r="BM48" s="180"/>
      <c r="BN48" s="165"/>
      <c r="BO48" s="180" t="s">
        <v>129</v>
      </c>
      <c r="BP48" s="165" t="s">
        <v>121</v>
      </c>
      <c r="BQ48" s="180"/>
      <c r="BR48" s="165"/>
      <c r="BS48" s="180" t="s">
        <v>129</v>
      </c>
      <c r="BT48" s="165" t="s">
        <v>121</v>
      </c>
      <c r="BU48" s="180"/>
      <c r="BV48" s="165"/>
    </row>
    <row r="49" spans="1:126" x14ac:dyDescent="0.25">
      <c r="A49" s="19" t="s">
        <v>410</v>
      </c>
      <c r="B49" s="263" t="s">
        <v>216</v>
      </c>
      <c r="C49" s="12" t="s">
        <v>67</v>
      </c>
      <c r="D49" s="11" t="s">
        <v>242</v>
      </c>
      <c r="E49" s="31">
        <v>43466</v>
      </c>
      <c r="F49" s="31">
        <v>44197</v>
      </c>
      <c r="G49" s="11"/>
      <c r="I49" s="234"/>
      <c r="J49" s="239" t="str">
        <f>INDEX(TableStreams[Choose your Specialisation Stream second (drop-down list)],MATCH(K49,TableStreams[UDC],0))</f>
        <v>Psychology Education Minor Teaching Area Stream (BEd Secondary)</v>
      </c>
      <c r="K49" s="234" t="s">
        <v>212</v>
      </c>
    </row>
    <row r="50" spans="1:126" x14ac:dyDescent="0.25">
      <c r="A50" s="19" t="s">
        <v>411</v>
      </c>
      <c r="B50" s="263" t="s">
        <v>249</v>
      </c>
      <c r="C50" s="12" t="s">
        <v>67</v>
      </c>
      <c r="D50" s="11" t="s">
        <v>242</v>
      </c>
      <c r="E50" s="31">
        <v>43466</v>
      </c>
      <c r="F50" s="275">
        <v>45292</v>
      </c>
      <c r="G50" s="11"/>
      <c r="I50" s="235"/>
      <c r="J50" s="240" t="str">
        <f>INDEX(TableStreams[Choose your Specialisation Stream second (drop-down list)],MATCH(K50,TableStreams[UDC],0))</f>
        <v>The Arts - Visual Arts Education Minor Teaching Area Stream (BEd Secondary)</v>
      </c>
      <c r="K50" s="235" t="s">
        <v>315</v>
      </c>
      <c r="M50" s="147" t="s">
        <v>412</v>
      </c>
      <c r="N50" s="3">
        <v>1</v>
      </c>
      <c r="O50" s="243"/>
      <c r="P50" s="242" t="s">
        <v>267</v>
      </c>
      <c r="Q50" s="244"/>
      <c r="R50" s="242" t="s">
        <v>268</v>
      </c>
      <c r="S50" s="243"/>
      <c r="T50" s="242" t="s">
        <v>269</v>
      </c>
      <c r="U50" s="244"/>
      <c r="V50" s="242" t="s">
        <v>270</v>
      </c>
      <c r="W50" s="243"/>
      <c r="X50" s="242" t="s">
        <v>271</v>
      </c>
      <c r="Y50" s="244"/>
      <c r="Z50" s="242" t="s">
        <v>272</v>
      </c>
      <c r="AA50" s="243"/>
      <c r="AB50" s="242" t="s">
        <v>273</v>
      </c>
      <c r="AC50" s="244"/>
      <c r="AD50" s="242" t="s">
        <v>274</v>
      </c>
      <c r="AE50" s="243"/>
      <c r="AF50" s="242" t="s">
        <v>275</v>
      </c>
      <c r="AG50" s="244"/>
      <c r="AH50" s="242" t="s">
        <v>276</v>
      </c>
      <c r="AI50" s="243"/>
      <c r="AJ50" s="242" t="s">
        <v>277</v>
      </c>
      <c r="AK50" s="244"/>
      <c r="AL50" s="242" t="s">
        <v>278</v>
      </c>
      <c r="AM50" s="243"/>
      <c r="AN50" s="242" t="s">
        <v>279</v>
      </c>
      <c r="AO50" s="244"/>
      <c r="AP50" s="242" t="s">
        <v>280</v>
      </c>
      <c r="AQ50" s="243"/>
      <c r="AR50" s="242" t="s">
        <v>281</v>
      </c>
      <c r="AS50" s="244"/>
      <c r="AT50" s="242" t="s">
        <v>282</v>
      </c>
      <c r="AU50" s="243"/>
      <c r="AV50" s="242" t="s">
        <v>283</v>
      </c>
      <c r="AW50" s="244"/>
      <c r="AX50" s="242" t="s">
        <v>284</v>
      </c>
      <c r="AY50" s="243"/>
      <c r="AZ50" s="242" t="s">
        <v>285</v>
      </c>
      <c r="BA50" s="244"/>
      <c r="BB50" s="242" t="s">
        <v>286</v>
      </c>
      <c r="BC50" s="243"/>
      <c r="BD50" s="242" t="s">
        <v>287</v>
      </c>
      <c r="BE50" s="244"/>
      <c r="BF50" s="242" t="s">
        <v>288</v>
      </c>
      <c r="BG50" s="243"/>
      <c r="BH50" s="242" t="s">
        <v>289</v>
      </c>
      <c r="BI50" s="244"/>
      <c r="BJ50" s="242" t="s">
        <v>290</v>
      </c>
      <c r="BK50" s="243"/>
      <c r="BL50" s="242" t="s">
        <v>291</v>
      </c>
      <c r="BM50" s="244"/>
      <c r="BN50" s="242" t="s">
        <v>292</v>
      </c>
      <c r="BO50" s="243"/>
      <c r="BP50" s="242" t="s">
        <v>293</v>
      </c>
      <c r="BQ50" s="244"/>
      <c r="BR50" s="242" t="s">
        <v>294</v>
      </c>
      <c r="BS50" s="243"/>
      <c r="BT50" s="242" t="s">
        <v>295</v>
      </c>
      <c r="BU50" s="244"/>
      <c r="BV50" s="242" t="s">
        <v>296</v>
      </c>
    </row>
    <row r="51" spans="1:126" x14ac:dyDescent="0.25">
      <c r="A51" s="19" t="s">
        <v>413</v>
      </c>
      <c r="B51" s="263" t="s">
        <v>315</v>
      </c>
      <c r="C51" s="12" t="s">
        <v>67</v>
      </c>
      <c r="D51" s="11" t="s">
        <v>242</v>
      </c>
      <c r="E51" s="31">
        <v>43466</v>
      </c>
      <c r="F51" s="31">
        <v>43831</v>
      </c>
      <c r="G51" s="11"/>
      <c r="I51" s="233" t="s">
        <v>220</v>
      </c>
      <c r="J51" s="238" t="str">
        <f>INDEX(TableStreams[Choose your Specialisation Stream second (drop-down list)],MATCH(K51,TableStreams[UDC],0))</f>
        <v>Biological Sciences Education Minor Teaching Area Stream (BEd Secondary)</v>
      </c>
      <c r="K51" s="233" t="s">
        <v>193</v>
      </c>
      <c r="N51" s="26">
        <v>2</v>
      </c>
      <c r="O51" s="178"/>
      <c r="P51" s="185" t="s">
        <v>130</v>
      </c>
      <c r="Q51" s="178"/>
      <c r="R51" s="185" t="s">
        <v>130</v>
      </c>
      <c r="S51" s="178"/>
      <c r="T51" s="185" t="s">
        <v>130</v>
      </c>
      <c r="U51" s="178"/>
      <c r="V51" s="185" t="s">
        <v>130</v>
      </c>
      <c r="W51" s="178"/>
      <c r="X51" s="185" t="s">
        <v>130</v>
      </c>
      <c r="Y51" s="178"/>
      <c r="Z51" s="185" t="s">
        <v>130</v>
      </c>
      <c r="AA51" s="178"/>
      <c r="AB51" s="185" t="s">
        <v>130</v>
      </c>
      <c r="AC51" s="178"/>
      <c r="AD51" s="185" t="s">
        <v>130</v>
      </c>
      <c r="AE51" s="178"/>
      <c r="AF51" s="185" t="s">
        <v>130</v>
      </c>
      <c r="AG51" s="178"/>
      <c r="AH51" s="185" t="s">
        <v>130</v>
      </c>
      <c r="AI51" s="178"/>
      <c r="AJ51" s="185" t="s">
        <v>130</v>
      </c>
      <c r="AK51" s="178"/>
      <c r="AL51" s="185" t="s">
        <v>130</v>
      </c>
      <c r="AM51" s="178"/>
      <c r="AN51" s="185" t="s">
        <v>130</v>
      </c>
      <c r="AO51" s="178"/>
      <c r="AP51" s="185" t="s">
        <v>130</v>
      </c>
      <c r="AQ51" s="178"/>
      <c r="AR51" s="185" t="s">
        <v>130</v>
      </c>
      <c r="AS51" s="178"/>
      <c r="AT51" s="185" t="s">
        <v>130</v>
      </c>
      <c r="AU51" s="178"/>
      <c r="AV51" s="185" t="s">
        <v>130</v>
      </c>
      <c r="AW51" s="178"/>
      <c r="AX51" s="185" t="s">
        <v>130</v>
      </c>
      <c r="AY51" s="178" t="s">
        <v>109</v>
      </c>
      <c r="AZ51" s="177" t="s">
        <v>371</v>
      </c>
      <c r="BA51" s="178"/>
      <c r="BB51" s="185" t="s">
        <v>130</v>
      </c>
      <c r="BC51" s="178"/>
      <c r="BD51" s="185" t="s">
        <v>130</v>
      </c>
      <c r="BE51" s="178"/>
      <c r="BF51" s="185" t="s">
        <v>130</v>
      </c>
      <c r="BG51" s="178" t="s">
        <v>109</v>
      </c>
      <c r="BH51" s="177" t="s">
        <v>372</v>
      </c>
      <c r="BI51" s="178"/>
      <c r="BJ51" s="185" t="s">
        <v>130</v>
      </c>
      <c r="BK51" s="178"/>
      <c r="BL51" s="185" t="s">
        <v>130</v>
      </c>
      <c r="BM51" s="178"/>
      <c r="BN51" s="185" t="s">
        <v>130</v>
      </c>
      <c r="BO51" s="178" t="s">
        <v>109</v>
      </c>
      <c r="BP51" s="177" t="s">
        <v>374</v>
      </c>
      <c r="BQ51" s="178"/>
      <c r="BR51" s="185" t="s">
        <v>130</v>
      </c>
      <c r="BS51" s="178"/>
      <c r="BT51" s="185" t="s">
        <v>130</v>
      </c>
      <c r="BU51" s="178"/>
      <c r="BV51" s="185" t="s">
        <v>130</v>
      </c>
    </row>
    <row r="52" spans="1:126" x14ac:dyDescent="0.25">
      <c r="F52" s="11"/>
      <c r="G52" s="11"/>
      <c r="I52" s="234"/>
      <c r="J52" s="239" t="str">
        <f>INDEX(TableStreams[Choose your Specialisation Stream second (drop-down list)],MATCH(K52,TableStreams[UDC],0))</f>
        <v>Education Speciality and Humanities and Social Science Teaching Area Stream (BEd Secondary)</v>
      </c>
      <c r="K52" s="234" t="s">
        <v>253</v>
      </c>
      <c r="N52" s="26">
        <v>3</v>
      </c>
      <c r="O52" s="179"/>
      <c r="P52" s="166"/>
      <c r="Q52" s="179"/>
      <c r="R52" s="166"/>
      <c r="S52" s="179"/>
      <c r="T52" s="166"/>
      <c r="U52" s="179"/>
      <c r="V52" s="166"/>
      <c r="W52" s="179"/>
      <c r="X52" s="166"/>
      <c r="Y52" s="179"/>
      <c r="Z52" s="166"/>
      <c r="AA52" s="179"/>
      <c r="AB52" s="166"/>
      <c r="AC52" s="179"/>
      <c r="AD52" s="166"/>
      <c r="AE52" s="179"/>
      <c r="AF52" s="166"/>
      <c r="AG52" s="179"/>
      <c r="AH52" s="166"/>
      <c r="AI52" s="179"/>
      <c r="AJ52" s="166"/>
      <c r="AK52" s="179"/>
      <c r="AL52" s="166"/>
      <c r="AM52" s="179"/>
      <c r="AN52" s="166"/>
      <c r="AO52" s="179"/>
      <c r="AP52" s="166"/>
      <c r="AQ52" s="179"/>
      <c r="AR52" s="166"/>
      <c r="AS52" s="179"/>
      <c r="AT52" s="166"/>
      <c r="AU52" s="179"/>
      <c r="AV52" s="166"/>
      <c r="AW52" s="179"/>
      <c r="AX52" s="166"/>
      <c r="AY52" s="179" t="s">
        <v>109</v>
      </c>
      <c r="AZ52" s="166" t="s">
        <v>414</v>
      </c>
      <c r="BA52" s="179"/>
      <c r="BB52" s="166"/>
      <c r="BC52" s="179"/>
      <c r="BD52" s="166"/>
      <c r="BE52" s="179"/>
      <c r="BF52" s="166"/>
      <c r="BG52" s="179" t="s">
        <v>109</v>
      </c>
      <c r="BH52" s="166" t="s">
        <v>415</v>
      </c>
      <c r="BI52" s="179"/>
      <c r="BJ52" s="166"/>
      <c r="BK52" s="179"/>
      <c r="BL52" s="166"/>
      <c r="BM52" s="179"/>
      <c r="BN52" s="166"/>
      <c r="BO52" s="179" t="s">
        <v>109</v>
      </c>
      <c r="BP52" s="166" t="s">
        <v>416</v>
      </c>
      <c r="BQ52" s="179"/>
      <c r="BR52" s="166"/>
      <c r="BS52" s="179"/>
      <c r="BT52" s="166"/>
      <c r="BU52" s="179"/>
      <c r="BV52" s="166"/>
    </row>
    <row r="53" spans="1:126" x14ac:dyDescent="0.25">
      <c r="I53" s="234"/>
      <c r="J53" s="239" t="str">
        <f>INDEX(TableStreams[Choose your Specialisation Stream second (drop-down list)],MATCH(K53,TableStreams[UDC],0))</f>
        <v>English Education Minor Teaching Area Stream (BEd Secondary)</v>
      </c>
      <c r="K53" s="234" t="s">
        <v>197</v>
      </c>
      <c r="M53" s="11"/>
      <c r="N53" s="26">
        <v>4</v>
      </c>
      <c r="O53" s="180"/>
      <c r="P53" s="165"/>
      <c r="Q53" s="180"/>
      <c r="R53" s="165"/>
      <c r="S53" s="180"/>
      <c r="T53" s="165"/>
      <c r="U53" s="180"/>
      <c r="V53" s="165"/>
      <c r="W53" s="180"/>
      <c r="X53" s="165"/>
      <c r="Y53" s="180"/>
      <c r="Z53" s="165"/>
      <c r="AA53" s="180"/>
      <c r="AB53" s="165"/>
      <c r="AC53" s="180"/>
      <c r="AD53" s="165"/>
      <c r="AE53" s="180"/>
      <c r="AF53" s="165"/>
      <c r="AG53" s="180"/>
      <c r="AH53" s="165"/>
      <c r="AI53" s="180"/>
      <c r="AJ53" s="165"/>
      <c r="AK53" s="180"/>
      <c r="AL53" s="165"/>
      <c r="AM53" s="180"/>
      <c r="AN53" s="165"/>
      <c r="AO53" s="180"/>
      <c r="AP53" s="165"/>
      <c r="AQ53" s="180"/>
      <c r="AR53" s="165"/>
      <c r="AS53" s="180"/>
      <c r="AT53" s="165"/>
      <c r="AU53" s="180"/>
      <c r="AV53" s="165"/>
      <c r="AW53" s="180"/>
      <c r="AX53" s="165"/>
      <c r="AY53" s="180" t="s">
        <v>109</v>
      </c>
      <c r="AZ53" s="165" t="s">
        <v>417</v>
      </c>
      <c r="BA53" s="180"/>
      <c r="BB53" s="165"/>
      <c r="BC53" s="180"/>
      <c r="BD53" s="165"/>
      <c r="BE53" s="180"/>
      <c r="BF53" s="165"/>
      <c r="BG53" s="180" t="s">
        <v>109</v>
      </c>
      <c r="BH53" s="165" t="s">
        <v>418</v>
      </c>
      <c r="BI53" s="180"/>
      <c r="BJ53" s="165"/>
      <c r="BK53" s="180"/>
      <c r="BL53" s="165"/>
      <c r="BM53" s="180"/>
      <c r="BN53" s="165"/>
      <c r="BO53" s="180" t="s">
        <v>109</v>
      </c>
      <c r="BP53" s="165" t="s">
        <v>419</v>
      </c>
      <c r="BQ53" s="180"/>
      <c r="BR53" s="165"/>
      <c r="BS53" s="180"/>
      <c r="BT53" s="165"/>
      <c r="BU53" s="180"/>
      <c r="BV53" s="165"/>
    </row>
    <row r="54" spans="1:126" x14ac:dyDescent="0.25">
      <c r="I54" s="234"/>
      <c r="J54" s="239" t="str">
        <f>INDEX(TableStreams[Choose your Specialisation Stream second (drop-down list)],MATCH(K54,TableStreams[UDC],0))</f>
        <v>Broadening Humanities and Social Sciences for Geography Teaching Area Stream (BEd Secondary)</v>
      </c>
      <c r="K54" s="234" t="s">
        <v>263</v>
      </c>
      <c r="M54" s="11"/>
    </row>
    <row r="55" spans="1:126" x14ac:dyDescent="0.25">
      <c r="A55" t="e">
        <f ca="1">INDIRECT(TableMajors[[#This Row],[Choose your Major first (drop-down list)]])</f>
        <v>#VALUE!</v>
      </c>
      <c r="I55" s="234"/>
      <c r="J55" s="239" t="str">
        <f>INDEX(TableStreams[Choose your Specialisation Stream second (drop-down list)],MATCH(K55,TableStreams[UDC],0))</f>
        <v>Mathematics Education Minor Teaching Area Stream (BEd Secondary)</v>
      </c>
      <c r="K55" s="234" t="s">
        <v>202</v>
      </c>
      <c r="M55" s="147" t="s">
        <v>420</v>
      </c>
      <c r="N55" s="3">
        <v>1</v>
      </c>
      <c r="O55" s="223"/>
      <c r="P55" s="224" t="s">
        <v>267</v>
      </c>
      <c r="Q55" s="225"/>
      <c r="R55" s="224" t="s">
        <v>268</v>
      </c>
      <c r="S55" s="223"/>
      <c r="T55" s="224" t="s">
        <v>269</v>
      </c>
      <c r="U55" s="226"/>
      <c r="V55" s="224" t="s">
        <v>270</v>
      </c>
      <c r="W55" s="223"/>
      <c r="X55" s="227" t="s">
        <v>421</v>
      </c>
      <c r="Y55" s="225"/>
      <c r="Z55" s="227" t="s">
        <v>422</v>
      </c>
      <c r="AA55" s="223"/>
      <c r="AB55" s="227" t="s">
        <v>423</v>
      </c>
      <c r="AC55" s="225"/>
      <c r="AD55" s="227" t="s">
        <v>424</v>
      </c>
      <c r="AE55" s="223"/>
      <c r="AF55" s="227" t="s">
        <v>425</v>
      </c>
      <c r="AG55" s="225"/>
      <c r="AH55" s="227" t="s">
        <v>426</v>
      </c>
      <c r="AI55" s="223"/>
      <c r="AJ55" s="227" t="s">
        <v>427</v>
      </c>
      <c r="AK55" s="225"/>
      <c r="AL55" s="227" t="s">
        <v>428</v>
      </c>
      <c r="AM55" s="223"/>
      <c r="AN55" s="227" t="s">
        <v>429</v>
      </c>
      <c r="AO55" s="225"/>
      <c r="AP55" s="227" t="s">
        <v>430</v>
      </c>
      <c r="AQ55" s="223"/>
      <c r="AR55" s="227" t="s">
        <v>431</v>
      </c>
      <c r="AS55" s="225"/>
      <c r="AT55" s="227" t="s">
        <v>432</v>
      </c>
      <c r="AU55" s="223"/>
      <c r="AV55" s="227" t="s">
        <v>433</v>
      </c>
      <c r="AW55" s="225"/>
      <c r="AX55" s="227" t="s">
        <v>434</v>
      </c>
      <c r="AY55" s="223"/>
      <c r="AZ55" s="227" t="s">
        <v>435</v>
      </c>
      <c r="BA55" s="225"/>
      <c r="BB55" s="227" t="s">
        <v>436</v>
      </c>
      <c r="BC55" s="223"/>
      <c r="BD55" s="227" t="s">
        <v>437</v>
      </c>
      <c r="BE55" s="225"/>
      <c r="BF55" s="227" t="s">
        <v>438</v>
      </c>
      <c r="BG55" s="223"/>
      <c r="BH55" s="227" t="s">
        <v>439</v>
      </c>
      <c r="BI55" s="225"/>
      <c r="BJ55" s="227" t="s">
        <v>440</v>
      </c>
      <c r="BK55" s="223"/>
      <c r="BL55" s="227" t="s">
        <v>441</v>
      </c>
      <c r="BM55" s="225"/>
      <c r="BN55" s="227" t="s">
        <v>442</v>
      </c>
      <c r="BO55" s="223"/>
      <c r="BP55" s="227" t="s">
        <v>443</v>
      </c>
      <c r="BQ55" s="225"/>
      <c r="BR55" s="227" t="s">
        <v>444</v>
      </c>
      <c r="BS55" s="223"/>
      <c r="BT55" s="227" t="s">
        <v>445</v>
      </c>
      <c r="BU55" s="225"/>
      <c r="BV55" s="227" t="s">
        <v>446</v>
      </c>
      <c r="BW55" s="223"/>
      <c r="BX55" s="227" t="s">
        <v>447</v>
      </c>
      <c r="BY55" s="225"/>
      <c r="BZ55" s="227" t="s">
        <v>448</v>
      </c>
      <c r="CA55" s="223"/>
      <c r="CB55" s="227" t="s">
        <v>449</v>
      </c>
      <c r="CC55" s="225"/>
      <c r="CD55" s="227" t="s">
        <v>450</v>
      </c>
      <c r="CE55" s="223"/>
      <c r="CF55" s="227" t="s">
        <v>451</v>
      </c>
      <c r="CG55" s="225"/>
      <c r="CH55" s="227" t="s">
        <v>452</v>
      </c>
      <c r="CI55" s="223"/>
      <c r="CJ55" s="227" t="s">
        <v>453</v>
      </c>
      <c r="CK55" s="225"/>
      <c r="CL55" s="227" t="s">
        <v>454</v>
      </c>
      <c r="CM55" s="223"/>
      <c r="CN55" s="227" t="s">
        <v>455</v>
      </c>
      <c r="CO55" s="225"/>
      <c r="CP55" s="227" t="s">
        <v>456</v>
      </c>
      <c r="CQ55" s="223"/>
      <c r="CR55" s="227" t="s">
        <v>457</v>
      </c>
      <c r="CS55" s="225"/>
      <c r="CT55" s="227" t="s">
        <v>458</v>
      </c>
      <c r="CU55" s="223"/>
      <c r="CV55" s="227" t="s">
        <v>459</v>
      </c>
      <c r="CW55" s="225"/>
      <c r="CX55" s="227" t="s">
        <v>460</v>
      </c>
      <c r="CY55" s="223"/>
      <c r="CZ55" s="227" t="s">
        <v>461</v>
      </c>
      <c r="DA55" s="225"/>
      <c r="DB55" s="227" t="s">
        <v>462</v>
      </c>
      <c r="DC55" s="223"/>
      <c r="DD55" s="227" t="s">
        <v>463</v>
      </c>
      <c r="DE55" s="225"/>
      <c r="DF55" s="227" t="s">
        <v>464</v>
      </c>
      <c r="DG55" s="223"/>
      <c r="DH55" s="227" t="s">
        <v>465</v>
      </c>
      <c r="DI55" s="225"/>
      <c r="DJ55" s="227" t="s">
        <v>466</v>
      </c>
      <c r="DK55" s="223"/>
      <c r="DL55" s="227" t="s">
        <v>467</v>
      </c>
      <c r="DM55" s="225"/>
      <c r="DN55" s="227" t="s">
        <v>468</v>
      </c>
      <c r="DO55" s="223"/>
      <c r="DP55" s="230" t="s">
        <v>469</v>
      </c>
      <c r="DQ55" s="225"/>
      <c r="DR55" s="227" t="s">
        <v>470</v>
      </c>
      <c r="DS55" s="223"/>
      <c r="DT55" s="227" t="s">
        <v>471</v>
      </c>
      <c r="DU55" s="225"/>
      <c r="DV55" s="227" t="s">
        <v>472</v>
      </c>
    </row>
    <row r="56" spans="1:126" x14ac:dyDescent="0.25">
      <c r="I56" s="234"/>
      <c r="J56" s="239" t="str">
        <f>INDEX(TableStreams[Choose your Specialisation Stream second (drop-down list)],MATCH(K56,TableStreams[UDC],0))</f>
        <v>The Arts - Performing Arts Education Minor Teaching Area Stream (BEd Secondary)</v>
      </c>
      <c r="K56" s="234" t="s">
        <v>261</v>
      </c>
      <c r="M56" s="11"/>
      <c r="N56" s="26">
        <v>2</v>
      </c>
      <c r="O56" s="178" t="s">
        <v>52</v>
      </c>
      <c r="P56" s="228" t="s">
        <v>473</v>
      </c>
      <c r="Q56" s="178"/>
      <c r="R56" s="177"/>
      <c r="S56" s="178" t="s">
        <v>52</v>
      </c>
      <c r="T56" s="228" t="s">
        <v>308</v>
      </c>
      <c r="U56" s="178"/>
      <c r="V56" s="177"/>
      <c r="W56" s="178" t="s">
        <v>52</v>
      </c>
      <c r="X56" s="177" t="s">
        <v>53</v>
      </c>
      <c r="Y56" s="178"/>
      <c r="Z56" s="177"/>
      <c r="AA56" s="178" t="s">
        <v>52</v>
      </c>
      <c r="AB56" s="177" t="s">
        <v>311</v>
      </c>
      <c r="AC56" s="178"/>
      <c r="AD56" s="177"/>
      <c r="AE56" s="178" t="s">
        <v>52</v>
      </c>
      <c r="AF56" s="177" t="s">
        <v>53</v>
      </c>
      <c r="AG56" s="178"/>
      <c r="AH56" s="177"/>
      <c r="AI56" s="178" t="s">
        <v>52</v>
      </c>
      <c r="AJ56" s="177" t="s">
        <v>53</v>
      </c>
      <c r="AK56" s="178"/>
      <c r="AL56" s="177"/>
      <c r="AM56" s="178" t="s">
        <v>52</v>
      </c>
      <c r="AN56" s="177" t="s">
        <v>55</v>
      </c>
      <c r="AO56" s="178"/>
      <c r="AP56" s="177"/>
      <c r="AQ56" s="178" t="s">
        <v>52</v>
      </c>
      <c r="AR56" s="177" t="s">
        <v>474</v>
      </c>
      <c r="AS56" s="178"/>
      <c r="AT56" s="177"/>
      <c r="AU56" s="178" t="s">
        <v>52</v>
      </c>
      <c r="AV56" s="177" t="s">
        <v>53</v>
      </c>
      <c r="AW56" s="178"/>
      <c r="AX56" s="177"/>
      <c r="AY56" s="178" t="s">
        <v>52</v>
      </c>
      <c r="AZ56" s="177" t="s">
        <v>474</v>
      </c>
      <c r="BA56" s="178"/>
      <c r="BB56" s="177"/>
      <c r="BC56" s="178" t="s">
        <v>52</v>
      </c>
      <c r="BD56" s="177" t="s">
        <v>53</v>
      </c>
      <c r="BE56" s="178"/>
      <c r="BF56" s="177"/>
      <c r="BG56" s="178" t="s">
        <v>52</v>
      </c>
      <c r="BH56" s="177" t="s">
        <v>475</v>
      </c>
      <c r="BI56" s="178"/>
      <c r="BJ56" s="177"/>
      <c r="BK56" s="178" t="s">
        <v>52</v>
      </c>
      <c r="BL56" s="177" t="s">
        <v>303</v>
      </c>
      <c r="BM56" s="178"/>
      <c r="BN56" s="177"/>
      <c r="BO56" s="178" t="s">
        <v>52</v>
      </c>
      <c r="BP56" s="177" t="s">
        <v>53</v>
      </c>
      <c r="BQ56" s="178"/>
      <c r="BR56" s="177"/>
      <c r="BS56" s="178" t="s">
        <v>52</v>
      </c>
      <c r="BT56" s="177" t="s">
        <v>53</v>
      </c>
      <c r="BU56" s="286"/>
      <c r="BV56" s="177"/>
      <c r="BW56" s="178" t="s">
        <v>52</v>
      </c>
      <c r="BX56" s="177" t="s">
        <v>307</v>
      </c>
      <c r="BY56" s="178"/>
      <c r="BZ56" s="177"/>
      <c r="CA56" s="178" t="s">
        <v>52</v>
      </c>
      <c r="CB56" s="177" t="s">
        <v>53</v>
      </c>
      <c r="CC56" s="178"/>
      <c r="CD56" s="177"/>
      <c r="CE56" s="178" t="s">
        <v>52</v>
      </c>
      <c r="CF56" s="177" t="s">
        <v>299</v>
      </c>
      <c r="CG56" s="178"/>
      <c r="CH56" s="177"/>
      <c r="CI56" s="178" t="s">
        <v>52</v>
      </c>
      <c r="CJ56" s="177" t="s">
        <v>308</v>
      </c>
      <c r="CK56" s="178"/>
      <c r="CL56" s="177"/>
      <c r="CM56" s="178" t="s">
        <v>52</v>
      </c>
      <c r="CN56" s="177" t="s">
        <v>55</v>
      </c>
      <c r="CO56" s="178"/>
      <c r="CP56" s="177"/>
      <c r="CQ56" s="178" t="s">
        <v>52</v>
      </c>
      <c r="CR56" s="177" t="s">
        <v>327</v>
      </c>
      <c r="CS56" s="178"/>
      <c r="CT56" s="177"/>
      <c r="CU56" s="178" t="s">
        <v>52</v>
      </c>
      <c r="CV56" s="177" t="s">
        <v>53</v>
      </c>
      <c r="CW56" s="178"/>
      <c r="CX56" s="177"/>
      <c r="CY56" s="178" t="s">
        <v>52</v>
      </c>
      <c r="CZ56" s="177" t="s">
        <v>310</v>
      </c>
      <c r="DA56" s="178"/>
      <c r="DB56" s="177"/>
      <c r="DC56" s="178" t="s">
        <v>52</v>
      </c>
      <c r="DD56" s="177" t="s">
        <v>53</v>
      </c>
      <c r="DE56" s="178"/>
      <c r="DF56" s="177"/>
      <c r="DG56" s="178" t="s">
        <v>52</v>
      </c>
      <c r="DH56" s="177" t="s">
        <v>312</v>
      </c>
      <c r="DI56" s="178"/>
      <c r="DJ56" s="177"/>
      <c r="DK56" s="178" t="s">
        <v>52</v>
      </c>
      <c r="DL56" s="177" t="s">
        <v>305</v>
      </c>
      <c r="DM56" s="178"/>
      <c r="DN56" s="177"/>
      <c r="DO56" s="178" t="s">
        <v>52</v>
      </c>
      <c r="DP56" s="177" t="s">
        <v>55</v>
      </c>
      <c r="DQ56" s="178"/>
      <c r="DR56" s="177"/>
      <c r="DS56" s="178" t="s">
        <v>52</v>
      </c>
      <c r="DT56" s="177" t="s">
        <v>302</v>
      </c>
      <c r="DU56" s="178"/>
      <c r="DV56" s="177"/>
    </row>
    <row r="57" spans="1:126" x14ac:dyDescent="0.25">
      <c r="I57" s="234"/>
      <c r="J57" s="239" t="str">
        <f>INDEX(TableStreams[Choose your Specialisation Stream second (drop-down list)],MATCH(K57,TableStreams[UDC],0))</f>
        <v>Physical Sciences Education Minor Teaching Area Stream (BEd Secondary)</v>
      </c>
      <c r="K57" s="234" t="s">
        <v>208</v>
      </c>
      <c r="M57" s="11"/>
      <c r="N57" s="26">
        <v>3</v>
      </c>
      <c r="O57" s="179" t="s">
        <v>84</v>
      </c>
      <c r="P57" s="211" t="s">
        <v>476</v>
      </c>
      <c r="Q57" s="179"/>
      <c r="R57" s="166"/>
      <c r="S57" s="179" t="s">
        <v>84</v>
      </c>
      <c r="T57" s="211" t="s">
        <v>477</v>
      </c>
      <c r="U57" s="179"/>
      <c r="V57" s="166"/>
      <c r="W57" s="179" t="s">
        <v>84</v>
      </c>
      <c r="X57" s="166" t="s">
        <v>334</v>
      </c>
      <c r="Y57" s="179"/>
      <c r="Z57" s="166"/>
      <c r="AA57" s="179" t="s">
        <v>84</v>
      </c>
      <c r="AB57" s="166" t="s">
        <v>335</v>
      </c>
      <c r="AC57" s="179"/>
      <c r="AD57" s="166"/>
      <c r="AE57" s="179" t="s">
        <v>84</v>
      </c>
      <c r="AF57" s="166" t="s">
        <v>478</v>
      </c>
      <c r="AG57" s="179"/>
      <c r="AH57" s="166"/>
      <c r="AI57" s="179" t="s">
        <v>84</v>
      </c>
      <c r="AJ57" s="166" t="s">
        <v>331</v>
      </c>
      <c r="AK57" s="179"/>
      <c r="AL57" s="166"/>
      <c r="AM57" s="179" t="s">
        <v>84</v>
      </c>
      <c r="AN57" s="166" t="s">
        <v>474</v>
      </c>
      <c r="AO57" s="179"/>
      <c r="AP57" s="166"/>
      <c r="AQ57" s="179" t="s">
        <v>84</v>
      </c>
      <c r="AR57" s="166" t="s">
        <v>474</v>
      </c>
      <c r="AS57" s="179"/>
      <c r="AT57" s="166"/>
      <c r="AU57" s="179" t="s">
        <v>84</v>
      </c>
      <c r="AV57" s="166" t="s">
        <v>112</v>
      </c>
      <c r="AW57" s="179"/>
      <c r="AX57" s="166"/>
      <c r="AY57" s="179" t="s">
        <v>84</v>
      </c>
      <c r="AZ57" s="166" t="s">
        <v>474</v>
      </c>
      <c r="BA57" s="179"/>
      <c r="BB57" s="166"/>
      <c r="BC57" s="179" t="s">
        <v>84</v>
      </c>
      <c r="BD57" s="166" t="s">
        <v>474</v>
      </c>
      <c r="BE57" s="179"/>
      <c r="BF57" s="166"/>
      <c r="BG57" s="179" t="s">
        <v>84</v>
      </c>
      <c r="BH57" s="166" t="s">
        <v>479</v>
      </c>
      <c r="BI57" s="179"/>
      <c r="BJ57" s="166"/>
      <c r="BK57" s="179" t="s">
        <v>84</v>
      </c>
      <c r="BL57" s="166" t="s">
        <v>329</v>
      </c>
      <c r="BM57" s="179"/>
      <c r="BN57" s="166"/>
      <c r="BO57" s="179" t="s">
        <v>84</v>
      </c>
      <c r="BP57" s="166" t="s">
        <v>304</v>
      </c>
      <c r="BQ57" s="179"/>
      <c r="BR57" s="166"/>
      <c r="BS57" s="179" t="s">
        <v>84</v>
      </c>
      <c r="BT57" s="166" t="s">
        <v>304</v>
      </c>
      <c r="BU57" s="287"/>
      <c r="BV57" s="166"/>
      <c r="BW57" s="179" t="s">
        <v>84</v>
      </c>
      <c r="BX57" s="166" t="s">
        <v>332</v>
      </c>
      <c r="BY57" s="179"/>
      <c r="BZ57" s="166"/>
      <c r="CA57" s="179" t="s">
        <v>84</v>
      </c>
      <c r="CB57" s="166" t="s">
        <v>481</v>
      </c>
      <c r="CC57" s="179"/>
      <c r="CD57" s="166"/>
      <c r="CE57" s="179" t="s">
        <v>84</v>
      </c>
      <c r="CF57" s="289" t="s">
        <v>482</v>
      </c>
      <c r="CG57" s="179"/>
      <c r="CH57" s="166"/>
      <c r="CI57" s="179" t="s">
        <v>84</v>
      </c>
      <c r="CJ57" s="166" t="s">
        <v>334</v>
      </c>
      <c r="CK57" s="179"/>
      <c r="CL57" s="166"/>
      <c r="CM57" s="179" t="s">
        <v>84</v>
      </c>
      <c r="CN57" s="166" t="s">
        <v>483</v>
      </c>
      <c r="CO57" s="179"/>
      <c r="CP57" s="166"/>
      <c r="CQ57" s="179" t="s">
        <v>84</v>
      </c>
      <c r="CR57" s="166" t="s">
        <v>326</v>
      </c>
      <c r="CS57" s="179"/>
      <c r="CT57" s="166"/>
      <c r="CU57" s="179" t="s">
        <v>84</v>
      </c>
      <c r="CV57" s="166" t="s">
        <v>304</v>
      </c>
      <c r="CW57" s="179"/>
      <c r="CX57" s="166"/>
      <c r="CY57" s="179" t="s">
        <v>84</v>
      </c>
      <c r="CZ57" s="166" t="s">
        <v>477</v>
      </c>
      <c r="DA57" s="179"/>
      <c r="DB57" s="166"/>
      <c r="DC57" s="179" t="s">
        <v>84</v>
      </c>
      <c r="DD57" s="166" t="s">
        <v>484</v>
      </c>
      <c r="DE57" s="179"/>
      <c r="DF57" s="166"/>
      <c r="DG57" s="179" t="s">
        <v>84</v>
      </c>
      <c r="DH57" s="166" t="s">
        <v>338</v>
      </c>
      <c r="DI57" s="179"/>
      <c r="DJ57" s="166"/>
      <c r="DK57" s="179" t="s">
        <v>84</v>
      </c>
      <c r="DL57" s="166" t="s">
        <v>304</v>
      </c>
      <c r="DM57" s="179"/>
      <c r="DN57" s="166"/>
      <c r="DO57" s="179" t="s">
        <v>84</v>
      </c>
      <c r="DP57" s="166" t="s">
        <v>485</v>
      </c>
      <c r="DQ57" s="179"/>
      <c r="DR57" s="166"/>
      <c r="DS57" s="179" t="s">
        <v>84</v>
      </c>
      <c r="DT57" s="166" t="s">
        <v>328</v>
      </c>
      <c r="DU57" s="179"/>
      <c r="DV57" s="166"/>
    </row>
    <row r="58" spans="1:126" x14ac:dyDescent="0.25">
      <c r="A58" s="284" t="s">
        <v>486</v>
      </c>
      <c r="I58" s="234"/>
      <c r="J58" s="239" t="str">
        <f>INDEX(TableStreams[Choose your Specialisation Stream second (drop-down list)],MATCH(K58,TableStreams[UDC],0))</f>
        <v>Psychology Education Minor Teaching Area Stream (BEd Secondary)</v>
      </c>
      <c r="K58" s="234" t="s">
        <v>212</v>
      </c>
      <c r="M58" s="11"/>
      <c r="N58" s="26">
        <v>4</v>
      </c>
      <c r="O58" s="179" t="s">
        <v>86</v>
      </c>
      <c r="P58" s="211" t="s">
        <v>487</v>
      </c>
      <c r="Q58" s="179"/>
      <c r="R58" s="166"/>
      <c r="S58" s="179" t="s">
        <v>86</v>
      </c>
      <c r="T58" s="211" t="s">
        <v>488</v>
      </c>
      <c r="U58" s="179"/>
      <c r="V58" s="166"/>
      <c r="W58" s="179" t="s">
        <v>86</v>
      </c>
      <c r="X58" s="166" t="s">
        <v>93</v>
      </c>
      <c r="Y58" s="179"/>
      <c r="Z58" s="166"/>
      <c r="AA58" s="179" t="s">
        <v>86</v>
      </c>
      <c r="AB58" s="166" t="s">
        <v>356</v>
      </c>
      <c r="AC58" s="179"/>
      <c r="AD58" s="166"/>
      <c r="AE58" s="179" t="s">
        <v>86</v>
      </c>
      <c r="AF58" s="166" t="s">
        <v>93</v>
      </c>
      <c r="AG58" s="179"/>
      <c r="AH58" s="166"/>
      <c r="AI58" s="179" t="s">
        <v>86</v>
      </c>
      <c r="AJ58" s="166" t="s">
        <v>354</v>
      </c>
      <c r="AK58" s="179"/>
      <c r="AL58" s="166"/>
      <c r="AM58" s="179" t="s">
        <v>86</v>
      </c>
      <c r="AN58" s="166" t="s">
        <v>474</v>
      </c>
      <c r="AO58" s="179"/>
      <c r="AP58" s="166"/>
      <c r="AQ58" s="179" t="s">
        <v>86</v>
      </c>
      <c r="AR58" s="166" t="s">
        <v>474</v>
      </c>
      <c r="AS58" s="179"/>
      <c r="AT58" s="166"/>
      <c r="AU58" s="179" t="s">
        <v>86</v>
      </c>
      <c r="AV58" s="166" t="s">
        <v>474</v>
      </c>
      <c r="AW58" s="179"/>
      <c r="AX58" s="166"/>
      <c r="AY58" s="179" t="s">
        <v>86</v>
      </c>
      <c r="AZ58" s="166" t="s">
        <v>87</v>
      </c>
      <c r="BA58" s="179"/>
      <c r="BB58" s="166"/>
      <c r="BC58" s="179" t="s">
        <v>86</v>
      </c>
      <c r="BD58" s="166" t="s">
        <v>93</v>
      </c>
      <c r="BE58" s="179"/>
      <c r="BF58" s="166"/>
      <c r="BG58" s="179" t="s">
        <v>86</v>
      </c>
      <c r="BH58" s="166" t="s">
        <v>489</v>
      </c>
      <c r="BI58" s="179"/>
      <c r="BJ58" s="166"/>
      <c r="BK58" s="179" t="s">
        <v>86</v>
      </c>
      <c r="BL58" s="166" t="s">
        <v>351</v>
      </c>
      <c r="BM58" s="179"/>
      <c r="BN58" s="166"/>
      <c r="BO58" s="179" t="s">
        <v>86</v>
      </c>
      <c r="BP58" s="166" t="s">
        <v>354</v>
      </c>
      <c r="BQ58" s="179"/>
      <c r="BR58" s="166"/>
      <c r="BS58" s="179" t="s">
        <v>86</v>
      </c>
      <c r="BT58" s="166" t="s">
        <v>353</v>
      </c>
      <c r="BU58" s="287"/>
      <c r="BV58" s="166"/>
      <c r="BW58" s="179" t="s">
        <v>86</v>
      </c>
      <c r="BX58" s="166" t="s">
        <v>354</v>
      </c>
      <c r="BY58" s="179"/>
      <c r="BZ58" s="166"/>
      <c r="CA58" s="179" t="s">
        <v>86</v>
      </c>
      <c r="CB58" s="166" t="s">
        <v>93</v>
      </c>
      <c r="CC58" s="179"/>
      <c r="CD58" s="166"/>
      <c r="CE58" s="179" t="s">
        <v>86</v>
      </c>
      <c r="CF58" s="166" t="s">
        <v>87</v>
      </c>
      <c r="CG58" s="179"/>
      <c r="CH58" s="166"/>
      <c r="CI58" s="179" t="s">
        <v>86</v>
      </c>
      <c r="CJ58" s="166" t="s">
        <v>347</v>
      </c>
      <c r="CK58" s="179"/>
      <c r="CL58" s="166"/>
      <c r="CM58" s="179" t="s">
        <v>86</v>
      </c>
      <c r="CN58" s="166" t="s">
        <v>302</v>
      </c>
      <c r="CO58" s="179"/>
      <c r="CP58" s="166"/>
      <c r="CQ58" s="179" t="s">
        <v>86</v>
      </c>
      <c r="CR58" s="166" t="s">
        <v>349</v>
      </c>
      <c r="CS58" s="179"/>
      <c r="CT58" s="166"/>
      <c r="CU58" s="179" t="s">
        <v>86</v>
      </c>
      <c r="CV58" s="166" t="s">
        <v>354</v>
      </c>
      <c r="CW58" s="179"/>
      <c r="CX58" s="166"/>
      <c r="CY58" s="179" t="s">
        <v>86</v>
      </c>
      <c r="CZ58" s="166" t="s">
        <v>490</v>
      </c>
      <c r="DA58" s="179"/>
      <c r="DB58" s="166"/>
      <c r="DC58" s="179" t="s">
        <v>86</v>
      </c>
      <c r="DD58" s="166" t="s">
        <v>93</v>
      </c>
      <c r="DE58" s="179"/>
      <c r="DF58" s="166"/>
      <c r="DG58" s="179" t="s">
        <v>86</v>
      </c>
      <c r="DH58" s="166" t="s">
        <v>491</v>
      </c>
      <c r="DI58" s="179"/>
      <c r="DJ58" s="166"/>
      <c r="DK58" s="179" t="s">
        <v>86</v>
      </c>
      <c r="DL58" s="166" t="s">
        <v>355</v>
      </c>
      <c r="DM58" s="179"/>
      <c r="DN58" s="166"/>
      <c r="DO58" s="179" t="s">
        <v>86</v>
      </c>
      <c r="DP58" s="231" t="s">
        <v>492</v>
      </c>
      <c r="DQ58" s="179"/>
      <c r="DR58" s="166"/>
      <c r="DS58" s="179" t="s">
        <v>86</v>
      </c>
      <c r="DT58" s="231" t="s">
        <v>350</v>
      </c>
      <c r="DU58" s="179"/>
      <c r="DV58" s="166"/>
    </row>
    <row r="59" spans="1:126" x14ac:dyDescent="0.25">
      <c r="A59" s="284" t="s">
        <v>493</v>
      </c>
      <c r="I59" s="235"/>
      <c r="J59" s="240" t="str">
        <f>INDEX(TableStreams[Choose your Specialisation Stream second (drop-down list)],MATCH(K59,TableStreams[UDC],0))</f>
        <v>The Arts - Visual Arts Education Minor Teaching Area Stream (BEd Secondary)</v>
      </c>
      <c r="K59" s="235" t="s">
        <v>315</v>
      </c>
      <c r="M59" s="11"/>
      <c r="N59" s="26">
        <v>5</v>
      </c>
      <c r="O59" s="179" t="s">
        <v>109</v>
      </c>
      <c r="P59" s="211" t="s">
        <v>494</v>
      </c>
      <c r="Q59" s="179"/>
      <c r="R59" s="166"/>
      <c r="S59" s="179" t="s">
        <v>109</v>
      </c>
      <c r="T59" s="211" t="s">
        <v>495</v>
      </c>
      <c r="U59" s="179"/>
      <c r="V59" s="166"/>
      <c r="W59" s="179" t="s">
        <v>109</v>
      </c>
      <c r="X59" s="166" t="s">
        <v>496</v>
      </c>
      <c r="Y59" s="179"/>
      <c r="Z59" s="166"/>
      <c r="AA59" s="179" t="s">
        <v>109</v>
      </c>
      <c r="AB59" s="166" t="s">
        <v>497</v>
      </c>
      <c r="AC59" s="179"/>
      <c r="AD59" s="166"/>
      <c r="AE59" s="179" t="s">
        <v>109</v>
      </c>
      <c r="AF59" s="166" t="s">
        <v>498</v>
      </c>
      <c r="AG59" s="179"/>
      <c r="AH59" s="166"/>
      <c r="AI59" s="179" t="s">
        <v>109</v>
      </c>
      <c r="AJ59" s="166" t="s">
        <v>499</v>
      </c>
      <c r="AK59" s="179"/>
      <c r="AL59" s="166"/>
      <c r="AM59" s="179" t="s">
        <v>109</v>
      </c>
      <c r="AN59" s="166" t="s">
        <v>119</v>
      </c>
      <c r="AO59" s="179"/>
      <c r="AP59" s="166"/>
      <c r="AQ59" s="179" t="s">
        <v>109</v>
      </c>
      <c r="AR59" s="166" t="s">
        <v>88</v>
      </c>
      <c r="AS59" s="179"/>
      <c r="AT59" s="166"/>
      <c r="AU59" s="179" t="s">
        <v>109</v>
      </c>
      <c r="AV59" s="166" t="s">
        <v>474</v>
      </c>
      <c r="AW59" s="179"/>
      <c r="AX59" s="166"/>
      <c r="AY59" s="179" t="s">
        <v>109</v>
      </c>
      <c r="AZ59" s="166" t="s">
        <v>124</v>
      </c>
      <c r="BA59" s="179"/>
      <c r="BB59" s="166"/>
      <c r="BC59" s="179" t="s">
        <v>109</v>
      </c>
      <c r="BD59" s="166" t="s">
        <v>474</v>
      </c>
      <c r="BE59" s="179"/>
      <c r="BF59" s="166"/>
      <c r="BG59" s="179" t="s">
        <v>109</v>
      </c>
      <c r="BH59" s="166" t="s">
        <v>88</v>
      </c>
      <c r="BI59" s="179"/>
      <c r="BJ59" s="166"/>
      <c r="BK59" s="179" t="s">
        <v>109</v>
      </c>
      <c r="BL59" s="166" t="s">
        <v>367</v>
      </c>
      <c r="BM59" s="179"/>
      <c r="BN59" s="166"/>
      <c r="BO59" s="179" t="s">
        <v>109</v>
      </c>
      <c r="BP59" s="166" t="s">
        <v>500</v>
      </c>
      <c r="BQ59" s="179"/>
      <c r="BR59" s="166"/>
      <c r="BS59" s="179" t="s">
        <v>109</v>
      </c>
      <c r="BT59" s="166" t="s">
        <v>480</v>
      </c>
      <c r="BU59" s="287"/>
      <c r="BV59" s="166"/>
      <c r="BW59" s="179" t="s">
        <v>109</v>
      </c>
      <c r="BX59" s="166" t="s">
        <v>320</v>
      </c>
      <c r="BY59" s="179"/>
      <c r="BZ59" s="166"/>
      <c r="CA59" s="179" t="s">
        <v>109</v>
      </c>
      <c r="CB59" s="166" t="s">
        <v>501</v>
      </c>
      <c r="CC59" s="179"/>
      <c r="CD59" s="166"/>
      <c r="CE59" s="179" t="s">
        <v>109</v>
      </c>
      <c r="CF59" s="166" t="s">
        <v>502</v>
      </c>
      <c r="CG59" s="179"/>
      <c r="CH59" s="166"/>
      <c r="CI59" s="179" t="s">
        <v>109</v>
      </c>
      <c r="CJ59" s="166" t="s">
        <v>325</v>
      </c>
      <c r="CK59" s="179"/>
      <c r="CL59" s="166"/>
      <c r="CM59" s="179" t="s">
        <v>109</v>
      </c>
      <c r="CN59" s="166" t="s">
        <v>119</v>
      </c>
      <c r="CO59" s="179"/>
      <c r="CP59" s="166"/>
      <c r="CQ59" s="179" t="s">
        <v>109</v>
      </c>
      <c r="CR59" s="166" t="s">
        <v>318</v>
      </c>
      <c r="CS59" s="179"/>
      <c r="CT59" s="166"/>
      <c r="CU59" s="179" t="s">
        <v>109</v>
      </c>
      <c r="CV59" s="166" t="s">
        <v>369</v>
      </c>
      <c r="CW59" s="179"/>
      <c r="CX59" s="166"/>
      <c r="CY59" s="179" t="s">
        <v>109</v>
      </c>
      <c r="CZ59" s="166" t="s">
        <v>503</v>
      </c>
      <c r="DA59" s="179"/>
      <c r="DB59" s="166"/>
      <c r="DC59" s="179" t="s">
        <v>109</v>
      </c>
      <c r="DD59" s="166" t="s">
        <v>504</v>
      </c>
      <c r="DE59" s="179"/>
      <c r="DF59" s="166"/>
      <c r="DG59" s="179" t="s">
        <v>109</v>
      </c>
      <c r="DH59" s="166" t="s">
        <v>317</v>
      </c>
      <c r="DI59" s="179"/>
      <c r="DJ59" s="166"/>
      <c r="DK59" s="179" t="s">
        <v>109</v>
      </c>
      <c r="DL59" s="166" t="s">
        <v>320</v>
      </c>
      <c r="DM59" s="179"/>
      <c r="DN59" s="166"/>
      <c r="DO59" s="179" t="s">
        <v>109</v>
      </c>
      <c r="DP59" s="166" t="s">
        <v>119</v>
      </c>
      <c r="DQ59" s="179"/>
      <c r="DR59" s="166"/>
      <c r="DS59" s="179" t="s">
        <v>109</v>
      </c>
      <c r="DT59" s="231" t="s">
        <v>318</v>
      </c>
      <c r="DU59" s="179"/>
      <c r="DV59" s="166"/>
    </row>
    <row r="60" spans="1:126" x14ac:dyDescent="0.25">
      <c r="A60" s="284" t="s">
        <v>505</v>
      </c>
      <c r="I60" s="233" t="s">
        <v>222</v>
      </c>
      <c r="J60" s="238" t="str">
        <f>INDEX(TableStreams[Choose your Specialisation Stream second (drop-down list)],MATCH(K60,TableStreams[UDC],0))</f>
        <v>Biological Sciences Education Minor Teaching Area Stream (BEd Secondary)</v>
      </c>
      <c r="K60" s="233" t="s">
        <v>193</v>
      </c>
      <c r="M60" s="11"/>
      <c r="N60" s="26">
        <v>6</v>
      </c>
      <c r="O60" s="179" t="s">
        <v>109</v>
      </c>
      <c r="P60" s="211" t="s">
        <v>506</v>
      </c>
      <c r="Q60" s="179"/>
      <c r="R60" s="166"/>
      <c r="S60" s="179" t="s">
        <v>109</v>
      </c>
      <c r="T60" s="211" t="s">
        <v>334</v>
      </c>
      <c r="U60" s="179"/>
      <c r="V60" s="166"/>
      <c r="W60" s="179" t="s">
        <v>109</v>
      </c>
      <c r="X60" s="166" t="s">
        <v>474</v>
      </c>
      <c r="Y60" s="179"/>
      <c r="Z60" s="166"/>
      <c r="AA60" s="179" t="s">
        <v>109</v>
      </c>
      <c r="AB60" s="166" t="s">
        <v>317</v>
      </c>
      <c r="AC60" s="179"/>
      <c r="AD60" s="166"/>
      <c r="AE60" s="179" t="s">
        <v>109</v>
      </c>
      <c r="AF60" s="166" t="s">
        <v>474</v>
      </c>
      <c r="AG60" s="179"/>
      <c r="AH60" s="166"/>
      <c r="AI60" s="179" t="s">
        <v>109</v>
      </c>
      <c r="AJ60" s="166" t="s">
        <v>474</v>
      </c>
      <c r="AK60" s="179"/>
      <c r="AL60" s="166"/>
      <c r="AM60" s="179" t="s">
        <v>109</v>
      </c>
      <c r="AN60" s="166" t="s">
        <v>474</v>
      </c>
      <c r="AO60" s="179"/>
      <c r="AP60" s="166"/>
      <c r="AQ60" s="179" t="s">
        <v>109</v>
      </c>
      <c r="AR60" s="166" t="s">
        <v>474</v>
      </c>
      <c r="AS60" s="179"/>
      <c r="AT60" s="166"/>
      <c r="AU60" s="179" t="s">
        <v>109</v>
      </c>
      <c r="AV60" s="166" t="s">
        <v>474</v>
      </c>
      <c r="AW60" s="179"/>
      <c r="AX60" s="166"/>
      <c r="AY60" s="179" t="s">
        <v>109</v>
      </c>
      <c r="AZ60" s="165" t="s">
        <v>474</v>
      </c>
      <c r="BA60" s="179"/>
      <c r="BB60" s="166"/>
      <c r="BC60" s="179" t="s">
        <v>109</v>
      </c>
      <c r="BD60" s="166" t="s">
        <v>474</v>
      </c>
      <c r="BE60" s="179"/>
      <c r="BF60" s="166"/>
      <c r="BG60" s="179" t="s">
        <v>109</v>
      </c>
      <c r="BH60" s="166" t="s">
        <v>474</v>
      </c>
      <c r="BI60" s="179"/>
      <c r="BJ60" s="166"/>
      <c r="BK60" s="179" t="s">
        <v>109</v>
      </c>
      <c r="BL60" s="166" t="s">
        <v>319</v>
      </c>
      <c r="BM60" s="179"/>
      <c r="BN60" s="166"/>
      <c r="BO60" s="179" t="s">
        <v>109</v>
      </c>
      <c r="BP60" s="166" t="s">
        <v>474</v>
      </c>
      <c r="BQ60" s="179"/>
      <c r="BR60" s="166"/>
      <c r="BS60" s="179" t="s">
        <v>109</v>
      </c>
      <c r="BT60" s="166" t="s">
        <v>474</v>
      </c>
      <c r="BU60" s="287"/>
      <c r="BV60" s="166"/>
      <c r="BW60" s="179" t="s">
        <v>109</v>
      </c>
      <c r="BX60" s="166" t="s">
        <v>507</v>
      </c>
      <c r="BY60" s="179"/>
      <c r="BZ60" s="166"/>
      <c r="CA60" s="179" t="s">
        <v>109</v>
      </c>
      <c r="CB60" s="166" t="s">
        <v>474</v>
      </c>
      <c r="CC60" s="179"/>
      <c r="CD60" s="166"/>
      <c r="CE60" s="179" t="s">
        <v>109</v>
      </c>
      <c r="CF60" s="166" t="s">
        <v>474</v>
      </c>
      <c r="CG60" s="179"/>
      <c r="CH60" s="166"/>
      <c r="CI60" s="179" t="s">
        <v>109</v>
      </c>
      <c r="CJ60" s="166" t="s">
        <v>321</v>
      </c>
      <c r="CK60" s="179"/>
      <c r="CL60" s="166"/>
      <c r="CM60" s="179" t="s">
        <v>109</v>
      </c>
      <c r="CN60" s="166" t="s">
        <v>474</v>
      </c>
      <c r="CO60" s="179"/>
      <c r="CP60" s="166"/>
      <c r="CQ60" s="179" t="s">
        <v>109</v>
      </c>
      <c r="CR60" s="166" t="s">
        <v>483</v>
      </c>
      <c r="CS60" s="179"/>
      <c r="CT60" s="166"/>
      <c r="CU60" s="179" t="s">
        <v>109</v>
      </c>
      <c r="CV60" s="166" t="s">
        <v>474</v>
      </c>
      <c r="CW60" s="179"/>
      <c r="CX60" s="166"/>
      <c r="CY60" s="179" t="s">
        <v>109</v>
      </c>
      <c r="CZ60" s="166" t="s">
        <v>317</v>
      </c>
      <c r="DA60" s="179"/>
      <c r="DB60" s="166"/>
      <c r="DC60" s="179" t="s">
        <v>109</v>
      </c>
      <c r="DD60" s="166" t="s">
        <v>474</v>
      </c>
      <c r="DE60" s="179"/>
      <c r="DF60" s="166"/>
      <c r="DG60" s="179" t="s">
        <v>109</v>
      </c>
      <c r="DH60" s="166" t="s">
        <v>375</v>
      </c>
      <c r="DI60" s="179"/>
      <c r="DJ60" s="166"/>
      <c r="DK60" s="179" t="s">
        <v>109</v>
      </c>
      <c r="DL60" s="166" t="s">
        <v>508</v>
      </c>
      <c r="DM60" s="179"/>
      <c r="DN60" s="166"/>
      <c r="DO60" s="179" t="s">
        <v>109</v>
      </c>
      <c r="DP60" s="166" t="s">
        <v>474</v>
      </c>
      <c r="DQ60" s="179"/>
      <c r="DR60" s="166"/>
      <c r="DS60" s="179" t="s">
        <v>109</v>
      </c>
      <c r="DT60" s="166" t="s">
        <v>366</v>
      </c>
      <c r="DU60" s="179"/>
      <c r="DV60" s="166"/>
    </row>
    <row r="61" spans="1:126" x14ac:dyDescent="0.25">
      <c r="A61" s="284" t="s">
        <v>509</v>
      </c>
      <c r="I61" s="234"/>
      <c r="J61" s="239" t="str">
        <f>INDEX(TableStreams[Choose your Specialisation Stream second (drop-down list)],MATCH(K61,TableStreams[UDC],0))</f>
        <v>Education Speciality and Humanities and Social Science Teaching Area Stream (BEd Secondary)</v>
      </c>
      <c r="K61" s="234" t="s">
        <v>253</v>
      </c>
      <c r="M61" s="11"/>
      <c r="N61" s="26">
        <v>7</v>
      </c>
      <c r="O61" s="180" t="s">
        <v>111</v>
      </c>
      <c r="P61" s="213" t="s">
        <v>510</v>
      </c>
      <c r="Q61" s="180"/>
      <c r="R61" s="165"/>
      <c r="S61" s="180" t="s">
        <v>111</v>
      </c>
      <c r="T61" s="213" t="s">
        <v>344</v>
      </c>
      <c r="U61" s="180"/>
      <c r="V61" s="165"/>
      <c r="W61" s="180" t="s">
        <v>111</v>
      </c>
      <c r="X61" s="165" t="s">
        <v>511</v>
      </c>
      <c r="Y61" s="180"/>
      <c r="Z61" s="165"/>
      <c r="AA61" s="180" t="s">
        <v>111</v>
      </c>
      <c r="AB61" s="165" t="s">
        <v>340</v>
      </c>
      <c r="AC61" s="180"/>
      <c r="AD61" s="165"/>
      <c r="AE61" s="180" t="s">
        <v>111</v>
      </c>
      <c r="AF61" s="165" t="s">
        <v>512</v>
      </c>
      <c r="AG61" s="180"/>
      <c r="AH61" s="165"/>
      <c r="AI61" s="180" t="s">
        <v>111</v>
      </c>
      <c r="AJ61" s="165" t="s">
        <v>112</v>
      </c>
      <c r="AK61" s="180"/>
      <c r="AL61" s="165"/>
      <c r="AM61" s="180" t="s">
        <v>111</v>
      </c>
      <c r="AN61" s="165" t="s">
        <v>474</v>
      </c>
      <c r="AO61" s="180"/>
      <c r="AP61" s="165"/>
      <c r="AQ61" s="180" t="s">
        <v>111</v>
      </c>
      <c r="AR61" s="165" t="s">
        <v>120</v>
      </c>
      <c r="AS61" s="180"/>
      <c r="AT61" s="165"/>
      <c r="AU61" s="180" t="s">
        <v>111</v>
      </c>
      <c r="AV61" s="165" t="s">
        <v>474</v>
      </c>
      <c r="AW61" s="180"/>
      <c r="AX61" s="165"/>
      <c r="AY61" s="180" t="s">
        <v>111</v>
      </c>
      <c r="AZ61" s="165" t="s">
        <v>474</v>
      </c>
      <c r="BA61" s="180"/>
      <c r="BB61" s="165"/>
      <c r="BC61" s="180" t="s">
        <v>111</v>
      </c>
      <c r="BD61" s="165" t="s">
        <v>474</v>
      </c>
      <c r="BE61" s="180"/>
      <c r="BF61" s="165"/>
      <c r="BG61" s="180" t="s">
        <v>111</v>
      </c>
      <c r="BH61" s="165" t="s">
        <v>120</v>
      </c>
      <c r="BI61" s="180"/>
      <c r="BJ61" s="165"/>
      <c r="BK61" s="180" t="s">
        <v>111</v>
      </c>
      <c r="BL61" s="165" t="s">
        <v>342</v>
      </c>
      <c r="BM61" s="180"/>
      <c r="BN61" s="165"/>
      <c r="BO61" s="180" t="s">
        <v>111</v>
      </c>
      <c r="BP61" s="165" t="s">
        <v>112</v>
      </c>
      <c r="BQ61" s="180"/>
      <c r="BR61" s="165"/>
      <c r="BS61" s="180" t="s">
        <v>111</v>
      </c>
      <c r="BT61" s="165" t="s">
        <v>112</v>
      </c>
      <c r="BU61" s="288"/>
      <c r="BV61" s="165"/>
      <c r="BW61" s="180" t="s">
        <v>111</v>
      </c>
      <c r="BX61" s="165" t="s">
        <v>343</v>
      </c>
      <c r="BY61" s="180"/>
      <c r="BZ61" s="165"/>
      <c r="CA61" s="180" t="s">
        <v>111</v>
      </c>
      <c r="CB61" s="165" t="s">
        <v>513</v>
      </c>
      <c r="CC61" s="180"/>
      <c r="CD61" s="165"/>
      <c r="CE61" s="180" t="s">
        <v>111</v>
      </c>
      <c r="CF61" s="165" t="s">
        <v>124</v>
      </c>
      <c r="CG61" s="180"/>
      <c r="CH61" s="165"/>
      <c r="CI61" s="180" t="s">
        <v>111</v>
      </c>
      <c r="CJ61" s="165" t="s">
        <v>344</v>
      </c>
      <c r="CK61" s="180"/>
      <c r="CL61" s="165"/>
      <c r="CM61" s="180" t="s">
        <v>111</v>
      </c>
      <c r="CN61" s="165" t="s">
        <v>514</v>
      </c>
      <c r="CO61" s="180"/>
      <c r="CP61" s="165"/>
      <c r="CQ61" s="180" t="s">
        <v>111</v>
      </c>
      <c r="CR61" s="165" t="s">
        <v>341</v>
      </c>
      <c r="CS61" s="180"/>
      <c r="CT61" s="165"/>
      <c r="CU61" s="180" t="s">
        <v>111</v>
      </c>
      <c r="CV61" s="165" t="s">
        <v>112</v>
      </c>
      <c r="CW61" s="180"/>
      <c r="CX61" s="165"/>
      <c r="CY61" s="180" t="s">
        <v>111</v>
      </c>
      <c r="CZ61" s="165" t="s">
        <v>340</v>
      </c>
      <c r="DA61" s="180"/>
      <c r="DB61" s="165"/>
      <c r="DC61" s="180" t="s">
        <v>111</v>
      </c>
      <c r="DD61" s="165" t="s">
        <v>515</v>
      </c>
      <c r="DE61" s="180"/>
      <c r="DF61" s="165"/>
      <c r="DG61" s="180" t="s">
        <v>111</v>
      </c>
      <c r="DH61" s="165" t="s">
        <v>340</v>
      </c>
      <c r="DI61" s="180"/>
      <c r="DJ61" s="165"/>
      <c r="DK61" s="180" t="s">
        <v>111</v>
      </c>
      <c r="DL61" s="165" t="s">
        <v>343</v>
      </c>
      <c r="DM61" s="180"/>
      <c r="DN61" s="165"/>
      <c r="DO61" s="180" t="s">
        <v>111</v>
      </c>
      <c r="DP61" s="232" t="s">
        <v>516</v>
      </c>
      <c r="DQ61" s="180"/>
      <c r="DR61" s="165"/>
      <c r="DS61" s="180" t="s">
        <v>111</v>
      </c>
      <c r="DT61" s="165" t="s">
        <v>341</v>
      </c>
      <c r="DU61" s="180"/>
      <c r="DV61" s="165"/>
    </row>
    <row r="62" spans="1:126" x14ac:dyDescent="0.25">
      <c r="A62" s="284" t="s">
        <v>517</v>
      </c>
      <c r="I62" s="234"/>
      <c r="J62" s="239" t="str">
        <f>INDEX(TableStreams[Choose your Specialisation Stream second (drop-down list)],MATCH(K62,TableStreams[UDC],0))</f>
        <v>English Education Minor Teaching Area Stream (BEd Secondary)</v>
      </c>
      <c r="K62" s="234" t="s">
        <v>197</v>
      </c>
      <c r="M62" s="11"/>
      <c r="N62" s="26"/>
      <c r="DP62" s="231" t="s">
        <v>518</v>
      </c>
      <c r="DT62" s="231" t="s">
        <v>518</v>
      </c>
    </row>
    <row r="63" spans="1:126" x14ac:dyDescent="0.25">
      <c r="A63" s="295" t="s">
        <v>519</v>
      </c>
      <c r="I63" s="234"/>
      <c r="J63" s="239" t="str">
        <f>INDEX(TableStreams[Choose your Specialisation Stream second (drop-down list)],MATCH(K63,TableStreams[UDC],0))</f>
        <v>Broadening Humanities and Social Sciences for History Teaching Area Stream (BEd Secondary)</v>
      </c>
      <c r="K63" s="234" t="s">
        <v>265</v>
      </c>
      <c r="M63" s="147" t="s">
        <v>520</v>
      </c>
      <c r="N63" s="3">
        <v>1</v>
      </c>
      <c r="O63" s="248"/>
      <c r="P63" s="224" t="s">
        <v>267</v>
      </c>
      <c r="Q63" s="226"/>
      <c r="R63" s="224" t="s">
        <v>268</v>
      </c>
      <c r="S63" s="248"/>
      <c r="T63" s="224" t="s">
        <v>269</v>
      </c>
      <c r="U63" s="226"/>
      <c r="V63" s="224" t="s">
        <v>270</v>
      </c>
      <c r="W63" s="245"/>
      <c r="X63" s="246" t="s">
        <v>421</v>
      </c>
      <c r="Y63" s="247"/>
      <c r="Z63" s="246" t="s">
        <v>422</v>
      </c>
      <c r="AA63" s="245"/>
      <c r="AB63" s="246" t="s">
        <v>423</v>
      </c>
      <c r="AC63" s="247"/>
      <c r="AD63" s="246" t="s">
        <v>424</v>
      </c>
      <c r="AE63" s="245"/>
      <c r="AF63" s="246" t="s">
        <v>425</v>
      </c>
      <c r="AG63" s="247"/>
      <c r="AH63" s="246" t="s">
        <v>426</v>
      </c>
      <c r="AI63" s="245"/>
      <c r="AJ63" s="246" t="s">
        <v>427</v>
      </c>
      <c r="AK63" s="247"/>
      <c r="AL63" s="246" t="s">
        <v>428</v>
      </c>
      <c r="AM63" s="245"/>
      <c r="AN63" s="246" t="s">
        <v>429</v>
      </c>
      <c r="AO63" s="247"/>
      <c r="AP63" s="246" t="s">
        <v>430</v>
      </c>
      <c r="AQ63" s="245"/>
      <c r="AR63" s="246" t="s">
        <v>431</v>
      </c>
      <c r="AS63" s="247"/>
      <c r="AT63" s="246" t="s">
        <v>432</v>
      </c>
      <c r="AU63" s="245"/>
      <c r="AV63" s="246" t="s">
        <v>433</v>
      </c>
      <c r="AW63" s="247"/>
      <c r="AX63" s="246" t="s">
        <v>434</v>
      </c>
      <c r="AY63" s="245"/>
      <c r="AZ63" s="246" t="s">
        <v>435</v>
      </c>
      <c r="BA63" s="247"/>
      <c r="BB63" s="246" t="s">
        <v>436</v>
      </c>
      <c r="BC63" s="245"/>
      <c r="BD63" s="246" t="s">
        <v>437</v>
      </c>
      <c r="BE63" s="247"/>
      <c r="BF63" s="246" t="s">
        <v>438</v>
      </c>
      <c r="BG63" s="245"/>
      <c r="BH63" s="246" t="s">
        <v>439</v>
      </c>
      <c r="BI63" s="247"/>
      <c r="BJ63" s="246" t="s">
        <v>440</v>
      </c>
      <c r="BK63" s="245"/>
      <c r="BL63" s="246" t="s">
        <v>441</v>
      </c>
      <c r="BM63" s="247"/>
      <c r="BN63" s="246" t="s">
        <v>442</v>
      </c>
      <c r="BO63" s="245"/>
      <c r="BP63" s="246" t="s">
        <v>443</v>
      </c>
      <c r="BQ63" s="247"/>
      <c r="BR63" s="246" t="s">
        <v>444</v>
      </c>
      <c r="BS63" s="245"/>
      <c r="BT63" s="246" t="s">
        <v>445</v>
      </c>
      <c r="BU63" s="247"/>
      <c r="BV63" s="246" t="s">
        <v>446</v>
      </c>
      <c r="BW63" s="245"/>
      <c r="BX63" s="246" t="s">
        <v>447</v>
      </c>
      <c r="BY63" s="247"/>
      <c r="BZ63" s="246" t="s">
        <v>448</v>
      </c>
      <c r="CA63" s="245"/>
      <c r="CB63" s="246" t="s">
        <v>449</v>
      </c>
      <c r="CC63" s="247"/>
      <c r="CD63" s="246" t="s">
        <v>450</v>
      </c>
      <c r="CE63" s="245"/>
      <c r="CF63" s="246" t="s">
        <v>451</v>
      </c>
      <c r="CG63" s="247"/>
      <c r="CH63" s="246" t="s">
        <v>452</v>
      </c>
      <c r="CI63" s="245"/>
      <c r="CJ63" s="246" t="s">
        <v>453</v>
      </c>
      <c r="CK63" s="247"/>
      <c r="CL63" s="246" t="s">
        <v>454</v>
      </c>
      <c r="CM63" s="245"/>
      <c r="CN63" s="246" t="s">
        <v>455</v>
      </c>
      <c r="CO63" s="247"/>
      <c r="CP63" s="246" t="s">
        <v>456</v>
      </c>
      <c r="CQ63" s="245"/>
      <c r="CR63" s="246" t="s">
        <v>457</v>
      </c>
      <c r="CS63" s="247"/>
      <c r="CT63" s="246" t="s">
        <v>458</v>
      </c>
      <c r="CU63" s="245"/>
      <c r="CV63" s="246" t="s">
        <v>459</v>
      </c>
      <c r="CW63" s="247"/>
      <c r="CX63" s="246" t="s">
        <v>460</v>
      </c>
      <c r="CY63" s="245"/>
      <c r="CZ63" s="246" t="s">
        <v>461</v>
      </c>
      <c r="DA63" s="247"/>
      <c r="DB63" s="246" t="s">
        <v>462</v>
      </c>
      <c r="DC63" s="245"/>
      <c r="DD63" s="246" t="s">
        <v>463</v>
      </c>
      <c r="DE63" s="247"/>
      <c r="DF63" s="246" t="s">
        <v>464</v>
      </c>
      <c r="DG63" s="245"/>
      <c r="DH63" s="246" t="s">
        <v>465</v>
      </c>
      <c r="DI63" s="247"/>
      <c r="DJ63" s="246" t="s">
        <v>466</v>
      </c>
      <c r="DK63" s="245"/>
      <c r="DL63" s="246" t="s">
        <v>467</v>
      </c>
      <c r="DM63" s="247"/>
      <c r="DN63" s="246" t="s">
        <v>468</v>
      </c>
      <c r="DO63" s="245"/>
      <c r="DP63" s="246" t="s">
        <v>469</v>
      </c>
      <c r="DQ63" s="247"/>
      <c r="DR63" s="246" t="s">
        <v>470</v>
      </c>
      <c r="DS63" s="245"/>
      <c r="DT63" s="246" t="s">
        <v>471</v>
      </c>
      <c r="DU63" s="247"/>
      <c r="DV63" s="246" t="s">
        <v>472</v>
      </c>
    </row>
    <row r="64" spans="1:126" x14ac:dyDescent="0.25">
      <c r="I64" s="234"/>
      <c r="J64" s="239" t="str">
        <f>INDEX(TableStreams[Choose your Specialisation Stream second (drop-down list)],MATCH(K64,TableStreams[UDC],0))</f>
        <v>Mathematics Education Minor Teaching Area Stream (BEd Secondary)</v>
      </c>
      <c r="K64" s="234" t="s">
        <v>202</v>
      </c>
      <c r="M64" s="11"/>
      <c r="N64" s="26">
        <v>2</v>
      </c>
      <c r="O64" s="178"/>
      <c r="P64" s="185" t="s">
        <v>130</v>
      </c>
      <c r="Q64" s="178"/>
      <c r="R64" s="177"/>
      <c r="S64" s="178"/>
      <c r="T64" s="185" t="s">
        <v>130</v>
      </c>
      <c r="U64" s="178"/>
      <c r="V64" s="177"/>
      <c r="W64" s="178"/>
      <c r="X64" s="185" t="s">
        <v>130</v>
      </c>
      <c r="Y64" s="178"/>
      <c r="Z64" s="177"/>
      <c r="AA64" s="178" t="s">
        <v>109</v>
      </c>
      <c r="AB64" s="177" t="s">
        <v>497</v>
      </c>
      <c r="AC64" s="178"/>
      <c r="AD64" s="177"/>
      <c r="AE64" s="178"/>
      <c r="AF64" s="185" t="s">
        <v>130</v>
      </c>
      <c r="AG64" s="178"/>
      <c r="AH64" s="177"/>
      <c r="AI64" s="178" t="s">
        <v>109</v>
      </c>
      <c r="AJ64" s="177" t="s">
        <v>499</v>
      </c>
      <c r="AK64" s="178"/>
      <c r="AL64" s="177"/>
      <c r="AM64" s="178"/>
      <c r="AN64" s="185" t="s">
        <v>130</v>
      </c>
      <c r="AO64" s="178"/>
      <c r="AP64" s="177"/>
      <c r="AQ64" s="178"/>
      <c r="AR64" s="185" t="s">
        <v>130</v>
      </c>
      <c r="AS64" s="178"/>
      <c r="AT64" s="177"/>
      <c r="AU64" s="178"/>
      <c r="AV64" s="185" t="s">
        <v>130</v>
      </c>
      <c r="AW64" s="178"/>
      <c r="AX64" s="177"/>
      <c r="AY64" s="178"/>
      <c r="AZ64" s="185" t="s">
        <v>130</v>
      </c>
      <c r="BA64" s="178"/>
      <c r="BB64" s="177"/>
      <c r="BC64" s="178"/>
      <c r="BD64" s="185" t="s">
        <v>130</v>
      </c>
      <c r="BE64" s="178"/>
      <c r="BF64" s="177"/>
      <c r="BG64" s="178"/>
      <c r="BH64" s="185" t="s">
        <v>130</v>
      </c>
      <c r="BI64" s="178"/>
      <c r="BJ64" s="177"/>
      <c r="BK64" s="178"/>
      <c r="BL64" s="185" t="s">
        <v>130</v>
      </c>
      <c r="BM64" s="178"/>
      <c r="BN64" s="177"/>
      <c r="BO64" s="178" t="s">
        <v>109</v>
      </c>
      <c r="BP64" s="177" t="s">
        <v>500</v>
      </c>
      <c r="BQ64" s="178"/>
      <c r="BR64" s="177"/>
      <c r="BS64" s="178" t="s">
        <v>109</v>
      </c>
      <c r="BT64" s="177" t="s">
        <v>480</v>
      </c>
      <c r="BU64" s="178"/>
      <c r="BV64" s="177"/>
      <c r="BW64" s="178" t="s">
        <v>109</v>
      </c>
      <c r="BX64" s="177" t="s">
        <v>507</v>
      </c>
      <c r="BY64" s="178"/>
      <c r="BZ64" s="177"/>
      <c r="CA64" s="178"/>
      <c r="CB64" s="185" t="s">
        <v>130</v>
      </c>
      <c r="CC64" s="178"/>
      <c r="CD64" s="177"/>
      <c r="CE64" s="178"/>
      <c r="CF64" s="185" t="s">
        <v>130</v>
      </c>
      <c r="CG64" s="178"/>
      <c r="CH64" s="177"/>
      <c r="CI64" s="178"/>
      <c r="CJ64" s="185" t="s">
        <v>130</v>
      </c>
      <c r="CK64" s="178"/>
      <c r="CL64" s="177"/>
      <c r="CM64" s="178"/>
      <c r="CN64" s="185" t="s">
        <v>130</v>
      </c>
      <c r="CO64" s="178"/>
      <c r="CP64" s="177"/>
      <c r="CQ64" s="178"/>
      <c r="CR64" s="185" t="s">
        <v>130</v>
      </c>
      <c r="CS64" s="178"/>
      <c r="CT64" s="177"/>
      <c r="CU64" s="178"/>
      <c r="CV64" s="185" t="s">
        <v>130</v>
      </c>
      <c r="CW64" s="178"/>
      <c r="CX64" s="177"/>
      <c r="CY64" s="178"/>
      <c r="CZ64" s="185" t="s">
        <v>130</v>
      </c>
      <c r="DA64" s="178"/>
      <c r="DB64" s="177"/>
      <c r="DC64" s="178"/>
      <c r="DD64" s="185" t="s">
        <v>130</v>
      </c>
      <c r="DE64" s="178"/>
      <c r="DF64" s="177"/>
      <c r="DG64" s="178" t="s">
        <v>86</v>
      </c>
      <c r="DH64" s="177" t="s">
        <v>491</v>
      </c>
      <c r="DI64" s="178"/>
      <c r="DJ64" s="177"/>
      <c r="DK64" s="178" t="s">
        <v>109</v>
      </c>
      <c r="DL64" s="177" t="s">
        <v>508</v>
      </c>
      <c r="DM64" s="178"/>
      <c r="DN64" s="177"/>
      <c r="DO64" s="178"/>
      <c r="DP64" s="185" t="s">
        <v>130</v>
      </c>
      <c r="DQ64" s="178"/>
      <c r="DR64" s="177"/>
      <c r="DS64" s="178"/>
      <c r="DT64" s="185" t="s">
        <v>130</v>
      </c>
      <c r="DU64" s="178"/>
      <c r="DV64" s="177"/>
    </row>
    <row r="65" spans="9:126" x14ac:dyDescent="0.25">
      <c r="I65" s="234"/>
      <c r="J65" s="239" t="str">
        <f>INDEX(TableStreams[Choose your Specialisation Stream second (drop-down list)],MATCH(K65,TableStreams[UDC],0))</f>
        <v>The Arts - Performing Arts Education Minor Teaching Area Stream (BEd Secondary)</v>
      </c>
      <c r="K65" s="234" t="s">
        <v>261</v>
      </c>
      <c r="M65" s="11"/>
      <c r="N65" s="26">
        <v>3</v>
      </c>
      <c r="O65" s="179"/>
      <c r="P65" s="166"/>
      <c r="Q65" s="179"/>
      <c r="R65" s="166"/>
      <c r="S65" s="179"/>
      <c r="T65" s="166"/>
      <c r="U65" s="179"/>
      <c r="V65" s="166"/>
      <c r="W65" s="179"/>
      <c r="X65" s="166"/>
      <c r="Y65" s="179"/>
      <c r="Z65" s="166"/>
      <c r="AA65" s="179" t="s">
        <v>109</v>
      </c>
      <c r="AB65" s="166" t="s">
        <v>415</v>
      </c>
      <c r="AC65" s="179"/>
      <c r="AD65" s="166"/>
      <c r="AE65" s="179"/>
      <c r="AF65" s="166"/>
      <c r="AG65" s="179"/>
      <c r="AH65" s="166"/>
      <c r="AI65" s="179" t="s">
        <v>109</v>
      </c>
      <c r="AJ65" s="166" t="s">
        <v>414</v>
      </c>
      <c r="AK65" s="179"/>
      <c r="AL65" s="166"/>
      <c r="AM65" s="179"/>
      <c r="AN65" s="166"/>
      <c r="AO65" s="179"/>
      <c r="AP65" s="166"/>
      <c r="AQ65" s="179"/>
      <c r="AR65" s="166"/>
      <c r="AS65" s="179"/>
      <c r="AT65" s="166"/>
      <c r="AU65" s="179"/>
      <c r="AV65" s="166"/>
      <c r="AW65" s="179"/>
      <c r="AX65" s="166"/>
      <c r="AY65" s="179"/>
      <c r="AZ65" s="166"/>
      <c r="BA65" s="179"/>
      <c r="BB65" s="166"/>
      <c r="BC65" s="179"/>
      <c r="BD65" s="166"/>
      <c r="BE65" s="179"/>
      <c r="BF65" s="166"/>
      <c r="BG65" s="179"/>
      <c r="BH65" s="166"/>
      <c r="BI65" s="179"/>
      <c r="BJ65" s="166"/>
      <c r="BK65" s="179"/>
      <c r="BL65" s="166"/>
      <c r="BM65" s="179"/>
      <c r="BN65" s="166"/>
      <c r="BO65" s="179" t="s">
        <v>109</v>
      </c>
      <c r="BP65" s="166" t="s">
        <v>414</v>
      </c>
      <c r="BQ65" s="179"/>
      <c r="BR65" s="166"/>
      <c r="BS65" s="179" t="s">
        <v>109</v>
      </c>
      <c r="BT65" s="166" t="s">
        <v>414</v>
      </c>
      <c r="BU65" s="179"/>
      <c r="BV65" s="166"/>
      <c r="BW65" s="179" t="s">
        <v>109</v>
      </c>
      <c r="BX65" s="166" t="s">
        <v>414</v>
      </c>
      <c r="BY65" s="179"/>
      <c r="BZ65" s="166"/>
      <c r="CA65" s="179"/>
      <c r="CB65" s="166"/>
      <c r="CC65" s="179"/>
      <c r="CD65" s="166"/>
      <c r="CE65" s="179"/>
      <c r="CF65" s="166"/>
      <c r="CG65" s="179"/>
      <c r="CH65" s="166"/>
      <c r="CI65" s="179"/>
      <c r="CJ65" s="166"/>
      <c r="CK65" s="179"/>
      <c r="CL65" s="166"/>
      <c r="CM65" s="179"/>
      <c r="CN65" s="166"/>
      <c r="CO65" s="179"/>
      <c r="CP65" s="166"/>
      <c r="CQ65" s="179"/>
      <c r="CR65" s="166"/>
      <c r="CS65" s="179"/>
      <c r="CT65" s="166"/>
      <c r="CU65" s="179"/>
      <c r="CV65" s="166"/>
      <c r="CW65" s="179"/>
      <c r="CX65" s="166"/>
      <c r="CY65" s="179"/>
      <c r="CZ65" s="166"/>
      <c r="DA65" s="179"/>
      <c r="DB65" s="166"/>
      <c r="DC65" s="179"/>
      <c r="DD65" s="166"/>
      <c r="DE65" s="179"/>
      <c r="DF65" s="166"/>
      <c r="DG65" s="179" t="s">
        <v>86</v>
      </c>
      <c r="DH65" s="166" t="s">
        <v>355</v>
      </c>
      <c r="DI65" s="179"/>
      <c r="DJ65" s="166"/>
      <c r="DK65" s="179" t="s">
        <v>109</v>
      </c>
      <c r="DL65" s="166" t="s">
        <v>414</v>
      </c>
      <c r="DM65" s="179"/>
      <c r="DN65" s="166"/>
      <c r="DO65" s="179"/>
      <c r="DP65" s="166"/>
      <c r="DQ65" s="179"/>
      <c r="DR65" s="166"/>
      <c r="DS65" s="179"/>
      <c r="DT65" s="166"/>
      <c r="DU65" s="179"/>
      <c r="DV65" s="166"/>
    </row>
    <row r="66" spans="9:126" x14ac:dyDescent="0.25">
      <c r="I66" s="234"/>
      <c r="J66" s="239" t="str">
        <f>INDEX(TableStreams[Choose your Specialisation Stream second (drop-down list)],MATCH(K66,TableStreams[UDC],0))</f>
        <v>Physical Sciences Education Minor Teaching Area Stream (BEd Secondary)</v>
      </c>
      <c r="K66" s="234" t="s">
        <v>208</v>
      </c>
      <c r="M66" s="11"/>
      <c r="N66" s="26">
        <v>4</v>
      </c>
      <c r="O66" s="180"/>
      <c r="P66" s="165"/>
      <c r="Q66" s="180"/>
      <c r="R66" s="165"/>
      <c r="S66" s="180"/>
      <c r="T66" s="165"/>
      <c r="U66" s="180"/>
      <c r="V66" s="165"/>
      <c r="W66" s="180"/>
      <c r="X66" s="165"/>
      <c r="Y66" s="180"/>
      <c r="Z66" s="165"/>
      <c r="AA66" s="180" t="s">
        <v>109</v>
      </c>
      <c r="AB66" s="165" t="s">
        <v>418</v>
      </c>
      <c r="AC66" s="180"/>
      <c r="AD66" s="165"/>
      <c r="AE66" s="180"/>
      <c r="AF66" s="165"/>
      <c r="AG66" s="180"/>
      <c r="AH66" s="165"/>
      <c r="AI66" s="180" t="s">
        <v>109</v>
      </c>
      <c r="AJ66" s="165" t="s">
        <v>417</v>
      </c>
      <c r="AK66" s="180"/>
      <c r="AL66" s="165"/>
      <c r="AM66" s="180"/>
      <c r="AN66" s="165"/>
      <c r="AO66" s="180"/>
      <c r="AP66" s="165"/>
      <c r="AQ66" s="180"/>
      <c r="AR66" s="165"/>
      <c r="AS66" s="180"/>
      <c r="AT66" s="165"/>
      <c r="AU66" s="180"/>
      <c r="AV66" s="165"/>
      <c r="AW66" s="180"/>
      <c r="AX66" s="165"/>
      <c r="AY66" s="180"/>
      <c r="AZ66" s="165"/>
      <c r="BA66" s="180"/>
      <c r="BB66" s="165"/>
      <c r="BC66" s="180"/>
      <c r="BD66" s="165"/>
      <c r="BE66" s="180"/>
      <c r="BF66" s="165"/>
      <c r="BG66" s="180"/>
      <c r="BH66" s="165"/>
      <c r="BI66" s="180"/>
      <c r="BJ66" s="165"/>
      <c r="BK66" s="180"/>
      <c r="BL66" s="165"/>
      <c r="BM66" s="180"/>
      <c r="BN66" s="165"/>
      <c r="BO66" s="180" t="s">
        <v>109</v>
      </c>
      <c r="BP66" s="165" t="s">
        <v>417</v>
      </c>
      <c r="BQ66" s="180"/>
      <c r="BR66" s="165"/>
      <c r="BS66" s="180" t="s">
        <v>109</v>
      </c>
      <c r="BT66" s="165" t="s">
        <v>417</v>
      </c>
      <c r="BU66" s="180"/>
      <c r="BV66" s="165"/>
      <c r="BW66" s="180" t="s">
        <v>109</v>
      </c>
      <c r="BX66" s="165" t="s">
        <v>417</v>
      </c>
      <c r="BY66" s="180"/>
      <c r="BZ66" s="165"/>
      <c r="CA66" s="180"/>
      <c r="CB66" s="165"/>
      <c r="CC66" s="180"/>
      <c r="CD66" s="165"/>
      <c r="CE66" s="180"/>
      <c r="CF66" s="165"/>
      <c r="CG66" s="180"/>
      <c r="CH66" s="165"/>
      <c r="CI66" s="180"/>
      <c r="CJ66" s="165"/>
      <c r="CK66" s="180"/>
      <c r="CL66" s="165"/>
      <c r="CM66" s="180"/>
      <c r="CN66" s="165"/>
      <c r="CO66" s="180"/>
      <c r="CP66" s="165"/>
      <c r="CQ66" s="180"/>
      <c r="CR66" s="165"/>
      <c r="CS66" s="180"/>
      <c r="CT66" s="165"/>
      <c r="CU66" s="180"/>
      <c r="CV66" s="165"/>
      <c r="CW66" s="180"/>
      <c r="CX66" s="165"/>
      <c r="CY66" s="180"/>
      <c r="CZ66" s="165"/>
      <c r="DA66" s="180"/>
      <c r="DB66" s="165"/>
      <c r="DC66" s="180"/>
      <c r="DD66" s="165"/>
      <c r="DE66" s="180"/>
      <c r="DF66" s="165"/>
      <c r="DG66" s="180" t="s">
        <v>86</v>
      </c>
      <c r="DH66" s="165" t="s">
        <v>521</v>
      </c>
      <c r="DI66" s="180"/>
      <c r="DJ66" s="165"/>
      <c r="DK66" s="180" t="s">
        <v>109</v>
      </c>
      <c r="DL66" s="165" t="s">
        <v>417</v>
      </c>
      <c r="DM66" s="180"/>
      <c r="DN66" s="165"/>
      <c r="DO66" s="180"/>
      <c r="DP66" s="165"/>
      <c r="DQ66" s="180"/>
      <c r="DR66" s="165"/>
      <c r="DS66" s="180"/>
      <c r="DT66" s="165"/>
      <c r="DU66" s="180"/>
      <c r="DV66" s="165"/>
    </row>
    <row r="67" spans="9:126" x14ac:dyDescent="0.25">
      <c r="I67" s="234"/>
      <c r="J67" s="239" t="str">
        <f>INDEX(TableStreams[Choose your Specialisation Stream second (drop-down list)],MATCH(K67,TableStreams[UDC],0))</f>
        <v>Psychology Education Minor Teaching Area Stream (BEd Secondary)</v>
      </c>
      <c r="K67" s="234" t="s">
        <v>212</v>
      </c>
    </row>
    <row r="68" spans="9:126" x14ac:dyDescent="0.25">
      <c r="I68" s="235"/>
      <c r="J68" s="240" t="str">
        <f>INDEX(TableStreams[Choose your Specialisation Stream second (drop-down list)],MATCH(K68,TableStreams[UDC],0))</f>
        <v>The Arts - Visual Arts Education Minor Teaching Area Stream (BEd Secondary)</v>
      </c>
      <c r="K68" s="235" t="s">
        <v>315</v>
      </c>
      <c r="M68" s="147" t="s">
        <v>522</v>
      </c>
      <c r="N68" s="3">
        <v>1</v>
      </c>
      <c r="O68" s="248"/>
      <c r="P68" s="224" t="s">
        <v>267</v>
      </c>
      <c r="Q68" s="226"/>
      <c r="R68" s="224" t="s">
        <v>268</v>
      </c>
      <c r="S68" s="248"/>
      <c r="T68" s="224" t="s">
        <v>269</v>
      </c>
      <c r="U68" s="226"/>
      <c r="V68" s="224" t="s">
        <v>270</v>
      </c>
      <c r="W68" s="245"/>
      <c r="X68" s="246" t="s">
        <v>421</v>
      </c>
      <c r="Y68" s="247"/>
      <c r="Z68" s="246" t="s">
        <v>422</v>
      </c>
      <c r="AA68" s="245"/>
      <c r="AB68" s="246" t="s">
        <v>423</v>
      </c>
      <c r="AC68" s="247"/>
      <c r="AD68" s="246" t="s">
        <v>424</v>
      </c>
      <c r="AE68" s="245"/>
      <c r="AF68" s="246" t="s">
        <v>425</v>
      </c>
      <c r="AG68" s="247"/>
      <c r="AH68" s="246" t="s">
        <v>426</v>
      </c>
      <c r="AI68" s="245"/>
      <c r="AJ68" s="246" t="s">
        <v>427</v>
      </c>
      <c r="AK68" s="247"/>
      <c r="AL68" s="246" t="s">
        <v>428</v>
      </c>
      <c r="AM68" s="245"/>
      <c r="AN68" s="246" t="s">
        <v>429</v>
      </c>
      <c r="AO68" s="247"/>
      <c r="AP68" s="246" t="s">
        <v>430</v>
      </c>
      <c r="AQ68" s="245"/>
      <c r="AR68" s="246" t="s">
        <v>431</v>
      </c>
      <c r="AS68" s="247"/>
      <c r="AT68" s="246" t="s">
        <v>432</v>
      </c>
      <c r="AU68" s="245"/>
      <c r="AV68" s="246" t="s">
        <v>433</v>
      </c>
      <c r="AW68" s="247"/>
      <c r="AX68" s="246" t="s">
        <v>434</v>
      </c>
      <c r="AY68" s="245"/>
      <c r="AZ68" s="246" t="s">
        <v>435</v>
      </c>
      <c r="BA68" s="247"/>
      <c r="BB68" s="246" t="s">
        <v>436</v>
      </c>
      <c r="BC68" s="245"/>
      <c r="BD68" s="246" t="s">
        <v>437</v>
      </c>
      <c r="BE68" s="247"/>
      <c r="BF68" s="246" t="s">
        <v>438</v>
      </c>
      <c r="BG68" s="245"/>
      <c r="BH68" s="246" t="s">
        <v>439</v>
      </c>
      <c r="BI68" s="247"/>
      <c r="BJ68" s="246" t="s">
        <v>440</v>
      </c>
      <c r="BK68" s="245"/>
      <c r="BL68" s="246" t="s">
        <v>441</v>
      </c>
      <c r="BM68" s="247"/>
      <c r="BN68" s="246" t="s">
        <v>442</v>
      </c>
      <c r="BO68" s="245"/>
      <c r="BP68" s="246" t="s">
        <v>443</v>
      </c>
      <c r="BQ68" s="247"/>
      <c r="BR68" s="246" t="s">
        <v>444</v>
      </c>
      <c r="BS68" s="245"/>
      <c r="BT68" s="246" t="s">
        <v>445</v>
      </c>
      <c r="BU68" s="247"/>
      <c r="BV68" s="246" t="s">
        <v>446</v>
      </c>
      <c r="BW68" s="245"/>
      <c r="BX68" s="246" t="s">
        <v>447</v>
      </c>
      <c r="BY68" s="247"/>
      <c r="BZ68" s="246" t="s">
        <v>448</v>
      </c>
      <c r="CA68" s="245"/>
      <c r="CB68" s="246" t="s">
        <v>449</v>
      </c>
      <c r="CC68" s="247"/>
      <c r="CD68" s="246" t="s">
        <v>450</v>
      </c>
      <c r="CE68" s="245"/>
      <c r="CF68" s="246" t="s">
        <v>451</v>
      </c>
      <c r="CG68" s="247"/>
      <c r="CH68" s="246" t="s">
        <v>452</v>
      </c>
      <c r="CI68" s="245"/>
      <c r="CJ68" s="246" t="s">
        <v>453</v>
      </c>
      <c r="CK68" s="247"/>
      <c r="CL68" s="246" t="s">
        <v>454</v>
      </c>
      <c r="CM68" s="245"/>
      <c r="CN68" s="246" t="s">
        <v>455</v>
      </c>
      <c r="CO68" s="247"/>
      <c r="CP68" s="246" t="s">
        <v>456</v>
      </c>
      <c r="CQ68" s="245"/>
      <c r="CR68" s="246" t="s">
        <v>457</v>
      </c>
      <c r="CS68" s="247"/>
      <c r="CT68" s="246" t="s">
        <v>458</v>
      </c>
      <c r="CU68" s="245"/>
      <c r="CV68" s="246" t="s">
        <v>459</v>
      </c>
      <c r="CW68" s="247"/>
      <c r="CX68" s="246" t="s">
        <v>460</v>
      </c>
      <c r="CY68" s="245"/>
      <c r="CZ68" s="246" t="s">
        <v>461</v>
      </c>
      <c r="DA68" s="247"/>
      <c r="DB68" s="246" t="s">
        <v>462</v>
      </c>
      <c r="DC68" s="245"/>
      <c r="DD68" s="246" t="s">
        <v>463</v>
      </c>
      <c r="DE68" s="247"/>
      <c r="DF68" s="246" t="s">
        <v>464</v>
      </c>
      <c r="DG68" s="245"/>
      <c r="DH68" s="246" t="s">
        <v>465</v>
      </c>
      <c r="DI68" s="247"/>
      <c r="DJ68" s="246" t="s">
        <v>466</v>
      </c>
      <c r="DK68" s="245"/>
      <c r="DL68" s="246" t="s">
        <v>467</v>
      </c>
      <c r="DM68" s="247"/>
      <c r="DN68" s="246" t="s">
        <v>468</v>
      </c>
      <c r="DO68" s="245"/>
      <c r="DP68" s="246" t="s">
        <v>469</v>
      </c>
      <c r="DQ68" s="247"/>
      <c r="DR68" s="246" t="s">
        <v>470</v>
      </c>
      <c r="DS68" s="245"/>
      <c r="DT68" s="246" t="s">
        <v>471</v>
      </c>
      <c r="DU68" s="247"/>
      <c r="DV68" s="246" t="s">
        <v>472</v>
      </c>
    </row>
    <row r="69" spans="9:126" x14ac:dyDescent="0.25">
      <c r="I69" s="233" t="s">
        <v>224</v>
      </c>
      <c r="J69" s="238" t="str">
        <f>INDEX(TableStreams[Choose your Specialisation Stream second (drop-down list)],MATCH(K69,TableStreams[UDC],0))</f>
        <v>Biological Sciences Education Minor Teaching Area Stream (BEd Secondary)</v>
      </c>
      <c r="K69" s="233" t="s">
        <v>193</v>
      </c>
      <c r="M69" s="188" t="s">
        <v>523</v>
      </c>
      <c r="N69" s="26">
        <v>2</v>
      </c>
      <c r="O69" s="178"/>
      <c r="P69" s="185" t="s">
        <v>130</v>
      </c>
      <c r="Q69" s="178"/>
      <c r="R69" s="177"/>
      <c r="S69" s="178"/>
      <c r="T69" s="185" t="s">
        <v>130</v>
      </c>
      <c r="U69" s="178"/>
      <c r="V69" s="282"/>
      <c r="W69" s="178"/>
      <c r="X69" s="177" t="s">
        <v>150</v>
      </c>
      <c r="Y69" s="178"/>
      <c r="Z69" s="177"/>
      <c r="AA69" s="178"/>
      <c r="AB69" s="185" t="s">
        <v>130</v>
      </c>
      <c r="AC69" s="178"/>
      <c r="AD69" s="177"/>
      <c r="AE69" s="178"/>
      <c r="AF69" s="249" t="str">
        <f>$X69</f>
        <v>CTED4001</v>
      </c>
      <c r="AG69" s="178"/>
      <c r="AH69" s="177"/>
      <c r="AI69" s="178"/>
      <c r="AJ69" s="249" t="str">
        <f>$X69</f>
        <v>CTED4001</v>
      </c>
      <c r="AK69" s="178"/>
      <c r="AL69" s="177"/>
      <c r="AM69" s="178"/>
      <c r="AN69" s="249" t="str">
        <f>$X69</f>
        <v>CTED4001</v>
      </c>
      <c r="AO69" s="178"/>
      <c r="AP69" s="177"/>
      <c r="AQ69" s="178"/>
      <c r="AR69" s="249" t="str">
        <f>$X69</f>
        <v>CTED4001</v>
      </c>
      <c r="AS69" s="178"/>
      <c r="AT69" s="177"/>
      <c r="AU69" s="178"/>
      <c r="AV69" s="249" t="str">
        <f>$X69</f>
        <v>CTED4001</v>
      </c>
      <c r="AW69" s="178"/>
      <c r="AX69" s="177"/>
      <c r="AY69" s="178"/>
      <c r="AZ69" s="249" t="str">
        <f>$X69</f>
        <v>CTED4001</v>
      </c>
      <c r="BA69" s="178"/>
      <c r="BB69" s="177"/>
      <c r="BC69" s="178"/>
      <c r="BD69" s="249" t="str">
        <f>$X69</f>
        <v>CTED4001</v>
      </c>
      <c r="BE69" s="178"/>
      <c r="BF69" s="177"/>
      <c r="BG69" s="178"/>
      <c r="BH69" s="249" t="str">
        <f>$X69</f>
        <v>CTED4001</v>
      </c>
      <c r="BI69" s="178"/>
      <c r="BJ69" s="177"/>
      <c r="BK69" s="178"/>
      <c r="BL69" s="185" t="s">
        <v>130</v>
      </c>
      <c r="BM69" s="178"/>
      <c r="BN69" s="177"/>
      <c r="BO69" s="178"/>
      <c r="BP69" s="249" t="str">
        <f>$X69</f>
        <v>CTED4001</v>
      </c>
      <c r="BQ69" s="178"/>
      <c r="BR69" s="177"/>
      <c r="BS69" s="178"/>
      <c r="BT69" s="249" t="str">
        <f>$X69</f>
        <v>CTED4001</v>
      </c>
      <c r="BU69" s="178"/>
      <c r="BV69" s="177"/>
      <c r="BW69" s="178"/>
      <c r="BX69" s="185" t="s">
        <v>130</v>
      </c>
      <c r="BY69" s="178"/>
      <c r="BZ69" s="177"/>
      <c r="CA69" s="178"/>
      <c r="CB69" s="249" t="str">
        <f>$X69</f>
        <v>CTED4001</v>
      </c>
      <c r="CC69" s="178"/>
      <c r="CD69" s="177"/>
      <c r="CE69" s="178"/>
      <c r="CF69" s="249" t="str">
        <f>$X69</f>
        <v>CTED4001</v>
      </c>
      <c r="CG69" s="178"/>
      <c r="CH69" s="177"/>
      <c r="CI69" s="178"/>
      <c r="CJ69" s="185" t="s">
        <v>130</v>
      </c>
      <c r="CK69" s="178"/>
      <c r="CL69" s="177"/>
      <c r="CM69" s="178"/>
      <c r="CN69" s="249" t="str">
        <f>$X69</f>
        <v>CTED4001</v>
      </c>
      <c r="CO69" s="178"/>
      <c r="CP69" s="177"/>
      <c r="CQ69" s="178"/>
      <c r="CR69" s="185" t="s">
        <v>130</v>
      </c>
      <c r="CS69" s="178"/>
      <c r="CT69" s="177"/>
      <c r="CU69" s="178"/>
      <c r="CV69" s="249" t="str">
        <f>$X69</f>
        <v>CTED4001</v>
      </c>
      <c r="CW69" s="178"/>
      <c r="CX69" s="177"/>
      <c r="CY69" s="178"/>
      <c r="CZ69" s="185" t="s">
        <v>130</v>
      </c>
      <c r="DA69" s="178"/>
      <c r="DB69" s="177"/>
      <c r="DC69" s="178"/>
      <c r="DD69" s="249" t="str">
        <f>$X69</f>
        <v>CTED4001</v>
      </c>
      <c r="DE69" s="178"/>
      <c r="DF69" s="177"/>
      <c r="DG69" s="178"/>
      <c r="DH69" s="185" t="s">
        <v>130</v>
      </c>
      <c r="DI69" s="178"/>
      <c r="DJ69" s="177"/>
      <c r="DK69" s="178"/>
      <c r="DL69" s="185" t="s">
        <v>130</v>
      </c>
      <c r="DM69" s="178"/>
      <c r="DN69" s="177"/>
      <c r="DO69" s="178"/>
      <c r="DP69" s="249" t="str">
        <f>$X69</f>
        <v>CTED4001</v>
      </c>
      <c r="DQ69" s="178"/>
      <c r="DR69" s="177"/>
      <c r="DS69" s="178"/>
      <c r="DT69" s="185" t="s">
        <v>130</v>
      </c>
      <c r="DU69" s="178"/>
      <c r="DV69" s="177"/>
    </row>
    <row r="70" spans="9:126" x14ac:dyDescent="0.25">
      <c r="I70" s="234"/>
      <c r="J70" s="239" t="str">
        <f>INDEX(TableStreams[Choose your Specialisation Stream second (drop-down list)],MATCH(K70,TableStreams[UDC],0))</f>
        <v>Education Speciality and Humanities and Social Science Teaching Area Stream (BEd Secondary)</v>
      </c>
      <c r="K70" s="234" t="s">
        <v>253</v>
      </c>
      <c r="N70" s="26">
        <v>3</v>
      </c>
      <c r="O70" s="179"/>
      <c r="P70" s="166"/>
      <c r="Q70" s="179"/>
      <c r="R70" s="166"/>
      <c r="S70" s="179"/>
      <c r="T70" s="166"/>
      <c r="U70" s="179"/>
      <c r="V70" s="278"/>
      <c r="W70" s="179"/>
      <c r="X70" s="166" t="s">
        <v>152</v>
      </c>
      <c r="Y70" s="179"/>
      <c r="Z70" s="166"/>
      <c r="AA70" s="179"/>
      <c r="AB70" s="166"/>
      <c r="AC70" s="179"/>
      <c r="AD70" s="166"/>
      <c r="AE70" s="179"/>
      <c r="AF70" s="250" t="str">
        <f t="shared" ref="AF70:AF86" si="0">$X70</f>
        <v>CTED4006</v>
      </c>
      <c r="AG70" s="179"/>
      <c r="AH70" s="166"/>
      <c r="AI70" s="179"/>
      <c r="AJ70" s="250" t="str">
        <f t="shared" ref="AJ70:AJ86" si="1">$X70</f>
        <v>CTED4006</v>
      </c>
      <c r="AK70" s="179"/>
      <c r="AL70" s="166"/>
      <c r="AM70" s="179"/>
      <c r="AN70" s="250" t="str">
        <f t="shared" ref="AN70:AN86" si="2">$X70</f>
        <v>CTED4006</v>
      </c>
      <c r="AO70" s="179"/>
      <c r="AP70" s="166"/>
      <c r="AQ70" s="179"/>
      <c r="AR70" s="250" t="str">
        <f t="shared" ref="AR70:AR86" si="3">$X70</f>
        <v>CTED4006</v>
      </c>
      <c r="AS70" s="179"/>
      <c r="AT70" s="166"/>
      <c r="AU70" s="179"/>
      <c r="AV70" s="250" t="str">
        <f t="shared" ref="AV70:AV86" si="4">$X70</f>
        <v>CTED4006</v>
      </c>
      <c r="AW70" s="179"/>
      <c r="AX70" s="166"/>
      <c r="AY70" s="179"/>
      <c r="AZ70" s="250" t="str">
        <f t="shared" ref="AZ70:AZ86" si="5">$X70</f>
        <v>CTED4006</v>
      </c>
      <c r="BA70" s="179"/>
      <c r="BB70" s="166"/>
      <c r="BC70" s="179"/>
      <c r="BD70" s="250" t="str">
        <f t="shared" ref="BD70:BD86" si="6">$X70</f>
        <v>CTED4006</v>
      </c>
      <c r="BE70" s="179"/>
      <c r="BF70" s="166"/>
      <c r="BG70" s="179"/>
      <c r="BH70" s="250" t="str">
        <f t="shared" ref="BH70:BH86" si="7">$X70</f>
        <v>CTED4006</v>
      </c>
      <c r="BI70" s="179"/>
      <c r="BJ70" s="166"/>
      <c r="BK70" s="179"/>
      <c r="BL70" s="166"/>
      <c r="BM70" s="179"/>
      <c r="BN70" s="166"/>
      <c r="BO70" s="179"/>
      <c r="BP70" s="250" t="str">
        <f t="shared" ref="BP70:BP86" si="8">$X70</f>
        <v>CTED4006</v>
      </c>
      <c r="BQ70" s="179"/>
      <c r="BR70" s="166"/>
      <c r="BS70" s="179"/>
      <c r="BT70" s="250" t="str">
        <f t="shared" ref="BT70:BT86" si="9">$X70</f>
        <v>CTED4006</v>
      </c>
      <c r="BU70" s="179"/>
      <c r="BV70" s="166"/>
      <c r="BW70" s="179"/>
      <c r="BX70" s="166"/>
      <c r="BY70" s="179"/>
      <c r="BZ70" s="166"/>
      <c r="CA70" s="179"/>
      <c r="CB70" s="250" t="str">
        <f t="shared" ref="CB70:CB86" si="10">$X70</f>
        <v>CTED4006</v>
      </c>
      <c r="CC70" s="179"/>
      <c r="CD70" s="166"/>
      <c r="CE70" s="179"/>
      <c r="CF70" s="250" t="str">
        <f t="shared" ref="CF70:CF86" si="11">$X70</f>
        <v>CTED4006</v>
      </c>
      <c r="CG70" s="179"/>
      <c r="CH70" s="166"/>
      <c r="CI70" s="179"/>
      <c r="CJ70" s="166"/>
      <c r="CK70" s="179"/>
      <c r="CL70" s="166"/>
      <c r="CM70" s="179"/>
      <c r="CN70" s="250" t="str">
        <f t="shared" ref="CN70:CN86" si="12">$X70</f>
        <v>CTED4006</v>
      </c>
      <c r="CO70" s="179"/>
      <c r="CP70" s="166"/>
      <c r="CQ70" s="179"/>
      <c r="CR70" s="166"/>
      <c r="CS70" s="179"/>
      <c r="CT70" s="166"/>
      <c r="CU70" s="179"/>
      <c r="CV70" s="250" t="str">
        <f t="shared" ref="CV70:CV86" si="13">$X70</f>
        <v>CTED4006</v>
      </c>
      <c r="CW70" s="179"/>
      <c r="CX70" s="166"/>
      <c r="CY70" s="179"/>
      <c r="CZ70" s="166"/>
      <c r="DA70" s="179"/>
      <c r="DB70" s="166"/>
      <c r="DC70" s="179"/>
      <c r="DD70" s="250" t="str">
        <f t="shared" ref="DD70:DD86" si="14">$X70</f>
        <v>CTED4006</v>
      </c>
      <c r="DE70" s="179"/>
      <c r="DF70" s="166"/>
      <c r="DG70" s="179"/>
      <c r="DH70" s="166"/>
      <c r="DI70" s="179"/>
      <c r="DJ70" s="166"/>
      <c r="DK70" s="179"/>
      <c r="DL70" s="166"/>
      <c r="DM70" s="179"/>
      <c r="DN70" s="166"/>
      <c r="DO70" s="179"/>
      <c r="DP70" s="250" t="str">
        <f t="shared" ref="DP70:DP86" si="15">$X70</f>
        <v>CTED4006</v>
      </c>
      <c r="DQ70" s="179"/>
      <c r="DR70" s="166"/>
      <c r="DS70" s="179"/>
      <c r="DT70" s="166"/>
      <c r="DU70" s="179"/>
      <c r="DV70" s="166"/>
    </row>
    <row r="71" spans="9:126" x14ac:dyDescent="0.25">
      <c r="I71" s="234"/>
      <c r="J71" s="239" t="str">
        <f>INDEX(TableStreams[Choose your Specialisation Stream second (drop-down list)],MATCH(K71,TableStreams[UDC],0))</f>
        <v>English Education Minor Teaching Area Stream (BEd Secondary)</v>
      </c>
      <c r="K71" s="234" t="s">
        <v>197</v>
      </c>
      <c r="N71" s="26">
        <v>4</v>
      </c>
      <c r="O71" s="179"/>
      <c r="P71" s="166"/>
      <c r="Q71" s="179"/>
      <c r="R71" s="166"/>
      <c r="S71" s="179"/>
      <c r="T71" s="166"/>
      <c r="U71" s="179"/>
      <c r="V71" s="278"/>
      <c r="W71" s="179"/>
      <c r="X71" s="166" t="s">
        <v>154</v>
      </c>
      <c r="Y71" s="179"/>
      <c r="Z71" s="166"/>
      <c r="AA71" s="179"/>
      <c r="AB71" s="166"/>
      <c r="AC71" s="179"/>
      <c r="AD71" s="166"/>
      <c r="AE71" s="179"/>
      <c r="AF71" s="250" t="str">
        <f t="shared" si="0"/>
        <v>CTED4008</v>
      </c>
      <c r="AG71" s="179"/>
      <c r="AH71" s="166"/>
      <c r="AI71" s="179"/>
      <c r="AJ71" s="250" t="str">
        <f t="shared" si="1"/>
        <v>CTED4008</v>
      </c>
      <c r="AK71" s="179"/>
      <c r="AL71" s="166"/>
      <c r="AM71" s="179"/>
      <c r="AN71" s="250" t="str">
        <f t="shared" si="2"/>
        <v>CTED4008</v>
      </c>
      <c r="AO71" s="179"/>
      <c r="AP71" s="166"/>
      <c r="AQ71" s="179"/>
      <c r="AR71" s="250" t="str">
        <f t="shared" si="3"/>
        <v>CTED4008</v>
      </c>
      <c r="AS71" s="179"/>
      <c r="AT71" s="166"/>
      <c r="AU71" s="179"/>
      <c r="AV71" s="250" t="str">
        <f t="shared" si="4"/>
        <v>CTED4008</v>
      </c>
      <c r="AW71" s="179"/>
      <c r="AX71" s="166"/>
      <c r="AY71" s="179"/>
      <c r="AZ71" s="250" t="str">
        <f t="shared" si="5"/>
        <v>CTED4008</v>
      </c>
      <c r="BA71" s="179"/>
      <c r="BB71" s="166"/>
      <c r="BC71" s="179"/>
      <c r="BD71" s="250" t="str">
        <f t="shared" si="6"/>
        <v>CTED4008</v>
      </c>
      <c r="BE71" s="179"/>
      <c r="BF71" s="166"/>
      <c r="BG71" s="179"/>
      <c r="BH71" s="250" t="str">
        <f t="shared" si="7"/>
        <v>CTED4008</v>
      </c>
      <c r="BI71" s="179"/>
      <c r="BJ71" s="166"/>
      <c r="BK71" s="179"/>
      <c r="BL71" s="166"/>
      <c r="BM71" s="179"/>
      <c r="BN71" s="166"/>
      <c r="BO71" s="179"/>
      <c r="BP71" s="250" t="str">
        <f t="shared" si="8"/>
        <v>CTED4008</v>
      </c>
      <c r="BQ71" s="179"/>
      <c r="BR71" s="166"/>
      <c r="BS71" s="179"/>
      <c r="BT71" s="250" t="str">
        <f t="shared" si="9"/>
        <v>CTED4008</v>
      </c>
      <c r="BU71" s="179"/>
      <c r="BV71" s="166"/>
      <c r="BW71" s="179"/>
      <c r="BX71" s="166"/>
      <c r="BY71" s="179"/>
      <c r="BZ71" s="166"/>
      <c r="CA71" s="179"/>
      <c r="CB71" s="250" t="str">
        <f t="shared" si="10"/>
        <v>CTED4008</v>
      </c>
      <c r="CC71" s="179"/>
      <c r="CD71" s="166"/>
      <c r="CE71" s="179"/>
      <c r="CF71" s="250" t="str">
        <f t="shared" si="11"/>
        <v>CTED4008</v>
      </c>
      <c r="CG71" s="179"/>
      <c r="CH71" s="166"/>
      <c r="CI71" s="179"/>
      <c r="CJ71" s="166"/>
      <c r="CK71" s="179"/>
      <c r="CL71" s="166"/>
      <c r="CM71" s="179"/>
      <c r="CN71" s="250" t="str">
        <f t="shared" si="12"/>
        <v>CTED4008</v>
      </c>
      <c r="CO71" s="179"/>
      <c r="CP71" s="166"/>
      <c r="CQ71" s="179"/>
      <c r="CR71" s="166"/>
      <c r="CS71" s="179"/>
      <c r="CT71" s="166"/>
      <c r="CU71" s="179"/>
      <c r="CV71" s="250" t="str">
        <f t="shared" si="13"/>
        <v>CTED4008</v>
      </c>
      <c r="CW71" s="179"/>
      <c r="CX71" s="166"/>
      <c r="CY71" s="179"/>
      <c r="CZ71" s="166"/>
      <c r="DA71" s="179"/>
      <c r="DB71" s="166"/>
      <c r="DC71" s="179"/>
      <c r="DD71" s="250" t="str">
        <f t="shared" si="14"/>
        <v>CTED4008</v>
      </c>
      <c r="DE71" s="179"/>
      <c r="DF71" s="166"/>
      <c r="DG71" s="179"/>
      <c r="DH71" s="166"/>
      <c r="DI71" s="179"/>
      <c r="DJ71" s="166"/>
      <c r="DK71" s="179"/>
      <c r="DL71" s="166"/>
      <c r="DM71" s="179"/>
      <c r="DN71" s="166"/>
      <c r="DO71" s="179"/>
      <c r="DP71" s="250" t="str">
        <f t="shared" si="15"/>
        <v>CTED4008</v>
      </c>
      <c r="DQ71" s="179"/>
      <c r="DR71" s="166"/>
      <c r="DS71" s="179"/>
      <c r="DT71" s="166"/>
      <c r="DU71" s="179"/>
      <c r="DV71" s="166"/>
    </row>
    <row r="72" spans="9:126" x14ac:dyDescent="0.25">
      <c r="I72" s="234"/>
      <c r="J72" s="239" t="str">
        <f>INDEX(TableStreams[Choose your Specialisation Stream second (drop-down list)],MATCH(K72,TableStreams[UDC],0))</f>
        <v>Mathematics Education Minor Teaching Area Stream (BEd Secondary)</v>
      </c>
      <c r="K72" s="234" t="s">
        <v>202</v>
      </c>
      <c r="N72" s="26">
        <v>5</v>
      </c>
      <c r="O72" s="179"/>
      <c r="P72" s="166"/>
      <c r="Q72" s="179"/>
      <c r="R72" s="166"/>
      <c r="S72" s="179"/>
      <c r="T72" s="166"/>
      <c r="U72" s="179"/>
      <c r="V72" s="278"/>
      <c r="W72" s="179"/>
      <c r="X72" s="166" t="s">
        <v>156</v>
      </c>
      <c r="Y72" s="179"/>
      <c r="Z72" s="166"/>
      <c r="AA72" s="179"/>
      <c r="AB72" s="166"/>
      <c r="AC72" s="179"/>
      <c r="AD72" s="166"/>
      <c r="AE72" s="179"/>
      <c r="AF72" s="250" t="str">
        <f t="shared" si="0"/>
        <v>EDUC4012</v>
      </c>
      <c r="AG72" s="179"/>
      <c r="AH72" s="166"/>
      <c r="AI72" s="179"/>
      <c r="AJ72" s="250" t="str">
        <f t="shared" si="1"/>
        <v>EDUC4012</v>
      </c>
      <c r="AK72" s="179"/>
      <c r="AL72" s="166"/>
      <c r="AM72" s="179"/>
      <c r="AN72" s="250" t="str">
        <f t="shared" si="2"/>
        <v>EDUC4012</v>
      </c>
      <c r="AO72" s="179"/>
      <c r="AP72" s="166"/>
      <c r="AQ72" s="179"/>
      <c r="AR72" s="250" t="str">
        <f t="shared" si="3"/>
        <v>EDUC4012</v>
      </c>
      <c r="AS72" s="179"/>
      <c r="AT72" s="166"/>
      <c r="AU72" s="179"/>
      <c r="AV72" s="250" t="str">
        <f t="shared" si="4"/>
        <v>EDUC4012</v>
      </c>
      <c r="AW72" s="179"/>
      <c r="AX72" s="166"/>
      <c r="AY72" s="179"/>
      <c r="AZ72" s="250" t="str">
        <f t="shared" si="5"/>
        <v>EDUC4012</v>
      </c>
      <c r="BA72" s="179"/>
      <c r="BB72" s="166"/>
      <c r="BC72" s="179"/>
      <c r="BD72" s="250" t="str">
        <f t="shared" si="6"/>
        <v>EDUC4012</v>
      </c>
      <c r="BE72" s="179"/>
      <c r="BF72" s="166"/>
      <c r="BG72" s="179"/>
      <c r="BH72" s="250" t="str">
        <f t="shared" si="7"/>
        <v>EDUC4012</v>
      </c>
      <c r="BI72" s="179"/>
      <c r="BJ72" s="166"/>
      <c r="BK72" s="179"/>
      <c r="BL72" s="166"/>
      <c r="BM72" s="179"/>
      <c r="BN72" s="166"/>
      <c r="BO72" s="179"/>
      <c r="BP72" s="250" t="str">
        <f t="shared" si="8"/>
        <v>EDUC4012</v>
      </c>
      <c r="BQ72" s="179"/>
      <c r="BR72" s="166"/>
      <c r="BS72" s="179"/>
      <c r="BT72" s="250" t="str">
        <f t="shared" si="9"/>
        <v>EDUC4012</v>
      </c>
      <c r="BU72" s="179"/>
      <c r="BV72" s="166"/>
      <c r="BW72" s="179"/>
      <c r="BX72" s="166"/>
      <c r="BY72" s="179"/>
      <c r="BZ72" s="166"/>
      <c r="CA72" s="179"/>
      <c r="CB72" s="250" t="str">
        <f t="shared" si="10"/>
        <v>EDUC4012</v>
      </c>
      <c r="CC72" s="179"/>
      <c r="CD72" s="166"/>
      <c r="CE72" s="179"/>
      <c r="CF72" s="250" t="str">
        <f t="shared" si="11"/>
        <v>EDUC4012</v>
      </c>
      <c r="CG72" s="179"/>
      <c r="CH72" s="166"/>
      <c r="CI72" s="179"/>
      <c r="CJ72" s="166"/>
      <c r="CK72" s="179"/>
      <c r="CL72" s="166"/>
      <c r="CM72" s="179"/>
      <c r="CN72" s="250" t="str">
        <f t="shared" si="12"/>
        <v>EDUC4012</v>
      </c>
      <c r="CO72" s="179"/>
      <c r="CP72" s="166"/>
      <c r="CQ72" s="179"/>
      <c r="CR72" s="166"/>
      <c r="CS72" s="179"/>
      <c r="CT72" s="166"/>
      <c r="CU72" s="179"/>
      <c r="CV72" s="250" t="str">
        <f t="shared" si="13"/>
        <v>EDUC4012</v>
      </c>
      <c r="CW72" s="179"/>
      <c r="CX72" s="166"/>
      <c r="CY72" s="179"/>
      <c r="CZ72" s="166"/>
      <c r="DA72" s="179"/>
      <c r="DB72" s="166"/>
      <c r="DC72" s="179"/>
      <c r="DD72" s="250" t="str">
        <f t="shared" si="14"/>
        <v>EDUC4012</v>
      </c>
      <c r="DE72" s="179"/>
      <c r="DF72" s="166"/>
      <c r="DG72" s="179"/>
      <c r="DH72" s="166"/>
      <c r="DI72" s="179"/>
      <c r="DJ72" s="166"/>
      <c r="DK72" s="179"/>
      <c r="DL72" s="166"/>
      <c r="DM72" s="179"/>
      <c r="DN72" s="166"/>
      <c r="DO72" s="179"/>
      <c r="DP72" s="250" t="str">
        <f t="shared" si="15"/>
        <v>EDUC4012</v>
      </c>
      <c r="DQ72" s="179"/>
      <c r="DR72" s="166"/>
      <c r="DS72" s="179"/>
      <c r="DT72" s="166"/>
      <c r="DU72" s="179"/>
      <c r="DV72" s="166"/>
    </row>
    <row r="73" spans="9:126" x14ac:dyDescent="0.25">
      <c r="I73" s="234"/>
      <c r="J73" s="239" t="str">
        <f>INDEX(TableStreams[Choose your Specialisation Stream second (drop-down list)],MATCH(K73,TableStreams[UDC],0))</f>
        <v>The Arts - Performing Arts Education Minor Teaching Area Stream (BEd Secondary)</v>
      </c>
      <c r="K73" s="234" t="s">
        <v>261</v>
      </c>
      <c r="N73" s="26">
        <v>6</v>
      </c>
      <c r="O73" s="179"/>
      <c r="P73" s="166"/>
      <c r="Q73" s="179"/>
      <c r="R73" s="166"/>
      <c r="S73" s="179"/>
      <c r="T73" s="166"/>
      <c r="U73" s="179"/>
      <c r="V73" s="278"/>
      <c r="W73" s="179"/>
      <c r="X73" s="166" t="s">
        <v>158</v>
      </c>
      <c r="Y73" s="179"/>
      <c r="Z73" s="166"/>
      <c r="AA73" s="179"/>
      <c r="AB73" s="166"/>
      <c r="AC73" s="179"/>
      <c r="AD73" s="166"/>
      <c r="AE73" s="179"/>
      <c r="AF73" s="250" t="str">
        <f t="shared" si="0"/>
        <v>EDUC4014</v>
      </c>
      <c r="AG73" s="179"/>
      <c r="AH73" s="166"/>
      <c r="AI73" s="179"/>
      <c r="AJ73" s="250" t="str">
        <f t="shared" si="1"/>
        <v>EDUC4014</v>
      </c>
      <c r="AK73" s="179"/>
      <c r="AL73" s="166"/>
      <c r="AM73" s="179"/>
      <c r="AN73" s="250" t="str">
        <f t="shared" si="2"/>
        <v>EDUC4014</v>
      </c>
      <c r="AO73" s="179"/>
      <c r="AP73" s="166"/>
      <c r="AQ73" s="179"/>
      <c r="AR73" s="250" t="str">
        <f t="shared" si="3"/>
        <v>EDUC4014</v>
      </c>
      <c r="AS73" s="179"/>
      <c r="AT73" s="166"/>
      <c r="AU73" s="179"/>
      <c r="AV73" s="250" t="str">
        <f t="shared" si="4"/>
        <v>EDUC4014</v>
      </c>
      <c r="AW73" s="179"/>
      <c r="AX73" s="166"/>
      <c r="AY73" s="179"/>
      <c r="AZ73" s="250" t="str">
        <f t="shared" si="5"/>
        <v>EDUC4014</v>
      </c>
      <c r="BA73" s="179"/>
      <c r="BB73" s="166"/>
      <c r="BC73" s="179"/>
      <c r="BD73" s="250" t="str">
        <f t="shared" si="6"/>
        <v>EDUC4014</v>
      </c>
      <c r="BE73" s="179"/>
      <c r="BF73" s="166"/>
      <c r="BG73" s="179"/>
      <c r="BH73" s="250" t="str">
        <f t="shared" si="7"/>
        <v>EDUC4014</v>
      </c>
      <c r="BI73" s="179"/>
      <c r="BJ73" s="166"/>
      <c r="BK73" s="179"/>
      <c r="BL73" s="166"/>
      <c r="BM73" s="179"/>
      <c r="BN73" s="166"/>
      <c r="BO73" s="179"/>
      <c r="BP73" s="250" t="str">
        <f t="shared" si="8"/>
        <v>EDUC4014</v>
      </c>
      <c r="BQ73" s="179"/>
      <c r="BR73" s="166"/>
      <c r="BS73" s="179"/>
      <c r="BT73" s="250" t="str">
        <f t="shared" si="9"/>
        <v>EDUC4014</v>
      </c>
      <c r="BU73" s="179"/>
      <c r="BV73" s="166"/>
      <c r="BW73" s="179"/>
      <c r="BX73" s="166"/>
      <c r="BY73" s="179"/>
      <c r="BZ73" s="166"/>
      <c r="CA73" s="179"/>
      <c r="CB73" s="250" t="str">
        <f t="shared" si="10"/>
        <v>EDUC4014</v>
      </c>
      <c r="CC73" s="179"/>
      <c r="CD73" s="166"/>
      <c r="CE73" s="179"/>
      <c r="CF73" s="250" t="str">
        <f t="shared" si="11"/>
        <v>EDUC4014</v>
      </c>
      <c r="CG73" s="179"/>
      <c r="CH73" s="166"/>
      <c r="CI73" s="179"/>
      <c r="CJ73" s="166"/>
      <c r="CK73" s="179"/>
      <c r="CL73" s="166"/>
      <c r="CM73" s="179"/>
      <c r="CN73" s="250" t="str">
        <f t="shared" si="12"/>
        <v>EDUC4014</v>
      </c>
      <c r="CO73" s="179"/>
      <c r="CP73" s="166"/>
      <c r="CQ73" s="179"/>
      <c r="CR73" s="166"/>
      <c r="CS73" s="179"/>
      <c r="CT73" s="166"/>
      <c r="CU73" s="179"/>
      <c r="CV73" s="250" t="str">
        <f t="shared" si="13"/>
        <v>EDUC4014</v>
      </c>
      <c r="CW73" s="179"/>
      <c r="CX73" s="166"/>
      <c r="CY73" s="179"/>
      <c r="CZ73" s="166"/>
      <c r="DA73" s="179"/>
      <c r="DB73" s="166"/>
      <c r="DC73" s="179"/>
      <c r="DD73" s="250" t="str">
        <f t="shared" si="14"/>
        <v>EDUC4014</v>
      </c>
      <c r="DE73" s="179"/>
      <c r="DF73" s="166"/>
      <c r="DG73" s="179"/>
      <c r="DH73" s="166"/>
      <c r="DI73" s="179"/>
      <c r="DJ73" s="166"/>
      <c r="DK73" s="179"/>
      <c r="DL73" s="166"/>
      <c r="DM73" s="179"/>
      <c r="DN73" s="166"/>
      <c r="DO73" s="179"/>
      <c r="DP73" s="250" t="str">
        <f t="shared" si="15"/>
        <v>EDUC4014</v>
      </c>
      <c r="DQ73" s="179"/>
      <c r="DR73" s="166"/>
      <c r="DS73" s="179"/>
      <c r="DT73" s="166"/>
      <c r="DU73" s="179"/>
      <c r="DV73" s="166"/>
    </row>
    <row r="74" spans="9:126" x14ac:dyDescent="0.25">
      <c r="I74" s="234"/>
      <c r="J74" s="239" t="str">
        <f>INDEX(TableStreams[Choose your Specialisation Stream second (drop-down list)],MATCH(K74,TableStreams[UDC],0))</f>
        <v>Broadening Humanities and Social Sciences for Politics and Law Teaching Area Stream (BEd Secondary)</v>
      </c>
      <c r="K74" s="234" t="s">
        <v>362</v>
      </c>
      <c r="N74" s="26">
        <v>7</v>
      </c>
      <c r="O74" s="179"/>
      <c r="P74" s="166"/>
      <c r="Q74" s="179"/>
      <c r="R74" s="166"/>
      <c r="S74" s="179"/>
      <c r="T74" s="166"/>
      <c r="U74" s="179"/>
      <c r="V74" s="278"/>
      <c r="W74" s="179"/>
      <c r="X74" s="166" t="s">
        <v>153</v>
      </c>
      <c r="Y74" s="179"/>
      <c r="Z74" s="166"/>
      <c r="AA74" s="179"/>
      <c r="AB74" s="166"/>
      <c r="AC74" s="179"/>
      <c r="AD74" s="166"/>
      <c r="AE74" s="179"/>
      <c r="AF74" s="250" t="str">
        <f t="shared" si="0"/>
        <v>EDUC4020</v>
      </c>
      <c r="AG74" s="179"/>
      <c r="AH74" s="166"/>
      <c r="AI74" s="179"/>
      <c r="AJ74" s="250" t="str">
        <f t="shared" si="1"/>
        <v>EDUC4020</v>
      </c>
      <c r="AK74" s="179"/>
      <c r="AL74" s="166"/>
      <c r="AM74" s="179"/>
      <c r="AN74" s="250" t="str">
        <f t="shared" si="2"/>
        <v>EDUC4020</v>
      </c>
      <c r="AO74" s="179"/>
      <c r="AP74" s="166"/>
      <c r="AQ74" s="179"/>
      <c r="AR74" s="250" t="str">
        <f t="shared" si="3"/>
        <v>EDUC4020</v>
      </c>
      <c r="AS74" s="179"/>
      <c r="AT74" s="166"/>
      <c r="AU74" s="179"/>
      <c r="AV74" s="250" t="str">
        <f t="shared" si="4"/>
        <v>EDUC4020</v>
      </c>
      <c r="AW74" s="179"/>
      <c r="AX74" s="166"/>
      <c r="AY74" s="179"/>
      <c r="AZ74" s="250" t="str">
        <f t="shared" si="5"/>
        <v>EDUC4020</v>
      </c>
      <c r="BA74" s="179"/>
      <c r="BB74" s="166"/>
      <c r="BC74" s="179"/>
      <c r="BD74" s="250" t="str">
        <f t="shared" si="6"/>
        <v>EDUC4020</v>
      </c>
      <c r="BE74" s="179"/>
      <c r="BF74" s="166"/>
      <c r="BG74" s="179"/>
      <c r="BH74" s="250" t="str">
        <f t="shared" si="7"/>
        <v>EDUC4020</v>
      </c>
      <c r="BI74" s="179"/>
      <c r="BJ74" s="166"/>
      <c r="BK74" s="179"/>
      <c r="BL74" s="166"/>
      <c r="BM74" s="179"/>
      <c r="BN74" s="166"/>
      <c r="BO74" s="179"/>
      <c r="BP74" s="250" t="str">
        <f t="shared" si="8"/>
        <v>EDUC4020</v>
      </c>
      <c r="BQ74" s="179"/>
      <c r="BR74" s="166"/>
      <c r="BS74" s="179"/>
      <c r="BT74" s="250" t="str">
        <f t="shared" si="9"/>
        <v>EDUC4020</v>
      </c>
      <c r="BU74" s="179"/>
      <c r="BV74" s="166"/>
      <c r="BW74" s="179"/>
      <c r="BX74" s="166"/>
      <c r="BY74" s="179"/>
      <c r="BZ74" s="166"/>
      <c r="CA74" s="179"/>
      <c r="CB74" s="250" t="str">
        <f t="shared" si="10"/>
        <v>EDUC4020</v>
      </c>
      <c r="CC74" s="179"/>
      <c r="CD74" s="166"/>
      <c r="CE74" s="179"/>
      <c r="CF74" s="250" t="str">
        <f t="shared" si="11"/>
        <v>EDUC4020</v>
      </c>
      <c r="CG74" s="179"/>
      <c r="CH74" s="166"/>
      <c r="CI74" s="179"/>
      <c r="CJ74" s="166"/>
      <c r="CK74" s="179"/>
      <c r="CL74" s="166"/>
      <c r="CM74" s="179"/>
      <c r="CN74" s="250" t="str">
        <f t="shared" si="12"/>
        <v>EDUC4020</v>
      </c>
      <c r="CO74" s="179"/>
      <c r="CP74" s="166"/>
      <c r="CQ74" s="179"/>
      <c r="CR74" s="166"/>
      <c r="CS74" s="179"/>
      <c r="CT74" s="166"/>
      <c r="CU74" s="179"/>
      <c r="CV74" s="250" t="str">
        <f t="shared" si="13"/>
        <v>EDUC4020</v>
      </c>
      <c r="CW74" s="179"/>
      <c r="CX74" s="166"/>
      <c r="CY74" s="179"/>
      <c r="CZ74" s="166"/>
      <c r="DA74" s="179"/>
      <c r="DB74" s="166"/>
      <c r="DC74" s="179"/>
      <c r="DD74" s="250" t="str">
        <f t="shared" si="14"/>
        <v>EDUC4020</v>
      </c>
      <c r="DE74" s="179"/>
      <c r="DF74" s="166"/>
      <c r="DG74" s="179"/>
      <c r="DH74" s="166"/>
      <c r="DI74" s="179"/>
      <c r="DJ74" s="166"/>
      <c r="DK74" s="179"/>
      <c r="DL74" s="166"/>
      <c r="DM74" s="179"/>
      <c r="DN74" s="166"/>
      <c r="DO74" s="179"/>
      <c r="DP74" s="250" t="str">
        <f t="shared" si="15"/>
        <v>EDUC4020</v>
      </c>
      <c r="DQ74" s="179"/>
      <c r="DR74" s="166"/>
      <c r="DS74" s="179"/>
      <c r="DT74" s="166"/>
      <c r="DU74" s="179"/>
      <c r="DV74" s="166"/>
    </row>
    <row r="75" spans="9:126" x14ac:dyDescent="0.25">
      <c r="I75" s="234"/>
      <c r="J75" s="239" t="str">
        <f>INDEX(TableStreams[Choose your Specialisation Stream second (drop-down list)],MATCH(K75,TableStreams[UDC],0))</f>
        <v>Physical Sciences Education Minor Teaching Area Stream (BEd Secondary)</v>
      </c>
      <c r="K75" s="234" t="s">
        <v>208</v>
      </c>
      <c r="N75" s="26">
        <v>8</v>
      </c>
      <c r="O75" s="179"/>
      <c r="P75" s="166"/>
      <c r="Q75" s="179"/>
      <c r="R75" s="166"/>
      <c r="S75" s="179"/>
      <c r="T75" s="166"/>
      <c r="U75" s="179"/>
      <c r="V75" s="278"/>
      <c r="W75" s="179"/>
      <c r="X75" s="166" t="s">
        <v>142</v>
      </c>
      <c r="Y75" s="179"/>
      <c r="Z75" s="166"/>
      <c r="AA75" s="179"/>
      <c r="AB75" s="166"/>
      <c r="AC75" s="179"/>
      <c r="AD75" s="166"/>
      <c r="AE75" s="179"/>
      <c r="AF75" s="250" t="str">
        <f t="shared" si="0"/>
        <v>EDUC4021</v>
      </c>
      <c r="AG75" s="179"/>
      <c r="AH75" s="166"/>
      <c r="AI75" s="179"/>
      <c r="AJ75" s="250" t="str">
        <f t="shared" si="1"/>
        <v>EDUC4021</v>
      </c>
      <c r="AK75" s="179"/>
      <c r="AL75" s="166"/>
      <c r="AM75" s="179"/>
      <c r="AN75" s="250" t="str">
        <f t="shared" si="2"/>
        <v>EDUC4021</v>
      </c>
      <c r="AO75" s="179"/>
      <c r="AP75" s="166"/>
      <c r="AQ75" s="179"/>
      <c r="AR75" s="250" t="str">
        <f t="shared" si="3"/>
        <v>EDUC4021</v>
      </c>
      <c r="AS75" s="179"/>
      <c r="AT75" s="166"/>
      <c r="AU75" s="179"/>
      <c r="AV75" s="250" t="str">
        <f t="shared" si="4"/>
        <v>EDUC4021</v>
      </c>
      <c r="AW75" s="179"/>
      <c r="AX75" s="166"/>
      <c r="AY75" s="179"/>
      <c r="AZ75" s="250" t="str">
        <f t="shared" si="5"/>
        <v>EDUC4021</v>
      </c>
      <c r="BA75" s="179"/>
      <c r="BB75" s="166"/>
      <c r="BC75" s="179"/>
      <c r="BD75" s="250" t="str">
        <f t="shared" si="6"/>
        <v>EDUC4021</v>
      </c>
      <c r="BE75" s="179"/>
      <c r="BF75" s="166"/>
      <c r="BG75" s="179"/>
      <c r="BH75" s="250" t="str">
        <f t="shared" si="7"/>
        <v>EDUC4021</v>
      </c>
      <c r="BI75" s="179"/>
      <c r="BJ75" s="166"/>
      <c r="BK75" s="179"/>
      <c r="BL75" s="166"/>
      <c r="BM75" s="179"/>
      <c r="BN75" s="166"/>
      <c r="BO75" s="179"/>
      <c r="BP75" s="250" t="str">
        <f t="shared" si="8"/>
        <v>EDUC4021</v>
      </c>
      <c r="BQ75" s="179"/>
      <c r="BR75" s="166"/>
      <c r="BS75" s="179"/>
      <c r="BT75" s="250" t="str">
        <f t="shared" si="9"/>
        <v>EDUC4021</v>
      </c>
      <c r="BU75" s="179"/>
      <c r="BV75" s="166"/>
      <c r="BW75" s="179"/>
      <c r="BX75" s="166"/>
      <c r="BY75" s="179"/>
      <c r="BZ75" s="166"/>
      <c r="CA75" s="179"/>
      <c r="CB75" s="250" t="str">
        <f t="shared" si="10"/>
        <v>EDUC4021</v>
      </c>
      <c r="CC75" s="179"/>
      <c r="CD75" s="166"/>
      <c r="CE75" s="179"/>
      <c r="CF75" s="250" t="str">
        <f t="shared" si="11"/>
        <v>EDUC4021</v>
      </c>
      <c r="CG75" s="179"/>
      <c r="CH75" s="166"/>
      <c r="CI75" s="179"/>
      <c r="CJ75" s="166"/>
      <c r="CK75" s="179"/>
      <c r="CL75" s="166"/>
      <c r="CM75" s="179"/>
      <c r="CN75" s="250" t="str">
        <f t="shared" si="12"/>
        <v>EDUC4021</v>
      </c>
      <c r="CO75" s="179"/>
      <c r="CP75" s="166"/>
      <c r="CQ75" s="179"/>
      <c r="CR75" s="166"/>
      <c r="CS75" s="179"/>
      <c r="CT75" s="166"/>
      <c r="CU75" s="179"/>
      <c r="CV75" s="250" t="str">
        <f t="shared" si="13"/>
        <v>EDUC4021</v>
      </c>
      <c r="CW75" s="179"/>
      <c r="CX75" s="166"/>
      <c r="CY75" s="179"/>
      <c r="CZ75" s="166"/>
      <c r="DA75" s="179"/>
      <c r="DB75" s="166"/>
      <c r="DC75" s="179"/>
      <c r="DD75" s="250" t="str">
        <f t="shared" si="14"/>
        <v>EDUC4021</v>
      </c>
      <c r="DE75" s="179"/>
      <c r="DF75" s="166"/>
      <c r="DG75" s="179"/>
      <c r="DH75" s="166"/>
      <c r="DI75" s="179"/>
      <c r="DJ75" s="166"/>
      <c r="DK75" s="179"/>
      <c r="DL75" s="166"/>
      <c r="DM75" s="179"/>
      <c r="DN75" s="166"/>
      <c r="DO75" s="179"/>
      <c r="DP75" s="250" t="str">
        <f t="shared" si="15"/>
        <v>EDUC4021</v>
      </c>
      <c r="DQ75" s="179"/>
      <c r="DR75" s="166"/>
      <c r="DS75" s="179"/>
      <c r="DT75" s="166"/>
      <c r="DU75" s="179"/>
      <c r="DV75" s="166"/>
    </row>
    <row r="76" spans="9:126" x14ac:dyDescent="0.25">
      <c r="I76" s="234"/>
      <c r="J76" s="239" t="str">
        <f>INDEX(TableStreams[Choose your Specialisation Stream second (drop-down list)],MATCH(K76,TableStreams[UDC],0))</f>
        <v>Psychology Education Minor Teaching Area Stream (BEd Secondary)</v>
      </c>
      <c r="K76" s="234" t="s">
        <v>212</v>
      </c>
      <c r="N76" s="26">
        <v>9</v>
      </c>
      <c r="O76" s="179"/>
      <c r="P76" s="166"/>
      <c r="Q76" s="179"/>
      <c r="R76" s="166"/>
      <c r="S76" s="179"/>
      <c r="T76" s="166"/>
      <c r="U76" s="179"/>
      <c r="V76" s="278"/>
      <c r="W76" s="179"/>
      <c r="X76" s="166" t="s">
        <v>147</v>
      </c>
      <c r="Y76" s="179"/>
      <c r="Z76" s="166"/>
      <c r="AA76" s="179"/>
      <c r="AB76" s="166"/>
      <c r="AC76" s="179"/>
      <c r="AD76" s="166"/>
      <c r="AE76" s="179"/>
      <c r="AF76" s="250" t="str">
        <f t="shared" si="0"/>
        <v>EDUC4022</v>
      </c>
      <c r="AG76" s="179"/>
      <c r="AH76" s="166"/>
      <c r="AI76" s="179"/>
      <c r="AJ76" s="250" t="str">
        <f t="shared" si="1"/>
        <v>EDUC4022</v>
      </c>
      <c r="AK76" s="179"/>
      <c r="AL76" s="166"/>
      <c r="AM76" s="179"/>
      <c r="AN76" s="250" t="str">
        <f t="shared" si="2"/>
        <v>EDUC4022</v>
      </c>
      <c r="AO76" s="179"/>
      <c r="AP76" s="166"/>
      <c r="AQ76" s="179"/>
      <c r="AR76" s="250" t="str">
        <f t="shared" si="3"/>
        <v>EDUC4022</v>
      </c>
      <c r="AS76" s="179"/>
      <c r="AT76" s="166"/>
      <c r="AU76" s="179"/>
      <c r="AV76" s="250" t="str">
        <f t="shared" si="4"/>
        <v>EDUC4022</v>
      </c>
      <c r="AW76" s="179"/>
      <c r="AX76" s="166"/>
      <c r="AY76" s="179"/>
      <c r="AZ76" s="250" t="str">
        <f t="shared" si="5"/>
        <v>EDUC4022</v>
      </c>
      <c r="BA76" s="179"/>
      <c r="BB76" s="166"/>
      <c r="BC76" s="179"/>
      <c r="BD76" s="250" t="str">
        <f t="shared" si="6"/>
        <v>EDUC4022</v>
      </c>
      <c r="BE76" s="179"/>
      <c r="BF76" s="166"/>
      <c r="BG76" s="179"/>
      <c r="BH76" s="250" t="str">
        <f t="shared" si="7"/>
        <v>EDUC4022</v>
      </c>
      <c r="BI76" s="179"/>
      <c r="BJ76" s="166"/>
      <c r="BK76" s="179"/>
      <c r="BL76" s="166"/>
      <c r="BM76" s="179"/>
      <c r="BN76" s="166"/>
      <c r="BO76" s="179"/>
      <c r="BP76" s="250" t="str">
        <f t="shared" si="8"/>
        <v>EDUC4022</v>
      </c>
      <c r="BQ76" s="179"/>
      <c r="BR76" s="166"/>
      <c r="BS76" s="179"/>
      <c r="BT76" s="250" t="str">
        <f t="shared" si="9"/>
        <v>EDUC4022</v>
      </c>
      <c r="BU76" s="179"/>
      <c r="BV76" s="166"/>
      <c r="BW76" s="179"/>
      <c r="BX76" s="166"/>
      <c r="BY76" s="179"/>
      <c r="BZ76" s="166"/>
      <c r="CA76" s="179"/>
      <c r="CB76" s="250" t="str">
        <f t="shared" si="10"/>
        <v>EDUC4022</v>
      </c>
      <c r="CC76" s="179"/>
      <c r="CD76" s="166"/>
      <c r="CE76" s="179"/>
      <c r="CF76" s="250" t="str">
        <f t="shared" si="11"/>
        <v>EDUC4022</v>
      </c>
      <c r="CG76" s="179"/>
      <c r="CH76" s="166"/>
      <c r="CI76" s="179"/>
      <c r="CJ76" s="166"/>
      <c r="CK76" s="179"/>
      <c r="CL76" s="166"/>
      <c r="CM76" s="179"/>
      <c r="CN76" s="250" t="str">
        <f t="shared" si="12"/>
        <v>EDUC4022</v>
      </c>
      <c r="CO76" s="179"/>
      <c r="CP76" s="166"/>
      <c r="CQ76" s="179"/>
      <c r="CR76" s="166"/>
      <c r="CS76" s="179"/>
      <c r="CT76" s="166"/>
      <c r="CU76" s="179"/>
      <c r="CV76" s="250" t="str">
        <f t="shared" si="13"/>
        <v>EDUC4022</v>
      </c>
      <c r="CW76" s="179"/>
      <c r="CX76" s="166"/>
      <c r="CY76" s="179"/>
      <c r="CZ76" s="166"/>
      <c r="DA76" s="179"/>
      <c r="DB76" s="166"/>
      <c r="DC76" s="179"/>
      <c r="DD76" s="250" t="str">
        <f t="shared" si="14"/>
        <v>EDUC4022</v>
      </c>
      <c r="DE76" s="179"/>
      <c r="DF76" s="166"/>
      <c r="DG76" s="179"/>
      <c r="DH76" s="166"/>
      <c r="DI76" s="179"/>
      <c r="DJ76" s="166"/>
      <c r="DK76" s="179"/>
      <c r="DL76" s="166"/>
      <c r="DM76" s="179"/>
      <c r="DN76" s="166"/>
      <c r="DO76" s="179"/>
      <c r="DP76" s="250" t="str">
        <f t="shared" si="15"/>
        <v>EDUC4022</v>
      </c>
      <c r="DQ76" s="179"/>
      <c r="DR76" s="166"/>
      <c r="DS76" s="179"/>
      <c r="DT76" s="166"/>
      <c r="DU76" s="179"/>
      <c r="DV76" s="166"/>
    </row>
    <row r="77" spans="9:126" x14ac:dyDescent="0.25">
      <c r="I77" s="235"/>
      <c r="J77" s="240" t="str">
        <f>INDEX(TableStreams[Choose your Specialisation Stream second (drop-down list)],MATCH(K77,TableStreams[UDC],0))</f>
        <v>The Arts - Visual Arts Education Minor Teaching Area Stream (BEd Secondary)</v>
      </c>
      <c r="K77" s="235" t="s">
        <v>315</v>
      </c>
      <c r="N77" s="26">
        <v>10</v>
      </c>
      <c r="O77" s="179"/>
      <c r="P77" s="166"/>
      <c r="Q77" s="179"/>
      <c r="R77" s="166"/>
      <c r="S77" s="179"/>
      <c r="T77" s="166"/>
      <c r="U77" s="179"/>
      <c r="V77" s="278"/>
      <c r="W77" s="179"/>
      <c r="X77" s="166" t="s">
        <v>148</v>
      </c>
      <c r="Y77" s="179"/>
      <c r="Z77" s="166"/>
      <c r="AA77" s="179"/>
      <c r="AB77" s="166"/>
      <c r="AC77" s="179"/>
      <c r="AD77" s="166"/>
      <c r="AE77" s="179"/>
      <c r="AF77" s="250" t="str">
        <f t="shared" si="0"/>
        <v>EDUC4023</v>
      </c>
      <c r="AG77" s="179"/>
      <c r="AH77" s="166"/>
      <c r="AI77" s="179"/>
      <c r="AJ77" s="250" t="str">
        <f t="shared" si="1"/>
        <v>EDUC4023</v>
      </c>
      <c r="AK77" s="179"/>
      <c r="AL77" s="166"/>
      <c r="AM77" s="179"/>
      <c r="AN77" s="250" t="str">
        <f t="shared" si="2"/>
        <v>EDUC4023</v>
      </c>
      <c r="AO77" s="179"/>
      <c r="AP77" s="166"/>
      <c r="AQ77" s="179"/>
      <c r="AR77" s="250" t="str">
        <f t="shared" si="3"/>
        <v>EDUC4023</v>
      </c>
      <c r="AS77" s="179"/>
      <c r="AT77" s="166"/>
      <c r="AU77" s="179"/>
      <c r="AV77" s="250" t="str">
        <f t="shared" si="4"/>
        <v>EDUC4023</v>
      </c>
      <c r="AW77" s="179"/>
      <c r="AX77" s="166"/>
      <c r="AY77" s="179"/>
      <c r="AZ77" s="250" t="str">
        <f t="shared" si="5"/>
        <v>EDUC4023</v>
      </c>
      <c r="BA77" s="179"/>
      <c r="BB77" s="166"/>
      <c r="BC77" s="179"/>
      <c r="BD77" s="250" t="str">
        <f t="shared" si="6"/>
        <v>EDUC4023</v>
      </c>
      <c r="BE77" s="179"/>
      <c r="BF77" s="166"/>
      <c r="BG77" s="179"/>
      <c r="BH77" s="250" t="str">
        <f t="shared" si="7"/>
        <v>EDUC4023</v>
      </c>
      <c r="BI77" s="179"/>
      <c r="BJ77" s="166"/>
      <c r="BK77" s="179"/>
      <c r="BL77" s="166"/>
      <c r="BM77" s="179"/>
      <c r="BN77" s="166"/>
      <c r="BO77" s="179"/>
      <c r="BP77" s="250" t="str">
        <f t="shared" si="8"/>
        <v>EDUC4023</v>
      </c>
      <c r="BQ77" s="179"/>
      <c r="BR77" s="166"/>
      <c r="BS77" s="179"/>
      <c r="BT77" s="250" t="str">
        <f t="shared" si="9"/>
        <v>EDUC4023</v>
      </c>
      <c r="BU77" s="179"/>
      <c r="BV77" s="166"/>
      <c r="BW77" s="179"/>
      <c r="BX77" s="166"/>
      <c r="BY77" s="179"/>
      <c r="BZ77" s="166"/>
      <c r="CA77" s="179"/>
      <c r="CB77" s="250" t="str">
        <f t="shared" si="10"/>
        <v>EDUC4023</v>
      </c>
      <c r="CC77" s="179"/>
      <c r="CD77" s="166"/>
      <c r="CE77" s="179"/>
      <c r="CF77" s="250" t="str">
        <f t="shared" si="11"/>
        <v>EDUC4023</v>
      </c>
      <c r="CG77" s="179"/>
      <c r="CH77" s="166"/>
      <c r="CI77" s="179"/>
      <c r="CJ77" s="166"/>
      <c r="CK77" s="179"/>
      <c r="CL77" s="166"/>
      <c r="CM77" s="179"/>
      <c r="CN77" s="250" t="str">
        <f t="shared" si="12"/>
        <v>EDUC4023</v>
      </c>
      <c r="CO77" s="179"/>
      <c r="CP77" s="166"/>
      <c r="CQ77" s="179"/>
      <c r="CR77" s="166"/>
      <c r="CS77" s="179"/>
      <c r="CT77" s="166"/>
      <c r="CU77" s="179"/>
      <c r="CV77" s="250" t="str">
        <f t="shared" si="13"/>
        <v>EDUC4023</v>
      </c>
      <c r="CW77" s="179"/>
      <c r="CX77" s="166"/>
      <c r="CY77" s="179"/>
      <c r="CZ77" s="166"/>
      <c r="DA77" s="179"/>
      <c r="DB77" s="166"/>
      <c r="DC77" s="179"/>
      <c r="DD77" s="250" t="str">
        <f t="shared" si="14"/>
        <v>EDUC4023</v>
      </c>
      <c r="DE77" s="179"/>
      <c r="DF77" s="166"/>
      <c r="DG77" s="179"/>
      <c r="DH77" s="166"/>
      <c r="DI77" s="179"/>
      <c r="DJ77" s="166"/>
      <c r="DK77" s="179"/>
      <c r="DL77" s="166"/>
      <c r="DM77" s="179"/>
      <c r="DN77" s="166"/>
      <c r="DO77" s="179"/>
      <c r="DP77" s="250" t="str">
        <f t="shared" si="15"/>
        <v>EDUC4023</v>
      </c>
      <c r="DQ77" s="179"/>
      <c r="DR77" s="166"/>
      <c r="DS77" s="179"/>
      <c r="DT77" s="166"/>
      <c r="DU77" s="179"/>
      <c r="DV77" s="166"/>
    </row>
    <row r="78" spans="9:126" x14ac:dyDescent="0.25">
      <c r="I78" s="233" t="s">
        <v>227</v>
      </c>
      <c r="J78" s="238" t="str">
        <f>INDEX(TableStreams[Choose your Specialisation Stream second (drop-down list)],MATCH(K78,TableStreams[UDC],0))</f>
        <v>Biological Sciences Education Minor Teaching Area Stream (BEd Secondary)</v>
      </c>
      <c r="K78" s="233" t="s">
        <v>193</v>
      </c>
      <c r="N78" s="26">
        <v>11</v>
      </c>
      <c r="O78" s="179"/>
      <c r="P78" s="166"/>
      <c r="Q78" s="179"/>
      <c r="R78" s="166"/>
      <c r="S78" s="179"/>
      <c r="T78" s="166"/>
      <c r="U78" s="179"/>
      <c r="V78" s="278"/>
      <c r="W78" s="179"/>
      <c r="X78" s="166" t="s">
        <v>160</v>
      </c>
      <c r="Y78" s="179"/>
      <c r="Z78" s="166"/>
      <c r="AA78" s="179"/>
      <c r="AB78" s="166"/>
      <c r="AC78" s="179"/>
      <c r="AD78" s="166"/>
      <c r="AE78" s="179"/>
      <c r="AF78" s="250" t="str">
        <f t="shared" si="0"/>
        <v>EDUC4029</v>
      </c>
      <c r="AG78" s="179"/>
      <c r="AH78" s="166"/>
      <c r="AI78" s="179"/>
      <c r="AJ78" s="250" t="str">
        <f t="shared" si="1"/>
        <v>EDUC4029</v>
      </c>
      <c r="AK78" s="179"/>
      <c r="AL78" s="166"/>
      <c r="AM78" s="179"/>
      <c r="AN78" s="250" t="str">
        <f t="shared" si="2"/>
        <v>EDUC4029</v>
      </c>
      <c r="AO78" s="179"/>
      <c r="AP78" s="166"/>
      <c r="AQ78" s="179"/>
      <c r="AR78" s="250" t="str">
        <f t="shared" si="3"/>
        <v>EDUC4029</v>
      </c>
      <c r="AS78" s="179"/>
      <c r="AT78" s="166"/>
      <c r="AU78" s="179"/>
      <c r="AV78" s="250" t="str">
        <f t="shared" si="4"/>
        <v>EDUC4029</v>
      </c>
      <c r="AW78" s="179"/>
      <c r="AX78" s="166"/>
      <c r="AY78" s="179"/>
      <c r="AZ78" s="250" t="str">
        <f t="shared" si="5"/>
        <v>EDUC4029</v>
      </c>
      <c r="BA78" s="179"/>
      <c r="BB78" s="166"/>
      <c r="BC78" s="179"/>
      <c r="BD78" s="250" t="str">
        <f t="shared" si="6"/>
        <v>EDUC4029</v>
      </c>
      <c r="BE78" s="179"/>
      <c r="BF78" s="166"/>
      <c r="BG78" s="179"/>
      <c r="BH78" s="250" t="str">
        <f t="shared" si="7"/>
        <v>EDUC4029</v>
      </c>
      <c r="BI78" s="179"/>
      <c r="BJ78" s="166"/>
      <c r="BK78" s="179"/>
      <c r="BL78" s="166"/>
      <c r="BM78" s="179"/>
      <c r="BN78" s="166"/>
      <c r="BO78" s="179"/>
      <c r="BP78" s="250" t="str">
        <f t="shared" si="8"/>
        <v>EDUC4029</v>
      </c>
      <c r="BQ78" s="179"/>
      <c r="BR78" s="166"/>
      <c r="BS78" s="179"/>
      <c r="BT78" s="250" t="str">
        <f t="shared" si="9"/>
        <v>EDUC4029</v>
      </c>
      <c r="BU78" s="179"/>
      <c r="BV78" s="166"/>
      <c r="BW78" s="179"/>
      <c r="BX78" s="166"/>
      <c r="BY78" s="179"/>
      <c r="BZ78" s="166"/>
      <c r="CA78" s="179"/>
      <c r="CB78" s="250" t="str">
        <f t="shared" si="10"/>
        <v>EDUC4029</v>
      </c>
      <c r="CC78" s="179"/>
      <c r="CD78" s="166"/>
      <c r="CE78" s="179"/>
      <c r="CF78" s="250" t="str">
        <f t="shared" si="11"/>
        <v>EDUC4029</v>
      </c>
      <c r="CG78" s="179"/>
      <c r="CH78" s="166"/>
      <c r="CI78" s="179"/>
      <c r="CJ78" s="166"/>
      <c r="CK78" s="179"/>
      <c r="CL78" s="166"/>
      <c r="CM78" s="179"/>
      <c r="CN78" s="250" t="str">
        <f t="shared" si="12"/>
        <v>EDUC4029</v>
      </c>
      <c r="CO78" s="179"/>
      <c r="CP78" s="166"/>
      <c r="CQ78" s="179"/>
      <c r="CR78" s="166"/>
      <c r="CS78" s="179"/>
      <c r="CT78" s="166"/>
      <c r="CU78" s="179"/>
      <c r="CV78" s="250" t="str">
        <f t="shared" si="13"/>
        <v>EDUC4029</v>
      </c>
      <c r="CW78" s="179"/>
      <c r="CX78" s="166"/>
      <c r="CY78" s="179"/>
      <c r="CZ78" s="166"/>
      <c r="DA78" s="179"/>
      <c r="DB78" s="166"/>
      <c r="DC78" s="179"/>
      <c r="DD78" s="250" t="str">
        <f t="shared" si="14"/>
        <v>EDUC4029</v>
      </c>
      <c r="DE78" s="179"/>
      <c r="DF78" s="166"/>
      <c r="DG78" s="179"/>
      <c r="DH78" s="166"/>
      <c r="DI78" s="179"/>
      <c r="DJ78" s="166"/>
      <c r="DK78" s="179"/>
      <c r="DL78" s="166"/>
      <c r="DM78" s="179"/>
      <c r="DN78" s="166"/>
      <c r="DO78" s="179"/>
      <c r="DP78" s="250" t="str">
        <f t="shared" si="15"/>
        <v>EDUC4029</v>
      </c>
      <c r="DQ78" s="179"/>
      <c r="DR78" s="166"/>
      <c r="DS78" s="179"/>
      <c r="DT78" s="166"/>
      <c r="DU78" s="179"/>
      <c r="DV78" s="166"/>
    </row>
    <row r="79" spans="9:126" x14ac:dyDescent="0.25">
      <c r="I79" s="234"/>
      <c r="J79" s="239" t="str">
        <f>INDEX(TableStreams[Choose your Specialisation Stream second (drop-down list)],MATCH(K79,TableStreams[UDC],0))</f>
        <v>Education Speciality and Mathematics Teaching Area Stream (BEd Secondary)</v>
      </c>
      <c r="K79" s="234" t="s">
        <v>255</v>
      </c>
      <c r="N79" s="26">
        <v>12</v>
      </c>
      <c r="O79" s="179"/>
      <c r="P79" s="166"/>
      <c r="Q79" s="179"/>
      <c r="R79" s="166"/>
      <c r="S79" s="179"/>
      <c r="T79" s="166"/>
      <c r="U79" s="179"/>
      <c r="V79" s="278"/>
      <c r="W79" s="179"/>
      <c r="X79" s="166" t="s">
        <v>143</v>
      </c>
      <c r="Y79" s="179"/>
      <c r="Z79" s="166"/>
      <c r="AA79" s="179"/>
      <c r="AB79" s="166"/>
      <c r="AC79" s="179"/>
      <c r="AD79" s="166"/>
      <c r="AE79" s="179"/>
      <c r="AF79" s="250" t="str">
        <f t="shared" si="0"/>
        <v>EDUC4032</v>
      </c>
      <c r="AG79" s="179"/>
      <c r="AH79" s="166"/>
      <c r="AI79" s="179"/>
      <c r="AJ79" s="250" t="str">
        <f t="shared" si="1"/>
        <v>EDUC4032</v>
      </c>
      <c r="AK79" s="179"/>
      <c r="AL79" s="166"/>
      <c r="AM79" s="179"/>
      <c r="AN79" s="250" t="str">
        <f t="shared" si="2"/>
        <v>EDUC4032</v>
      </c>
      <c r="AO79" s="179"/>
      <c r="AP79" s="166"/>
      <c r="AQ79" s="179"/>
      <c r="AR79" s="250" t="str">
        <f t="shared" si="3"/>
        <v>EDUC4032</v>
      </c>
      <c r="AS79" s="179"/>
      <c r="AT79" s="166"/>
      <c r="AU79" s="179"/>
      <c r="AV79" s="250" t="str">
        <f t="shared" si="4"/>
        <v>EDUC4032</v>
      </c>
      <c r="AW79" s="179"/>
      <c r="AX79" s="166"/>
      <c r="AY79" s="179"/>
      <c r="AZ79" s="250" t="str">
        <f t="shared" si="5"/>
        <v>EDUC4032</v>
      </c>
      <c r="BA79" s="179"/>
      <c r="BB79" s="166"/>
      <c r="BC79" s="179"/>
      <c r="BD79" s="250" t="str">
        <f t="shared" si="6"/>
        <v>EDUC4032</v>
      </c>
      <c r="BE79" s="179"/>
      <c r="BF79" s="166"/>
      <c r="BG79" s="179"/>
      <c r="BH79" s="250" t="str">
        <f t="shared" si="7"/>
        <v>EDUC4032</v>
      </c>
      <c r="BI79" s="179"/>
      <c r="BJ79" s="166"/>
      <c r="BK79" s="179"/>
      <c r="BL79" s="166"/>
      <c r="BM79" s="179"/>
      <c r="BN79" s="166"/>
      <c r="BO79" s="179"/>
      <c r="BP79" s="250" t="str">
        <f t="shared" si="8"/>
        <v>EDUC4032</v>
      </c>
      <c r="BQ79" s="179"/>
      <c r="BR79" s="166"/>
      <c r="BS79" s="179"/>
      <c r="BT79" s="250" t="str">
        <f t="shared" si="9"/>
        <v>EDUC4032</v>
      </c>
      <c r="BU79" s="179"/>
      <c r="BV79" s="166"/>
      <c r="BW79" s="179"/>
      <c r="BX79" s="166"/>
      <c r="BY79" s="179"/>
      <c r="BZ79" s="166"/>
      <c r="CA79" s="179"/>
      <c r="CB79" s="250" t="str">
        <f t="shared" si="10"/>
        <v>EDUC4032</v>
      </c>
      <c r="CC79" s="179"/>
      <c r="CD79" s="166"/>
      <c r="CE79" s="179"/>
      <c r="CF79" s="250" t="str">
        <f t="shared" si="11"/>
        <v>EDUC4032</v>
      </c>
      <c r="CG79" s="179"/>
      <c r="CH79" s="166"/>
      <c r="CI79" s="179"/>
      <c r="CJ79" s="166"/>
      <c r="CK79" s="179"/>
      <c r="CL79" s="166"/>
      <c r="CM79" s="179"/>
      <c r="CN79" s="250" t="str">
        <f t="shared" si="12"/>
        <v>EDUC4032</v>
      </c>
      <c r="CO79" s="179"/>
      <c r="CP79" s="166"/>
      <c r="CQ79" s="179"/>
      <c r="CR79" s="166"/>
      <c r="CS79" s="179"/>
      <c r="CT79" s="166"/>
      <c r="CU79" s="179"/>
      <c r="CV79" s="250" t="str">
        <f t="shared" si="13"/>
        <v>EDUC4032</v>
      </c>
      <c r="CW79" s="179"/>
      <c r="CX79" s="166"/>
      <c r="CY79" s="179"/>
      <c r="CZ79" s="166"/>
      <c r="DA79" s="179"/>
      <c r="DB79" s="166"/>
      <c r="DC79" s="179"/>
      <c r="DD79" s="250" t="str">
        <f t="shared" si="14"/>
        <v>EDUC4032</v>
      </c>
      <c r="DE79" s="179"/>
      <c r="DF79" s="166"/>
      <c r="DG79" s="179"/>
      <c r="DH79" s="166"/>
      <c r="DI79" s="179"/>
      <c r="DJ79" s="166"/>
      <c r="DK79" s="179"/>
      <c r="DL79" s="166"/>
      <c r="DM79" s="179"/>
      <c r="DN79" s="166"/>
      <c r="DO79" s="179"/>
      <c r="DP79" s="250" t="str">
        <f t="shared" si="15"/>
        <v>EDUC4032</v>
      </c>
      <c r="DQ79" s="179"/>
      <c r="DR79" s="166"/>
      <c r="DS79" s="179"/>
      <c r="DT79" s="166"/>
      <c r="DU79" s="179"/>
      <c r="DV79" s="166"/>
    </row>
    <row r="80" spans="9:126" x14ac:dyDescent="0.25">
      <c r="I80" s="234"/>
      <c r="J80" s="239" t="str">
        <f>INDEX(TableStreams[Choose your Specialisation Stream second (drop-down list)],MATCH(K80,TableStreams[UDC],0))</f>
        <v>English Education Minor Teaching Area Stream (BEd Secondary)</v>
      </c>
      <c r="K80" s="234" t="s">
        <v>197</v>
      </c>
      <c r="N80" s="26">
        <v>13</v>
      </c>
      <c r="O80" s="179"/>
      <c r="P80" s="166"/>
      <c r="Q80" s="179"/>
      <c r="R80" s="166"/>
      <c r="S80" s="179"/>
      <c r="T80" s="166"/>
      <c r="U80" s="179"/>
      <c r="V80" s="278"/>
      <c r="W80" s="179"/>
      <c r="X80" s="166" t="s">
        <v>144</v>
      </c>
      <c r="Y80" s="179"/>
      <c r="Z80" s="166"/>
      <c r="AA80" s="179"/>
      <c r="AB80" s="166"/>
      <c r="AC80" s="179"/>
      <c r="AD80" s="166"/>
      <c r="AE80" s="179"/>
      <c r="AF80" s="250" t="str">
        <f t="shared" si="0"/>
        <v>EDUC4034</v>
      </c>
      <c r="AG80" s="179"/>
      <c r="AH80" s="166"/>
      <c r="AI80" s="179"/>
      <c r="AJ80" s="250" t="str">
        <f t="shared" si="1"/>
        <v>EDUC4034</v>
      </c>
      <c r="AK80" s="179"/>
      <c r="AL80" s="166"/>
      <c r="AM80" s="179"/>
      <c r="AN80" s="250" t="str">
        <f t="shared" si="2"/>
        <v>EDUC4034</v>
      </c>
      <c r="AO80" s="179"/>
      <c r="AP80" s="166"/>
      <c r="AQ80" s="179"/>
      <c r="AR80" s="250" t="str">
        <f t="shared" si="3"/>
        <v>EDUC4034</v>
      </c>
      <c r="AS80" s="179"/>
      <c r="AT80" s="166"/>
      <c r="AU80" s="179"/>
      <c r="AV80" s="250" t="str">
        <f t="shared" si="4"/>
        <v>EDUC4034</v>
      </c>
      <c r="AW80" s="179"/>
      <c r="AX80" s="166"/>
      <c r="AY80" s="179"/>
      <c r="AZ80" s="250" t="str">
        <f t="shared" si="5"/>
        <v>EDUC4034</v>
      </c>
      <c r="BA80" s="179"/>
      <c r="BB80" s="166"/>
      <c r="BC80" s="179"/>
      <c r="BD80" s="250" t="str">
        <f t="shared" si="6"/>
        <v>EDUC4034</v>
      </c>
      <c r="BE80" s="179"/>
      <c r="BF80" s="166"/>
      <c r="BG80" s="179"/>
      <c r="BH80" s="250" t="str">
        <f t="shared" si="7"/>
        <v>EDUC4034</v>
      </c>
      <c r="BI80" s="179"/>
      <c r="BJ80" s="166"/>
      <c r="BK80" s="179"/>
      <c r="BL80" s="166"/>
      <c r="BM80" s="179"/>
      <c r="BN80" s="166"/>
      <c r="BO80" s="179"/>
      <c r="BP80" s="250" t="str">
        <f t="shared" si="8"/>
        <v>EDUC4034</v>
      </c>
      <c r="BQ80" s="179"/>
      <c r="BR80" s="166"/>
      <c r="BS80" s="179"/>
      <c r="BT80" s="250" t="str">
        <f t="shared" si="9"/>
        <v>EDUC4034</v>
      </c>
      <c r="BU80" s="179"/>
      <c r="BV80" s="166"/>
      <c r="BW80" s="179"/>
      <c r="BX80" s="166"/>
      <c r="BY80" s="179"/>
      <c r="BZ80" s="166"/>
      <c r="CA80" s="179"/>
      <c r="CB80" s="250" t="str">
        <f t="shared" si="10"/>
        <v>EDUC4034</v>
      </c>
      <c r="CC80" s="179"/>
      <c r="CD80" s="166"/>
      <c r="CE80" s="179"/>
      <c r="CF80" s="250" t="str">
        <f t="shared" si="11"/>
        <v>EDUC4034</v>
      </c>
      <c r="CG80" s="179"/>
      <c r="CH80" s="166"/>
      <c r="CI80" s="179"/>
      <c r="CJ80" s="166"/>
      <c r="CK80" s="179"/>
      <c r="CL80" s="166"/>
      <c r="CM80" s="179"/>
      <c r="CN80" s="250" t="str">
        <f t="shared" si="12"/>
        <v>EDUC4034</v>
      </c>
      <c r="CO80" s="179"/>
      <c r="CP80" s="166"/>
      <c r="CQ80" s="179"/>
      <c r="CR80" s="166"/>
      <c r="CS80" s="179"/>
      <c r="CT80" s="166"/>
      <c r="CU80" s="179"/>
      <c r="CV80" s="250" t="str">
        <f t="shared" si="13"/>
        <v>EDUC4034</v>
      </c>
      <c r="CW80" s="179"/>
      <c r="CX80" s="166"/>
      <c r="CY80" s="179"/>
      <c r="CZ80" s="166"/>
      <c r="DA80" s="179"/>
      <c r="DB80" s="166"/>
      <c r="DC80" s="179"/>
      <c r="DD80" s="250" t="str">
        <f t="shared" si="14"/>
        <v>EDUC4034</v>
      </c>
      <c r="DE80" s="179"/>
      <c r="DF80" s="166"/>
      <c r="DG80" s="179"/>
      <c r="DH80" s="166"/>
      <c r="DI80" s="179"/>
      <c r="DJ80" s="166"/>
      <c r="DK80" s="179"/>
      <c r="DL80" s="166"/>
      <c r="DM80" s="179"/>
      <c r="DN80" s="166"/>
      <c r="DO80" s="179"/>
      <c r="DP80" s="250" t="str">
        <f t="shared" si="15"/>
        <v>EDUC4034</v>
      </c>
      <c r="DQ80" s="179"/>
      <c r="DR80" s="166"/>
      <c r="DS80" s="179"/>
      <c r="DT80" s="166"/>
      <c r="DU80" s="179"/>
      <c r="DV80" s="166"/>
    </row>
    <row r="81" spans="9:126" x14ac:dyDescent="0.25">
      <c r="I81" s="234"/>
      <c r="J81" s="239" t="str">
        <f>INDEX(TableStreams[Choose your Specialisation Stream second (drop-down list)],MATCH(K81,TableStreams[UDC],0))</f>
        <v>Humanities and Social Sciences - Humanities Education Minor Teaching Area Stream (BEd Secondary)</v>
      </c>
      <c r="K81" s="234" t="s">
        <v>198</v>
      </c>
      <c r="N81" s="26">
        <v>14</v>
      </c>
      <c r="O81" s="179"/>
      <c r="P81" s="166"/>
      <c r="Q81" s="179"/>
      <c r="R81" s="166"/>
      <c r="S81" s="179"/>
      <c r="T81" s="166"/>
      <c r="U81" s="179"/>
      <c r="V81" s="278"/>
      <c r="W81" s="179"/>
      <c r="X81" s="166" t="s">
        <v>149</v>
      </c>
      <c r="Y81" s="179"/>
      <c r="Z81" s="166"/>
      <c r="AA81" s="179"/>
      <c r="AB81" s="166"/>
      <c r="AC81" s="179"/>
      <c r="AD81" s="166"/>
      <c r="AE81" s="179"/>
      <c r="AF81" s="250" t="str">
        <f t="shared" si="0"/>
        <v>EDUC4036</v>
      </c>
      <c r="AG81" s="179"/>
      <c r="AH81" s="166"/>
      <c r="AI81" s="179"/>
      <c r="AJ81" s="250" t="str">
        <f t="shared" si="1"/>
        <v>EDUC4036</v>
      </c>
      <c r="AK81" s="179"/>
      <c r="AL81" s="166"/>
      <c r="AM81" s="179"/>
      <c r="AN81" s="250" t="str">
        <f t="shared" si="2"/>
        <v>EDUC4036</v>
      </c>
      <c r="AO81" s="179"/>
      <c r="AP81" s="166"/>
      <c r="AQ81" s="179"/>
      <c r="AR81" s="250" t="str">
        <f t="shared" si="3"/>
        <v>EDUC4036</v>
      </c>
      <c r="AS81" s="179"/>
      <c r="AT81" s="166"/>
      <c r="AU81" s="179"/>
      <c r="AV81" s="250" t="str">
        <f t="shared" si="4"/>
        <v>EDUC4036</v>
      </c>
      <c r="AW81" s="179"/>
      <c r="AX81" s="166"/>
      <c r="AY81" s="179"/>
      <c r="AZ81" s="250" t="str">
        <f t="shared" si="5"/>
        <v>EDUC4036</v>
      </c>
      <c r="BA81" s="179"/>
      <c r="BB81" s="166"/>
      <c r="BC81" s="179"/>
      <c r="BD81" s="250" t="str">
        <f t="shared" si="6"/>
        <v>EDUC4036</v>
      </c>
      <c r="BE81" s="179"/>
      <c r="BF81" s="166"/>
      <c r="BG81" s="179"/>
      <c r="BH81" s="250" t="str">
        <f t="shared" si="7"/>
        <v>EDUC4036</v>
      </c>
      <c r="BI81" s="179"/>
      <c r="BJ81" s="166"/>
      <c r="BK81" s="179"/>
      <c r="BL81" s="166"/>
      <c r="BM81" s="179"/>
      <c r="BN81" s="166"/>
      <c r="BO81" s="179"/>
      <c r="BP81" s="250" t="str">
        <f t="shared" si="8"/>
        <v>EDUC4036</v>
      </c>
      <c r="BQ81" s="179"/>
      <c r="BR81" s="166"/>
      <c r="BS81" s="179"/>
      <c r="BT81" s="250" t="str">
        <f t="shared" si="9"/>
        <v>EDUC4036</v>
      </c>
      <c r="BU81" s="179"/>
      <c r="BV81" s="166"/>
      <c r="BW81" s="179"/>
      <c r="BX81" s="166"/>
      <c r="BY81" s="179"/>
      <c r="BZ81" s="166"/>
      <c r="CA81" s="179"/>
      <c r="CB81" s="250" t="str">
        <f t="shared" si="10"/>
        <v>EDUC4036</v>
      </c>
      <c r="CC81" s="179"/>
      <c r="CD81" s="166"/>
      <c r="CE81" s="179"/>
      <c r="CF81" s="250" t="str">
        <f t="shared" si="11"/>
        <v>EDUC4036</v>
      </c>
      <c r="CG81" s="179"/>
      <c r="CH81" s="166"/>
      <c r="CI81" s="179"/>
      <c r="CJ81" s="166"/>
      <c r="CK81" s="179"/>
      <c r="CL81" s="166"/>
      <c r="CM81" s="179"/>
      <c r="CN81" s="250" t="str">
        <f t="shared" si="12"/>
        <v>EDUC4036</v>
      </c>
      <c r="CO81" s="179"/>
      <c r="CP81" s="166"/>
      <c r="CQ81" s="179"/>
      <c r="CR81" s="166"/>
      <c r="CS81" s="179"/>
      <c r="CT81" s="166"/>
      <c r="CU81" s="179"/>
      <c r="CV81" s="250" t="str">
        <f t="shared" si="13"/>
        <v>EDUC4036</v>
      </c>
      <c r="CW81" s="179"/>
      <c r="CX81" s="166"/>
      <c r="CY81" s="179"/>
      <c r="CZ81" s="166"/>
      <c r="DA81" s="179"/>
      <c r="DB81" s="166"/>
      <c r="DC81" s="179"/>
      <c r="DD81" s="250" t="str">
        <f t="shared" si="14"/>
        <v>EDUC4036</v>
      </c>
      <c r="DE81" s="179"/>
      <c r="DF81" s="166"/>
      <c r="DG81" s="179"/>
      <c r="DH81" s="166"/>
      <c r="DI81" s="179"/>
      <c r="DJ81" s="166"/>
      <c r="DK81" s="179"/>
      <c r="DL81" s="166"/>
      <c r="DM81" s="179"/>
      <c r="DN81" s="166"/>
      <c r="DO81" s="179"/>
      <c r="DP81" s="250" t="str">
        <f t="shared" si="15"/>
        <v>EDUC4036</v>
      </c>
      <c r="DQ81" s="179"/>
      <c r="DR81" s="166"/>
      <c r="DS81" s="179"/>
      <c r="DT81" s="166"/>
      <c r="DU81" s="179"/>
      <c r="DV81" s="166"/>
    </row>
    <row r="82" spans="9:126" x14ac:dyDescent="0.25">
      <c r="I82" s="234"/>
      <c r="J82" s="239" t="str">
        <f>INDEX(TableStreams[Choose your Specialisation Stream second (drop-down list)],MATCH(K82,TableStreams[UDC],0))</f>
        <v>Broadening Mathematics Teaching Area Stream (BEd Secondary)</v>
      </c>
      <c r="K82" s="234" t="s">
        <v>323</v>
      </c>
      <c r="N82" s="26">
        <v>15</v>
      </c>
      <c r="O82" s="179"/>
      <c r="P82" s="166"/>
      <c r="Q82" s="179"/>
      <c r="R82" s="166"/>
      <c r="S82" s="179"/>
      <c r="T82" s="166"/>
      <c r="U82" s="179"/>
      <c r="V82" s="278"/>
      <c r="W82" s="179"/>
      <c r="X82" s="166" t="s">
        <v>161</v>
      </c>
      <c r="Y82" s="179"/>
      <c r="Z82" s="166"/>
      <c r="AA82" s="179"/>
      <c r="AB82" s="166"/>
      <c r="AC82" s="179"/>
      <c r="AD82" s="166"/>
      <c r="AE82" s="179"/>
      <c r="AF82" s="250" t="str">
        <f t="shared" si="0"/>
        <v>EDUC4038</v>
      </c>
      <c r="AG82" s="179"/>
      <c r="AH82" s="166"/>
      <c r="AI82" s="179"/>
      <c r="AJ82" s="250" t="str">
        <f t="shared" si="1"/>
        <v>EDUC4038</v>
      </c>
      <c r="AK82" s="179"/>
      <c r="AL82" s="166"/>
      <c r="AM82" s="179"/>
      <c r="AN82" s="250" t="str">
        <f t="shared" si="2"/>
        <v>EDUC4038</v>
      </c>
      <c r="AO82" s="179"/>
      <c r="AP82" s="166"/>
      <c r="AQ82" s="179"/>
      <c r="AR82" s="250" t="str">
        <f t="shared" si="3"/>
        <v>EDUC4038</v>
      </c>
      <c r="AS82" s="179"/>
      <c r="AT82" s="166"/>
      <c r="AU82" s="179"/>
      <c r="AV82" s="250" t="str">
        <f t="shared" si="4"/>
        <v>EDUC4038</v>
      </c>
      <c r="AW82" s="179"/>
      <c r="AX82" s="166"/>
      <c r="AY82" s="179"/>
      <c r="AZ82" s="250" t="str">
        <f t="shared" si="5"/>
        <v>EDUC4038</v>
      </c>
      <c r="BA82" s="179"/>
      <c r="BB82" s="166"/>
      <c r="BC82" s="179"/>
      <c r="BD82" s="250" t="str">
        <f t="shared" si="6"/>
        <v>EDUC4038</v>
      </c>
      <c r="BE82" s="179"/>
      <c r="BF82" s="166"/>
      <c r="BG82" s="179"/>
      <c r="BH82" s="250" t="str">
        <f t="shared" si="7"/>
        <v>EDUC4038</v>
      </c>
      <c r="BI82" s="179"/>
      <c r="BJ82" s="166"/>
      <c r="BK82" s="179"/>
      <c r="BL82" s="166"/>
      <c r="BM82" s="179"/>
      <c r="BN82" s="166"/>
      <c r="BO82" s="179"/>
      <c r="BP82" s="250" t="str">
        <f t="shared" si="8"/>
        <v>EDUC4038</v>
      </c>
      <c r="BQ82" s="179"/>
      <c r="BR82" s="166"/>
      <c r="BS82" s="179"/>
      <c r="BT82" s="250" t="str">
        <f t="shared" si="9"/>
        <v>EDUC4038</v>
      </c>
      <c r="BU82" s="179"/>
      <c r="BV82" s="166"/>
      <c r="BW82" s="179"/>
      <c r="BX82" s="166"/>
      <c r="BY82" s="179"/>
      <c r="BZ82" s="166"/>
      <c r="CA82" s="179"/>
      <c r="CB82" s="250" t="str">
        <f t="shared" si="10"/>
        <v>EDUC4038</v>
      </c>
      <c r="CC82" s="179"/>
      <c r="CD82" s="166"/>
      <c r="CE82" s="179"/>
      <c r="CF82" s="250" t="str">
        <f t="shared" si="11"/>
        <v>EDUC4038</v>
      </c>
      <c r="CG82" s="179"/>
      <c r="CH82" s="166"/>
      <c r="CI82" s="179"/>
      <c r="CJ82" s="166"/>
      <c r="CK82" s="179"/>
      <c r="CL82" s="166"/>
      <c r="CM82" s="179"/>
      <c r="CN82" s="250" t="str">
        <f t="shared" si="12"/>
        <v>EDUC4038</v>
      </c>
      <c r="CO82" s="179"/>
      <c r="CP82" s="166"/>
      <c r="CQ82" s="179"/>
      <c r="CR82" s="166"/>
      <c r="CS82" s="179"/>
      <c r="CT82" s="166"/>
      <c r="CU82" s="179"/>
      <c r="CV82" s="250" t="str">
        <f t="shared" si="13"/>
        <v>EDUC4038</v>
      </c>
      <c r="CW82" s="179"/>
      <c r="CX82" s="166"/>
      <c r="CY82" s="179"/>
      <c r="CZ82" s="166"/>
      <c r="DA82" s="179"/>
      <c r="DB82" s="166"/>
      <c r="DC82" s="179"/>
      <c r="DD82" s="250" t="str">
        <f t="shared" si="14"/>
        <v>EDUC4038</v>
      </c>
      <c r="DE82" s="179"/>
      <c r="DF82" s="166"/>
      <c r="DG82" s="179"/>
      <c r="DH82" s="166"/>
      <c r="DI82" s="179"/>
      <c r="DJ82" s="166"/>
      <c r="DK82" s="179"/>
      <c r="DL82" s="166"/>
      <c r="DM82" s="179"/>
      <c r="DN82" s="166"/>
      <c r="DO82" s="179"/>
      <c r="DP82" s="250" t="str">
        <f t="shared" si="15"/>
        <v>EDUC4038</v>
      </c>
      <c r="DQ82" s="179"/>
      <c r="DR82" s="166"/>
      <c r="DS82" s="179"/>
      <c r="DT82" s="166"/>
      <c r="DU82" s="179"/>
      <c r="DV82" s="166"/>
    </row>
    <row r="83" spans="9:126" x14ac:dyDescent="0.25">
      <c r="I83" s="234"/>
      <c r="J83" s="239" t="str">
        <f>INDEX(TableStreams[Choose your Specialisation Stream second (drop-down list)],MATCH(K83,TableStreams[UDC],0))</f>
        <v>The Arts - Performing Arts Education Minor Teaching Area Stream (BEd Secondary)</v>
      </c>
      <c r="K83" s="234" t="s">
        <v>261</v>
      </c>
      <c r="N83" s="26">
        <v>16</v>
      </c>
      <c r="O83" s="179"/>
      <c r="P83" s="166"/>
      <c r="Q83" s="179"/>
      <c r="R83" s="166"/>
      <c r="S83" s="179"/>
      <c r="T83" s="166"/>
      <c r="U83" s="179"/>
      <c r="V83" s="278"/>
      <c r="W83" s="179"/>
      <c r="X83" s="166" t="s">
        <v>155</v>
      </c>
      <c r="Y83" s="179"/>
      <c r="Z83" s="166"/>
      <c r="AA83" s="179"/>
      <c r="AB83" s="166"/>
      <c r="AC83" s="179"/>
      <c r="AD83" s="166"/>
      <c r="AE83" s="179"/>
      <c r="AF83" s="250" t="str">
        <f t="shared" si="0"/>
        <v>EDUC4042</v>
      </c>
      <c r="AG83" s="179"/>
      <c r="AH83" s="166"/>
      <c r="AI83" s="179"/>
      <c r="AJ83" s="250" t="str">
        <f t="shared" si="1"/>
        <v>EDUC4042</v>
      </c>
      <c r="AK83" s="179"/>
      <c r="AL83" s="166"/>
      <c r="AM83" s="179"/>
      <c r="AN83" s="250" t="str">
        <f t="shared" si="2"/>
        <v>EDUC4042</v>
      </c>
      <c r="AO83" s="179"/>
      <c r="AP83" s="166"/>
      <c r="AQ83" s="179"/>
      <c r="AR83" s="250" t="str">
        <f t="shared" si="3"/>
        <v>EDUC4042</v>
      </c>
      <c r="AS83" s="179"/>
      <c r="AT83" s="166"/>
      <c r="AU83" s="179"/>
      <c r="AV83" s="250" t="str">
        <f t="shared" si="4"/>
        <v>EDUC4042</v>
      </c>
      <c r="AW83" s="179"/>
      <c r="AX83" s="166"/>
      <c r="AY83" s="179"/>
      <c r="AZ83" s="250" t="str">
        <f t="shared" si="5"/>
        <v>EDUC4042</v>
      </c>
      <c r="BA83" s="179"/>
      <c r="BB83" s="166"/>
      <c r="BC83" s="179"/>
      <c r="BD83" s="250" t="str">
        <f t="shared" si="6"/>
        <v>EDUC4042</v>
      </c>
      <c r="BE83" s="179"/>
      <c r="BF83" s="166"/>
      <c r="BG83" s="179"/>
      <c r="BH83" s="250" t="str">
        <f t="shared" si="7"/>
        <v>EDUC4042</v>
      </c>
      <c r="BI83" s="179"/>
      <c r="BJ83" s="166"/>
      <c r="BK83" s="179"/>
      <c r="BL83" s="166"/>
      <c r="BM83" s="179"/>
      <c r="BN83" s="166"/>
      <c r="BO83" s="179"/>
      <c r="BP83" s="250" t="str">
        <f t="shared" si="8"/>
        <v>EDUC4042</v>
      </c>
      <c r="BQ83" s="179"/>
      <c r="BR83" s="166"/>
      <c r="BS83" s="179"/>
      <c r="BT83" s="250" t="str">
        <f t="shared" si="9"/>
        <v>EDUC4042</v>
      </c>
      <c r="BU83" s="179"/>
      <c r="BV83" s="166"/>
      <c r="BW83" s="179"/>
      <c r="BX83" s="166"/>
      <c r="BY83" s="179"/>
      <c r="BZ83" s="166"/>
      <c r="CA83" s="179"/>
      <c r="CB83" s="250" t="str">
        <f t="shared" si="10"/>
        <v>EDUC4042</v>
      </c>
      <c r="CC83" s="179"/>
      <c r="CD83" s="166"/>
      <c r="CE83" s="179"/>
      <c r="CF83" s="250" t="str">
        <f t="shared" si="11"/>
        <v>EDUC4042</v>
      </c>
      <c r="CG83" s="179"/>
      <c r="CH83" s="166"/>
      <c r="CI83" s="179"/>
      <c r="CJ83" s="166"/>
      <c r="CK83" s="179"/>
      <c r="CL83" s="166"/>
      <c r="CM83" s="179"/>
      <c r="CN83" s="250" t="str">
        <f t="shared" si="12"/>
        <v>EDUC4042</v>
      </c>
      <c r="CO83" s="179"/>
      <c r="CP83" s="166"/>
      <c r="CQ83" s="179"/>
      <c r="CR83" s="166"/>
      <c r="CS83" s="179"/>
      <c r="CT83" s="166"/>
      <c r="CU83" s="179"/>
      <c r="CV83" s="250" t="str">
        <f t="shared" si="13"/>
        <v>EDUC4042</v>
      </c>
      <c r="CW83" s="179"/>
      <c r="CX83" s="166"/>
      <c r="CY83" s="179"/>
      <c r="CZ83" s="166"/>
      <c r="DA83" s="179"/>
      <c r="DB83" s="166"/>
      <c r="DC83" s="179"/>
      <c r="DD83" s="250" t="str">
        <f t="shared" si="14"/>
        <v>EDUC4042</v>
      </c>
      <c r="DE83" s="179"/>
      <c r="DF83" s="166"/>
      <c r="DG83" s="179"/>
      <c r="DH83" s="166"/>
      <c r="DI83" s="179"/>
      <c r="DJ83" s="166"/>
      <c r="DK83" s="179"/>
      <c r="DL83" s="166"/>
      <c r="DM83" s="179"/>
      <c r="DN83" s="166"/>
      <c r="DO83" s="179"/>
      <c r="DP83" s="250" t="str">
        <f t="shared" si="15"/>
        <v>EDUC4042</v>
      </c>
      <c r="DQ83" s="179"/>
      <c r="DR83" s="166"/>
      <c r="DS83" s="179"/>
      <c r="DT83" s="166"/>
      <c r="DU83" s="179"/>
      <c r="DV83" s="166"/>
    </row>
    <row r="84" spans="9:126" x14ac:dyDescent="0.25">
      <c r="I84" s="234"/>
      <c r="J84" s="239" t="str">
        <f>INDEX(TableStreams[Choose your Specialisation Stream second (drop-down list)],MATCH(K84,TableStreams[UDC],0))</f>
        <v>Physical Sciences Education Minor Teaching Area Stream (BEd Secondary)</v>
      </c>
      <c r="K84" s="234" t="s">
        <v>208</v>
      </c>
      <c r="N84" s="26">
        <v>17</v>
      </c>
      <c r="O84" s="179"/>
      <c r="P84" s="166"/>
      <c r="Q84" s="179"/>
      <c r="R84" s="166"/>
      <c r="S84" s="179"/>
      <c r="T84" s="166"/>
      <c r="U84" s="179"/>
      <c r="V84" s="278"/>
      <c r="W84" s="179"/>
      <c r="X84" s="166" t="s">
        <v>157</v>
      </c>
      <c r="Y84" s="179"/>
      <c r="Z84" s="166"/>
      <c r="AA84" s="179"/>
      <c r="AB84" s="166"/>
      <c r="AC84" s="179"/>
      <c r="AD84" s="166"/>
      <c r="AE84" s="179"/>
      <c r="AF84" s="250" t="str">
        <f t="shared" si="0"/>
        <v>EDUC4044</v>
      </c>
      <c r="AG84" s="179"/>
      <c r="AH84" s="166"/>
      <c r="AI84" s="179"/>
      <c r="AJ84" s="250" t="str">
        <f t="shared" si="1"/>
        <v>EDUC4044</v>
      </c>
      <c r="AK84" s="179"/>
      <c r="AL84" s="166"/>
      <c r="AM84" s="179"/>
      <c r="AN84" s="250" t="str">
        <f t="shared" si="2"/>
        <v>EDUC4044</v>
      </c>
      <c r="AO84" s="179"/>
      <c r="AP84" s="166"/>
      <c r="AQ84" s="179"/>
      <c r="AR84" s="250" t="str">
        <f t="shared" si="3"/>
        <v>EDUC4044</v>
      </c>
      <c r="AS84" s="179"/>
      <c r="AT84" s="166"/>
      <c r="AU84" s="179"/>
      <c r="AV84" s="250" t="str">
        <f t="shared" si="4"/>
        <v>EDUC4044</v>
      </c>
      <c r="AW84" s="179"/>
      <c r="AX84" s="166"/>
      <c r="AY84" s="179"/>
      <c r="AZ84" s="250" t="str">
        <f t="shared" si="5"/>
        <v>EDUC4044</v>
      </c>
      <c r="BA84" s="179"/>
      <c r="BB84" s="166"/>
      <c r="BC84" s="179"/>
      <c r="BD84" s="250" t="str">
        <f t="shared" si="6"/>
        <v>EDUC4044</v>
      </c>
      <c r="BE84" s="179"/>
      <c r="BF84" s="166"/>
      <c r="BG84" s="179"/>
      <c r="BH84" s="250" t="str">
        <f t="shared" si="7"/>
        <v>EDUC4044</v>
      </c>
      <c r="BI84" s="179"/>
      <c r="BJ84" s="166"/>
      <c r="BK84" s="179"/>
      <c r="BL84" s="166"/>
      <c r="BM84" s="179"/>
      <c r="BN84" s="166"/>
      <c r="BO84" s="179"/>
      <c r="BP84" s="250" t="str">
        <f t="shared" si="8"/>
        <v>EDUC4044</v>
      </c>
      <c r="BQ84" s="179"/>
      <c r="BR84" s="166"/>
      <c r="BS84" s="179"/>
      <c r="BT84" s="250" t="str">
        <f t="shared" si="9"/>
        <v>EDUC4044</v>
      </c>
      <c r="BU84" s="179"/>
      <c r="BV84" s="166"/>
      <c r="BW84" s="179"/>
      <c r="BX84" s="166"/>
      <c r="BY84" s="179"/>
      <c r="BZ84" s="166"/>
      <c r="CA84" s="179"/>
      <c r="CB84" s="250" t="str">
        <f t="shared" si="10"/>
        <v>EDUC4044</v>
      </c>
      <c r="CC84" s="179"/>
      <c r="CD84" s="166"/>
      <c r="CE84" s="179"/>
      <c r="CF84" s="250" t="str">
        <f t="shared" si="11"/>
        <v>EDUC4044</v>
      </c>
      <c r="CG84" s="179"/>
      <c r="CH84" s="166"/>
      <c r="CI84" s="179"/>
      <c r="CJ84" s="166"/>
      <c r="CK84" s="179"/>
      <c r="CL84" s="166"/>
      <c r="CM84" s="179"/>
      <c r="CN84" s="250" t="str">
        <f t="shared" si="12"/>
        <v>EDUC4044</v>
      </c>
      <c r="CO84" s="179"/>
      <c r="CP84" s="166"/>
      <c r="CQ84" s="179"/>
      <c r="CR84" s="166"/>
      <c r="CS84" s="179"/>
      <c r="CT84" s="166"/>
      <c r="CU84" s="179"/>
      <c r="CV84" s="250" t="str">
        <f t="shared" si="13"/>
        <v>EDUC4044</v>
      </c>
      <c r="CW84" s="179"/>
      <c r="CX84" s="166"/>
      <c r="CY84" s="179"/>
      <c r="CZ84" s="166"/>
      <c r="DA84" s="179"/>
      <c r="DB84" s="166"/>
      <c r="DC84" s="179"/>
      <c r="DD84" s="250" t="str">
        <f t="shared" si="14"/>
        <v>EDUC4044</v>
      </c>
      <c r="DE84" s="179"/>
      <c r="DF84" s="166"/>
      <c r="DG84" s="179"/>
      <c r="DH84" s="166"/>
      <c r="DI84" s="179"/>
      <c r="DJ84" s="166"/>
      <c r="DK84" s="179"/>
      <c r="DL84" s="166"/>
      <c r="DM84" s="179"/>
      <c r="DN84" s="166"/>
      <c r="DO84" s="179"/>
      <c r="DP84" s="250" t="str">
        <f t="shared" si="15"/>
        <v>EDUC4044</v>
      </c>
      <c r="DQ84" s="179"/>
      <c r="DR84" s="166"/>
      <c r="DS84" s="179"/>
      <c r="DT84" s="166"/>
      <c r="DU84" s="179"/>
      <c r="DV84" s="166"/>
    </row>
    <row r="85" spans="9:126" x14ac:dyDescent="0.25">
      <c r="I85" s="234"/>
      <c r="J85" s="239" t="str">
        <f>INDEX(TableStreams[Choose your Specialisation Stream second (drop-down list)],MATCH(K85,TableStreams[UDC],0))</f>
        <v>Psychology Education Minor Teaching Area Stream (BEd Secondary)</v>
      </c>
      <c r="K85" s="234" t="s">
        <v>212</v>
      </c>
      <c r="N85" s="26">
        <v>18</v>
      </c>
      <c r="O85" s="179"/>
      <c r="P85" s="166"/>
      <c r="Q85" s="179"/>
      <c r="R85" s="166"/>
      <c r="S85" s="179"/>
      <c r="T85" s="166"/>
      <c r="U85" s="179"/>
      <c r="V85" s="278"/>
      <c r="W85" s="179"/>
      <c r="X85" s="166" t="s">
        <v>162</v>
      </c>
      <c r="Y85" s="179"/>
      <c r="Z85" s="166"/>
      <c r="AA85" s="179"/>
      <c r="AB85" s="166"/>
      <c r="AC85" s="179"/>
      <c r="AD85" s="166"/>
      <c r="AE85" s="179"/>
      <c r="AF85" s="250" t="str">
        <f t="shared" si="0"/>
        <v>EDUC4046</v>
      </c>
      <c r="AG85" s="179"/>
      <c r="AH85" s="166"/>
      <c r="AI85" s="179"/>
      <c r="AJ85" s="250" t="str">
        <f t="shared" si="1"/>
        <v>EDUC4046</v>
      </c>
      <c r="AK85" s="179"/>
      <c r="AL85" s="166"/>
      <c r="AM85" s="179"/>
      <c r="AN85" s="250" t="str">
        <f t="shared" si="2"/>
        <v>EDUC4046</v>
      </c>
      <c r="AO85" s="179"/>
      <c r="AP85" s="166"/>
      <c r="AQ85" s="179"/>
      <c r="AR85" s="250" t="str">
        <f t="shared" si="3"/>
        <v>EDUC4046</v>
      </c>
      <c r="AS85" s="179"/>
      <c r="AT85" s="166"/>
      <c r="AU85" s="179"/>
      <c r="AV85" s="250" t="str">
        <f t="shared" si="4"/>
        <v>EDUC4046</v>
      </c>
      <c r="AW85" s="179"/>
      <c r="AX85" s="166"/>
      <c r="AY85" s="179"/>
      <c r="AZ85" s="250" t="str">
        <f t="shared" si="5"/>
        <v>EDUC4046</v>
      </c>
      <c r="BA85" s="179"/>
      <c r="BB85" s="166"/>
      <c r="BC85" s="179"/>
      <c r="BD85" s="250" t="str">
        <f t="shared" si="6"/>
        <v>EDUC4046</v>
      </c>
      <c r="BE85" s="179"/>
      <c r="BF85" s="166"/>
      <c r="BG85" s="179"/>
      <c r="BH85" s="250" t="str">
        <f t="shared" si="7"/>
        <v>EDUC4046</v>
      </c>
      <c r="BI85" s="179"/>
      <c r="BJ85" s="166"/>
      <c r="BK85" s="179"/>
      <c r="BL85" s="166"/>
      <c r="BM85" s="179"/>
      <c r="BN85" s="166"/>
      <c r="BO85" s="179"/>
      <c r="BP85" s="250" t="str">
        <f t="shared" si="8"/>
        <v>EDUC4046</v>
      </c>
      <c r="BQ85" s="179"/>
      <c r="BR85" s="166"/>
      <c r="BS85" s="179"/>
      <c r="BT85" s="250" t="str">
        <f t="shared" si="9"/>
        <v>EDUC4046</v>
      </c>
      <c r="BU85" s="179"/>
      <c r="BV85" s="166"/>
      <c r="BW85" s="179"/>
      <c r="BX85" s="166"/>
      <c r="BY85" s="179"/>
      <c r="BZ85" s="166"/>
      <c r="CA85" s="179"/>
      <c r="CB85" s="250" t="str">
        <f t="shared" si="10"/>
        <v>EDUC4046</v>
      </c>
      <c r="CC85" s="179"/>
      <c r="CD85" s="166"/>
      <c r="CE85" s="179"/>
      <c r="CF85" s="250" t="str">
        <f t="shared" si="11"/>
        <v>EDUC4046</v>
      </c>
      <c r="CG85" s="179"/>
      <c r="CH85" s="166"/>
      <c r="CI85" s="179"/>
      <c r="CJ85" s="166"/>
      <c r="CK85" s="179"/>
      <c r="CL85" s="166"/>
      <c r="CM85" s="179"/>
      <c r="CN85" s="250" t="str">
        <f t="shared" si="12"/>
        <v>EDUC4046</v>
      </c>
      <c r="CO85" s="179"/>
      <c r="CP85" s="166"/>
      <c r="CQ85" s="179"/>
      <c r="CR85" s="166"/>
      <c r="CS85" s="179"/>
      <c r="CT85" s="166"/>
      <c r="CU85" s="179"/>
      <c r="CV85" s="250" t="str">
        <f t="shared" si="13"/>
        <v>EDUC4046</v>
      </c>
      <c r="CW85" s="179"/>
      <c r="CX85" s="166"/>
      <c r="CY85" s="179"/>
      <c r="CZ85" s="166"/>
      <c r="DA85" s="179"/>
      <c r="DB85" s="166"/>
      <c r="DC85" s="179"/>
      <c r="DD85" s="250" t="str">
        <f t="shared" si="14"/>
        <v>EDUC4046</v>
      </c>
      <c r="DE85" s="179"/>
      <c r="DF85" s="166"/>
      <c r="DG85" s="179"/>
      <c r="DH85" s="166"/>
      <c r="DI85" s="179"/>
      <c r="DJ85" s="166"/>
      <c r="DK85" s="179"/>
      <c r="DL85" s="166"/>
      <c r="DM85" s="179"/>
      <c r="DN85" s="166"/>
      <c r="DO85" s="179"/>
      <c r="DP85" s="250" t="str">
        <f t="shared" si="15"/>
        <v>EDUC4046</v>
      </c>
      <c r="DQ85" s="179"/>
      <c r="DR85" s="166"/>
      <c r="DS85" s="179"/>
      <c r="DT85" s="166"/>
      <c r="DU85" s="179"/>
      <c r="DV85" s="166"/>
    </row>
    <row r="86" spans="9:126" x14ac:dyDescent="0.25">
      <c r="I86" s="234"/>
      <c r="J86" s="239" t="str">
        <f>INDEX(TableStreams[Choose your Specialisation Stream second (drop-down list)],MATCH(K86,TableStreams[UDC],0))</f>
        <v>Humanities and Social Sciences - Social Sciences Education Minor Teaching Area Stream (BEd Secondary)</v>
      </c>
      <c r="K86" s="234" t="s">
        <v>216</v>
      </c>
      <c r="N86" s="26">
        <v>19</v>
      </c>
      <c r="O86" s="179"/>
      <c r="P86" s="166"/>
      <c r="Q86" s="179"/>
      <c r="R86" s="166"/>
      <c r="S86" s="179"/>
      <c r="T86" s="166"/>
      <c r="U86" s="179"/>
      <c r="V86" s="278"/>
      <c r="W86" s="179"/>
      <c r="X86" s="166" t="s">
        <v>117</v>
      </c>
      <c r="Y86" s="179"/>
      <c r="Z86" s="166"/>
      <c r="AA86" s="179"/>
      <c r="AB86" s="166"/>
      <c r="AC86" s="179"/>
      <c r="AD86" s="166"/>
      <c r="AE86" s="179"/>
      <c r="AF86" s="250" t="str">
        <f t="shared" si="0"/>
        <v>EDUC4048</v>
      </c>
      <c r="AG86" s="179"/>
      <c r="AH86" s="166"/>
      <c r="AI86" s="179"/>
      <c r="AJ86" s="250" t="str">
        <f t="shared" si="1"/>
        <v>EDUC4048</v>
      </c>
      <c r="AK86" s="179"/>
      <c r="AL86" s="166"/>
      <c r="AM86" s="179"/>
      <c r="AN86" s="250" t="str">
        <f t="shared" si="2"/>
        <v>EDUC4048</v>
      </c>
      <c r="AO86" s="179"/>
      <c r="AP86" s="166"/>
      <c r="AQ86" s="179"/>
      <c r="AR86" s="250" t="str">
        <f t="shared" si="3"/>
        <v>EDUC4048</v>
      </c>
      <c r="AS86" s="179"/>
      <c r="AT86" s="166"/>
      <c r="AU86" s="179"/>
      <c r="AV86" s="250" t="str">
        <f t="shared" si="4"/>
        <v>EDUC4048</v>
      </c>
      <c r="AW86" s="179"/>
      <c r="AX86" s="166"/>
      <c r="AY86" s="179"/>
      <c r="AZ86" s="250" t="str">
        <f t="shared" si="5"/>
        <v>EDUC4048</v>
      </c>
      <c r="BA86" s="179"/>
      <c r="BB86" s="166"/>
      <c r="BC86" s="179"/>
      <c r="BD86" s="250" t="str">
        <f t="shared" si="6"/>
        <v>EDUC4048</v>
      </c>
      <c r="BE86" s="179"/>
      <c r="BF86" s="166"/>
      <c r="BG86" s="179"/>
      <c r="BH86" s="250" t="str">
        <f t="shared" si="7"/>
        <v>EDUC4048</v>
      </c>
      <c r="BI86" s="179"/>
      <c r="BJ86" s="166"/>
      <c r="BK86" s="179"/>
      <c r="BL86" s="166"/>
      <c r="BM86" s="179"/>
      <c r="BN86" s="166"/>
      <c r="BO86" s="179"/>
      <c r="BP86" s="250" t="str">
        <f t="shared" si="8"/>
        <v>EDUC4048</v>
      </c>
      <c r="BQ86" s="179"/>
      <c r="BR86" s="166"/>
      <c r="BS86" s="179"/>
      <c r="BT86" s="250" t="str">
        <f t="shared" si="9"/>
        <v>EDUC4048</v>
      </c>
      <c r="BU86" s="179"/>
      <c r="BV86" s="166"/>
      <c r="BW86" s="179"/>
      <c r="BX86" s="166"/>
      <c r="BY86" s="179"/>
      <c r="BZ86" s="166"/>
      <c r="CA86" s="179"/>
      <c r="CB86" s="250" t="str">
        <f t="shared" si="10"/>
        <v>EDUC4048</v>
      </c>
      <c r="CC86" s="179"/>
      <c r="CD86" s="166"/>
      <c r="CE86" s="179"/>
      <c r="CF86" s="250" t="str">
        <f t="shared" si="11"/>
        <v>EDUC4048</v>
      </c>
      <c r="CG86" s="179"/>
      <c r="CH86" s="166"/>
      <c r="CI86" s="179"/>
      <c r="CJ86" s="166"/>
      <c r="CK86" s="179"/>
      <c r="CL86" s="166"/>
      <c r="CM86" s="179"/>
      <c r="CN86" s="250" t="str">
        <f t="shared" si="12"/>
        <v>EDUC4048</v>
      </c>
      <c r="CO86" s="179"/>
      <c r="CP86" s="166"/>
      <c r="CQ86" s="179"/>
      <c r="CR86" s="166"/>
      <c r="CS86" s="179"/>
      <c r="CT86" s="166"/>
      <c r="CU86" s="179"/>
      <c r="CV86" s="250" t="str">
        <f t="shared" si="13"/>
        <v>EDUC4048</v>
      </c>
      <c r="CW86" s="179"/>
      <c r="CX86" s="166"/>
      <c r="CY86" s="179"/>
      <c r="CZ86" s="166"/>
      <c r="DA86" s="179"/>
      <c r="DB86" s="166"/>
      <c r="DC86" s="179"/>
      <c r="DD86" s="250" t="str">
        <f t="shared" si="14"/>
        <v>EDUC4048</v>
      </c>
      <c r="DE86" s="179"/>
      <c r="DF86" s="166"/>
      <c r="DG86" s="179"/>
      <c r="DH86" s="166"/>
      <c r="DI86" s="179"/>
      <c r="DJ86" s="166"/>
      <c r="DK86" s="179"/>
      <c r="DL86" s="166"/>
      <c r="DM86" s="179"/>
      <c r="DN86" s="166"/>
      <c r="DO86" s="179"/>
      <c r="DP86" s="250" t="str">
        <f t="shared" si="15"/>
        <v>EDUC4048</v>
      </c>
      <c r="DQ86" s="179"/>
      <c r="DR86" s="166"/>
      <c r="DS86" s="179"/>
      <c r="DT86" s="166"/>
      <c r="DU86" s="179"/>
      <c r="DV86" s="166"/>
    </row>
    <row r="87" spans="9:126" x14ac:dyDescent="0.25">
      <c r="I87" s="235"/>
      <c r="J87" s="240" t="str">
        <f>INDEX(TableStreams[Choose your Specialisation Stream second (drop-down list)],MATCH(K87,TableStreams[UDC],0))</f>
        <v>The Arts - Visual Arts Education Minor Teaching Area Stream (BEd Secondary)</v>
      </c>
      <c r="K87" s="235" t="s">
        <v>315</v>
      </c>
      <c r="N87" s="26">
        <v>20</v>
      </c>
      <c r="O87" s="179"/>
      <c r="P87" s="166"/>
      <c r="Q87" s="179"/>
      <c r="R87" s="166"/>
      <c r="S87" s="179"/>
      <c r="T87" s="166"/>
      <c r="U87" s="179"/>
      <c r="V87" s="278"/>
      <c r="W87" s="179"/>
      <c r="X87" s="166"/>
      <c r="Y87" s="179"/>
      <c r="Z87" s="166"/>
      <c r="AA87" s="179"/>
      <c r="AB87" s="166"/>
      <c r="AC87" s="179"/>
      <c r="AD87" s="166"/>
      <c r="AE87" s="179"/>
      <c r="AF87" s="166"/>
      <c r="AG87" s="179"/>
      <c r="AH87" s="166"/>
      <c r="AI87" s="179"/>
      <c r="AJ87" s="166"/>
      <c r="AK87" s="179"/>
      <c r="AL87" s="166"/>
      <c r="AM87" s="179"/>
      <c r="AN87" s="166"/>
      <c r="AO87" s="179"/>
      <c r="AP87" s="166"/>
      <c r="AQ87" s="179"/>
      <c r="AR87" s="166"/>
      <c r="AS87" s="179"/>
      <c r="AT87" s="166"/>
      <c r="AU87" s="179"/>
      <c r="AV87" s="166"/>
      <c r="AW87" s="179"/>
      <c r="AX87" s="166"/>
      <c r="AY87" s="179"/>
      <c r="AZ87" s="166"/>
      <c r="BA87" s="179"/>
      <c r="BB87" s="166"/>
      <c r="BC87" s="179"/>
      <c r="BD87" s="166"/>
      <c r="BE87" s="179"/>
      <c r="BF87" s="166"/>
      <c r="BG87" s="179"/>
      <c r="BH87" s="166"/>
      <c r="BI87" s="179"/>
      <c r="BJ87" s="166"/>
      <c r="BK87" s="179"/>
      <c r="BL87" s="166"/>
      <c r="BM87" s="179"/>
      <c r="BN87" s="166"/>
      <c r="BO87" s="179"/>
      <c r="BP87" s="166"/>
      <c r="BQ87" s="179"/>
      <c r="BR87" s="166"/>
      <c r="BS87" s="179"/>
      <c r="BT87" s="166"/>
      <c r="BU87" s="179"/>
      <c r="BV87" s="166"/>
      <c r="BW87" s="179"/>
      <c r="BX87" s="166"/>
      <c r="BY87" s="179"/>
      <c r="BZ87" s="166"/>
      <c r="CA87" s="179"/>
      <c r="CB87" s="166"/>
      <c r="CC87" s="179"/>
      <c r="CD87" s="166"/>
      <c r="CE87" s="179"/>
      <c r="CF87" s="166"/>
      <c r="CG87" s="179"/>
      <c r="CH87" s="166"/>
      <c r="CI87" s="179"/>
      <c r="CJ87" s="166"/>
      <c r="CK87" s="179"/>
      <c r="CL87" s="166"/>
      <c r="CM87" s="179"/>
      <c r="CN87" s="166"/>
      <c r="CO87" s="179"/>
      <c r="CP87" s="166"/>
      <c r="CQ87" s="179"/>
      <c r="CR87" s="166"/>
      <c r="CS87" s="179"/>
      <c r="CT87" s="166"/>
      <c r="CU87" s="179"/>
      <c r="CV87" s="166"/>
      <c r="CW87" s="179"/>
      <c r="CX87" s="166"/>
      <c r="CY87" s="179"/>
      <c r="CZ87" s="166"/>
      <c r="DA87" s="179"/>
      <c r="DB87" s="166"/>
      <c r="DC87" s="179"/>
      <c r="DD87" s="166"/>
      <c r="DE87" s="179"/>
      <c r="DF87" s="166"/>
      <c r="DG87" s="179"/>
      <c r="DH87" s="166"/>
      <c r="DI87" s="179"/>
      <c r="DJ87" s="166"/>
      <c r="DK87" s="179"/>
      <c r="DL87" s="166"/>
      <c r="DM87" s="179"/>
      <c r="DN87" s="166"/>
      <c r="DO87" s="179"/>
      <c r="DP87" s="166"/>
      <c r="DQ87" s="179"/>
      <c r="DR87" s="166"/>
      <c r="DS87" s="179"/>
      <c r="DT87" s="166"/>
      <c r="DU87" s="179"/>
      <c r="DV87" s="166"/>
    </row>
    <row r="88" spans="9:126" x14ac:dyDescent="0.25">
      <c r="I88" s="233" t="s">
        <v>229</v>
      </c>
      <c r="J88" s="238" t="str">
        <f>INDEX(TableStreams[Choose your Specialisation Stream second (drop-down list)],MATCH(K88,TableStreams[UDC],0))</f>
        <v>Broadening Biology Teaching Area Stream (BEd Secondary)</v>
      </c>
      <c r="K88" s="233" t="s">
        <v>241</v>
      </c>
      <c r="N88" s="26">
        <v>21</v>
      </c>
      <c r="O88" s="179"/>
      <c r="P88" s="166"/>
      <c r="Q88" s="179"/>
      <c r="R88" s="166"/>
      <c r="S88" s="179"/>
      <c r="T88" s="166"/>
      <c r="U88" s="179"/>
      <c r="V88" s="278"/>
      <c r="W88" s="179"/>
      <c r="X88" s="166"/>
      <c r="Y88" s="179"/>
      <c r="Z88" s="166"/>
      <c r="AA88" s="179"/>
      <c r="AB88" s="166"/>
      <c r="AC88" s="179"/>
      <c r="AD88" s="166"/>
      <c r="AE88" s="179"/>
      <c r="AF88" s="166"/>
      <c r="AG88" s="179"/>
      <c r="AH88" s="166"/>
      <c r="AI88" s="179"/>
      <c r="AJ88" s="166"/>
      <c r="AK88" s="179"/>
      <c r="AL88" s="166"/>
      <c r="AM88" s="179"/>
      <c r="AN88" s="166"/>
      <c r="AO88" s="179"/>
      <c r="AP88" s="166"/>
      <c r="AQ88" s="179"/>
      <c r="AR88" s="166"/>
      <c r="AS88" s="179"/>
      <c r="AT88" s="166"/>
      <c r="AU88" s="179"/>
      <c r="AV88" s="166"/>
      <c r="AW88" s="179"/>
      <c r="AX88" s="166"/>
      <c r="AY88" s="179"/>
      <c r="AZ88" s="166"/>
      <c r="BA88" s="179"/>
      <c r="BB88" s="166"/>
      <c r="BC88" s="179"/>
      <c r="BD88" s="166"/>
      <c r="BE88" s="179"/>
      <c r="BF88" s="166"/>
      <c r="BG88" s="179"/>
      <c r="BH88" s="166"/>
      <c r="BI88" s="179"/>
      <c r="BJ88" s="166"/>
      <c r="BK88" s="179"/>
      <c r="BL88" s="166"/>
      <c r="BM88" s="179"/>
      <c r="BN88" s="166"/>
      <c r="BO88" s="179"/>
      <c r="BP88" s="166"/>
      <c r="BQ88" s="179"/>
      <c r="BR88" s="166"/>
      <c r="BS88" s="179"/>
      <c r="BT88" s="166"/>
      <c r="BU88" s="179"/>
      <c r="BV88" s="166"/>
      <c r="BW88" s="179"/>
      <c r="BX88" s="166"/>
      <c r="BY88" s="179"/>
      <c r="BZ88" s="166"/>
      <c r="CA88" s="179"/>
      <c r="CB88" s="166"/>
      <c r="CC88" s="179"/>
      <c r="CD88" s="166"/>
      <c r="CE88" s="179"/>
      <c r="CF88" s="166"/>
      <c r="CG88" s="179"/>
      <c r="CH88" s="166"/>
      <c r="CI88" s="179"/>
      <c r="CJ88" s="166"/>
      <c r="CK88" s="179"/>
      <c r="CL88" s="166"/>
      <c r="CM88" s="179"/>
      <c r="CN88" s="166"/>
      <c r="CO88" s="179"/>
      <c r="CP88" s="166"/>
      <c r="CQ88" s="179"/>
      <c r="CR88" s="166"/>
      <c r="CS88" s="179"/>
      <c r="CT88" s="166"/>
      <c r="CU88" s="179"/>
      <c r="CV88" s="166"/>
      <c r="CW88" s="179"/>
      <c r="CX88" s="166"/>
      <c r="CY88" s="179"/>
      <c r="CZ88" s="166"/>
      <c r="DA88" s="179"/>
      <c r="DB88" s="166"/>
      <c r="DC88" s="179"/>
      <c r="DD88" s="166"/>
      <c r="DE88" s="179"/>
      <c r="DF88" s="166"/>
      <c r="DG88" s="179"/>
      <c r="DH88" s="166"/>
      <c r="DI88" s="179"/>
      <c r="DJ88" s="166"/>
      <c r="DK88" s="179"/>
      <c r="DL88" s="166"/>
      <c r="DM88" s="179"/>
      <c r="DN88" s="166"/>
      <c r="DO88" s="179"/>
      <c r="DP88" s="166"/>
      <c r="DQ88" s="179"/>
      <c r="DR88" s="166"/>
      <c r="DS88" s="179"/>
      <c r="DT88" s="166"/>
      <c r="DU88" s="179"/>
      <c r="DV88" s="166"/>
    </row>
    <row r="89" spans="9:126" x14ac:dyDescent="0.25">
      <c r="I89" s="234"/>
      <c r="J89" s="239" t="str">
        <f>INDEX(TableStreams[Choose your Specialisation Stream second (drop-down list)],MATCH(K89,TableStreams[UDC],0))</f>
        <v>Education Specialty and Science Teaching Area Stream (BEd Secondary)</v>
      </c>
      <c r="K89" s="234" t="s">
        <v>258</v>
      </c>
      <c r="N89" s="26">
        <v>22</v>
      </c>
      <c r="O89" s="179"/>
      <c r="P89" s="166"/>
      <c r="Q89" s="179"/>
      <c r="R89" s="166"/>
      <c r="S89" s="179"/>
      <c r="T89" s="166"/>
      <c r="U89" s="179"/>
      <c r="V89" s="278"/>
      <c r="W89" s="179"/>
      <c r="X89" s="166"/>
      <c r="Y89" s="179"/>
      <c r="Z89" s="166"/>
      <c r="AA89" s="179"/>
      <c r="AB89" s="166"/>
      <c r="AC89" s="179"/>
      <c r="AD89" s="166"/>
      <c r="AE89" s="179"/>
      <c r="AF89" s="166"/>
      <c r="AG89" s="179"/>
      <c r="AH89" s="166"/>
      <c r="AI89" s="179"/>
      <c r="AJ89" s="166"/>
      <c r="AK89" s="179"/>
      <c r="AL89" s="166"/>
      <c r="AM89" s="179"/>
      <c r="AN89" s="166"/>
      <c r="AO89" s="179"/>
      <c r="AP89" s="166"/>
      <c r="AQ89" s="179"/>
      <c r="AR89" s="166"/>
      <c r="AS89" s="179"/>
      <c r="AT89" s="166"/>
      <c r="AU89" s="179"/>
      <c r="AV89" s="166"/>
      <c r="AW89" s="179"/>
      <c r="AX89" s="166"/>
      <c r="AY89" s="179"/>
      <c r="AZ89" s="166"/>
      <c r="BA89" s="179"/>
      <c r="BB89" s="166"/>
      <c r="BC89" s="179"/>
      <c r="BD89" s="166"/>
      <c r="BE89" s="179"/>
      <c r="BF89" s="166"/>
      <c r="BG89" s="179"/>
      <c r="BH89" s="166"/>
      <c r="BI89" s="179"/>
      <c r="BJ89" s="166"/>
      <c r="BK89" s="179"/>
      <c r="BL89" s="166"/>
      <c r="BM89" s="179"/>
      <c r="BN89" s="166"/>
      <c r="BO89" s="179"/>
      <c r="BP89" s="166"/>
      <c r="BQ89" s="179"/>
      <c r="BR89" s="166"/>
      <c r="BS89" s="179"/>
      <c r="BT89" s="166"/>
      <c r="BU89" s="179"/>
      <c r="BV89" s="166"/>
      <c r="BW89" s="179"/>
      <c r="BX89" s="166"/>
      <c r="BY89" s="179"/>
      <c r="BZ89" s="166"/>
      <c r="CA89" s="179"/>
      <c r="CB89" s="166"/>
      <c r="CC89" s="179"/>
      <c r="CD89" s="166"/>
      <c r="CE89" s="179"/>
      <c r="CF89" s="166"/>
      <c r="CG89" s="179"/>
      <c r="CH89" s="166"/>
      <c r="CI89" s="179"/>
      <c r="CJ89" s="166"/>
      <c r="CK89" s="179"/>
      <c r="CL89" s="166"/>
      <c r="CM89" s="179"/>
      <c r="CN89" s="166"/>
      <c r="CO89" s="179"/>
      <c r="CP89" s="166"/>
      <c r="CQ89" s="179"/>
      <c r="CR89" s="166"/>
      <c r="CS89" s="179"/>
      <c r="CT89" s="166"/>
      <c r="CU89" s="179"/>
      <c r="CV89" s="166"/>
      <c r="CW89" s="179"/>
      <c r="CX89" s="166"/>
      <c r="CY89" s="179"/>
      <c r="CZ89" s="166"/>
      <c r="DA89" s="179"/>
      <c r="DB89" s="166"/>
      <c r="DC89" s="179"/>
      <c r="DD89" s="166"/>
      <c r="DE89" s="179"/>
      <c r="DF89" s="166"/>
      <c r="DG89" s="179"/>
      <c r="DH89" s="166"/>
      <c r="DI89" s="179"/>
      <c r="DJ89" s="166"/>
      <c r="DK89" s="179"/>
      <c r="DL89" s="166"/>
      <c r="DM89" s="179"/>
      <c r="DN89" s="166"/>
      <c r="DO89" s="179"/>
      <c r="DP89" s="166"/>
      <c r="DQ89" s="179"/>
      <c r="DR89" s="166"/>
      <c r="DS89" s="179"/>
      <c r="DT89" s="166"/>
      <c r="DU89" s="179"/>
      <c r="DV89" s="166"/>
    </row>
    <row r="90" spans="9:126" x14ac:dyDescent="0.25">
      <c r="I90" s="234"/>
      <c r="J90" s="239" t="str">
        <f>INDEX(TableStreams[Choose your Specialisation Stream second (drop-down list)],MATCH(K90,TableStreams[UDC],0))</f>
        <v>English Education Minor Teaching Area Stream (BEd Secondary)</v>
      </c>
      <c r="K90" s="234" t="s">
        <v>197</v>
      </c>
      <c r="N90" s="26">
        <v>23</v>
      </c>
      <c r="O90" s="180"/>
      <c r="P90" s="165"/>
      <c r="Q90" s="180"/>
      <c r="R90" s="165"/>
      <c r="S90" s="180"/>
      <c r="T90" s="165"/>
      <c r="U90" s="180"/>
      <c r="V90" s="165"/>
      <c r="W90" s="180"/>
      <c r="X90" s="165"/>
      <c r="Y90" s="180"/>
      <c r="Z90" s="165"/>
      <c r="AA90" s="180"/>
      <c r="AB90" s="165"/>
      <c r="AC90" s="180"/>
      <c r="AD90" s="165"/>
      <c r="AE90" s="180"/>
      <c r="AF90" s="165"/>
      <c r="AG90" s="180"/>
      <c r="AH90" s="165"/>
      <c r="AI90" s="180"/>
      <c r="AJ90" s="165"/>
      <c r="AK90" s="180"/>
      <c r="AL90" s="165"/>
      <c r="AM90" s="180"/>
      <c r="AN90" s="165"/>
      <c r="AO90" s="180"/>
      <c r="AP90" s="165"/>
      <c r="AQ90" s="180"/>
      <c r="AR90" s="165"/>
      <c r="AS90" s="180"/>
      <c r="AT90" s="165"/>
      <c r="AU90" s="180"/>
      <c r="AV90" s="165"/>
      <c r="AW90" s="180"/>
      <c r="AX90" s="165"/>
      <c r="AY90" s="180"/>
      <c r="AZ90" s="165"/>
      <c r="BA90" s="180"/>
      <c r="BB90" s="165"/>
      <c r="BC90" s="180"/>
      <c r="BD90" s="165"/>
      <c r="BE90" s="180"/>
      <c r="BF90" s="165"/>
      <c r="BG90" s="180"/>
      <c r="BH90" s="165"/>
      <c r="BI90" s="180"/>
      <c r="BJ90" s="165"/>
      <c r="BK90" s="180"/>
      <c r="BL90" s="165"/>
      <c r="BM90" s="180"/>
      <c r="BN90" s="165"/>
      <c r="BO90" s="180"/>
      <c r="BP90" s="165"/>
      <c r="BQ90" s="180"/>
      <c r="BR90" s="165"/>
      <c r="BS90" s="180"/>
      <c r="BT90" s="165"/>
      <c r="BU90" s="180"/>
      <c r="BV90" s="165"/>
      <c r="BW90" s="180"/>
      <c r="BX90" s="165"/>
      <c r="BY90" s="180"/>
      <c r="BZ90" s="165"/>
      <c r="CA90" s="180"/>
      <c r="CB90" s="165"/>
      <c r="CC90" s="180"/>
      <c r="CD90" s="165"/>
      <c r="CE90" s="180"/>
      <c r="CF90" s="165"/>
      <c r="CG90" s="180"/>
      <c r="CH90" s="165"/>
      <c r="CI90" s="180"/>
      <c r="CJ90" s="165"/>
      <c r="CK90" s="180"/>
      <c r="CL90" s="165"/>
      <c r="CM90" s="180"/>
      <c r="CN90" s="165"/>
      <c r="CO90" s="180"/>
      <c r="CP90" s="165"/>
      <c r="CQ90" s="180"/>
      <c r="CR90" s="165"/>
      <c r="CS90" s="180"/>
      <c r="CT90" s="165"/>
      <c r="CU90" s="180"/>
      <c r="CV90" s="165"/>
      <c r="CW90" s="180"/>
      <c r="CX90" s="165"/>
      <c r="CY90" s="180"/>
      <c r="CZ90" s="165"/>
      <c r="DA90" s="180"/>
      <c r="DB90" s="165"/>
      <c r="DC90" s="180"/>
      <c r="DD90" s="165"/>
      <c r="DE90" s="180"/>
      <c r="DF90" s="165"/>
      <c r="DG90" s="180"/>
      <c r="DH90" s="165"/>
      <c r="DI90" s="180"/>
      <c r="DJ90" s="165"/>
      <c r="DK90" s="180"/>
      <c r="DL90" s="165"/>
      <c r="DM90" s="180"/>
      <c r="DN90" s="165"/>
      <c r="DO90" s="180"/>
      <c r="DP90" s="165"/>
      <c r="DQ90" s="180"/>
      <c r="DR90" s="165"/>
      <c r="DS90" s="180"/>
      <c r="DT90" s="165"/>
      <c r="DU90" s="180"/>
      <c r="DV90" s="165"/>
    </row>
    <row r="91" spans="9:126" x14ac:dyDescent="0.25">
      <c r="I91" s="234"/>
      <c r="J91" s="239" t="str">
        <f>INDEX(TableStreams[Choose your Specialisation Stream second (drop-down list)],MATCH(K91,TableStreams[UDC],0))</f>
        <v>Humanities and Social Sciences - Humanities Education Minor Teaching Area Stream (BEd Secondary)</v>
      </c>
      <c r="K91" s="234" t="s">
        <v>198</v>
      </c>
      <c r="X91" s="129" t="s">
        <v>166</v>
      </c>
    </row>
    <row r="92" spans="9:126" x14ac:dyDescent="0.25">
      <c r="I92" s="234"/>
      <c r="J92" s="239" t="str">
        <f>INDEX(TableStreams[Choose your Specialisation Stream second (drop-down list)],MATCH(K92,TableStreams[UDC],0))</f>
        <v>Mathematics Education Minor Teaching Area Stream (BEd Secondary)</v>
      </c>
      <c r="K92" s="234" t="s">
        <v>202</v>
      </c>
      <c r="X92" s="129" t="s">
        <v>170</v>
      </c>
    </row>
    <row r="93" spans="9:126" x14ac:dyDescent="0.25">
      <c r="I93" s="234"/>
      <c r="J93" s="239" t="str">
        <f>INDEX(TableStreams[Choose your Specialisation Stream second (drop-down list)],MATCH(K93,TableStreams[UDC],0))</f>
        <v>The Arts - Performing Arts Education Minor Teaching Area Stream (BEd Secondary)</v>
      </c>
      <c r="K93" s="234" t="s">
        <v>261</v>
      </c>
      <c r="X93" s="129" t="s">
        <v>168</v>
      </c>
    </row>
    <row r="94" spans="9:126" x14ac:dyDescent="0.25">
      <c r="I94" s="234"/>
      <c r="J94" s="239" t="str">
        <f>INDEX(TableStreams[Choose your Specialisation Stream second (drop-down list)],MATCH(K94,TableStreams[UDC],0))</f>
        <v>Humanities and Social Sciences - Social Sciences Education Minor Teaching Area Stream (BEd Secondary)</v>
      </c>
      <c r="K94" s="234" t="s">
        <v>216</v>
      </c>
      <c r="X94" s="129"/>
    </row>
    <row r="95" spans="9:126" x14ac:dyDescent="0.25">
      <c r="I95" s="235"/>
      <c r="J95" s="240" t="str">
        <f>INDEX(TableStreams[Choose your Specialisation Stream second (drop-down list)],MATCH(K95,TableStreams[UDC],0))</f>
        <v>The Arts - Visual Arts Education Minor Teaching Area Stream (BEd Secondary)</v>
      </c>
      <c r="K95" s="235" t="s">
        <v>315</v>
      </c>
    </row>
    <row r="96" spans="9:126" x14ac:dyDescent="0.25">
      <c r="I96" s="233" t="s">
        <v>231</v>
      </c>
      <c r="J96" s="238" t="str">
        <f>INDEX(TableStreams[Choose your Specialisation Stream second (drop-down list)],MATCH(K96,TableStreams[UDC],0))</f>
        <v>Broadening Chemistry Teaching Area Stream (BEd Secondary)</v>
      </c>
      <c r="K96" s="233" t="s">
        <v>245</v>
      </c>
      <c r="M96" s="147" t="s">
        <v>524</v>
      </c>
      <c r="N96" s="3">
        <v>1</v>
      </c>
      <c r="O96" s="252"/>
      <c r="P96" s="253" t="s">
        <v>453</v>
      </c>
      <c r="Q96" s="254"/>
      <c r="R96" s="253" t="s">
        <v>454</v>
      </c>
    </row>
    <row r="97" spans="9:18" x14ac:dyDescent="0.25">
      <c r="I97" s="234"/>
      <c r="J97" s="239" t="str">
        <f>INDEX(TableStreams[Choose your Specialisation Stream second (drop-down list)],MATCH(K97,TableStreams[UDC],0))</f>
        <v>Education Specialty and Science Teaching Area Stream (BEd Secondary)</v>
      </c>
      <c r="K97" s="234" t="s">
        <v>258</v>
      </c>
      <c r="M97" s="11"/>
      <c r="N97" s="26">
        <v>2</v>
      </c>
      <c r="O97" s="178" t="s">
        <v>52</v>
      </c>
      <c r="P97" s="177" t="s">
        <v>525</v>
      </c>
      <c r="Q97" s="178"/>
      <c r="R97" s="177"/>
    </row>
    <row r="98" spans="9:18" x14ac:dyDescent="0.25">
      <c r="I98" s="234"/>
      <c r="J98" s="239" t="str">
        <f>INDEX(TableStreams[Choose your Specialisation Stream second (drop-down list)],MATCH(K98,TableStreams[UDC],0))</f>
        <v>English Education Minor Teaching Area Stream (BEd Secondary)</v>
      </c>
      <c r="K98" s="234" t="s">
        <v>197</v>
      </c>
      <c r="M98" s="11"/>
      <c r="N98" s="26">
        <v>3</v>
      </c>
      <c r="O98" s="179" t="s">
        <v>84</v>
      </c>
      <c r="P98" s="166" t="s">
        <v>308</v>
      </c>
      <c r="Q98" s="179"/>
      <c r="R98" s="166"/>
    </row>
    <row r="99" spans="9:18" x14ac:dyDescent="0.25">
      <c r="I99" s="234"/>
      <c r="J99" s="239" t="str">
        <f>INDEX(TableStreams[Choose your Specialisation Stream second (drop-down list)],MATCH(K99,TableStreams[UDC],0))</f>
        <v>Humanities and Social Sciences - Humanities Education Minor Teaching Area Stream (BEd Secondary)</v>
      </c>
      <c r="K99" s="234" t="s">
        <v>198</v>
      </c>
      <c r="M99" s="11"/>
      <c r="N99" s="26">
        <v>4</v>
      </c>
      <c r="O99" s="179" t="s">
        <v>86</v>
      </c>
      <c r="P99" s="166" t="s">
        <v>347</v>
      </c>
      <c r="Q99" s="179"/>
      <c r="R99" s="166"/>
    </row>
    <row r="100" spans="9:18" x14ac:dyDescent="0.25">
      <c r="I100" s="234"/>
      <c r="J100" s="239" t="str">
        <f>INDEX(TableStreams[Choose your Specialisation Stream second (drop-down list)],MATCH(K100,TableStreams[UDC],0))</f>
        <v>Mathematics Education Minor Teaching Area Stream (BEd Secondary)</v>
      </c>
      <c r="K100" s="234" t="s">
        <v>202</v>
      </c>
      <c r="M100" s="11"/>
      <c r="N100" s="26">
        <v>5</v>
      </c>
      <c r="O100" s="179" t="s">
        <v>109</v>
      </c>
      <c r="P100" s="166" t="s">
        <v>325</v>
      </c>
      <c r="Q100" s="179"/>
      <c r="R100" s="166"/>
    </row>
    <row r="101" spans="9:18" x14ac:dyDescent="0.25">
      <c r="I101" s="234"/>
      <c r="J101" s="239" t="str">
        <f>INDEX(TableStreams[Choose your Specialisation Stream second (drop-down list)],MATCH(K101,TableStreams[UDC],0))</f>
        <v>The Arts - Performing Arts Education Minor Teaching Area Stream (BEd Secondary)</v>
      </c>
      <c r="K101" s="234" t="s">
        <v>261</v>
      </c>
      <c r="M101" s="11"/>
      <c r="N101" s="26">
        <v>6</v>
      </c>
      <c r="O101" s="179" t="s">
        <v>109</v>
      </c>
      <c r="P101" s="166" t="s">
        <v>321</v>
      </c>
      <c r="Q101" s="179"/>
      <c r="R101" s="166"/>
    </row>
    <row r="102" spans="9:18" x14ac:dyDescent="0.25">
      <c r="I102" s="234"/>
      <c r="J102" s="239" t="str">
        <f>INDEX(TableStreams[Choose your Specialisation Stream second (drop-down list)],MATCH(K102,TableStreams[UDC],0))</f>
        <v>Humanities and Social Sciences - Social Sciences Education Minor Teaching Area Stream (BEd Secondary)</v>
      </c>
      <c r="K102" s="234" t="s">
        <v>216</v>
      </c>
      <c r="M102" s="11"/>
      <c r="N102" s="26">
        <v>7</v>
      </c>
      <c r="O102" s="179" t="s">
        <v>111</v>
      </c>
      <c r="P102" s="166" t="s">
        <v>344</v>
      </c>
      <c r="Q102" s="179"/>
      <c r="R102" s="166"/>
    </row>
    <row r="103" spans="9:18" x14ac:dyDescent="0.25">
      <c r="I103" s="235"/>
      <c r="J103" s="240" t="str">
        <f>INDEX(TableStreams[Choose your Specialisation Stream second (drop-down list)],MATCH(K103,TableStreams[UDC],0))</f>
        <v>The Arts - Visual Arts Education Minor Teaching Area Stream (BEd Secondary)</v>
      </c>
      <c r="K103" s="235" t="s">
        <v>315</v>
      </c>
      <c r="N103" s="26">
        <v>8</v>
      </c>
      <c r="O103" s="180" t="s">
        <v>129</v>
      </c>
      <c r="P103" s="165" t="s">
        <v>334</v>
      </c>
      <c r="Q103" s="180"/>
      <c r="R103" s="165"/>
    </row>
    <row r="104" spans="9:18" x14ac:dyDescent="0.25">
      <c r="I104" s="233" t="s">
        <v>233</v>
      </c>
      <c r="J104" s="238" t="str">
        <f>INDEX(TableStreams[Choose your Specialisation Stream second (drop-down list)],MATCH(K104,TableStreams[UDC],0))</f>
        <v>Education Specialty and Science Teaching Area Stream (BEd Secondary)</v>
      </c>
      <c r="K104" s="233" t="s">
        <v>258</v>
      </c>
    </row>
    <row r="105" spans="9:18" x14ac:dyDescent="0.25">
      <c r="I105" s="234"/>
      <c r="J105" s="239" t="str">
        <f>INDEX(TableStreams[Choose your Specialisation Stream second (drop-down list)],MATCH(K105,TableStreams[UDC],0))</f>
        <v>English Education Minor Teaching Area Stream (BEd Secondary)</v>
      </c>
      <c r="K105" s="234" t="s">
        <v>197</v>
      </c>
    </row>
    <row r="106" spans="9:18" x14ac:dyDescent="0.25">
      <c r="I106" s="234"/>
      <c r="J106" s="239" t="str">
        <f>INDEX(TableStreams[Choose your Specialisation Stream second (drop-down list)],MATCH(K106,TableStreams[UDC],0))</f>
        <v>Humanities and Social Sciences - Humanities Education Minor Teaching Area Stream (BEd Secondary)</v>
      </c>
      <c r="K106" s="234" t="s">
        <v>198</v>
      </c>
    </row>
    <row r="107" spans="9:18" x14ac:dyDescent="0.25">
      <c r="I107" s="234"/>
      <c r="J107" s="239" t="str">
        <f>INDEX(TableStreams[Choose your Specialisation Stream second (drop-down list)],MATCH(K107,TableStreams[UDC],0))</f>
        <v>Broadening Human Biology Teaching Area Stream (BEd Secondary)</v>
      </c>
      <c r="K107" s="234" t="s">
        <v>314</v>
      </c>
    </row>
    <row r="108" spans="9:18" x14ac:dyDescent="0.25">
      <c r="I108" s="234"/>
      <c r="J108" s="239" t="str">
        <f>INDEX(TableStreams[Choose your Specialisation Stream second (drop-down list)],MATCH(K108,TableStreams[UDC],0))</f>
        <v>Mathematics Education Minor Teaching Area Stream (BEd Secondary)</v>
      </c>
      <c r="K108" s="234" t="s">
        <v>202</v>
      </c>
    </row>
    <row r="109" spans="9:18" x14ac:dyDescent="0.25">
      <c r="I109" s="234"/>
      <c r="J109" s="239" t="str">
        <f>INDEX(TableStreams[Choose your Specialisation Stream second (drop-down list)],MATCH(K109,TableStreams[UDC],0))</f>
        <v>The Arts - Performing Arts Education Minor Teaching Area Stream (BEd Secondary)</v>
      </c>
      <c r="K109" s="234" t="s">
        <v>261</v>
      </c>
    </row>
    <row r="110" spans="9:18" x14ac:dyDescent="0.25">
      <c r="I110" s="234"/>
      <c r="J110" s="239" t="str">
        <f>INDEX(TableStreams[Choose your Specialisation Stream second (drop-down list)],MATCH(K110,TableStreams[UDC],0))</f>
        <v>Humanities and Social Sciences - Social Sciences Education Minor Teaching Area Stream (BEd Secondary)</v>
      </c>
      <c r="K110" s="234" t="s">
        <v>216</v>
      </c>
    </row>
    <row r="111" spans="9:18" x14ac:dyDescent="0.25">
      <c r="I111" s="235"/>
      <c r="J111" s="240" t="str">
        <f>INDEX(TableStreams[Choose your Specialisation Stream second (drop-down list)],MATCH(K111,TableStreams[UDC],0))</f>
        <v>The Arts - Visual Arts Education Minor Teaching Area Stream (BEd Secondary)</v>
      </c>
      <c r="K111" s="235" t="s">
        <v>315</v>
      </c>
    </row>
    <row r="112" spans="9:18" x14ac:dyDescent="0.25">
      <c r="I112" s="236" t="s">
        <v>235</v>
      </c>
      <c r="J112" s="241" t="s">
        <v>324</v>
      </c>
      <c r="K112" s="236"/>
    </row>
    <row r="113" spans="9:11" x14ac:dyDescent="0.25">
      <c r="I113" s="233" t="s">
        <v>237</v>
      </c>
      <c r="J113" s="238" t="str">
        <f>INDEX(TableStreams[Choose your Specialisation Stream second (drop-down list)],MATCH(K113,TableStreams[UDC],0))</f>
        <v>Education Specialty and Science Teaching Area Stream (BEd Secondary)</v>
      </c>
      <c r="K113" s="233" t="s">
        <v>258</v>
      </c>
    </row>
    <row r="114" spans="9:11" x14ac:dyDescent="0.25">
      <c r="I114" s="234"/>
      <c r="J114" s="239" t="str">
        <f>INDEX(TableStreams[Choose your Specialisation Stream second (drop-down list)],MATCH(K114,TableStreams[UDC],0))</f>
        <v>English Education Minor Teaching Area Stream (BEd Secondary)</v>
      </c>
      <c r="K114" s="234" t="s">
        <v>197</v>
      </c>
    </row>
    <row r="115" spans="9:11" x14ac:dyDescent="0.25">
      <c r="I115" s="234"/>
      <c r="J115" s="239" t="str">
        <f>INDEX(TableStreams[Choose your Specialisation Stream second (drop-down list)],MATCH(K115,TableStreams[UDC],0))</f>
        <v>Humanities and Social Sciences - Humanities Education Minor Teaching Area Stream (BEd Secondary)</v>
      </c>
      <c r="K115" s="234" t="s">
        <v>198</v>
      </c>
    </row>
    <row r="116" spans="9:11" x14ac:dyDescent="0.25">
      <c r="I116" s="234"/>
      <c r="J116" s="239" t="str">
        <f>INDEX(TableStreams[Choose your Specialisation Stream second (drop-down list)],MATCH(K116,TableStreams[UDC],0))</f>
        <v>Mathematics Education Minor Teaching Area Stream (BEd Secondary)</v>
      </c>
      <c r="K116" s="234" t="s">
        <v>202</v>
      </c>
    </row>
    <row r="117" spans="9:11" x14ac:dyDescent="0.25">
      <c r="I117" s="234"/>
      <c r="J117" s="239" t="str">
        <f>INDEX(TableStreams[Choose your Specialisation Stream second (drop-down list)],MATCH(K117,TableStreams[UDC],0))</f>
        <v>The Arts - Performing Arts Education Minor Teaching Area Stream (BEd Secondary)</v>
      </c>
      <c r="K117" s="234" t="s">
        <v>261</v>
      </c>
    </row>
    <row r="118" spans="9:11" x14ac:dyDescent="0.25">
      <c r="I118" s="234"/>
      <c r="J118" s="239" t="str">
        <f>INDEX(TableStreams[Choose your Specialisation Stream second (drop-down list)],MATCH(K118,TableStreams[UDC],0))</f>
        <v>Broadening Psychology Teaching Area Stream (BEd Secondary)</v>
      </c>
      <c r="K118" s="234" t="s">
        <v>391</v>
      </c>
    </row>
    <row r="119" spans="9:11" x14ac:dyDescent="0.25">
      <c r="I119" s="235"/>
      <c r="J119" s="240" t="str">
        <f>INDEX(TableStreams[Choose your Specialisation Stream second (drop-down list)],MATCH(K119,TableStreams[UDC],0))</f>
        <v>The Arts - Visual Arts Education Minor Teaching Area Stream (BEd Secondary)</v>
      </c>
      <c r="K119" s="235" t="s">
        <v>315</v>
      </c>
    </row>
    <row r="120" spans="9:11" x14ac:dyDescent="0.25">
      <c r="I120" s="258" t="s">
        <v>526</v>
      </c>
      <c r="J120" s="259" t="s">
        <v>527</v>
      </c>
      <c r="K120" s="260"/>
    </row>
    <row r="121" spans="9:11" x14ac:dyDescent="0.25">
      <c r="I121" s="234"/>
      <c r="J121" s="239" t="str">
        <f>INDEX(TableMajors[Choose your Major first (drop-down list)],MATCH(K121,TableMajors[UDC],0))</f>
        <v>The Arts Education Major (Drama) (BEd Secondary)</v>
      </c>
      <c r="K121" s="234" t="s">
        <v>192</v>
      </c>
    </row>
    <row r="122" spans="9:11" x14ac:dyDescent="0.25">
      <c r="I122" s="234"/>
      <c r="J122" s="239" t="str">
        <f>INDEX(TableMajors[Choose your Major first (drop-down list)],MATCH(K122,TableMajors[UDC],0))</f>
        <v>The Arts Education Major (Media Production and Analysis) (BEd Secondary)</v>
      </c>
      <c r="K122" s="234" t="s">
        <v>204</v>
      </c>
    </row>
    <row r="123" spans="9:11" x14ac:dyDescent="0.25">
      <c r="I123" s="234"/>
      <c r="J123" s="239" t="str">
        <f>INDEX(TableMajors[Choose your Major first (drop-down list)],MATCH(K123,TableMajors[UDC],0))</f>
        <v>The Arts Education Major (Visual Arts) (BEd Secondary)</v>
      </c>
      <c r="K123" s="234" t="s">
        <v>207</v>
      </c>
    </row>
    <row r="124" spans="9:11" x14ac:dyDescent="0.25">
      <c r="I124" s="234"/>
      <c r="J124" s="239" t="str">
        <f>INDEX(TableMajors[Choose your Major first (drop-down list)],MATCH(K124,TableMajors[UDC],0))</f>
        <v>English Education Major (BEd Secondary)</v>
      </c>
      <c r="K124" s="234" t="s">
        <v>211</v>
      </c>
    </row>
    <row r="125" spans="9:11" x14ac:dyDescent="0.25">
      <c r="I125" s="234"/>
      <c r="J125" s="239" t="s">
        <v>183</v>
      </c>
      <c r="K125" s="482" t="s">
        <v>218</v>
      </c>
    </row>
    <row r="126" spans="9:11" x14ac:dyDescent="0.25">
      <c r="I126" s="234"/>
      <c r="J126" s="239" t="s">
        <v>219</v>
      </c>
      <c r="K126" s="234" t="s">
        <v>220</v>
      </c>
    </row>
    <row r="127" spans="9:11" x14ac:dyDescent="0.25">
      <c r="I127" s="234"/>
      <c r="J127" s="239" t="s">
        <v>221</v>
      </c>
      <c r="K127" s="234" t="s">
        <v>222</v>
      </c>
    </row>
    <row r="128" spans="9:11" x14ac:dyDescent="0.25">
      <c r="I128" s="234"/>
      <c r="J128" s="239" t="s">
        <v>223</v>
      </c>
      <c r="K128" s="234" t="s">
        <v>224</v>
      </c>
    </row>
    <row r="129" spans="9:11" x14ac:dyDescent="0.25">
      <c r="I129" s="234"/>
      <c r="J129" s="239" t="s">
        <v>228</v>
      </c>
      <c r="K129" s="234" t="s">
        <v>229</v>
      </c>
    </row>
    <row r="130" spans="9:11" x14ac:dyDescent="0.25">
      <c r="I130" s="234"/>
      <c r="J130" s="239" t="s">
        <v>230</v>
      </c>
      <c r="K130" s="234" t="s">
        <v>231</v>
      </c>
    </row>
    <row r="131" spans="9:11" x14ac:dyDescent="0.25">
      <c r="I131" s="234"/>
      <c r="J131" s="239" t="s">
        <v>232</v>
      </c>
      <c r="K131" s="234" t="s">
        <v>233</v>
      </c>
    </row>
    <row r="132" spans="9:11" x14ac:dyDescent="0.25">
      <c r="I132" s="234"/>
      <c r="J132" s="239" t="s">
        <v>236</v>
      </c>
      <c r="K132" s="234" t="s">
        <v>237</v>
      </c>
    </row>
    <row r="133" spans="9:11" x14ac:dyDescent="0.25">
      <c r="I133" s="234"/>
      <c r="J133" s="298" t="s">
        <v>214</v>
      </c>
      <c r="K133" s="299" t="s">
        <v>215</v>
      </c>
    </row>
    <row r="134" spans="9:11" x14ac:dyDescent="0.25">
      <c r="I134" s="235"/>
      <c r="J134" s="483" t="s">
        <v>234</v>
      </c>
      <c r="K134" s="484" t="s">
        <v>235</v>
      </c>
    </row>
  </sheetData>
  <conditionalFormatting sqref="O39:AZ48 BB39:BV48">
    <cfRule type="containsText" dxfId="1067" priority="108" operator="containsText" text="AltCore">
      <formula>NOT(ISERROR(SEARCH("AltCore",O39)))</formula>
    </cfRule>
  </conditionalFormatting>
  <conditionalFormatting sqref="O56:BT61 BV56:DV61 O64 Q64:S64 U64:W64 Y64:AE64 AG64:AH64 AJ64:AM64 AO64:AQ64 AS64:AU64 AW64:AY64 BA64:BC64 BE64:BG64 BI64:BK64 BM64:CA64 CC64:CE64 CG64:CI64 CK64:CM64 CO64:CQ64 CS64:CU64 CW64:CY64 DA64:DC64 DE64:DO64 DQ64:DS64 DU64:DV64 O65:AH66 AJ65:DV66 O69 Q69:S69 U69 W69:AA69 AC69:AI69 BI69:BK69 BM69:BO69 BU69:BW69 BY69:CA69 CG69:CI69 CK69:CM69 CO69:CQ69 CS69:CU69 CW69:CY69 DA69:DC69 DE69:DG69 DI69:DK69 DM69:DO69 DQ69:DS69 DU69:DV69 W70:AI86 O70:U89 BI70:BO90 BU70:CA90 CG70:CM90 CO70:CU90 CW70:DC90 DE70:DO90 DQ70:DV90 W87:AU89 O90:AU90 O96:R103 O63:DV63 O68:DV68 O55:DV55">
    <cfRule type="containsText" dxfId="1066" priority="110" operator="containsText" text="AltCore">
      <formula>NOT(ISERROR(SEARCH("AltCore",O55)))</formula>
    </cfRule>
  </conditionalFormatting>
  <conditionalFormatting sqref="O56:BT61 BV56:DV61 O64 Q64:S64 U64:W64 Y64:AE64 AG64:AH64 AJ64:AM64 AO64:AQ64 AS64:AU64 AW64:AY64 BA64:BC64 BE64:BG64 BI64:BK64 BM64:CA64 CC64:CE64 CG64:CI64 CK64:CM64 CO64:CQ64 CS64:CU64 CW64:CY64 DA64:DC64 DE64:DO64 DQ64:DS64 DU64:DV64 O65:AH66 AJ65:DV66 O69 Q69:S69 U69 W69:AA69 AC69:AI69 BI69:BK69 BM69:BO69 BU69:BW69 BY69:CA69 CG69:CI69 CK69:CM69 CO69:CQ69 CS69:CU69 CW69:CY69 DA69:DC69 DE69:DG69 DI69:DK69 DM69:DO69 DQ69:DS69 DU69:DV69 W70:AI86 O70:U89 BI70:BO90 BU70:CA90 CG70:CM90 CO70:CU90 CW70:DC90 DE70:DO90 DQ70:DV90 W87:AU89 O90:AU90 O97:R103">
    <cfRule type="containsText" dxfId="1065" priority="102" operator="containsText" text="Option">
      <formula>NOT(ISERROR(SEARCH("Option",O56)))</formula>
    </cfRule>
  </conditionalFormatting>
  <conditionalFormatting sqref="O51:BV53">
    <cfRule type="containsText" dxfId="1064" priority="97" operator="containsText" text="AltCore">
      <formula>NOT(ISERROR(SEARCH("AltCore",O51)))</formula>
    </cfRule>
  </conditionalFormatting>
  <conditionalFormatting sqref="P64">
    <cfRule type="containsText" dxfId="1063" priority="92" operator="containsText" text="AltCore">
      <formula>NOT(ISERROR(SEARCH("AltCore",P64)))</formula>
    </cfRule>
  </conditionalFormatting>
  <conditionalFormatting sqref="P69">
    <cfRule type="containsText" dxfId="1062" priority="88" operator="containsText" text="AltCore">
      <formula>NOT(ISERROR(SEARCH("AltCore",P69)))</formula>
    </cfRule>
  </conditionalFormatting>
  <conditionalFormatting sqref="T64">
    <cfRule type="containsText" dxfId="1061" priority="91" operator="containsText" text="AltCore">
      <formula>NOT(ISERROR(SEARCH("AltCore",T64)))</formula>
    </cfRule>
  </conditionalFormatting>
  <conditionalFormatting sqref="T69">
    <cfRule type="containsText" dxfId="1060" priority="87" operator="containsText" text="AltCore">
      <formula>NOT(ISERROR(SEARCH("AltCore",T69)))</formula>
    </cfRule>
  </conditionalFormatting>
  <conditionalFormatting sqref="X64">
    <cfRule type="containsText" dxfId="1059" priority="90" operator="containsText" text="AltCore">
      <formula>NOT(ISERROR(SEARCH("AltCore",X64)))</formula>
    </cfRule>
  </conditionalFormatting>
  <conditionalFormatting sqref="AB69">
    <cfRule type="containsText" dxfId="1058" priority="89" operator="containsText" text="AltCore">
      <formula>NOT(ISERROR(SEARCH("AltCore",AB69)))</formula>
    </cfRule>
  </conditionalFormatting>
  <conditionalFormatting sqref="AF64">
    <cfRule type="containsText" dxfId="1057" priority="86" operator="containsText" text="AltCore">
      <formula>NOT(ISERROR(SEARCH("AltCore",AF64)))</formula>
    </cfRule>
  </conditionalFormatting>
  <conditionalFormatting sqref="AI64:AI66">
    <cfRule type="containsText" dxfId="1056" priority="84" operator="containsText" text="Option">
      <formula>NOT(ISERROR(SEARCH("Option",AI64)))</formula>
    </cfRule>
    <cfRule type="containsText" dxfId="1055" priority="85" operator="containsText" text="AltCore">
      <formula>NOT(ISERROR(SEARCH("AltCore",AI64)))</formula>
    </cfRule>
  </conditionalFormatting>
  <conditionalFormatting sqref="AJ69:AU86">
    <cfRule type="containsText" dxfId="1054" priority="68" operator="containsText" text="Option">
      <formula>NOT(ISERROR(SEARCH("Option",AJ69)))</formula>
    </cfRule>
    <cfRule type="containsText" dxfId="1053" priority="69" operator="containsText" text="AltCore">
      <formula>NOT(ISERROR(SEARCH("AltCore",AJ69)))</formula>
    </cfRule>
  </conditionalFormatting>
  <conditionalFormatting sqref="AN64">
    <cfRule type="containsText" dxfId="1052" priority="83" operator="containsText" text="AltCore">
      <formula>NOT(ISERROR(SEARCH("AltCore",AN64)))</formula>
    </cfRule>
  </conditionalFormatting>
  <conditionalFormatting sqref="AR64">
    <cfRule type="containsText" dxfId="1051" priority="82" operator="containsText" text="AltCore">
      <formula>NOT(ISERROR(SEARCH("AltCore",AR64)))</formula>
    </cfRule>
  </conditionalFormatting>
  <conditionalFormatting sqref="AV64">
    <cfRule type="containsText" dxfId="1050" priority="81" operator="containsText" text="AltCore">
      <formula>NOT(ISERROR(SEARCH("AltCore",AV64)))</formula>
    </cfRule>
  </conditionalFormatting>
  <conditionalFormatting sqref="AV69:BH90">
    <cfRule type="containsText" dxfId="1049" priority="52" operator="containsText" text="Option">
      <formula>NOT(ISERROR(SEARCH("Option",AV69)))</formula>
    </cfRule>
    <cfRule type="containsText" dxfId="1048" priority="53" operator="containsText" text="AltCore">
      <formula>NOT(ISERROR(SEARCH("AltCore",AV69)))</formula>
    </cfRule>
  </conditionalFormatting>
  <conditionalFormatting sqref="AZ64">
    <cfRule type="containsText" dxfId="1047" priority="80" operator="containsText" text="AltCore">
      <formula>NOT(ISERROR(SEARCH("AltCore",AZ64)))</formula>
    </cfRule>
  </conditionalFormatting>
  <conditionalFormatting sqref="BD64">
    <cfRule type="containsText" dxfId="1046" priority="79" operator="containsText" text="AltCore">
      <formula>NOT(ISERROR(SEARCH("AltCore",BD64)))</formula>
    </cfRule>
  </conditionalFormatting>
  <conditionalFormatting sqref="BH64">
    <cfRule type="containsText" dxfId="1045" priority="78" operator="containsText" text="AltCore">
      <formula>NOT(ISERROR(SEARCH("AltCore",BH64)))</formula>
    </cfRule>
  </conditionalFormatting>
  <conditionalFormatting sqref="BL64">
    <cfRule type="containsText" dxfId="1044" priority="77" operator="containsText" text="AltCore">
      <formula>NOT(ISERROR(SEARCH("AltCore",BL64)))</formula>
    </cfRule>
  </conditionalFormatting>
  <conditionalFormatting sqref="BL69">
    <cfRule type="containsText" dxfId="1043" priority="76" operator="containsText" text="AltCore">
      <formula>NOT(ISERROR(SEARCH("AltCore",BL69)))</formula>
    </cfRule>
  </conditionalFormatting>
  <conditionalFormatting sqref="BP69:BT90">
    <cfRule type="containsText" dxfId="1042" priority="44" operator="containsText" text="Option">
      <formula>NOT(ISERROR(SEARCH("Option",BP69)))</formula>
    </cfRule>
    <cfRule type="containsText" dxfId="1041" priority="45" operator="containsText" text="AltCore">
      <formula>NOT(ISERROR(SEARCH("AltCore",BP69)))</formula>
    </cfRule>
  </conditionalFormatting>
  <conditionalFormatting sqref="BX69">
    <cfRule type="containsText" dxfId="1040" priority="19" operator="containsText" text="AltCore">
      <formula>NOT(ISERROR(SEARCH("AltCore",BX69)))</formula>
    </cfRule>
  </conditionalFormatting>
  <conditionalFormatting sqref="CB64">
    <cfRule type="containsText" dxfId="1039" priority="12" operator="containsText" text="AltCore">
      <formula>NOT(ISERROR(SEARCH("AltCore",CB64)))</formula>
    </cfRule>
  </conditionalFormatting>
  <conditionalFormatting sqref="CB69:CF90">
    <cfRule type="containsText" dxfId="1038" priority="36" operator="containsText" text="Option">
      <formula>NOT(ISERROR(SEARCH("Option",CB69)))</formula>
    </cfRule>
    <cfRule type="containsText" dxfId="1037" priority="37" operator="containsText" text="AltCore">
      <formula>NOT(ISERROR(SEARCH("AltCore",CB69)))</formula>
    </cfRule>
  </conditionalFormatting>
  <conditionalFormatting sqref="CF64">
    <cfRule type="containsText" dxfId="1036" priority="11" operator="containsText" text="AltCore">
      <formula>NOT(ISERROR(SEARCH("AltCore",CF64)))</formula>
    </cfRule>
  </conditionalFormatting>
  <conditionalFormatting sqref="CJ64">
    <cfRule type="containsText" dxfId="1035" priority="10" operator="containsText" text="AltCore">
      <formula>NOT(ISERROR(SEARCH("AltCore",CJ64)))</formula>
    </cfRule>
  </conditionalFormatting>
  <conditionalFormatting sqref="CJ69">
    <cfRule type="containsText" dxfId="1034" priority="18" operator="containsText" text="AltCore">
      <formula>NOT(ISERROR(SEARCH("AltCore",CJ69)))</formula>
    </cfRule>
  </conditionalFormatting>
  <conditionalFormatting sqref="CN64">
    <cfRule type="containsText" dxfId="1033" priority="9" operator="containsText" text="AltCore">
      <formula>NOT(ISERROR(SEARCH("AltCore",CN64)))</formula>
    </cfRule>
  </conditionalFormatting>
  <conditionalFormatting sqref="CN69:CN90">
    <cfRule type="containsText" dxfId="1032" priority="32" operator="containsText" text="Option">
      <formula>NOT(ISERROR(SEARCH("Option",CN69)))</formula>
    </cfRule>
    <cfRule type="containsText" dxfId="1031" priority="33" operator="containsText" text="AltCore">
      <formula>NOT(ISERROR(SEARCH("AltCore",CN69)))</formula>
    </cfRule>
  </conditionalFormatting>
  <conditionalFormatting sqref="CR64">
    <cfRule type="containsText" dxfId="1030" priority="8" operator="containsText" text="AltCore">
      <formula>NOT(ISERROR(SEARCH("AltCore",CR64)))</formula>
    </cfRule>
  </conditionalFormatting>
  <conditionalFormatting sqref="CR69">
    <cfRule type="containsText" dxfId="1029" priority="17" operator="containsText" text="AltCore">
      <formula>NOT(ISERROR(SEARCH("AltCore",CR69)))</formula>
    </cfRule>
  </conditionalFormatting>
  <conditionalFormatting sqref="CV64">
    <cfRule type="containsText" dxfId="1028" priority="7" operator="containsText" text="AltCore">
      <formula>NOT(ISERROR(SEARCH("AltCore",CV64)))</formula>
    </cfRule>
  </conditionalFormatting>
  <conditionalFormatting sqref="CV69:CV90">
    <cfRule type="containsText" dxfId="1027" priority="28" operator="containsText" text="Option">
      <formula>NOT(ISERROR(SEARCH("Option",CV69)))</formula>
    </cfRule>
    <cfRule type="containsText" dxfId="1026" priority="29" operator="containsText" text="AltCore">
      <formula>NOT(ISERROR(SEARCH("AltCore",CV69)))</formula>
    </cfRule>
  </conditionalFormatting>
  <conditionalFormatting sqref="CZ64">
    <cfRule type="containsText" dxfId="1025" priority="6" operator="containsText" text="AltCore">
      <formula>NOT(ISERROR(SEARCH("AltCore",CZ64)))</formula>
    </cfRule>
  </conditionalFormatting>
  <conditionalFormatting sqref="CZ69">
    <cfRule type="containsText" dxfId="1024" priority="16" operator="containsText" text="AltCore">
      <formula>NOT(ISERROR(SEARCH("AltCore",CZ69)))</formula>
    </cfRule>
  </conditionalFormatting>
  <conditionalFormatting sqref="DD64">
    <cfRule type="containsText" dxfId="1023" priority="5" operator="containsText" text="AltCore">
      <formula>NOT(ISERROR(SEARCH("AltCore",DD64)))</formula>
    </cfRule>
  </conditionalFormatting>
  <conditionalFormatting sqref="DD69:DD90">
    <cfRule type="containsText" dxfId="1022" priority="24" operator="containsText" text="Option">
      <formula>NOT(ISERROR(SEARCH("Option",DD69)))</formula>
    </cfRule>
    <cfRule type="containsText" dxfId="1021" priority="25" operator="containsText" text="AltCore">
      <formula>NOT(ISERROR(SEARCH("AltCore",DD69)))</formula>
    </cfRule>
  </conditionalFormatting>
  <conditionalFormatting sqref="DH69">
    <cfRule type="containsText" dxfId="1020" priority="15" operator="containsText" text="AltCore">
      <formula>NOT(ISERROR(SEARCH("AltCore",DH69)))</formula>
    </cfRule>
  </conditionalFormatting>
  <conditionalFormatting sqref="DL69">
    <cfRule type="containsText" dxfId="1019" priority="14" operator="containsText" text="AltCore">
      <formula>NOT(ISERROR(SEARCH("AltCore",DL69)))</formula>
    </cfRule>
  </conditionalFormatting>
  <conditionalFormatting sqref="DP62">
    <cfRule type="containsText" dxfId="1018" priority="100" operator="containsText" text="Option">
      <formula>NOT(ISERROR(SEARCH("Option",DP62)))</formula>
    </cfRule>
    <cfRule type="containsText" dxfId="1017" priority="101" operator="containsText" text="AltCore">
      <formula>NOT(ISERROR(SEARCH("AltCore",DP62)))</formula>
    </cfRule>
  </conditionalFormatting>
  <conditionalFormatting sqref="DP64">
    <cfRule type="containsText" dxfId="1016" priority="4" operator="containsText" text="AltCore">
      <formula>NOT(ISERROR(SEARCH("AltCore",DP64)))</formula>
    </cfRule>
  </conditionalFormatting>
  <conditionalFormatting sqref="DP69:DP90">
    <cfRule type="containsText" dxfId="1015" priority="20" operator="containsText" text="Option">
      <formula>NOT(ISERROR(SEARCH("Option",DP69)))</formula>
    </cfRule>
    <cfRule type="containsText" dxfId="1014" priority="21" operator="containsText" text="AltCore">
      <formula>NOT(ISERROR(SEARCH("AltCore",DP69)))</formula>
    </cfRule>
  </conditionalFormatting>
  <conditionalFormatting sqref="DT62">
    <cfRule type="containsText" dxfId="1013" priority="98" operator="containsText" text="Option">
      <formula>NOT(ISERROR(SEARCH("Option",DT62)))</formula>
    </cfRule>
    <cfRule type="containsText" dxfId="1012" priority="99" operator="containsText" text="AltCore">
      <formula>NOT(ISERROR(SEARCH("AltCore",DT62)))</formula>
    </cfRule>
  </conditionalFormatting>
  <conditionalFormatting sqref="DT64">
    <cfRule type="containsText" dxfId="1011" priority="3" operator="containsText" text="AltCore">
      <formula>NOT(ISERROR(SEARCH("AltCore",DT64)))</formula>
    </cfRule>
  </conditionalFormatting>
  <conditionalFormatting sqref="DT69">
    <cfRule type="containsText" dxfId="1010" priority="13" operator="containsText" text="AltCore">
      <formula>NOT(ISERROR(SEARCH("AltCore",DT69)))</formula>
    </cfRule>
  </conditionalFormatting>
  <pageMargins left="0.7" right="0.7" top="0.75" bottom="0.75" header="0.3" footer="0.3"/>
  <pageSetup paperSize="9" orientation="portrait" r:id="rId1"/>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M296"/>
  <sheetViews>
    <sheetView zoomScale="85" zoomScaleNormal="85" workbookViewId="0">
      <pane xSplit="5" ySplit="3" topLeftCell="F4" activePane="bottomRight" state="frozen"/>
      <selection activeCell="D9" sqref="D9"/>
      <selection pane="topRight" activeCell="D9" sqref="D9"/>
      <selection pane="bottomLeft" activeCell="D9" sqref="D9"/>
      <selection pane="bottomRight" activeCell="D9" sqref="D9"/>
    </sheetView>
  </sheetViews>
  <sheetFormatPr defaultRowHeight="15.75" x14ac:dyDescent="0.25"/>
  <cols>
    <col min="1" max="1" width="16.125" bestFit="1" customWidth="1"/>
    <col min="2" max="2" width="6" style="5" bestFit="1" customWidth="1"/>
    <col min="3" max="3" width="9.125" bestFit="1" customWidth="1"/>
    <col min="4" max="4" width="75.625" bestFit="1" customWidth="1"/>
    <col min="5" max="5" width="8.625" style="5" bestFit="1" customWidth="1"/>
    <col min="6" max="6" width="31.875" customWidth="1"/>
    <col min="7" max="7" width="5.875" style="5" customWidth="1"/>
    <col min="8" max="9" width="5.75" style="5" bestFit="1" customWidth="1"/>
    <col min="10" max="10" width="5.75" style="5" customWidth="1"/>
    <col min="11" max="12" width="5.75" style="5" bestFit="1" customWidth="1"/>
    <col min="13" max="13" width="51.75" customWidth="1"/>
    <col min="14" max="14" width="6.5" bestFit="1" customWidth="1"/>
    <col min="15" max="16" width="5.75" bestFit="1" customWidth="1"/>
    <col min="17" max="22" width="5.75" customWidth="1"/>
    <col min="23" max="23" width="6.25" customWidth="1"/>
    <col min="24" max="38" width="6.25" bestFit="1" customWidth="1"/>
    <col min="39" max="39" width="2.875" customWidth="1"/>
    <col min="40" max="52" width="5.75" bestFit="1" customWidth="1"/>
    <col min="53" max="53" width="6.25" bestFit="1" customWidth="1"/>
    <col min="54" max="65" width="5.75" bestFit="1" customWidth="1"/>
  </cols>
  <sheetData>
    <row r="1" spans="1:65" x14ac:dyDescent="0.25">
      <c r="A1" s="74">
        <v>1</v>
      </c>
      <c r="B1" s="74">
        <v>2</v>
      </c>
      <c r="C1" s="74">
        <v>3</v>
      </c>
      <c r="D1" s="74">
        <v>4</v>
      </c>
      <c r="E1" s="74">
        <v>5</v>
      </c>
      <c r="F1" s="74">
        <v>6</v>
      </c>
      <c r="G1" s="74">
        <v>7</v>
      </c>
      <c r="H1" s="74">
        <v>8</v>
      </c>
      <c r="I1" s="74">
        <v>9</v>
      </c>
      <c r="J1" s="74">
        <v>10</v>
      </c>
      <c r="K1" s="74">
        <v>11</v>
      </c>
      <c r="L1" s="74">
        <v>12</v>
      </c>
      <c r="M1" s="74">
        <v>13</v>
      </c>
      <c r="N1" s="74">
        <v>14</v>
      </c>
      <c r="O1" s="74">
        <v>15</v>
      </c>
      <c r="P1" s="74">
        <v>16</v>
      </c>
      <c r="Q1" s="74">
        <v>17</v>
      </c>
      <c r="R1" s="74">
        <v>18</v>
      </c>
      <c r="S1" s="74">
        <v>19</v>
      </c>
      <c r="T1" s="74">
        <v>20</v>
      </c>
      <c r="U1" s="74">
        <v>21</v>
      </c>
      <c r="V1" s="74">
        <v>22</v>
      </c>
      <c r="W1" s="74">
        <v>23</v>
      </c>
      <c r="X1" s="74">
        <v>24</v>
      </c>
      <c r="Y1" s="74">
        <v>25</v>
      </c>
      <c r="Z1" s="74">
        <v>26</v>
      </c>
      <c r="AA1" s="74">
        <v>27</v>
      </c>
      <c r="AB1" s="74">
        <v>28</v>
      </c>
      <c r="AC1" s="74">
        <v>29</v>
      </c>
      <c r="AD1" s="74">
        <v>30</v>
      </c>
      <c r="AE1" s="74">
        <v>31</v>
      </c>
      <c r="AF1" s="74">
        <v>32</v>
      </c>
      <c r="AG1" s="74">
        <v>33</v>
      </c>
      <c r="AH1" s="74">
        <v>34</v>
      </c>
      <c r="AI1" s="74">
        <v>35</v>
      </c>
      <c r="AJ1" s="74">
        <v>36</v>
      </c>
      <c r="AK1" s="74">
        <v>37</v>
      </c>
      <c r="AL1" s="74">
        <v>38</v>
      </c>
      <c r="AM1" s="74">
        <v>39</v>
      </c>
      <c r="AN1" s="74">
        <v>40</v>
      </c>
      <c r="AO1" s="74">
        <v>41</v>
      </c>
      <c r="AP1" s="74">
        <v>42</v>
      </c>
      <c r="AQ1" s="74">
        <v>43</v>
      </c>
      <c r="AR1" s="74">
        <v>44</v>
      </c>
      <c r="AS1" s="74">
        <v>45</v>
      </c>
      <c r="AT1" s="74">
        <v>46</v>
      </c>
      <c r="AU1" s="74">
        <v>47</v>
      </c>
      <c r="AV1" s="74">
        <v>48</v>
      </c>
      <c r="AW1" s="74">
        <v>49</v>
      </c>
      <c r="AX1" s="74">
        <v>50</v>
      </c>
      <c r="AY1" s="74">
        <v>51</v>
      </c>
      <c r="AZ1" s="74">
        <v>52</v>
      </c>
      <c r="BA1" s="74">
        <v>53</v>
      </c>
      <c r="BB1" s="74">
        <v>54</v>
      </c>
      <c r="BC1" s="74">
        <v>55</v>
      </c>
      <c r="BD1" s="74">
        <v>56</v>
      </c>
      <c r="BE1" s="74">
        <v>57</v>
      </c>
      <c r="BF1" s="74">
        <v>58</v>
      </c>
      <c r="BG1" s="74">
        <v>59</v>
      </c>
      <c r="BH1" s="74">
        <v>60</v>
      </c>
      <c r="BI1" s="74">
        <v>61</v>
      </c>
      <c r="BJ1" s="74">
        <v>62</v>
      </c>
      <c r="BK1" s="74">
        <v>63</v>
      </c>
      <c r="BL1" s="74">
        <v>64</v>
      </c>
      <c r="BM1" s="74">
        <v>65</v>
      </c>
    </row>
    <row r="2" spans="1:65" x14ac:dyDescent="0.25">
      <c r="A2" s="27"/>
      <c r="B2" s="28"/>
      <c r="C2" s="28"/>
      <c r="D2" s="27"/>
      <c r="E2" s="28"/>
      <c r="F2" s="27"/>
      <c r="G2" s="35" t="s">
        <v>528</v>
      </c>
      <c r="H2" s="28"/>
      <c r="I2" s="28"/>
      <c r="J2" s="33" t="s">
        <v>529</v>
      </c>
      <c r="K2" s="33"/>
      <c r="L2" s="34"/>
      <c r="M2" s="6"/>
    </row>
    <row r="3" spans="1:65" ht="71.25" x14ac:dyDescent="0.25">
      <c r="A3" s="99" t="s">
        <v>0</v>
      </c>
      <c r="B3" s="99" t="s">
        <v>1</v>
      </c>
      <c r="C3" s="99" t="s">
        <v>2</v>
      </c>
      <c r="D3" s="99" t="s">
        <v>530</v>
      </c>
      <c r="E3" s="99" t="s">
        <v>5</v>
      </c>
      <c r="F3" s="99" t="s">
        <v>4</v>
      </c>
      <c r="G3" s="181" t="s">
        <v>531</v>
      </c>
      <c r="H3" s="182" t="s">
        <v>532</v>
      </c>
      <c r="I3" s="182" t="s">
        <v>533</v>
      </c>
      <c r="J3" s="182" t="s">
        <v>534</v>
      </c>
      <c r="K3" s="182" t="s">
        <v>535</v>
      </c>
      <c r="L3" s="182" t="s">
        <v>536</v>
      </c>
      <c r="M3" s="206" t="s">
        <v>537</v>
      </c>
      <c r="N3" s="203" t="s">
        <v>66</v>
      </c>
      <c r="O3" s="194" t="s">
        <v>72</v>
      </c>
      <c r="P3" s="194" t="s">
        <v>76</v>
      </c>
      <c r="Q3" s="194" t="s">
        <v>932</v>
      </c>
      <c r="R3" s="194" t="s">
        <v>934</v>
      </c>
      <c r="S3" s="194" t="s">
        <v>936</v>
      </c>
      <c r="T3" s="194" t="s">
        <v>938</v>
      </c>
      <c r="U3" s="194" t="s">
        <v>940</v>
      </c>
      <c r="V3" s="194" t="s">
        <v>942</v>
      </c>
      <c r="W3" s="194" t="s">
        <v>80</v>
      </c>
      <c r="X3" s="194" t="s">
        <v>192</v>
      </c>
      <c r="Y3" s="194" t="s">
        <v>204</v>
      </c>
      <c r="Z3" s="194" t="s">
        <v>207</v>
      </c>
      <c r="AA3" s="194" t="s">
        <v>211</v>
      </c>
      <c r="AB3" s="194" t="s">
        <v>215</v>
      </c>
      <c r="AC3" s="194" t="s">
        <v>218</v>
      </c>
      <c r="AD3" s="194" t="s">
        <v>220</v>
      </c>
      <c r="AE3" s="194" t="s">
        <v>222</v>
      </c>
      <c r="AF3" s="194" t="s">
        <v>224</v>
      </c>
      <c r="AG3" s="194" t="s">
        <v>227</v>
      </c>
      <c r="AH3" s="194" t="s">
        <v>229</v>
      </c>
      <c r="AI3" s="194" t="s">
        <v>231</v>
      </c>
      <c r="AJ3" s="194" t="s">
        <v>233</v>
      </c>
      <c r="AK3" s="194" t="s">
        <v>235</v>
      </c>
      <c r="AL3" s="194" t="s">
        <v>237</v>
      </c>
      <c r="AM3" s="210" t="s">
        <v>538</v>
      </c>
      <c r="AN3" s="194" t="s">
        <v>241</v>
      </c>
      <c r="AO3" s="194" t="s">
        <v>193</v>
      </c>
      <c r="AP3" s="194" t="s">
        <v>245</v>
      </c>
      <c r="AQ3" s="194" t="s">
        <v>247</v>
      </c>
      <c r="AR3" s="194" t="s">
        <v>195</v>
      </c>
      <c r="AS3" s="194" t="s">
        <v>251</v>
      </c>
      <c r="AT3" s="194" t="s">
        <v>253</v>
      </c>
      <c r="AU3" s="194" t="s">
        <v>255</v>
      </c>
      <c r="AV3" s="194" t="s">
        <v>258</v>
      </c>
      <c r="AW3" s="194" t="s">
        <v>256</v>
      </c>
      <c r="AX3" s="194" t="s">
        <v>197</v>
      </c>
      <c r="AY3" s="194" t="s">
        <v>263</v>
      </c>
      <c r="AZ3" s="194" t="s">
        <v>265</v>
      </c>
      <c r="BA3" s="194" t="s">
        <v>198</v>
      </c>
      <c r="BB3" s="194" t="s">
        <v>314</v>
      </c>
      <c r="BC3" s="194" t="s">
        <v>323</v>
      </c>
      <c r="BD3" s="194" t="s">
        <v>202</v>
      </c>
      <c r="BE3" s="194" t="s">
        <v>205</v>
      </c>
      <c r="BF3" s="194" t="s">
        <v>261</v>
      </c>
      <c r="BG3" s="194" t="s">
        <v>362</v>
      </c>
      <c r="BH3" s="194" t="s">
        <v>208</v>
      </c>
      <c r="BI3" s="194" t="s">
        <v>391</v>
      </c>
      <c r="BJ3" s="194" t="s">
        <v>212</v>
      </c>
      <c r="BK3" s="194" t="s">
        <v>216</v>
      </c>
      <c r="BL3" s="194" t="s">
        <v>249</v>
      </c>
      <c r="BM3" s="194" t="s">
        <v>315</v>
      </c>
    </row>
    <row r="4" spans="1:65" x14ac:dyDescent="0.25">
      <c r="A4" s="157" t="s">
        <v>130</v>
      </c>
      <c r="B4" s="12"/>
      <c r="C4" s="11"/>
      <c r="D4" s="11" t="s">
        <v>539</v>
      </c>
      <c r="E4" s="12"/>
      <c r="F4" s="131" t="s">
        <v>540</v>
      </c>
      <c r="G4" s="101" t="str">
        <f>IFERROR(IF(VLOOKUP(TableHandbook[[#This Row],[UDC]],TableAvailabilities[],2,FALSE)&gt;0,"Y",""),"")</f>
        <v/>
      </c>
      <c r="H4" s="102" t="str">
        <f>IFERROR(IF(VLOOKUP(TableHandbook[[#This Row],[UDC]],TableAvailabilities[],3,FALSE)&gt;0,"Y",""),"")</f>
        <v/>
      </c>
      <c r="I4" s="102" t="str">
        <f>IFERROR(IF(VLOOKUP(TableHandbook[[#This Row],[UDC]],TableAvailabilities[],4,FALSE)&gt;0,"Y",""),"")</f>
        <v/>
      </c>
      <c r="J4" s="191" t="str">
        <f>IFERROR(IF(VLOOKUP(TableHandbook[[#This Row],[UDC]],TableAvailabilities[],5,FALSE)&gt;0,"Y",""),"")</f>
        <v/>
      </c>
      <c r="K4" s="191" t="str">
        <f>IFERROR(IF(VLOOKUP(TableHandbook[[#This Row],[UDC]],TableAvailabilities[],6,FALSE)&gt;0,"Y",""),"")</f>
        <v/>
      </c>
      <c r="L4" s="102" t="str">
        <f>IFERROR(IF(VLOOKUP(TableHandbook[[#This Row],[UDC]],TableAvailabilities[],7,FALSE)&gt;0,"Y",""),"")</f>
        <v/>
      </c>
      <c r="M4" s="207"/>
      <c r="N4" s="204" t="str">
        <f>IFERROR(VLOOKUP(TableHandbook[[#This Row],[UDC]],TableBEDUC[],7,FALSE),"")</f>
        <v/>
      </c>
      <c r="O4" s="193" t="str">
        <f>IFERROR(VLOOKUP(TableHandbook[[#This Row],[UDC]],TableBEDEC[],7,FALSE),"")</f>
        <v/>
      </c>
      <c r="P4" s="193" t="str">
        <f>IFERROR(VLOOKUP(TableHandbook[[#This Row],[UDC]],TableBEDPR[],7,FALSE),"")</f>
        <v/>
      </c>
      <c r="Q4" s="193" t="str">
        <f>IFERROR(VLOOKUP(TableHandbook[[#This Row],[UDC]],TableSTRUCATHL[],7,FALSE),"")</f>
        <v/>
      </c>
      <c r="R4" s="193" t="str">
        <f>IFERROR(VLOOKUP(TableHandbook[[#This Row],[UDC]],TableSTRUENGLL[],7,FALSE),"")</f>
        <v/>
      </c>
      <c r="S4" s="193" t="str">
        <f>IFERROR(VLOOKUP(TableHandbook[[#This Row],[UDC]],TableSTRUINTBC[],7,FALSE),"")</f>
        <v/>
      </c>
      <c r="T4" s="193" t="str">
        <f>IFERROR(VLOOKUP(TableHandbook[[#This Row],[UDC]],TableSTRUISTEM[],7,FALSE),"")</f>
        <v/>
      </c>
      <c r="U4" s="193" t="str">
        <f>IFERROR(VLOOKUP(TableHandbook[[#This Row],[UDC]],TableSTRULITNU[],7,FALSE),"")</f>
        <v/>
      </c>
      <c r="V4" s="193" t="str">
        <f>IFERROR(VLOOKUP(TableHandbook[[#This Row],[UDC]],TableSTRUTECHS[],7,FALSE),"")</f>
        <v/>
      </c>
      <c r="W4" s="193" t="str">
        <f>IFERROR(VLOOKUP(TableHandbook[[#This Row],[UDC]],TableBEDSC[],7,FALSE),"")</f>
        <v/>
      </c>
      <c r="X4" s="193" t="str">
        <f>IFERROR(VLOOKUP(TableHandbook[[#This Row],[UDC]],TableMJRUARTDR[],7,FALSE),"")</f>
        <v/>
      </c>
      <c r="Y4" s="193" t="str">
        <f>IFERROR(VLOOKUP(TableHandbook[[#This Row],[UDC]],TableMJRUARTME[],7,FALSE),"")</f>
        <v/>
      </c>
      <c r="Z4" s="193" t="str">
        <f>IFERROR(VLOOKUP(TableHandbook[[#This Row],[UDC]],TableMJRUARTVA[],7,FALSE),"")</f>
        <v/>
      </c>
      <c r="AA4" s="193" t="str">
        <f>IFERROR(VLOOKUP(TableHandbook[[#This Row],[UDC]],TableMJRUENGLT[],7,FALSE),"")</f>
        <v/>
      </c>
      <c r="AB4" s="193" t="str">
        <f>IFERROR(VLOOKUP(TableHandbook[[#This Row],[UDC]],TableMJRUHLTPE[],7,FALSE),"")</f>
        <v/>
      </c>
      <c r="AC4" s="193" t="str">
        <f>IFERROR(VLOOKUP(TableHandbook[[#This Row],[UDC]],TableMJRUHUSEC[],7,FALSE),"")</f>
        <v/>
      </c>
      <c r="AD4" s="193" t="str">
        <f>IFERROR(VLOOKUP(TableHandbook[[#This Row],[UDC]],TableMJRUHUSGE[],7,FALSE),"")</f>
        <v/>
      </c>
      <c r="AE4" s="193" t="str">
        <f>IFERROR(VLOOKUP(TableHandbook[[#This Row],[UDC]],TableMJRUHUSHI[],7,FALSE),"")</f>
        <v/>
      </c>
      <c r="AF4" s="193" t="str">
        <f>IFERROR(VLOOKUP(TableHandbook[[#This Row],[UDC]],TableMJRUHUSPL[],7,FALSE),"")</f>
        <v/>
      </c>
      <c r="AG4" s="193" t="str">
        <f>IFERROR(VLOOKUP(TableHandbook[[#This Row],[UDC]],TableMJRUMATHT[],7,FALSE),"")</f>
        <v/>
      </c>
      <c r="AH4" s="193" t="str">
        <f>IFERROR(VLOOKUP(TableHandbook[[#This Row],[UDC]],TableMJRUSCIBI[],7,FALSE),"")</f>
        <v/>
      </c>
      <c r="AI4" s="193" t="str">
        <f>IFERROR(VLOOKUP(TableHandbook[[#This Row],[UDC]],TableMJRUSCICH[],7,FALSE),"")</f>
        <v/>
      </c>
      <c r="AJ4" s="193" t="str">
        <f>IFERROR(VLOOKUP(TableHandbook[[#This Row],[UDC]],TableMJRUSCIHB[],7,FALSE),"")</f>
        <v/>
      </c>
      <c r="AK4" s="193" t="str">
        <f>IFERROR(VLOOKUP(TableHandbook[[#This Row],[UDC]],TableMJRUSCIPH[],7,FALSE),"")</f>
        <v/>
      </c>
      <c r="AL4" s="193" t="str">
        <f>IFERROR(VLOOKUP(TableHandbook[[#This Row],[UDC]],TableMJRUSCIPS[],7,FALSE),"")</f>
        <v/>
      </c>
      <c r="AM4" s="202"/>
      <c r="AN4" s="201" t="str">
        <f>IFERROR(VLOOKUP(TableHandbook[[#This Row],[UDC]],TableSTRUBIOLB[],7,FALSE),"")</f>
        <v/>
      </c>
      <c r="AO4" s="201" t="str">
        <f>IFERROR(VLOOKUP(TableHandbook[[#This Row],[UDC]],TableSTRUBSCIM[],7,FALSE),"")</f>
        <v/>
      </c>
      <c r="AP4" s="201" t="str">
        <f>IFERROR(VLOOKUP(TableHandbook[[#This Row],[UDC]],TableSTRUCHEMB[],7,FALSE),"")</f>
        <v/>
      </c>
      <c r="AQ4" s="201" t="str">
        <f>IFERROR(VLOOKUP(TableHandbook[[#This Row],[UDC]],TableSTRUECOB1[],7,FALSE),"")</f>
        <v/>
      </c>
      <c r="AR4" s="201" t="str">
        <f>IFERROR(VLOOKUP(TableHandbook[[#This Row],[UDC]],TableSTRUEDART[],7,FALSE),"")</f>
        <v/>
      </c>
      <c r="AS4" s="201" t="str">
        <f>IFERROR(VLOOKUP(TableHandbook[[#This Row],[UDC]],TableSTRUEDENG[],7,FALSE),"")</f>
        <v/>
      </c>
      <c r="AT4" s="201" t="str">
        <f>IFERROR(VLOOKUP(TableHandbook[[#This Row],[UDC]],TableSTRUEDHAS[],7,FALSE),"")</f>
        <v/>
      </c>
      <c r="AU4" s="201" t="str">
        <f>IFERROR(VLOOKUP(TableHandbook[[#This Row],[UDC]],TableSTRUEDMAT[],7,FALSE),"")</f>
        <v/>
      </c>
      <c r="AV4" s="201" t="str">
        <f>IFERROR(VLOOKUP(TableHandbook[[#This Row],[UDC]],TableSTRUEDSCI[],7,FALSE),"")</f>
        <v/>
      </c>
      <c r="AW4" s="201" t="str">
        <f>IFERROR(VLOOKUP(TableHandbook[[#This Row],[UDC]],TableSTRUENGLB[],7,FALSE),"")</f>
        <v/>
      </c>
      <c r="AX4" s="201" t="str">
        <f>IFERROR(VLOOKUP(TableHandbook[[#This Row],[UDC]],TableSTRUENGLM[],7,FALSE),"")</f>
        <v/>
      </c>
      <c r="AY4" s="201" t="str">
        <f>IFERROR(VLOOKUP(TableHandbook[[#This Row],[UDC]],TableSTRUGEOB1[],7,FALSE),"")</f>
        <v/>
      </c>
      <c r="AZ4" s="201" t="str">
        <f>IFERROR(VLOOKUP(TableHandbook[[#This Row],[UDC]],TableSTRUHISB1[],7,FALSE),"")</f>
        <v/>
      </c>
      <c r="BA4" s="201" t="str">
        <f>IFERROR(VLOOKUP(TableHandbook[[#This Row],[UDC]],TableSTRUHUMAM[],7,FALSE),"")</f>
        <v/>
      </c>
      <c r="BB4" s="201" t="str">
        <f>IFERROR(VLOOKUP(TableHandbook[[#This Row],[UDC]],TableSTRUHUMBB[],7,FALSE),"")</f>
        <v/>
      </c>
      <c r="BC4" s="201" t="str">
        <f>IFERROR(VLOOKUP(TableHandbook[[#This Row],[UDC]],TableSTRUMATHB[],7,FALSE),"")</f>
        <v/>
      </c>
      <c r="BD4" s="201" t="str">
        <f>IFERROR(VLOOKUP(TableHandbook[[#This Row],[UDC]],TableSTRUMATHM[],7,FALSE),"")</f>
        <v/>
      </c>
      <c r="BE4" s="201" t="str">
        <f>IFERROR(VLOOKUP(TableHandbook[[#This Row],[UDC]],TableSTRUPARTB[],7,FALSE),"")</f>
        <v/>
      </c>
      <c r="BF4" s="201" t="str">
        <f>IFERROR(VLOOKUP(TableHandbook[[#This Row],[UDC]],TableSTRUPARTM[],7,FALSE),"")</f>
        <v/>
      </c>
      <c r="BG4" s="201" t="str">
        <f>IFERROR(VLOOKUP(TableHandbook[[#This Row],[UDC]],TableSTRUPOLB1[],7,FALSE),"")</f>
        <v/>
      </c>
      <c r="BH4" s="201" t="str">
        <f>IFERROR(VLOOKUP(TableHandbook[[#This Row],[UDC]],TableSTRUPSCIM[],7,FALSE),"")</f>
        <v/>
      </c>
      <c r="BI4" s="201" t="str">
        <f>IFERROR(VLOOKUP(TableHandbook[[#This Row],[UDC]],TableSTRUPSYCB[],7,FALSE),"")</f>
        <v/>
      </c>
      <c r="BJ4" s="201" t="str">
        <f>IFERROR(VLOOKUP(TableHandbook[[#This Row],[UDC]],TableSTRUPSYCM[],7,FALSE),"")</f>
        <v/>
      </c>
      <c r="BK4" s="201" t="str">
        <f>IFERROR(VLOOKUP(TableHandbook[[#This Row],[UDC]],TableSTRUSOSCM[],7,FALSE),"")</f>
        <v/>
      </c>
      <c r="BL4" s="201" t="str">
        <f>IFERROR(VLOOKUP(TableHandbook[[#This Row],[UDC]],TableSTRUVARTB[],7,FALSE),"")</f>
        <v/>
      </c>
      <c r="BM4" s="201" t="str">
        <f>IFERROR(VLOOKUP(TableHandbook[[#This Row],[UDC]],TableSTRUVARTM[],7,FALSE),"")</f>
        <v/>
      </c>
    </row>
    <row r="5" spans="1:65" x14ac:dyDescent="0.25">
      <c r="A5" s="157" t="s">
        <v>138</v>
      </c>
      <c r="B5" s="12"/>
      <c r="C5" s="11"/>
      <c r="D5" s="9" t="s">
        <v>541</v>
      </c>
      <c r="E5" s="12"/>
      <c r="F5" s="131" t="s">
        <v>540</v>
      </c>
      <c r="G5" s="126" t="str">
        <f>IFERROR(IF(VLOOKUP(TableHandbook[[#This Row],[UDC]],TableAvailabilities[],2,FALSE)&gt;0,"Y",""),"")</f>
        <v/>
      </c>
      <c r="H5" s="127" t="str">
        <f>IFERROR(IF(VLOOKUP(TableHandbook[[#This Row],[UDC]],TableAvailabilities[],3,FALSE)&gt;0,"Y",""),"")</f>
        <v/>
      </c>
      <c r="I5" s="127" t="str">
        <f>IFERROR(IF(VLOOKUP(TableHandbook[[#This Row],[UDC]],TableAvailabilities[],4,FALSE)&gt;0,"Y",""),"")</f>
        <v/>
      </c>
      <c r="J5" s="128" t="str">
        <f>IFERROR(IF(VLOOKUP(TableHandbook[[#This Row],[UDC]],TableAvailabilities[],5,FALSE)&gt;0,"Y",""),"")</f>
        <v/>
      </c>
      <c r="K5" s="128" t="str">
        <f>IFERROR(IF(VLOOKUP(TableHandbook[[#This Row],[UDC]],TableAvailabilities[],6,FALSE)&gt;0,"Y",""),"")</f>
        <v/>
      </c>
      <c r="L5" s="127" t="str">
        <f>IFERROR(IF(VLOOKUP(TableHandbook[[#This Row],[UDC]],TableAvailabilities[],7,FALSE)&gt;0,"Y",""),"")</f>
        <v/>
      </c>
      <c r="M5" s="208"/>
      <c r="N5" s="204" t="str">
        <f>IFERROR(VLOOKUP(TableHandbook[[#This Row],[UDC]],TableBEDUC[],7,FALSE),"")</f>
        <v/>
      </c>
      <c r="O5" s="193" t="str">
        <f>IFERROR(VLOOKUP(TableHandbook[[#This Row],[UDC]],TableBEDEC[],7,FALSE),"")</f>
        <v/>
      </c>
      <c r="P5" s="193" t="str">
        <f>IFERROR(VLOOKUP(TableHandbook[[#This Row],[UDC]],TableBEDPR[],7,FALSE),"")</f>
        <v/>
      </c>
      <c r="Q5" s="193" t="str">
        <f>IFERROR(VLOOKUP(TableHandbook[[#This Row],[UDC]],TableSTRUCATHL[],7,FALSE),"")</f>
        <v/>
      </c>
      <c r="R5" s="193" t="str">
        <f>IFERROR(VLOOKUP(TableHandbook[[#This Row],[UDC]],TableSTRUENGLL[],7,FALSE),"")</f>
        <v/>
      </c>
      <c r="S5" s="193" t="str">
        <f>IFERROR(VLOOKUP(TableHandbook[[#This Row],[UDC]],TableSTRUINTBC[],7,FALSE),"")</f>
        <v/>
      </c>
      <c r="T5" s="193" t="str">
        <f>IFERROR(VLOOKUP(TableHandbook[[#This Row],[UDC]],TableSTRUISTEM[],7,FALSE),"")</f>
        <v/>
      </c>
      <c r="U5" s="193" t="str">
        <f>IFERROR(VLOOKUP(TableHandbook[[#This Row],[UDC]],TableSTRULITNU[],7,FALSE),"")</f>
        <v/>
      </c>
      <c r="V5" s="193" t="str">
        <f>IFERROR(VLOOKUP(TableHandbook[[#This Row],[UDC]],TableSTRUTECHS[],7,FALSE),"")</f>
        <v/>
      </c>
      <c r="W5" s="193" t="str">
        <f>IFERROR(VLOOKUP(TableHandbook[[#This Row],[UDC]],TableBEDSC[],7,FALSE),"")</f>
        <v/>
      </c>
      <c r="X5" s="193" t="str">
        <f>IFERROR(VLOOKUP(TableHandbook[[#This Row],[UDC]],TableMJRUARTDR[],7,FALSE),"")</f>
        <v/>
      </c>
      <c r="Y5" s="193" t="str">
        <f>IFERROR(VLOOKUP(TableHandbook[[#This Row],[UDC]],TableMJRUARTME[],7,FALSE),"")</f>
        <v/>
      </c>
      <c r="Z5" s="193" t="str">
        <f>IFERROR(VLOOKUP(TableHandbook[[#This Row],[UDC]],TableMJRUARTVA[],7,FALSE),"")</f>
        <v/>
      </c>
      <c r="AA5" s="193" t="str">
        <f>IFERROR(VLOOKUP(TableHandbook[[#This Row],[UDC]],TableMJRUENGLT[],7,FALSE),"")</f>
        <v/>
      </c>
      <c r="AB5" s="193" t="str">
        <f>IFERROR(VLOOKUP(TableHandbook[[#This Row],[UDC]],TableMJRUHLTPE[],7,FALSE),"")</f>
        <v/>
      </c>
      <c r="AC5" s="193" t="str">
        <f>IFERROR(VLOOKUP(TableHandbook[[#This Row],[UDC]],TableMJRUHUSEC[],7,FALSE),"")</f>
        <v/>
      </c>
      <c r="AD5" s="193" t="str">
        <f>IFERROR(VLOOKUP(TableHandbook[[#This Row],[UDC]],TableMJRUHUSGE[],7,FALSE),"")</f>
        <v/>
      </c>
      <c r="AE5" s="193" t="str">
        <f>IFERROR(VLOOKUP(TableHandbook[[#This Row],[UDC]],TableMJRUHUSHI[],7,FALSE),"")</f>
        <v/>
      </c>
      <c r="AF5" s="193" t="str">
        <f>IFERROR(VLOOKUP(TableHandbook[[#This Row],[UDC]],TableMJRUHUSPL[],7,FALSE),"")</f>
        <v/>
      </c>
      <c r="AG5" s="193" t="str">
        <f>IFERROR(VLOOKUP(TableHandbook[[#This Row],[UDC]],TableMJRUMATHT[],7,FALSE),"")</f>
        <v/>
      </c>
      <c r="AH5" s="193" t="str">
        <f>IFERROR(VLOOKUP(TableHandbook[[#This Row],[UDC]],TableMJRUSCIBI[],7,FALSE),"")</f>
        <v/>
      </c>
      <c r="AI5" s="193" t="str">
        <f>IFERROR(VLOOKUP(TableHandbook[[#This Row],[UDC]],TableMJRUSCICH[],7,FALSE),"")</f>
        <v/>
      </c>
      <c r="AJ5" s="193" t="str">
        <f>IFERROR(VLOOKUP(TableHandbook[[#This Row],[UDC]],TableMJRUSCIHB[],7,FALSE),"")</f>
        <v/>
      </c>
      <c r="AK5" s="193" t="str">
        <f>IFERROR(VLOOKUP(TableHandbook[[#This Row],[UDC]],TableMJRUSCIPH[],7,FALSE),"")</f>
        <v/>
      </c>
      <c r="AL5" s="193" t="str">
        <f>IFERROR(VLOOKUP(TableHandbook[[#This Row],[UDC]],TableMJRUSCIPS[],7,FALSE),"")</f>
        <v/>
      </c>
      <c r="AM5" s="202"/>
      <c r="AN5" s="200" t="str">
        <f>IFERROR(VLOOKUP(TableHandbook[[#This Row],[UDC]],TableSTRUBIOLB[],7,FALSE),"")</f>
        <v/>
      </c>
      <c r="AO5" s="200" t="str">
        <f>IFERROR(VLOOKUP(TableHandbook[[#This Row],[UDC]],TableSTRUBSCIM[],7,FALSE),"")</f>
        <v/>
      </c>
      <c r="AP5" s="200" t="str">
        <f>IFERROR(VLOOKUP(TableHandbook[[#This Row],[UDC]],TableSTRUCHEMB[],7,FALSE),"")</f>
        <v/>
      </c>
      <c r="AQ5" s="200" t="str">
        <f>IFERROR(VLOOKUP(TableHandbook[[#This Row],[UDC]],TableSTRUECOB1[],7,FALSE),"")</f>
        <v/>
      </c>
      <c r="AR5" s="200" t="str">
        <f>IFERROR(VLOOKUP(TableHandbook[[#This Row],[UDC]],TableSTRUEDART[],7,FALSE),"")</f>
        <v/>
      </c>
      <c r="AS5" s="200" t="str">
        <f>IFERROR(VLOOKUP(TableHandbook[[#This Row],[UDC]],TableSTRUEDENG[],7,FALSE),"")</f>
        <v/>
      </c>
      <c r="AT5" s="200" t="str">
        <f>IFERROR(VLOOKUP(TableHandbook[[#This Row],[UDC]],TableSTRUEDHAS[],7,FALSE),"")</f>
        <v/>
      </c>
      <c r="AU5" s="200" t="str">
        <f>IFERROR(VLOOKUP(TableHandbook[[#This Row],[UDC]],TableSTRUEDMAT[],7,FALSE),"")</f>
        <v/>
      </c>
      <c r="AV5" s="200" t="str">
        <f>IFERROR(VLOOKUP(TableHandbook[[#This Row],[UDC]],TableSTRUEDSCI[],7,FALSE),"")</f>
        <v/>
      </c>
      <c r="AW5" s="200" t="str">
        <f>IFERROR(VLOOKUP(TableHandbook[[#This Row],[UDC]],TableSTRUENGLB[],7,FALSE),"")</f>
        <v/>
      </c>
      <c r="AX5" s="200" t="str">
        <f>IFERROR(VLOOKUP(TableHandbook[[#This Row],[UDC]],TableSTRUENGLM[],7,FALSE),"")</f>
        <v/>
      </c>
      <c r="AY5" s="200" t="str">
        <f>IFERROR(VLOOKUP(TableHandbook[[#This Row],[UDC]],TableSTRUGEOB1[],7,FALSE),"")</f>
        <v/>
      </c>
      <c r="AZ5" s="200" t="str">
        <f>IFERROR(VLOOKUP(TableHandbook[[#This Row],[UDC]],TableSTRUHISB1[],7,FALSE),"")</f>
        <v/>
      </c>
      <c r="BA5" s="200" t="str">
        <f>IFERROR(VLOOKUP(TableHandbook[[#This Row],[UDC]],TableSTRUHUMAM[],7,FALSE),"")</f>
        <v/>
      </c>
      <c r="BB5" s="200" t="str">
        <f>IFERROR(VLOOKUP(TableHandbook[[#This Row],[UDC]],TableSTRUHUMBB[],7,FALSE),"")</f>
        <v/>
      </c>
      <c r="BC5" s="200" t="str">
        <f>IFERROR(VLOOKUP(TableHandbook[[#This Row],[UDC]],TableSTRUMATHB[],7,FALSE),"")</f>
        <v/>
      </c>
      <c r="BD5" s="200" t="str">
        <f>IFERROR(VLOOKUP(TableHandbook[[#This Row],[UDC]],TableSTRUMATHM[],7,FALSE),"")</f>
        <v/>
      </c>
      <c r="BE5" s="200" t="str">
        <f>IFERROR(VLOOKUP(TableHandbook[[#This Row],[UDC]],TableSTRUPARTB[],7,FALSE),"")</f>
        <v/>
      </c>
      <c r="BF5" s="200" t="str">
        <f>IFERROR(VLOOKUP(TableHandbook[[#This Row],[UDC]],TableSTRUPARTM[],7,FALSE),"")</f>
        <v/>
      </c>
      <c r="BG5" s="200" t="str">
        <f>IFERROR(VLOOKUP(TableHandbook[[#This Row],[UDC]],TableSTRUPOLB1[],7,FALSE),"")</f>
        <v/>
      </c>
      <c r="BH5" s="200" t="str">
        <f>IFERROR(VLOOKUP(TableHandbook[[#This Row],[UDC]],TableSTRUPSCIM[],7,FALSE),"")</f>
        <v/>
      </c>
      <c r="BI5" s="200" t="str">
        <f>IFERROR(VLOOKUP(TableHandbook[[#This Row],[UDC]],TableSTRUPSYCB[],7,FALSE),"")</f>
        <v/>
      </c>
      <c r="BJ5" s="200" t="str">
        <f>IFERROR(VLOOKUP(TableHandbook[[#This Row],[UDC]],TableSTRUPSYCM[],7,FALSE),"")</f>
        <v/>
      </c>
      <c r="BK5" s="200" t="str">
        <f>IFERROR(VLOOKUP(TableHandbook[[#This Row],[UDC]],TableSTRUSOSCM[],7,FALSE),"")</f>
        <v/>
      </c>
      <c r="BL5" s="200" t="str">
        <f>IFERROR(VLOOKUP(TableHandbook[[#This Row],[UDC]],TableSTRUVARTB[],7,FALSE),"")</f>
        <v/>
      </c>
      <c r="BM5" s="200" t="str">
        <f>IFERROR(VLOOKUP(TableHandbook[[#This Row],[UDC]],TableSTRUVARTM[],7,FALSE),"")</f>
        <v/>
      </c>
    </row>
    <row r="6" spans="1:65" x14ac:dyDescent="0.25">
      <c r="A6" s="157" t="s">
        <v>137</v>
      </c>
      <c r="B6" s="12"/>
      <c r="C6" s="11"/>
      <c r="D6" s="9" t="s">
        <v>542</v>
      </c>
      <c r="E6" s="12"/>
      <c r="F6" s="131" t="s">
        <v>540</v>
      </c>
      <c r="G6" s="126" t="str">
        <f>IFERROR(IF(VLOOKUP(TableHandbook[[#This Row],[UDC]],TableAvailabilities[],2,FALSE)&gt;0,"Y",""),"")</f>
        <v/>
      </c>
      <c r="H6" s="102" t="str">
        <f>IFERROR(IF(VLOOKUP(TableHandbook[[#This Row],[UDC]],TableAvailabilities[],3,FALSE)&gt;0,"Y",""),"")</f>
        <v/>
      </c>
      <c r="I6" s="127" t="str">
        <f>IFERROR(IF(VLOOKUP(TableHandbook[[#This Row],[UDC]],TableAvailabilities[],4,FALSE)&gt;0,"Y",""),"")</f>
        <v/>
      </c>
      <c r="J6" s="128" t="str">
        <f>IFERROR(IF(VLOOKUP(TableHandbook[[#This Row],[UDC]],TableAvailabilities[],5,FALSE)&gt;0,"Y",""),"")</f>
        <v/>
      </c>
      <c r="K6" s="128" t="str">
        <f>IFERROR(IF(VLOOKUP(TableHandbook[[#This Row],[UDC]],TableAvailabilities[],6,FALSE)&gt;0,"Y",""),"")</f>
        <v/>
      </c>
      <c r="L6" s="127" t="str">
        <f>IFERROR(IF(VLOOKUP(TableHandbook[[#This Row],[UDC]],TableAvailabilities[],7,FALSE)&gt;0,"Y",""),"")</f>
        <v/>
      </c>
      <c r="M6" s="208"/>
      <c r="N6" s="204" t="str">
        <f>IFERROR(VLOOKUP(TableHandbook[[#This Row],[UDC]],TableBEDUC[],7,FALSE),"")</f>
        <v/>
      </c>
      <c r="O6" s="193" t="str">
        <f>IFERROR(VLOOKUP(TableHandbook[[#This Row],[UDC]],TableBEDEC[],7,FALSE),"")</f>
        <v/>
      </c>
      <c r="P6" s="193" t="str">
        <f>IFERROR(VLOOKUP(TableHandbook[[#This Row],[UDC]],TableBEDPR[],7,FALSE),"")</f>
        <v/>
      </c>
      <c r="Q6" s="193" t="str">
        <f>IFERROR(VLOOKUP(TableHandbook[[#This Row],[UDC]],TableSTRUCATHL[],7,FALSE),"")</f>
        <v/>
      </c>
      <c r="R6" s="193" t="str">
        <f>IFERROR(VLOOKUP(TableHandbook[[#This Row],[UDC]],TableSTRUENGLL[],7,FALSE),"")</f>
        <v/>
      </c>
      <c r="S6" s="193" t="str">
        <f>IFERROR(VLOOKUP(TableHandbook[[#This Row],[UDC]],TableSTRUINTBC[],7,FALSE),"")</f>
        <v/>
      </c>
      <c r="T6" s="193" t="str">
        <f>IFERROR(VLOOKUP(TableHandbook[[#This Row],[UDC]],TableSTRUISTEM[],7,FALSE),"")</f>
        <v/>
      </c>
      <c r="U6" s="193" t="str">
        <f>IFERROR(VLOOKUP(TableHandbook[[#This Row],[UDC]],TableSTRULITNU[],7,FALSE),"")</f>
        <v/>
      </c>
      <c r="V6" s="193" t="str">
        <f>IFERROR(VLOOKUP(TableHandbook[[#This Row],[UDC]],TableSTRUTECHS[],7,FALSE),"")</f>
        <v/>
      </c>
      <c r="W6" s="193" t="str">
        <f>IFERROR(VLOOKUP(TableHandbook[[#This Row],[UDC]],TableBEDSC[],7,FALSE),"")</f>
        <v/>
      </c>
      <c r="X6" s="193" t="str">
        <f>IFERROR(VLOOKUP(TableHandbook[[#This Row],[UDC]],TableMJRUARTDR[],7,FALSE),"")</f>
        <v/>
      </c>
      <c r="Y6" s="193" t="str">
        <f>IFERROR(VLOOKUP(TableHandbook[[#This Row],[UDC]],TableMJRUARTME[],7,FALSE),"")</f>
        <v/>
      </c>
      <c r="Z6" s="193" t="str">
        <f>IFERROR(VLOOKUP(TableHandbook[[#This Row],[UDC]],TableMJRUARTVA[],7,FALSE),"")</f>
        <v/>
      </c>
      <c r="AA6" s="193" t="str">
        <f>IFERROR(VLOOKUP(TableHandbook[[#This Row],[UDC]],TableMJRUENGLT[],7,FALSE),"")</f>
        <v/>
      </c>
      <c r="AB6" s="193" t="str">
        <f>IFERROR(VLOOKUP(TableHandbook[[#This Row],[UDC]],TableMJRUHLTPE[],7,FALSE),"")</f>
        <v/>
      </c>
      <c r="AC6" s="193" t="str">
        <f>IFERROR(VLOOKUP(TableHandbook[[#This Row],[UDC]],TableMJRUHUSEC[],7,FALSE),"")</f>
        <v/>
      </c>
      <c r="AD6" s="193" t="str">
        <f>IFERROR(VLOOKUP(TableHandbook[[#This Row],[UDC]],TableMJRUHUSGE[],7,FALSE),"")</f>
        <v/>
      </c>
      <c r="AE6" s="193" t="str">
        <f>IFERROR(VLOOKUP(TableHandbook[[#This Row],[UDC]],TableMJRUHUSHI[],7,FALSE),"")</f>
        <v/>
      </c>
      <c r="AF6" s="193" t="str">
        <f>IFERROR(VLOOKUP(TableHandbook[[#This Row],[UDC]],TableMJRUHUSPL[],7,FALSE),"")</f>
        <v/>
      </c>
      <c r="AG6" s="193" t="str">
        <f>IFERROR(VLOOKUP(TableHandbook[[#This Row],[UDC]],TableMJRUMATHT[],7,FALSE),"")</f>
        <v/>
      </c>
      <c r="AH6" s="193" t="str">
        <f>IFERROR(VLOOKUP(TableHandbook[[#This Row],[UDC]],TableMJRUSCIBI[],7,FALSE),"")</f>
        <v/>
      </c>
      <c r="AI6" s="193" t="str">
        <f>IFERROR(VLOOKUP(TableHandbook[[#This Row],[UDC]],TableMJRUSCICH[],7,FALSE),"")</f>
        <v/>
      </c>
      <c r="AJ6" s="193" t="str">
        <f>IFERROR(VLOOKUP(TableHandbook[[#This Row],[UDC]],TableMJRUSCIHB[],7,FALSE),"")</f>
        <v/>
      </c>
      <c r="AK6" s="193" t="str">
        <f>IFERROR(VLOOKUP(TableHandbook[[#This Row],[UDC]],TableMJRUSCIPH[],7,FALSE),"")</f>
        <v/>
      </c>
      <c r="AL6" s="193" t="str">
        <f>IFERROR(VLOOKUP(TableHandbook[[#This Row],[UDC]],TableMJRUSCIPS[],7,FALSE),"")</f>
        <v/>
      </c>
      <c r="AM6" s="202"/>
      <c r="AN6" s="200" t="str">
        <f>IFERROR(VLOOKUP(TableHandbook[[#This Row],[UDC]],TableSTRUBIOLB[],7,FALSE),"")</f>
        <v/>
      </c>
      <c r="AO6" s="200" t="str">
        <f>IFERROR(VLOOKUP(TableHandbook[[#This Row],[UDC]],TableSTRUBSCIM[],7,FALSE),"")</f>
        <v/>
      </c>
      <c r="AP6" s="200" t="str">
        <f>IFERROR(VLOOKUP(TableHandbook[[#This Row],[UDC]],TableSTRUCHEMB[],7,FALSE),"")</f>
        <v/>
      </c>
      <c r="AQ6" s="200" t="str">
        <f>IFERROR(VLOOKUP(TableHandbook[[#This Row],[UDC]],TableSTRUECOB1[],7,FALSE),"")</f>
        <v/>
      </c>
      <c r="AR6" s="200" t="str">
        <f>IFERROR(VLOOKUP(TableHandbook[[#This Row],[UDC]],TableSTRUEDART[],7,FALSE),"")</f>
        <v/>
      </c>
      <c r="AS6" s="200" t="str">
        <f>IFERROR(VLOOKUP(TableHandbook[[#This Row],[UDC]],TableSTRUEDENG[],7,FALSE),"")</f>
        <v/>
      </c>
      <c r="AT6" s="200" t="str">
        <f>IFERROR(VLOOKUP(TableHandbook[[#This Row],[UDC]],TableSTRUEDHAS[],7,FALSE),"")</f>
        <v/>
      </c>
      <c r="AU6" s="200" t="str">
        <f>IFERROR(VLOOKUP(TableHandbook[[#This Row],[UDC]],TableSTRUEDMAT[],7,FALSE),"")</f>
        <v/>
      </c>
      <c r="AV6" s="200" t="str">
        <f>IFERROR(VLOOKUP(TableHandbook[[#This Row],[UDC]],TableSTRUEDSCI[],7,FALSE),"")</f>
        <v/>
      </c>
      <c r="AW6" s="200" t="str">
        <f>IFERROR(VLOOKUP(TableHandbook[[#This Row],[UDC]],TableSTRUENGLB[],7,FALSE),"")</f>
        <v/>
      </c>
      <c r="AX6" s="200" t="str">
        <f>IFERROR(VLOOKUP(TableHandbook[[#This Row],[UDC]],TableSTRUENGLM[],7,FALSE),"")</f>
        <v/>
      </c>
      <c r="AY6" s="200" t="str">
        <f>IFERROR(VLOOKUP(TableHandbook[[#This Row],[UDC]],TableSTRUGEOB1[],7,FALSE),"")</f>
        <v/>
      </c>
      <c r="AZ6" s="200" t="str">
        <f>IFERROR(VLOOKUP(TableHandbook[[#This Row],[UDC]],TableSTRUHISB1[],7,FALSE),"")</f>
        <v/>
      </c>
      <c r="BA6" s="200" t="str">
        <f>IFERROR(VLOOKUP(TableHandbook[[#This Row],[UDC]],TableSTRUHUMAM[],7,FALSE),"")</f>
        <v/>
      </c>
      <c r="BB6" s="200" t="str">
        <f>IFERROR(VLOOKUP(TableHandbook[[#This Row],[UDC]],TableSTRUHUMBB[],7,FALSE),"")</f>
        <v/>
      </c>
      <c r="BC6" s="200" t="str">
        <f>IFERROR(VLOOKUP(TableHandbook[[#This Row],[UDC]],TableSTRUMATHB[],7,FALSE),"")</f>
        <v/>
      </c>
      <c r="BD6" s="200" t="str">
        <f>IFERROR(VLOOKUP(TableHandbook[[#This Row],[UDC]],TableSTRUMATHM[],7,FALSE),"")</f>
        <v/>
      </c>
      <c r="BE6" s="200" t="str">
        <f>IFERROR(VLOOKUP(TableHandbook[[#This Row],[UDC]],TableSTRUPARTB[],7,FALSE),"")</f>
        <v/>
      </c>
      <c r="BF6" s="200" t="str">
        <f>IFERROR(VLOOKUP(TableHandbook[[#This Row],[UDC]],TableSTRUPARTM[],7,FALSE),"")</f>
        <v/>
      </c>
      <c r="BG6" s="200" t="str">
        <f>IFERROR(VLOOKUP(TableHandbook[[#This Row],[UDC]],TableSTRUPOLB1[],7,FALSE),"")</f>
        <v/>
      </c>
      <c r="BH6" s="200" t="str">
        <f>IFERROR(VLOOKUP(TableHandbook[[#This Row],[UDC]],TableSTRUPSCIM[],7,FALSE),"")</f>
        <v/>
      </c>
      <c r="BI6" s="200" t="str">
        <f>IFERROR(VLOOKUP(TableHandbook[[#This Row],[UDC]],TableSTRUPSYCB[],7,FALSE),"")</f>
        <v/>
      </c>
      <c r="BJ6" s="200" t="str">
        <f>IFERROR(VLOOKUP(TableHandbook[[#This Row],[UDC]],TableSTRUPSYCM[],7,FALSE),"")</f>
        <v/>
      </c>
      <c r="BK6" s="200" t="str">
        <f>IFERROR(VLOOKUP(TableHandbook[[#This Row],[UDC]],TableSTRUSOSCM[],7,FALSE),"")</f>
        <v/>
      </c>
      <c r="BL6" s="200" t="str">
        <f>IFERROR(VLOOKUP(TableHandbook[[#This Row],[UDC]],TableSTRUVARTB[],7,FALSE),"")</f>
        <v/>
      </c>
      <c r="BM6" s="200" t="str">
        <f>IFERROR(VLOOKUP(TableHandbook[[#This Row],[UDC]],TableSTRUVARTM[],7,FALSE),"")</f>
        <v/>
      </c>
    </row>
    <row r="7" spans="1:65" x14ac:dyDescent="0.25">
      <c r="A7" s="11" t="s">
        <v>923</v>
      </c>
      <c r="B7" s="12"/>
      <c r="C7" s="11"/>
      <c r="D7" s="11" t="s">
        <v>547</v>
      </c>
      <c r="E7" s="12">
        <v>25</v>
      </c>
      <c r="F7" s="131" t="s">
        <v>548</v>
      </c>
      <c r="G7" s="126" t="str">
        <f>IFERROR(IF(VLOOKUP(TableHandbook[[#This Row],[UDC]],TableAvailabilities[],2,FALSE)&gt;0,"Y",""),"")</f>
        <v/>
      </c>
      <c r="H7" s="102" t="str">
        <f>IFERROR(IF(VLOOKUP(TableHandbook[[#This Row],[UDC]],TableAvailabilities[],3,FALSE)&gt;0,"Y",""),"")</f>
        <v/>
      </c>
      <c r="I7" s="127" t="str">
        <f>IFERROR(IF(VLOOKUP(TableHandbook[[#This Row],[UDC]],TableAvailabilities[],4,FALSE)&gt;0,"Y",""),"")</f>
        <v/>
      </c>
      <c r="J7" s="128" t="str">
        <f>IFERROR(IF(VLOOKUP(TableHandbook[[#This Row],[UDC]],TableAvailabilities[],5,FALSE)&gt;0,"Y",""),"")</f>
        <v/>
      </c>
      <c r="K7" s="128" t="str">
        <f>IFERROR(IF(VLOOKUP(TableHandbook[[#This Row],[UDC]],TableAvailabilities[],6,FALSE)&gt;0,"Y",""),"")</f>
        <v/>
      </c>
      <c r="L7" s="127" t="str">
        <f>IFERROR(IF(VLOOKUP(TableHandbook[[#This Row],[UDC]],TableAvailabilities[],7,FALSE)&gt;0,"Y",""),"")</f>
        <v/>
      </c>
      <c r="M7" s="207"/>
      <c r="N7" s="204" t="str">
        <f>IFERROR(VLOOKUP(TableHandbook[[#This Row],[UDC]],TableBEDUC[],7,FALSE),"")</f>
        <v/>
      </c>
      <c r="O7" s="193" t="str">
        <f>IFERROR(VLOOKUP(TableHandbook[[#This Row],[UDC]],TableBEDEC[],7,FALSE),"")</f>
        <v/>
      </c>
      <c r="P7" s="193" t="str">
        <f>IFERROR(VLOOKUP(TableHandbook[[#This Row],[UDC]],TableBEDPR[],7,FALSE),"")</f>
        <v/>
      </c>
      <c r="Q7" s="193" t="str">
        <f>IFERROR(VLOOKUP(TableHandbook[[#This Row],[UDC]],TableSTRUCATHL[],7,FALSE),"")</f>
        <v/>
      </c>
      <c r="R7" s="193" t="str">
        <f>IFERROR(VLOOKUP(TableHandbook[[#This Row],[UDC]],TableSTRUENGLL[],7,FALSE),"")</f>
        <v/>
      </c>
      <c r="S7" s="193" t="str">
        <f>IFERROR(VLOOKUP(TableHandbook[[#This Row],[UDC]],TableSTRUINTBC[],7,FALSE),"")</f>
        <v/>
      </c>
      <c r="T7" s="193" t="str">
        <f>IFERROR(VLOOKUP(TableHandbook[[#This Row],[UDC]],TableSTRUISTEM[],7,FALSE),"")</f>
        <v/>
      </c>
      <c r="U7" s="193" t="str">
        <f>IFERROR(VLOOKUP(TableHandbook[[#This Row],[UDC]],TableSTRULITNU[],7,FALSE),"")</f>
        <v/>
      </c>
      <c r="V7" s="193" t="str">
        <f>IFERROR(VLOOKUP(TableHandbook[[#This Row],[UDC]],TableSTRUTECHS[],7,FALSE),"")</f>
        <v/>
      </c>
      <c r="W7" s="193" t="str">
        <f>IFERROR(VLOOKUP(TableHandbook[[#This Row],[UDC]],TableBEDSC[],7,FALSE),"")</f>
        <v/>
      </c>
      <c r="X7" s="193" t="str">
        <f>IFERROR(VLOOKUP(TableHandbook[[#This Row],[UDC]],TableMJRUARTDR[],7,FALSE),"")</f>
        <v/>
      </c>
      <c r="Y7" s="193" t="str">
        <f>IFERROR(VLOOKUP(TableHandbook[[#This Row],[UDC]],TableMJRUARTME[],7,FALSE),"")</f>
        <v/>
      </c>
      <c r="Z7" s="193" t="str">
        <f>IFERROR(VLOOKUP(TableHandbook[[#This Row],[UDC]],TableMJRUARTVA[],7,FALSE),"")</f>
        <v/>
      </c>
      <c r="AA7" s="193" t="str">
        <f>IFERROR(VLOOKUP(TableHandbook[[#This Row],[UDC]],TableMJRUENGLT[],7,FALSE),"")</f>
        <v/>
      </c>
      <c r="AB7" s="193" t="str">
        <f>IFERROR(VLOOKUP(TableHandbook[[#This Row],[UDC]],TableMJRUHLTPE[],7,FALSE),"")</f>
        <v/>
      </c>
      <c r="AC7" s="193" t="str">
        <f>IFERROR(VLOOKUP(TableHandbook[[#This Row],[UDC]],TableMJRUHUSEC[],7,FALSE),"")</f>
        <v/>
      </c>
      <c r="AD7" s="193" t="str">
        <f>IFERROR(VLOOKUP(TableHandbook[[#This Row],[UDC]],TableMJRUHUSGE[],7,FALSE),"")</f>
        <v/>
      </c>
      <c r="AE7" s="193" t="str">
        <f>IFERROR(VLOOKUP(TableHandbook[[#This Row],[UDC]],TableMJRUHUSHI[],7,FALSE),"")</f>
        <v/>
      </c>
      <c r="AF7" s="193" t="str">
        <f>IFERROR(VLOOKUP(TableHandbook[[#This Row],[UDC]],TableMJRUHUSPL[],7,FALSE),"")</f>
        <v/>
      </c>
      <c r="AG7" s="193" t="str">
        <f>IFERROR(VLOOKUP(TableHandbook[[#This Row],[UDC]],TableMJRUMATHT[],7,FALSE),"")</f>
        <v/>
      </c>
      <c r="AH7" s="193" t="str">
        <f>IFERROR(VLOOKUP(TableHandbook[[#This Row],[UDC]],TableMJRUSCIBI[],7,FALSE),"")</f>
        <v/>
      </c>
      <c r="AI7" s="193" t="str">
        <f>IFERROR(VLOOKUP(TableHandbook[[#This Row],[UDC]],TableMJRUSCICH[],7,FALSE),"")</f>
        <v/>
      </c>
      <c r="AJ7" s="193" t="str">
        <f>IFERROR(VLOOKUP(TableHandbook[[#This Row],[UDC]],TableMJRUSCIHB[],7,FALSE),"")</f>
        <v/>
      </c>
      <c r="AK7" s="193" t="str">
        <f>IFERROR(VLOOKUP(TableHandbook[[#This Row],[UDC]],TableMJRUSCIPH[],7,FALSE),"")</f>
        <v/>
      </c>
      <c r="AL7" s="193" t="str">
        <f>IFERROR(VLOOKUP(TableHandbook[[#This Row],[UDC]],TableMJRUSCIPS[],7,FALSE),"")</f>
        <v/>
      </c>
      <c r="AM7" s="202"/>
      <c r="AN7" s="200" t="str">
        <f>IFERROR(VLOOKUP(TableHandbook[[#This Row],[UDC]],TableSTRUBIOLB[],7,FALSE),"")</f>
        <v/>
      </c>
      <c r="AO7" s="200" t="str">
        <f>IFERROR(VLOOKUP(TableHandbook[[#This Row],[UDC]],TableSTRUBSCIM[],7,FALSE),"")</f>
        <v/>
      </c>
      <c r="AP7" s="200" t="str">
        <f>IFERROR(VLOOKUP(TableHandbook[[#This Row],[UDC]],TableSTRUCHEMB[],7,FALSE),"")</f>
        <v/>
      </c>
      <c r="AQ7" s="200" t="str">
        <f>IFERROR(VLOOKUP(TableHandbook[[#This Row],[UDC]],TableSTRUECOB1[],7,FALSE),"")</f>
        <v/>
      </c>
      <c r="AR7" s="200" t="str">
        <f>IFERROR(VLOOKUP(TableHandbook[[#This Row],[UDC]],TableSTRUEDART[],7,FALSE),"")</f>
        <v/>
      </c>
      <c r="AS7" s="200" t="str">
        <f>IFERROR(VLOOKUP(TableHandbook[[#This Row],[UDC]],TableSTRUEDENG[],7,FALSE),"")</f>
        <v/>
      </c>
      <c r="AT7" s="200" t="str">
        <f>IFERROR(VLOOKUP(TableHandbook[[#This Row],[UDC]],TableSTRUEDHAS[],7,FALSE),"")</f>
        <v/>
      </c>
      <c r="AU7" s="200" t="str">
        <f>IFERROR(VLOOKUP(TableHandbook[[#This Row],[UDC]],TableSTRUEDMAT[],7,FALSE),"")</f>
        <v/>
      </c>
      <c r="AV7" s="200" t="str">
        <f>IFERROR(VLOOKUP(TableHandbook[[#This Row],[UDC]],TableSTRUEDSCI[],7,FALSE),"")</f>
        <v/>
      </c>
      <c r="AW7" s="200" t="str">
        <f>IFERROR(VLOOKUP(TableHandbook[[#This Row],[UDC]],TableSTRUENGLB[],7,FALSE),"")</f>
        <v/>
      </c>
      <c r="AX7" s="200" t="str">
        <f>IFERROR(VLOOKUP(TableHandbook[[#This Row],[UDC]],TableSTRUENGLM[],7,FALSE),"")</f>
        <v/>
      </c>
      <c r="AY7" s="200" t="str">
        <f>IFERROR(VLOOKUP(TableHandbook[[#This Row],[UDC]],TableSTRUGEOB1[],7,FALSE),"")</f>
        <v/>
      </c>
      <c r="AZ7" s="200" t="str">
        <f>IFERROR(VLOOKUP(TableHandbook[[#This Row],[UDC]],TableSTRUHISB1[],7,FALSE),"")</f>
        <v/>
      </c>
      <c r="BA7" s="200" t="str">
        <f>IFERROR(VLOOKUP(TableHandbook[[#This Row],[UDC]],TableSTRUHUMAM[],7,FALSE),"")</f>
        <v/>
      </c>
      <c r="BB7" s="200" t="str">
        <f>IFERROR(VLOOKUP(TableHandbook[[#This Row],[UDC]],TableSTRUHUMBB[],7,FALSE),"")</f>
        <v/>
      </c>
      <c r="BC7" s="200" t="str">
        <f>IFERROR(VLOOKUP(TableHandbook[[#This Row],[UDC]],TableSTRUMATHB[],7,FALSE),"")</f>
        <v/>
      </c>
      <c r="BD7" s="200" t="str">
        <f>IFERROR(VLOOKUP(TableHandbook[[#This Row],[UDC]],TableSTRUMATHM[],7,FALSE),"")</f>
        <v/>
      </c>
      <c r="BE7" s="200" t="str">
        <f>IFERROR(VLOOKUP(TableHandbook[[#This Row],[UDC]],TableSTRUPARTB[],7,FALSE),"")</f>
        <v/>
      </c>
      <c r="BF7" s="200" t="str">
        <f>IFERROR(VLOOKUP(TableHandbook[[#This Row],[UDC]],TableSTRUPARTM[],7,FALSE),"")</f>
        <v/>
      </c>
      <c r="BG7" s="200" t="str">
        <f>IFERROR(VLOOKUP(TableHandbook[[#This Row],[UDC]],TableSTRUPOLB1[],7,FALSE),"")</f>
        <v/>
      </c>
      <c r="BH7" s="200" t="str">
        <f>IFERROR(VLOOKUP(TableHandbook[[#This Row],[UDC]],TableSTRUPSCIM[],7,FALSE),"")</f>
        <v/>
      </c>
      <c r="BI7" s="200" t="str">
        <f>IFERROR(VLOOKUP(TableHandbook[[#This Row],[UDC]],TableSTRUPSYCB[],7,FALSE),"")</f>
        <v/>
      </c>
      <c r="BJ7" s="200" t="str">
        <f>IFERROR(VLOOKUP(TableHandbook[[#This Row],[UDC]],TableSTRUPSYCM[],7,FALSE),"")</f>
        <v/>
      </c>
      <c r="BK7" s="200" t="str">
        <f>IFERROR(VLOOKUP(TableHandbook[[#This Row],[UDC]],TableSTRUSOSCM[],7,FALSE),"")</f>
        <v/>
      </c>
      <c r="BL7" s="200" t="str">
        <f>IFERROR(VLOOKUP(TableHandbook[[#This Row],[UDC]],TableSTRUVARTB[],7,FALSE),"")</f>
        <v/>
      </c>
      <c r="BM7" s="200" t="str">
        <f>IFERROR(VLOOKUP(TableHandbook[[#This Row],[UDC]],TableSTRUVARTM[],7,FALSE),"")</f>
        <v/>
      </c>
    </row>
    <row r="8" spans="1:65" x14ac:dyDescent="0.25">
      <c r="A8" s="11" t="s">
        <v>924</v>
      </c>
      <c r="B8" s="12"/>
      <c r="C8" s="11"/>
      <c r="D8" s="11" t="s">
        <v>549</v>
      </c>
      <c r="E8" s="12">
        <v>25</v>
      </c>
      <c r="F8" s="131" t="s">
        <v>548</v>
      </c>
      <c r="G8" s="126" t="str">
        <f>IFERROR(IF(VLOOKUP(TableHandbook[[#This Row],[UDC]],TableAvailabilities[],2,FALSE)&gt;0,"Y",""),"")</f>
        <v/>
      </c>
      <c r="H8" s="102" t="str">
        <f>IFERROR(IF(VLOOKUP(TableHandbook[[#This Row],[UDC]],TableAvailabilities[],3,FALSE)&gt;0,"Y",""),"")</f>
        <v/>
      </c>
      <c r="I8" s="127" t="str">
        <f>IFERROR(IF(VLOOKUP(TableHandbook[[#This Row],[UDC]],TableAvailabilities[],4,FALSE)&gt;0,"Y",""),"")</f>
        <v/>
      </c>
      <c r="J8" s="128" t="str">
        <f>IFERROR(IF(VLOOKUP(TableHandbook[[#This Row],[UDC]],TableAvailabilities[],5,FALSE)&gt;0,"Y",""),"")</f>
        <v/>
      </c>
      <c r="K8" s="128" t="str">
        <f>IFERROR(IF(VLOOKUP(TableHandbook[[#This Row],[UDC]],TableAvailabilities[],6,FALSE)&gt;0,"Y",""),"")</f>
        <v/>
      </c>
      <c r="L8" s="127" t="str">
        <f>IFERROR(IF(VLOOKUP(TableHandbook[[#This Row],[UDC]],TableAvailabilities[],7,FALSE)&gt;0,"Y",""),"")</f>
        <v/>
      </c>
      <c r="M8" s="207"/>
      <c r="N8" s="204" t="str">
        <f>IFERROR(VLOOKUP(TableHandbook[[#This Row],[UDC]],TableBEDUC[],7,FALSE),"")</f>
        <v/>
      </c>
      <c r="O8" s="193" t="str">
        <f>IFERROR(VLOOKUP(TableHandbook[[#This Row],[UDC]],TableBEDEC[],7,FALSE),"")</f>
        <v/>
      </c>
      <c r="P8" s="193" t="str">
        <f>IFERROR(VLOOKUP(TableHandbook[[#This Row],[UDC]],TableBEDPR[],7,FALSE),"")</f>
        <v/>
      </c>
      <c r="Q8" s="193" t="str">
        <f>IFERROR(VLOOKUP(TableHandbook[[#This Row],[UDC]],TableSTRUCATHL[],7,FALSE),"")</f>
        <v/>
      </c>
      <c r="R8" s="193" t="str">
        <f>IFERROR(VLOOKUP(TableHandbook[[#This Row],[UDC]],TableSTRUENGLL[],7,FALSE),"")</f>
        <v/>
      </c>
      <c r="S8" s="193" t="str">
        <f>IFERROR(VLOOKUP(TableHandbook[[#This Row],[UDC]],TableSTRUINTBC[],7,FALSE),"")</f>
        <v/>
      </c>
      <c r="T8" s="193" t="str">
        <f>IFERROR(VLOOKUP(TableHandbook[[#This Row],[UDC]],TableSTRUISTEM[],7,FALSE),"")</f>
        <v/>
      </c>
      <c r="U8" s="193" t="str">
        <f>IFERROR(VLOOKUP(TableHandbook[[#This Row],[UDC]],TableSTRULITNU[],7,FALSE),"")</f>
        <v/>
      </c>
      <c r="V8" s="193" t="str">
        <f>IFERROR(VLOOKUP(TableHandbook[[#This Row],[UDC]],TableSTRUTECHS[],7,FALSE),"")</f>
        <v/>
      </c>
      <c r="W8" s="193" t="str">
        <f>IFERROR(VLOOKUP(TableHandbook[[#This Row],[UDC]],TableBEDSC[],7,FALSE),"")</f>
        <v/>
      </c>
      <c r="X8" s="193" t="str">
        <f>IFERROR(VLOOKUP(TableHandbook[[#This Row],[UDC]],TableMJRUARTDR[],7,FALSE),"")</f>
        <v/>
      </c>
      <c r="Y8" s="193" t="str">
        <f>IFERROR(VLOOKUP(TableHandbook[[#This Row],[UDC]],TableMJRUARTME[],7,FALSE),"")</f>
        <v/>
      </c>
      <c r="Z8" s="193" t="str">
        <f>IFERROR(VLOOKUP(TableHandbook[[#This Row],[UDC]],TableMJRUARTVA[],7,FALSE),"")</f>
        <v/>
      </c>
      <c r="AA8" s="193" t="str">
        <f>IFERROR(VLOOKUP(TableHandbook[[#This Row],[UDC]],TableMJRUENGLT[],7,FALSE),"")</f>
        <v/>
      </c>
      <c r="AB8" s="193" t="str">
        <f>IFERROR(VLOOKUP(TableHandbook[[#This Row],[UDC]],TableMJRUHLTPE[],7,FALSE),"")</f>
        <v/>
      </c>
      <c r="AC8" s="193" t="str">
        <f>IFERROR(VLOOKUP(TableHandbook[[#This Row],[UDC]],TableMJRUHUSEC[],7,FALSE),"")</f>
        <v/>
      </c>
      <c r="AD8" s="193" t="str">
        <f>IFERROR(VLOOKUP(TableHandbook[[#This Row],[UDC]],TableMJRUHUSGE[],7,FALSE),"")</f>
        <v/>
      </c>
      <c r="AE8" s="193" t="str">
        <f>IFERROR(VLOOKUP(TableHandbook[[#This Row],[UDC]],TableMJRUHUSHI[],7,FALSE),"")</f>
        <v/>
      </c>
      <c r="AF8" s="193" t="str">
        <f>IFERROR(VLOOKUP(TableHandbook[[#This Row],[UDC]],TableMJRUHUSPL[],7,FALSE),"")</f>
        <v/>
      </c>
      <c r="AG8" s="193" t="str">
        <f>IFERROR(VLOOKUP(TableHandbook[[#This Row],[UDC]],TableMJRUMATHT[],7,FALSE),"")</f>
        <v/>
      </c>
      <c r="AH8" s="193" t="str">
        <f>IFERROR(VLOOKUP(TableHandbook[[#This Row],[UDC]],TableMJRUSCIBI[],7,FALSE),"")</f>
        <v/>
      </c>
      <c r="AI8" s="193" t="str">
        <f>IFERROR(VLOOKUP(TableHandbook[[#This Row],[UDC]],TableMJRUSCICH[],7,FALSE),"")</f>
        <v/>
      </c>
      <c r="AJ8" s="193" t="str">
        <f>IFERROR(VLOOKUP(TableHandbook[[#This Row],[UDC]],TableMJRUSCIHB[],7,FALSE),"")</f>
        <v/>
      </c>
      <c r="AK8" s="193" t="str">
        <f>IFERROR(VLOOKUP(TableHandbook[[#This Row],[UDC]],TableMJRUSCIPH[],7,FALSE),"")</f>
        <v/>
      </c>
      <c r="AL8" s="193" t="str">
        <f>IFERROR(VLOOKUP(TableHandbook[[#This Row],[UDC]],TableMJRUSCIPS[],7,FALSE),"")</f>
        <v/>
      </c>
      <c r="AM8" s="202"/>
      <c r="AN8" s="200" t="str">
        <f>IFERROR(VLOOKUP(TableHandbook[[#This Row],[UDC]],TableSTRUBIOLB[],7,FALSE),"")</f>
        <v/>
      </c>
      <c r="AO8" s="200" t="str">
        <f>IFERROR(VLOOKUP(TableHandbook[[#This Row],[UDC]],TableSTRUBSCIM[],7,FALSE),"")</f>
        <v/>
      </c>
      <c r="AP8" s="200" t="str">
        <f>IFERROR(VLOOKUP(TableHandbook[[#This Row],[UDC]],TableSTRUCHEMB[],7,FALSE),"")</f>
        <v/>
      </c>
      <c r="AQ8" s="200" t="str">
        <f>IFERROR(VLOOKUP(TableHandbook[[#This Row],[UDC]],TableSTRUECOB1[],7,FALSE),"")</f>
        <v/>
      </c>
      <c r="AR8" s="200" t="str">
        <f>IFERROR(VLOOKUP(TableHandbook[[#This Row],[UDC]],TableSTRUEDART[],7,FALSE),"")</f>
        <v/>
      </c>
      <c r="AS8" s="200" t="str">
        <f>IFERROR(VLOOKUP(TableHandbook[[#This Row],[UDC]],TableSTRUEDENG[],7,FALSE),"")</f>
        <v/>
      </c>
      <c r="AT8" s="200" t="str">
        <f>IFERROR(VLOOKUP(TableHandbook[[#This Row],[UDC]],TableSTRUEDHAS[],7,FALSE),"")</f>
        <v/>
      </c>
      <c r="AU8" s="200" t="str">
        <f>IFERROR(VLOOKUP(TableHandbook[[#This Row],[UDC]],TableSTRUEDMAT[],7,FALSE),"")</f>
        <v/>
      </c>
      <c r="AV8" s="200" t="str">
        <f>IFERROR(VLOOKUP(TableHandbook[[#This Row],[UDC]],TableSTRUEDSCI[],7,FALSE),"")</f>
        <v/>
      </c>
      <c r="AW8" s="200" t="str">
        <f>IFERROR(VLOOKUP(TableHandbook[[#This Row],[UDC]],TableSTRUENGLB[],7,FALSE),"")</f>
        <v/>
      </c>
      <c r="AX8" s="200" t="str">
        <f>IFERROR(VLOOKUP(TableHandbook[[#This Row],[UDC]],TableSTRUENGLM[],7,FALSE),"")</f>
        <v/>
      </c>
      <c r="AY8" s="200" t="str">
        <f>IFERROR(VLOOKUP(TableHandbook[[#This Row],[UDC]],TableSTRUGEOB1[],7,FALSE),"")</f>
        <v/>
      </c>
      <c r="AZ8" s="200" t="str">
        <f>IFERROR(VLOOKUP(TableHandbook[[#This Row],[UDC]],TableSTRUHISB1[],7,FALSE),"")</f>
        <v/>
      </c>
      <c r="BA8" s="200" t="str">
        <f>IFERROR(VLOOKUP(TableHandbook[[#This Row],[UDC]],TableSTRUHUMAM[],7,FALSE),"")</f>
        <v/>
      </c>
      <c r="BB8" s="200" t="str">
        <f>IFERROR(VLOOKUP(TableHandbook[[#This Row],[UDC]],TableSTRUHUMBB[],7,FALSE),"")</f>
        <v/>
      </c>
      <c r="BC8" s="200" t="str">
        <f>IFERROR(VLOOKUP(TableHandbook[[#This Row],[UDC]],TableSTRUMATHB[],7,FALSE),"")</f>
        <v/>
      </c>
      <c r="BD8" s="200" t="str">
        <f>IFERROR(VLOOKUP(TableHandbook[[#This Row],[UDC]],TableSTRUMATHM[],7,FALSE),"")</f>
        <v/>
      </c>
      <c r="BE8" s="200" t="str">
        <f>IFERROR(VLOOKUP(TableHandbook[[#This Row],[UDC]],TableSTRUPARTB[],7,FALSE),"")</f>
        <v/>
      </c>
      <c r="BF8" s="200" t="str">
        <f>IFERROR(VLOOKUP(TableHandbook[[#This Row],[UDC]],TableSTRUPARTM[],7,FALSE),"")</f>
        <v/>
      </c>
      <c r="BG8" s="200" t="str">
        <f>IFERROR(VLOOKUP(TableHandbook[[#This Row],[UDC]],TableSTRUPOLB1[],7,FALSE),"")</f>
        <v/>
      </c>
      <c r="BH8" s="200" t="str">
        <f>IFERROR(VLOOKUP(TableHandbook[[#This Row],[UDC]],TableSTRUPSCIM[],7,FALSE),"")</f>
        <v/>
      </c>
      <c r="BI8" s="200" t="str">
        <f>IFERROR(VLOOKUP(TableHandbook[[#This Row],[UDC]],TableSTRUPSYCB[],7,FALSE),"")</f>
        <v/>
      </c>
      <c r="BJ8" s="200" t="str">
        <f>IFERROR(VLOOKUP(TableHandbook[[#This Row],[UDC]],TableSTRUPSYCM[],7,FALSE),"")</f>
        <v/>
      </c>
      <c r="BK8" s="200" t="str">
        <f>IFERROR(VLOOKUP(TableHandbook[[#This Row],[UDC]],TableSTRUSOSCM[],7,FALSE),"")</f>
        <v/>
      </c>
      <c r="BL8" s="200" t="str">
        <f>IFERROR(VLOOKUP(TableHandbook[[#This Row],[UDC]],TableSTRUVARTB[],7,FALSE),"")</f>
        <v/>
      </c>
      <c r="BM8" s="200" t="str">
        <f>IFERROR(VLOOKUP(TableHandbook[[#This Row],[UDC]],TableSTRUVARTM[],7,FALSE),"")</f>
        <v/>
      </c>
    </row>
    <row r="9" spans="1:65" x14ac:dyDescent="0.25">
      <c r="A9" s="262" t="s">
        <v>309</v>
      </c>
      <c r="B9" s="12">
        <v>1</v>
      </c>
      <c r="C9" s="11"/>
      <c r="D9" s="11" t="s">
        <v>543</v>
      </c>
      <c r="E9" s="12">
        <v>25</v>
      </c>
      <c r="F9" s="131" t="s">
        <v>544</v>
      </c>
      <c r="G9" s="126" t="str">
        <f>IFERROR(IF(VLOOKUP(TableHandbook[[#This Row],[UDC]],TableAvailabilities[],2,FALSE)&gt;0,"Y",""),"")</f>
        <v/>
      </c>
      <c r="H9" s="102" t="str">
        <f>IFERROR(IF(VLOOKUP(TableHandbook[[#This Row],[UDC]],TableAvailabilities[],3,FALSE)&gt;0,"Y",""),"")</f>
        <v/>
      </c>
      <c r="I9" s="127" t="str">
        <f>IFERROR(IF(VLOOKUP(TableHandbook[[#This Row],[UDC]],TableAvailabilities[],4,FALSE)&gt;0,"Y",""),"")</f>
        <v/>
      </c>
      <c r="J9" s="128" t="str">
        <f>IFERROR(IF(VLOOKUP(TableHandbook[[#This Row],[UDC]],TableAvailabilities[],5,FALSE)&gt;0,"Y",""),"")</f>
        <v>Y</v>
      </c>
      <c r="K9" s="128" t="str">
        <f>IFERROR(IF(VLOOKUP(TableHandbook[[#This Row],[UDC]],TableAvailabilities[],6,FALSE)&gt;0,"Y",""),"")</f>
        <v/>
      </c>
      <c r="L9" s="127" t="str">
        <f>IFERROR(IF(VLOOKUP(TableHandbook[[#This Row],[UDC]],TableAvailabilities[],7,FALSE)&gt;0,"Y",""),"")</f>
        <v/>
      </c>
      <c r="M9" s="207"/>
      <c r="N9" s="204" t="str">
        <f>IFERROR(VLOOKUP(TableHandbook[[#This Row],[UDC]],TableBEDUC[],7,FALSE),"")</f>
        <v/>
      </c>
      <c r="O9" s="193" t="str">
        <f>IFERROR(VLOOKUP(TableHandbook[[#This Row],[UDC]],TableBEDEC[],7,FALSE),"")</f>
        <v/>
      </c>
      <c r="P9" s="193" t="str">
        <f>IFERROR(VLOOKUP(TableHandbook[[#This Row],[UDC]],TableBEDPR[],7,FALSE),"")</f>
        <v/>
      </c>
      <c r="Q9" s="193" t="str">
        <f>IFERROR(VLOOKUP(TableHandbook[[#This Row],[UDC]],TableSTRUCATHL[],7,FALSE),"")</f>
        <v/>
      </c>
      <c r="R9" s="193" t="str">
        <f>IFERROR(VLOOKUP(TableHandbook[[#This Row],[UDC]],TableSTRUENGLL[],7,FALSE),"")</f>
        <v/>
      </c>
      <c r="S9" s="193" t="str">
        <f>IFERROR(VLOOKUP(TableHandbook[[#This Row],[UDC]],TableSTRUINTBC[],7,FALSE),"")</f>
        <v/>
      </c>
      <c r="T9" s="193" t="str">
        <f>IFERROR(VLOOKUP(TableHandbook[[#This Row],[UDC]],TableSTRUISTEM[],7,FALSE),"")</f>
        <v/>
      </c>
      <c r="U9" s="193" t="str">
        <f>IFERROR(VLOOKUP(TableHandbook[[#This Row],[UDC]],TableSTRULITNU[],7,FALSE),"")</f>
        <v/>
      </c>
      <c r="V9" s="193" t="str">
        <f>IFERROR(VLOOKUP(TableHandbook[[#This Row],[UDC]],TableSTRUTECHS[],7,FALSE),"")</f>
        <v/>
      </c>
      <c r="W9" s="193" t="str">
        <f>IFERROR(VLOOKUP(TableHandbook[[#This Row],[UDC]],TableBEDSC[],7,FALSE),"")</f>
        <v/>
      </c>
      <c r="X9" s="193" t="str">
        <f>IFERROR(VLOOKUP(TableHandbook[[#This Row],[UDC]],TableMJRUARTDR[],7,FALSE),"")</f>
        <v/>
      </c>
      <c r="Y9" s="193" t="str">
        <f>IFERROR(VLOOKUP(TableHandbook[[#This Row],[UDC]],TableMJRUARTME[],7,FALSE),"")</f>
        <v/>
      </c>
      <c r="Z9" s="193" t="str">
        <f>IFERROR(VLOOKUP(TableHandbook[[#This Row],[UDC]],TableMJRUARTVA[],7,FALSE),"")</f>
        <v/>
      </c>
      <c r="AA9" s="193" t="str">
        <f>IFERROR(VLOOKUP(TableHandbook[[#This Row],[UDC]],TableMJRUENGLT[],7,FALSE),"")</f>
        <v/>
      </c>
      <c r="AB9" s="193" t="str">
        <f>IFERROR(VLOOKUP(TableHandbook[[#This Row],[UDC]],TableMJRUHLTPE[],7,FALSE),"")</f>
        <v/>
      </c>
      <c r="AC9" s="193" t="str">
        <f>IFERROR(VLOOKUP(TableHandbook[[#This Row],[UDC]],TableMJRUHUSEC[],7,FALSE),"")</f>
        <v/>
      </c>
      <c r="AD9" s="193" t="str">
        <f>IFERROR(VLOOKUP(TableHandbook[[#This Row],[UDC]],TableMJRUHUSGE[],7,FALSE),"")</f>
        <v/>
      </c>
      <c r="AE9" s="193" t="str">
        <f>IFERROR(VLOOKUP(TableHandbook[[#This Row],[UDC]],TableMJRUHUSHI[],7,FALSE),"")</f>
        <v/>
      </c>
      <c r="AF9" s="193" t="str">
        <f>IFERROR(VLOOKUP(TableHandbook[[#This Row],[UDC]],TableMJRUHUSPL[],7,FALSE),"")</f>
        <v/>
      </c>
      <c r="AG9" s="193" t="str">
        <f>IFERROR(VLOOKUP(TableHandbook[[#This Row],[UDC]],TableMJRUMATHT[],7,FALSE),"")</f>
        <v/>
      </c>
      <c r="AH9" s="193" t="str">
        <f>IFERROR(VLOOKUP(TableHandbook[[#This Row],[UDC]],TableMJRUSCIBI[],7,FALSE),"")</f>
        <v>Core</v>
      </c>
      <c r="AI9" s="193" t="str">
        <f>IFERROR(VLOOKUP(TableHandbook[[#This Row],[UDC]],TableMJRUSCICH[],7,FALSE),"")</f>
        <v/>
      </c>
      <c r="AJ9" s="193" t="str">
        <f>IFERROR(VLOOKUP(TableHandbook[[#This Row],[UDC]],TableMJRUSCIHB[],7,FALSE),"")</f>
        <v/>
      </c>
      <c r="AK9" s="193" t="str">
        <f>IFERROR(VLOOKUP(TableHandbook[[#This Row],[UDC]],TableMJRUSCIPH[],7,FALSE),"")</f>
        <v/>
      </c>
      <c r="AL9" s="193" t="str">
        <f>IFERROR(VLOOKUP(TableHandbook[[#This Row],[UDC]],TableMJRUSCIPS[],7,FALSE),"")</f>
        <v/>
      </c>
      <c r="AM9" s="202"/>
      <c r="AN9" s="200" t="str">
        <f>IFERROR(VLOOKUP(TableHandbook[[#This Row],[UDC]],TableSTRUBIOLB[],7,FALSE),"")</f>
        <v/>
      </c>
      <c r="AO9" s="200" t="str">
        <f>IFERROR(VLOOKUP(TableHandbook[[#This Row],[UDC]],TableSTRUBSCIM[],7,FALSE),"")</f>
        <v/>
      </c>
      <c r="AP9" s="200" t="str">
        <f>IFERROR(VLOOKUP(TableHandbook[[#This Row],[UDC]],TableSTRUCHEMB[],7,FALSE),"")</f>
        <v/>
      </c>
      <c r="AQ9" s="200" t="str">
        <f>IFERROR(VLOOKUP(TableHandbook[[#This Row],[UDC]],TableSTRUECOB1[],7,FALSE),"")</f>
        <v/>
      </c>
      <c r="AR9" s="200" t="str">
        <f>IFERROR(VLOOKUP(TableHandbook[[#This Row],[UDC]],TableSTRUEDART[],7,FALSE),"")</f>
        <v/>
      </c>
      <c r="AS9" s="200" t="str">
        <f>IFERROR(VLOOKUP(TableHandbook[[#This Row],[UDC]],TableSTRUEDENG[],7,FALSE),"")</f>
        <v/>
      </c>
      <c r="AT9" s="200" t="str">
        <f>IFERROR(VLOOKUP(TableHandbook[[#This Row],[UDC]],TableSTRUEDHAS[],7,FALSE),"")</f>
        <v/>
      </c>
      <c r="AU9" s="200" t="str">
        <f>IFERROR(VLOOKUP(TableHandbook[[#This Row],[UDC]],TableSTRUEDMAT[],7,FALSE),"")</f>
        <v/>
      </c>
      <c r="AV9" s="200" t="str">
        <f>IFERROR(VLOOKUP(TableHandbook[[#This Row],[UDC]],TableSTRUEDSCI[],7,FALSE),"")</f>
        <v/>
      </c>
      <c r="AW9" s="200" t="str">
        <f>IFERROR(VLOOKUP(TableHandbook[[#This Row],[UDC]],TableSTRUENGLB[],7,FALSE),"")</f>
        <v/>
      </c>
      <c r="AX9" s="200" t="str">
        <f>IFERROR(VLOOKUP(TableHandbook[[#This Row],[UDC]],TableSTRUENGLM[],7,FALSE),"")</f>
        <v/>
      </c>
      <c r="AY9" s="200" t="str">
        <f>IFERROR(VLOOKUP(TableHandbook[[#This Row],[UDC]],TableSTRUGEOB1[],7,FALSE),"")</f>
        <v/>
      </c>
      <c r="AZ9" s="200" t="str">
        <f>IFERROR(VLOOKUP(TableHandbook[[#This Row],[UDC]],TableSTRUHISB1[],7,FALSE),"")</f>
        <v/>
      </c>
      <c r="BA9" s="200" t="str">
        <f>IFERROR(VLOOKUP(TableHandbook[[#This Row],[UDC]],TableSTRUHUMAM[],7,FALSE),"")</f>
        <v/>
      </c>
      <c r="BB9" s="200" t="str">
        <f>IFERROR(VLOOKUP(TableHandbook[[#This Row],[UDC]],TableSTRUHUMBB[],7,FALSE),"")</f>
        <v/>
      </c>
      <c r="BC9" s="200" t="str">
        <f>IFERROR(VLOOKUP(TableHandbook[[#This Row],[UDC]],TableSTRUMATHB[],7,FALSE),"")</f>
        <v/>
      </c>
      <c r="BD9" s="200" t="str">
        <f>IFERROR(VLOOKUP(TableHandbook[[#This Row],[UDC]],TableSTRUMATHM[],7,FALSE),"")</f>
        <v/>
      </c>
      <c r="BE9" s="200" t="str">
        <f>IFERROR(VLOOKUP(TableHandbook[[#This Row],[UDC]],TableSTRUPARTB[],7,FALSE),"")</f>
        <v/>
      </c>
      <c r="BF9" s="200" t="str">
        <f>IFERROR(VLOOKUP(TableHandbook[[#This Row],[UDC]],TableSTRUPARTM[],7,FALSE),"")</f>
        <v/>
      </c>
      <c r="BG9" s="200" t="str">
        <f>IFERROR(VLOOKUP(TableHandbook[[#This Row],[UDC]],TableSTRUPOLB1[],7,FALSE),"")</f>
        <v/>
      </c>
      <c r="BH9" s="200" t="str">
        <f>IFERROR(VLOOKUP(TableHandbook[[#This Row],[UDC]],TableSTRUPSCIM[],7,FALSE),"")</f>
        <v/>
      </c>
      <c r="BI9" s="200" t="str">
        <f>IFERROR(VLOOKUP(TableHandbook[[#This Row],[UDC]],TableSTRUPSYCB[],7,FALSE),"")</f>
        <v/>
      </c>
      <c r="BJ9" s="200" t="str">
        <f>IFERROR(VLOOKUP(TableHandbook[[#This Row],[UDC]],TableSTRUPSYCM[],7,FALSE),"")</f>
        <v/>
      </c>
      <c r="BK9" s="200" t="str">
        <f>IFERROR(VLOOKUP(TableHandbook[[#This Row],[UDC]],TableSTRUSOSCM[],7,FALSE),"")</f>
        <v/>
      </c>
      <c r="BL9" s="200" t="str">
        <f>IFERROR(VLOOKUP(TableHandbook[[#This Row],[UDC]],TableSTRUVARTB[],7,FALSE),"")</f>
        <v/>
      </c>
      <c r="BM9" s="200" t="str">
        <f>IFERROR(VLOOKUP(TableHandbook[[#This Row],[UDC]],TableSTRUVARTM[],7,FALSE),"")</f>
        <v/>
      </c>
    </row>
    <row r="10" spans="1:65" x14ac:dyDescent="0.25">
      <c r="A10" s="262" t="s">
        <v>545</v>
      </c>
      <c r="B10" s="12"/>
      <c r="C10" s="11"/>
      <c r="D10" s="11" t="s">
        <v>546</v>
      </c>
      <c r="E10" s="12">
        <v>400</v>
      </c>
      <c r="F10" s="131" t="s">
        <v>540</v>
      </c>
      <c r="G10" s="126" t="str">
        <f>IFERROR(IF(VLOOKUP(TableHandbook[[#This Row],[UDC]],TableAvailabilities[],2,FALSE)&gt;0,"Y",""),"")</f>
        <v/>
      </c>
      <c r="H10" s="102" t="str">
        <f>IFERROR(IF(VLOOKUP(TableHandbook[[#This Row],[UDC]],TableAvailabilities[],3,FALSE)&gt;0,"Y",""),"")</f>
        <v/>
      </c>
      <c r="I10" s="127" t="str">
        <f>IFERROR(IF(VLOOKUP(TableHandbook[[#This Row],[UDC]],TableAvailabilities[],4,FALSE)&gt;0,"Y",""),"")</f>
        <v/>
      </c>
      <c r="J10" s="128" t="str">
        <f>IFERROR(IF(VLOOKUP(TableHandbook[[#This Row],[UDC]],TableAvailabilities[],5,FALSE)&gt;0,"Y",""),"")</f>
        <v/>
      </c>
      <c r="K10" s="128" t="str">
        <f>IFERROR(IF(VLOOKUP(TableHandbook[[#This Row],[UDC]],TableAvailabilities[],6,FALSE)&gt;0,"Y",""),"")</f>
        <v/>
      </c>
      <c r="L10" s="127" t="str">
        <f>IFERROR(IF(VLOOKUP(TableHandbook[[#This Row],[UDC]],TableAvailabilities[],7,FALSE)&gt;0,"Y",""),"")</f>
        <v/>
      </c>
      <c r="M10" s="207"/>
      <c r="N10" s="204" t="str">
        <f>IFERROR(VLOOKUP(TableHandbook[[#This Row],[UDC]],TableBEDUC[],7,FALSE),"")</f>
        <v/>
      </c>
      <c r="O10" s="193" t="str">
        <f>IFERROR(VLOOKUP(TableHandbook[[#This Row],[UDC]],TableBEDEC[],7,FALSE),"")</f>
        <v/>
      </c>
      <c r="P10" s="193" t="str">
        <f>IFERROR(VLOOKUP(TableHandbook[[#This Row],[UDC]],TableBEDPR[],7,FALSE),"")</f>
        <v/>
      </c>
      <c r="Q10" s="193" t="str">
        <f>IFERROR(VLOOKUP(TableHandbook[[#This Row],[UDC]],TableSTRUCATHL[],7,FALSE),"")</f>
        <v/>
      </c>
      <c r="R10" s="193" t="str">
        <f>IFERROR(VLOOKUP(TableHandbook[[#This Row],[UDC]],TableSTRUENGLL[],7,FALSE),"")</f>
        <v/>
      </c>
      <c r="S10" s="193" t="str">
        <f>IFERROR(VLOOKUP(TableHandbook[[#This Row],[UDC]],TableSTRUINTBC[],7,FALSE),"")</f>
        <v/>
      </c>
      <c r="T10" s="193" t="str">
        <f>IFERROR(VLOOKUP(TableHandbook[[#This Row],[UDC]],TableSTRUISTEM[],7,FALSE),"")</f>
        <v/>
      </c>
      <c r="U10" s="193" t="str">
        <f>IFERROR(VLOOKUP(TableHandbook[[#This Row],[UDC]],TableSTRULITNU[],7,FALSE),"")</f>
        <v/>
      </c>
      <c r="V10" s="193" t="str">
        <f>IFERROR(VLOOKUP(TableHandbook[[#This Row],[UDC]],TableSTRUTECHS[],7,FALSE),"")</f>
        <v/>
      </c>
      <c r="W10" s="193" t="str">
        <f>IFERROR(VLOOKUP(TableHandbook[[#This Row],[UDC]],TableBEDSC[],7,FALSE),"")</f>
        <v>Core</v>
      </c>
      <c r="X10" s="193" t="str">
        <f>IFERROR(VLOOKUP(TableHandbook[[#This Row],[UDC]],TableMJRUARTDR[],7,FALSE),"")</f>
        <v/>
      </c>
      <c r="Y10" s="193" t="str">
        <f>IFERROR(VLOOKUP(TableHandbook[[#This Row],[UDC]],TableMJRUARTME[],7,FALSE),"")</f>
        <v/>
      </c>
      <c r="Z10" s="193" t="str">
        <f>IFERROR(VLOOKUP(TableHandbook[[#This Row],[UDC]],TableMJRUARTVA[],7,FALSE),"")</f>
        <v/>
      </c>
      <c r="AA10" s="193" t="str">
        <f>IFERROR(VLOOKUP(TableHandbook[[#This Row],[UDC]],TableMJRUENGLT[],7,FALSE),"")</f>
        <v/>
      </c>
      <c r="AB10" s="193" t="str">
        <f>IFERROR(VLOOKUP(TableHandbook[[#This Row],[UDC]],TableMJRUHLTPE[],7,FALSE),"")</f>
        <v/>
      </c>
      <c r="AC10" s="193" t="str">
        <f>IFERROR(VLOOKUP(TableHandbook[[#This Row],[UDC]],TableMJRUHUSEC[],7,FALSE),"")</f>
        <v/>
      </c>
      <c r="AD10" s="193" t="str">
        <f>IFERROR(VLOOKUP(TableHandbook[[#This Row],[UDC]],TableMJRUHUSGE[],7,FALSE),"")</f>
        <v/>
      </c>
      <c r="AE10" s="193" t="str">
        <f>IFERROR(VLOOKUP(TableHandbook[[#This Row],[UDC]],TableMJRUHUSHI[],7,FALSE),"")</f>
        <v/>
      </c>
      <c r="AF10" s="193" t="str">
        <f>IFERROR(VLOOKUP(TableHandbook[[#This Row],[UDC]],TableMJRUHUSPL[],7,FALSE),"")</f>
        <v/>
      </c>
      <c r="AG10" s="193" t="str">
        <f>IFERROR(VLOOKUP(TableHandbook[[#This Row],[UDC]],TableMJRUMATHT[],7,FALSE),"")</f>
        <v/>
      </c>
      <c r="AH10" s="193" t="str">
        <f>IFERROR(VLOOKUP(TableHandbook[[#This Row],[UDC]],TableMJRUSCIBI[],7,FALSE),"")</f>
        <v/>
      </c>
      <c r="AI10" s="193" t="str">
        <f>IFERROR(VLOOKUP(TableHandbook[[#This Row],[UDC]],TableMJRUSCICH[],7,FALSE),"")</f>
        <v/>
      </c>
      <c r="AJ10" s="193" t="str">
        <f>IFERROR(VLOOKUP(TableHandbook[[#This Row],[UDC]],TableMJRUSCIHB[],7,FALSE),"")</f>
        <v/>
      </c>
      <c r="AK10" s="193" t="str">
        <f>IFERROR(VLOOKUP(TableHandbook[[#This Row],[UDC]],TableMJRUSCIPH[],7,FALSE),"")</f>
        <v/>
      </c>
      <c r="AL10" s="193" t="str">
        <f>IFERROR(VLOOKUP(TableHandbook[[#This Row],[UDC]],TableMJRUSCIPS[],7,FALSE),"")</f>
        <v/>
      </c>
      <c r="AM10" s="202"/>
      <c r="AN10" s="200" t="str">
        <f>IFERROR(VLOOKUP(TableHandbook[[#This Row],[UDC]],TableSTRUBIOLB[],7,FALSE),"")</f>
        <v/>
      </c>
      <c r="AO10" s="200" t="str">
        <f>IFERROR(VLOOKUP(TableHandbook[[#This Row],[UDC]],TableSTRUBSCIM[],7,FALSE),"")</f>
        <v/>
      </c>
      <c r="AP10" s="200" t="str">
        <f>IFERROR(VLOOKUP(TableHandbook[[#This Row],[UDC]],TableSTRUCHEMB[],7,FALSE),"")</f>
        <v/>
      </c>
      <c r="AQ10" s="200" t="str">
        <f>IFERROR(VLOOKUP(TableHandbook[[#This Row],[UDC]],TableSTRUECOB1[],7,FALSE),"")</f>
        <v/>
      </c>
      <c r="AR10" s="200" t="str">
        <f>IFERROR(VLOOKUP(TableHandbook[[#This Row],[UDC]],TableSTRUEDART[],7,FALSE),"")</f>
        <v/>
      </c>
      <c r="AS10" s="200" t="str">
        <f>IFERROR(VLOOKUP(TableHandbook[[#This Row],[UDC]],TableSTRUEDENG[],7,FALSE),"")</f>
        <v/>
      </c>
      <c r="AT10" s="200" t="str">
        <f>IFERROR(VLOOKUP(TableHandbook[[#This Row],[UDC]],TableSTRUEDHAS[],7,FALSE),"")</f>
        <v/>
      </c>
      <c r="AU10" s="200" t="str">
        <f>IFERROR(VLOOKUP(TableHandbook[[#This Row],[UDC]],TableSTRUEDMAT[],7,FALSE),"")</f>
        <v/>
      </c>
      <c r="AV10" s="200" t="str">
        <f>IFERROR(VLOOKUP(TableHandbook[[#This Row],[UDC]],TableSTRUEDSCI[],7,FALSE),"")</f>
        <v/>
      </c>
      <c r="AW10" s="200" t="str">
        <f>IFERROR(VLOOKUP(TableHandbook[[#This Row],[UDC]],TableSTRUENGLB[],7,FALSE),"")</f>
        <v/>
      </c>
      <c r="AX10" s="200" t="str">
        <f>IFERROR(VLOOKUP(TableHandbook[[#This Row],[UDC]],TableSTRUENGLM[],7,FALSE),"")</f>
        <v/>
      </c>
      <c r="AY10" s="200" t="str">
        <f>IFERROR(VLOOKUP(TableHandbook[[#This Row],[UDC]],TableSTRUGEOB1[],7,FALSE),"")</f>
        <v/>
      </c>
      <c r="AZ10" s="200" t="str">
        <f>IFERROR(VLOOKUP(TableHandbook[[#This Row],[UDC]],TableSTRUHISB1[],7,FALSE),"")</f>
        <v/>
      </c>
      <c r="BA10" s="200" t="str">
        <f>IFERROR(VLOOKUP(TableHandbook[[#This Row],[UDC]],TableSTRUHUMAM[],7,FALSE),"")</f>
        <v/>
      </c>
      <c r="BB10" s="200" t="str">
        <f>IFERROR(VLOOKUP(TableHandbook[[#This Row],[UDC]],TableSTRUHUMBB[],7,FALSE),"")</f>
        <v/>
      </c>
      <c r="BC10" s="200" t="str">
        <f>IFERROR(VLOOKUP(TableHandbook[[#This Row],[UDC]],TableSTRUMATHB[],7,FALSE),"")</f>
        <v/>
      </c>
      <c r="BD10" s="200" t="str">
        <f>IFERROR(VLOOKUP(TableHandbook[[#This Row],[UDC]],TableSTRUMATHM[],7,FALSE),"")</f>
        <v/>
      </c>
      <c r="BE10" s="200" t="str">
        <f>IFERROR(VLOOKUP(TableHandbook[[#This Row],[UDC]],TableSTRUPARTB[],7,FALSE),"")</f>
        <v/>
      </c>
      <c r="BF10" s="200" t="str">
        <f>IFERROR(VLOOKUP(TableHandbook[[#This Row],[UDC]],TableSTRUPARTM[],7,FALSE),"")</f>
        <v/>
      </c>
      <c r="BG10" s="200" t="str">
        <f>IFERROR(VLOOKUP(TableHandbook[[#This Row],[UDC]],TableSTRUPOLB1[],7,FALSE),"")</f>
        <v/>
      </c>
      <c r="BH10" s="200" t="str">
        <f>IFERROR(VLOOKUP(TableHandbook[[#This Row],[UDC]],TableSTRUPSCIM[],7,FALSE),"")</f>
        <v/>
      </c>
      <c r="BI10" s="200" t="str">
        <f>IFERROR(VLOOKUP(TableHandbook[[#This Row],[UDC]],TableSTRUPSYCB[],7,FALSE),"")</f>
        <v/>
      </c>
      <c r="BJ10" s="200" t="str">
        <f>IFERROR(VLOOKUP(TableHandbook[[#This Row],[UDC]],TableSTRUPSYCM[],7,FALSE),"")</f>
        <v/>
      </c>
      <c r="BK10" s="200" t="str">
        <f>IFERROR(VLOOKUP(TableHandbook[[#This Row],[UDC]],TableSTRUSOSCM[],7,FALSE),"")</f>
        <v/>
      </c>
      <c r="BL10" s="200" t="str">
        <f>IFERROR(VLOOKUP(TableHandbook[[#This Row],[UDC]],TableSTRUVARTB[],7,FALSE),"")</f>
        <v/>
      </c>
      <c r="BM10" s="200" t="str">
        <f>IFERROR(VLOOKUP(TableHandbook[[#This Row],[UDC]],TableSTRUVARTM[],7,FALSE),"")</f>
        <v/>
      </c>
    </row>
    <row r="11" spans="1:65" x14ac:dyDescent="0.25">
      <c r="A11" s="262" t="s">
        <v>371</v>
      </c>
      <c r="B11" s="12"/>
      <c r="C11" s="11"/>
      <c r="D11" s="11" t="s">
        <v>550</v>
      </c>
      <c r="E11" s="12">
        <v>25</v>
      </c>
      <c r="F11" s="131" t="s">
        <v>548</v>
      </c>
      <c r="G11" s="126" t="str">
        <f>IFERROR(IF(VLOOKUP(TableHandbook[[#This Row],[UDC]],TableAvailabilities[],2,FALSE)&gt;0,"Y",""),"")</f>
        <v/>
      </c>
      <c r="H11" s="102" t="str">
        <f>IFERROR(IF(VLOOKUP(TableHandbook[[#This Row],[UDC]],TableAvailabilities[],3,FALSE)&gt;0,"Y",""),"")</f>
        <v/>
      </c>
      <c r="I11" s="127" t="str">
        <f>IFERROR(IF(VLOOKUP(TableHandbook[[#This Row],[UDC]],TableAvailabilities[],4,FALSE)&gt;0,"Y",""),"")</f>
        <v/>
      </c>
      <c r="J11" s="128" t="str">
        <f>IFERROR(IF(VLOOKUP(TableHandbook[[#This Row],[UDC]],TableAvailabilities[],5,FALSE)&gt;0,"Y",""),"")</f>
        <v/>
      </c>
      <c r="K11" s="128" t="str">
        <f>IFERROR(IF(VLOOKUP(TableHandbook[[#This Row],[UDC]],TableAvailabilities[],6,FALSE)&gt;0,"Y",""),"")</f>
        <v/>
      </c>
      <c r="L11" s="127" t="str">
        <f>IFERROR(IF(VLOOKUP(TableHandbook[[#This Row],[UDC]],TableAvailabilities[],7,FALSE)&gt;0,"Y",""),"")</f>
        <v/>
      </c>
      <c r="M11" s="207"/>
      <c r="N11" s="204" t="str">
        <f>IFERROR(VLOOKUP(TableHandbook[[#This Row],[UDC]],TableBEDUC[],7,FALSE),"")</f>
        <v/>
      </c>
      <c r="O11" s="193" t="str">
        <f>IFERROR(VLOOKUP(TableHandbook[[#This Row],[UDC]],TableBEDEC[],7,FALSE),"")</f>
        <v/>
      </c>
      <c r="P11" s="193" t="str">
        <f>IFERROR(VLOOKUP(TableHandbook[[#This Row],[UDC]],TableBEDPR[],7,FALSE),"")</f>
        <v/>
      </c>
      <c r="Q11" s="193" t="str">
        <f>IFERROR(VLOOKUP(TableHandbook[[#This Row],[UDC]],TableSTRUCATHL[],7,FALSE),"")</f>
        <v/>
      </c>
      <c r="R11" s="193" t="str">
        <f>IFERROR(VLOOKUP(TableHandbook[[#This Row],[UDC]],TableSTRUENGLL[],7,FALSE),"")</f>
        <v/>
      </c>
      <c r="S11" s="193" t="str">
        <f>IFERROR(VLOOKUP(TableHandbook[[#This Row],[UDC]],TableSTRUINTBC[],7,FALSE),"")</f>
        <v/>
      </c>
      <c r="T11" s="193" t="str">
        <f>IFERROR(VLOOKUP(TableHandbook[[#This Row],[UDC]],TableSTRUISTEM[],7,FALSE),"")</f>
        <v/>
      </c>
      <c r="U11" s="193" t="str">
        <f>IFERROR(VLOOKUP(TableHandbook[[#This Row],[UDC]],TableSTRULITNU[],7,FALSE),"")</f>
        <v/>
      </c>
      <c r="V11" s="193" t="str">
        <f>IFERROR(VLOOKUP(TableHandbook[[#This Row],[UDC]],TableSTRUTECHS[],7,FALSE),"")</f>
        <v/>
      </c>
      <c r="W11" s="193" t="str">
        <f>IFERROR(VLOOKUP(TableHandbook[[#This Row],[UDC]],TableBEDSC[],7,FALSE),"")</f>
        <v/>
      </c>
      <c r="X11" s="193" t="str">
        <f>IFERROR(VLOOKUP(TableHandbook[[#This Row],[UDC]],TableMJRUARTDR[],7,FALSE),"")</f>
        <v/>
      </c>
      <c r="Y11" s="193" t="str">
        <f>IFERROR(VLOOKUP(TableHandbook[[#This Row],[UDC]],TableMJRUARTME[],7,FALSE),"")</f>
        <v/>
      </c>
      <c r="Z11" s="193" t="str">
        <f>IFERROR(VLOOKUP(TableHandbook[[#This Row],[UDC]],TableMJRUARTVA[],7,FALSE),"")</f>
        <v/>
      </c>
      <c r="AA11" s="193" t="str">
        <f>IFERROR(VLOOKUP(TableHandbook[[#This Row],[UDC]],TableMJRUENGLT[],7,FALSE),"")</f>
        <v/>
      </c>
      <c r="AB11" s="193" t="str">
        <f>IFERROR(VLOOKUP(TableHandbook[[#This Row],[UDC]],TableMJRUHLTPE[],7,FALSE),"")</f>
        <v/>
      </c>
      <c r="AC11" s="193" t="str">
        <f>IFERROR(VLOOKUP(TableHandbook[[#This Row],[UDC]],TableMJRUHUSEC[],7,FALSE),"")</f>
        <v/>
      </c>
      <c r="AD11" s="193" t="str">
        <f>IFERROR(VLOOKUP(TableHandbook[[#This Row],[UDC]],TableMJRUHUSGE[],7,FALSE),"")</f>
        <v/>
      </c>
      <c r="AE11" s="193" t="str">
        <f>IFERROR(VLOOKUP(TableHandbook[[#This Row],[UDC]],TableMJRUHUSHI[],7,FALSE),"")</f>
        <v/>
      </c>
      <c r="AF11" s="193" t="str">
        <f>IFERROR(VLOOKUP(TableHandbook[[#This Row],[UDC]],TableMJRUHUSPL[],7,FALSE),"")</f>
        <v>Core</v>
      </c>
      <c r="AG11" s="193" t="str">
        <f>IFERROR(VLOOKUP(TableHandbook[[#This Row],[UDC]],TableMJRUMATHT[],7,FALSE),"")</f>
        <v/>
      </c>
      <c r="AH11" s="193" t="str">
        <f>IFERROR(VLOOKUP(TableHandbook[[#This Row],[UDC]],TableMJRUSCIBI[],7,FALSE),"")</f>
        <v/>
      </c>
      <c r="AI11" s="193" t="str">
        <f>IFERROR(VLOOKUP(TableHandbook[[#This Row],[UDC]],TableMJRUSCICH[],7,FALSE),"")</f>
        <v/>
      </c>
      <c r="AJ11" s="193" t="str">
        <f>IFERROR(VLOOKUP(TableHandbook[[#This Row],[UDC]],TableMJRUSCIHB[],7,FALSE),"")</f>
        <v/>
      </c>
      <c r="AK11" s="193" t="str">
        <f>IFERROR(VLOOKUP(TableHandbook[[#This Row],[UDC]],TableMJRUSCIPH[],7,FALSE),"")</f>
        <v/>
      </c>
      <c r="AL11" s="193" t="str">
        <f>IFERROR(VLOOKUP(TableHandbook[[#This Row],[UDC]],TableMJRUSCIPS[],7,FALSE),"")</f>
        <v/>
      </c>
      <c r="AM11" s="202"/>
      <c r="AN11" s="200" t="str">
        <f>IFERROR(VLOOKUP(TableHandbook[[#This Row],[UDC]],TableSTRUBIOLB[],7,FALSE),"")</f>
        <v/>
      </c>
      <c r="AO11" s="200" t="str">
        <f>IFERROR(VLOOKUP(TableHandbook[[#This Row],[UDC]],TableSTRUBSCIM[],7,FALSE),"")</f>
        <v/>
      </c>
      <c r="AP11" s="200" t="str">
        <f>IFERROR(VLOOKUP(TableHandbook[[#This Row],[UDC]],TableSTRUCHEMB[],7,FALSE),"")</f>
        <v/>
      </c>
      <c r="AQ11" s="200" t="str">
        <f>IFERROR(VLOOKUP(TableHandbook[[#This Row],[UDC]],TableSTRUECOB1[],7,FALSE),"")</f>
        <v/>
      </c>
      <c r="AR11" s="200" t="str">
        <f>IFERROR(VLOOKUP(TableHandbook[[#This Row],[UDC]],TableSTRUEDART[],7,FALSE),"")</f>
        <v/>
      </c>
      <c r="AS11" s="200" t="str">
        <f>IFERROR(VLOOKUP(TableHandbook[[#This Row],[UDC]],TableSTRUEDENG[],7,FALSE),"")</f>
        <v/>
      </c>
      <c r="AT11" s="200" t="str">
        <f>IFERROR(VLOOKUP(TableHandbook[[#This Row],[UDC]],TableSTRUEDHAS[],7,FALSE),"")</f>
        <v/>
      </c>
      <c r="AU11" s="200" t="str">
        <f>IFERROR(VLOOKUP(TableHandbook[[#This Row],[UDC]],TableSTRUEDMAT[],7,FALSE),"")</f>
        <v/>
      </c>
      <c r="AV11" s="200" t="str">
        <f>IFERROR(VLOOKUP(TableHandbook[[#This Row],[UDC]],TableSTRUEDSCI[],7,FALSE),"")</f>
        <v/>
      </c>
      <c r="AW11" s="200" t="str">
        <f>IFERROR(VLOOKUP(TableHandbook[[#This Row],[UDC]],TableSTRUENGLB[],7,FALSE),"")</f>
        <v/>
      </c>
      <c r="AX11" s="200" t="str">
        <f>IFERROR(VLOOKUP(TableHandbook[[#This Row],[UDC]],TableSTRUENGLM[],7,FALSE),"")</f>
        <v/>
      </c>
      <c r="AY11" s="200" t="str">
        <f>IFERROR(VLOOKUP(TableHandbook[[#This Row],[UDC]],TableSTRUGEOB1[],7,FALSE),"")</f>
        <v/>
      </c>
      <c r="AZ11" s="200" t="str">
        <f>IFERROR(VLOOKUP(TableHandbook[[#This Row],[UDC]],TableSTRUHISB1[],7,FALSE),"")</f>
        <v/>
      </c>
      <c r="BA11" s="200" t="str">
        <f>IFERROR(VLOOKUP(TableHandbook[[#This Row],[UDC]],TableSTRUHUMAM[],7,FALSE),"")</f>
        <v/>
      </c>
      <c r="BB11" s="200" t="str">
        <f>IFERROR(VLOOKUP(TableHandbook[[#This Row],[UDC]],TableSTRUHUMBB[],7,FALSE),"")</f>
        <v/>
      </c>
      <c r="BC11" s="200" t="str">
        <f>IFERROR(VLOOKUP(TableHandbook[[#This Row],[UDC]],TableSTRUMATHB[],7,FALSE),"")</f>
        <v/>
      </c>
      <c r="BD11" s="200" t="str">
        <f>IFERROR(VLOOKUP(TableHandbook[[#This Row],[UDC]],TableSTRUMATHM[],7,FALSE),"")</f>
        <v/>
      </c>
      <c r="BE11" s="200" t="str">
        <f>IFERROR(VLOOKUP(TableHandbook[[#This Row],[UDC]],TableSTRUPARTB[],7,FALSE),"")</f>
        <v/>
      </c>
      <c r="BF11" s="200" t="str">
        <f>IFERROR(VLOOKUP(TableHandbook[[#This Row],[UDC]],TableSTRUPARTM[],7,FALSE),"")</f>
        <v/>
      </c>
      <c r="BG11" s="200" t="str">
        <f>IFERROR(VLOOKUP(TableHandbook[[#This Row],[UDC]],TableSTRUPOLB1[],7,FALSE),"")</f>
        <v/>
      </c>
      <c r="BH11" s="200" t="str">
        <f>IFERROR(VLOOKUP(TableHandbook[[#This Row],[UDC]],TableSTRUPSCIM[],7,FALSE),"")</f>
        <v/>
      </c>
      <c r="BI11" s="200" t="str">
        <f>IFERROR(VLOOKUP(TableHandbook[[#This Row],[UDC]],TableSTRUPSYCB[],7,FALSE),"")</f>
        <v/>
      </c>
      <c r="BJ11" s="200" t="str">
        <f>IFERROR(VLOOKUP(TableHandbook[[#This Row],[UDC]],TableSTRUPSYCM[],7,FALSE),"")</f>
        <v/>
      </c>
      <c r="BK11" s="200" t="str">
        <f>IFERROR(VLOOKUP(TableHandbook[[#This Row],[UDC]],TableSTRUSOSCM[],7,FALSE),"")</f>
        <v/>
      </c>
      <c r="BL11" s="200" t="str">
        <f>IFERROR(VLOOKUP(TableHandbook[[#This Row],[UDC]],TableSTRUVARTB[],7,FALSE),"")</f>
        <v/>
      </c>
      <c r="BM11" s="200" t="str">
        <f>IFERROR(VLOOKUP(TableHandbook[[#This Row],[UDC]],TableSTRUVARTM[],7,FALSE),"")</f>
        <v/>
      </c>
    </row>
    <row r="12" spans="1:65" x14ac:dyDescent="0.25">
      <c r="A12" s="262" t="s">
        <v>372</v>
      </c>
      <c r="B12" s="12"/>
      <c r="C12" s="11"/>
      <c r="D12" s="11" t="s">
        <v>551</v>
      </c>
      <c r="E12" s="12">
        <v>25</v>
      </c>
      <c r="F12" s="131" t="s">
        <v>548</v>
      </c>
      <c r="G12" s="126" t="str">
        <f>IFERROR(IF(VLOOKUP(TableHandbook[[#This Row],[UDC]],TableAvailabilities[],2,FALSE)&gt;0,"Y",""),"")</f>
        <v/>
      </c>
      <c r="H12" s="102" t="str">
        <f>IFERROR(IF(VLOOKUP(TableHandbook[[#This Row],[UDC]],TableAvailabilities[],3,FALSE)&gt;0,"Y",""),"")</f>
        <v/>
      </c>
      <c r="I12" s="127" t="str">
        <f>IFERROR(IF(VLOOKUP(TableHandbook[[#This Row],[UDC]],TableAvailabilities[],4,FALSE)&gt;0,"Y",""),"")</f>
        <v/>
      </c>
      <c r="J12" s="128" t="str">
        <f>IFERROR(IF(VLOOKUP(TableHandbook[[#This Row],[UDC]],TableAvailabilities[],5,FALSE)&gt;0,"Y",""),"")</f>
        <v/>
      </c>
      <c r="K12" s="128" t="str">
        <f>IFERROR(IF(VLOOKUP(TableHandbook[[#This Row],[UDC]],TableAvailabilities[],6,FALSE)&gt;0,"Y",""),"")</f>
        <v/>
      </c>
      <c r="L12" s="127" t="str">
        <f>IFERROR(IF(VLOOKUP(TableHandbook[[#This Row],[UDC]],TableAvailabilities[],7,FALSE)&gt;0,"Y",""),"")</f>
        <v/>
      </c>
      <c r="M12" s="207"/>
      <c r="N12" s="204" t="str">
        <f>IFERROR(VLOOKUP(TableHandbook[[#This Row],[UDC]],TableBEDUC[],7,FALSE),"")</f>
        <v/>
      </c>
      <c r="O12" s="193" t="str">
        <f>IFERROR(VLOOKUP(TableHandbook[[#This Row],[UDC]],TableBEDEC[],7,FALSE),"")</f>
        <v/>
      </c>
      <c r="P12" s="193" t="str">
        <f>IFERROR(VLOOKUP(TableHandbook[[#This Row],[UDC]],TableBEDPR[],7,FALSE),"")</f>
        <v/>
      </c>
      <c r="Q12" s="193" t="str">
        <f>IFERROR(VLOOKUP(TableHandbook[[#This Row],[UDC]],TableSTRUCATHL[],7,FALSE),"")</f>
        <v/>
      </c>
      <c r="R12" s="193" t="str">
        <f>IFERROR(VLOOKUP(TableHandbook[[#This Row],[UDC]],TableSTRUENGLL[],7,FALSE),"")</f>
        <v/>
      </c>
      <c r="S12" s="193" t="str">
        <f>IFERROR(VLOOKUP(TableHandbook[[#This Row],[UDC]],TableSTRUINTBC[],7,FALSE),"")</f>
        <v/>
      </c>
      <c r="T12" s="193" t="str">
        <f>IFERROR(VLOOKUP(TableHandbook[[#This Row],[UDC]],TableSTRUISTEM[],7,FALSE),"")</f>
        <v/>
      </c>
      <c r="U12" s="193" t="str">
        <f>IFERROR(VLOOKUP(TableHandbook[[#This Row],[UDC]],TableSTRULITNU[],7,FALSE),"")</f>
        <v/>
      </c>
      <c r="V12" s="193" t="str">
        <f>IFERROR(VLOOKUP(TableHandbook[[#This Row],[UDC]],TableSTRUTECHS[],7,FALSE),"")</f>
        <v/>
      </c>
      <c r="W12" s="193" t="str">
        <f>IFERROR(VLOOKUP(TableHandbook[[#This Row],[UDC]],TableBEDSC[],7,FALSE),"")</f>
        <v/>
      </c>
      <c r="X12" s="193" t="str">
        <f>IFERROR(VLOOKUP(TableHandbook[[#This Row],[UDC]],TableMJRUARTDR[],7,FALSE),"")</f>
        <v/>
      </c>
      <c r="Y12" s="193" t="str">
        <f>IFERROR(VLOOKUP(TableHandbook[[#This Row],[UDC]],TableMJRUARTME[],7,FALSE),"")</f>
        <v/>
      </c>
      <c r="Z12" s="193" t="str">
        <f>IFERROR(VLOOKUP(TableHandbook[[#This Row],[UDC]],TableMJRUARTVA[],7,FALSE),"")</f>
        <v/>
      </c>
      <c r="AA12" s="193" t="str">
        <f>IFERROR(VLOOKUP(TableHandbook[[#This Row],[UDC]],TableMJRUENGLT[],7,FALSE),"")</f>
        <v/>
      </c>
      <c r="AB12" s="193" t="str">
        <f>IFERROR(VLOOKUP(TableHandbook[[#This Row],[UDC]],TableMJRUHLTPE[],7,FALSE),"")</f>
        <v/>
      </c>
      <c r="AC12" s="193" t="str">
        <f>IFERROR(VLOOKUP(TableHandbook[[#This Row],[UDC]],TableMJRUHUSEC[],7,FALSE),"")</f>
        <v/>
      </c>
      <c r="AD12" s="193" t="str">
        <f>IFERROR(VLOOKUP(TableHandbook[[#This Row],[UDC]],TableMJRUHUSGE[],7,FALSE),"")</f>
        <v/>
      </c>
      <c r="AE12" s="193" t="str">
        <f>IFERROR(VLOOKUP(TableHandbook[[#This Row],[UDC]],TableMJRUHUSHI[],7,FALSE),"")</f>
        <v/>
      </c>
      <c r="AF12" s="193" t="str">
        <f>IFERROR(VLOOKUP(TableHandbook[[#This Row],[UDC]],TableMJRUHUSPL[],7,FALSE),"")</f>
        <v/>
      </c>
      <c r="AG12" s="193" t="str">
        <f>IFERROR(VLOOKUP(TableHandbook[[#This Row],[UDC]],TableMJRUMATHT[],7,FALSE),"")</f>
        <v/>
      </c>
      <c r="AH12" s="193" t="str">
        <f>IFERROR(VLOOKUP(TableHandbook[[#This Row],[UDC]],TableMJRUSCIBI[],7,FALSE),"")</f>
        <v>Core</v>
      </c>
      <c r="AI12" s="193" t="str">
        <f>IFERROR(VLOOKUP(TableHandbook[[#This Row],[UDC]],TableMJRUSCICH[],7,FALSE),"")</f>
        <v/>
      </c>
      <c r="AJ12" s="193" t="str">
        <f>IFERROR(VLOOKUP(TableHandbook[[#This Row],[UDC]],TableMJRUSCIHB[],7,FALSE),"")</f>
        <v/>
      </c>
      <c r="AK12" s="193" t="str">
        <f>IFERROR(VLOOKUP(TableHandbook[[#This Row],[UDC]],TableMJRUSCIPH[],7,FALSE),"")</f>
        <v/>
      </c>
      <c r="AL12" s="193" t="str">
        <f>IFERROR(VLOOKUP(TableHandbook[[#This Row],[UDC]],TableMJRUSCIPS[],7,FALSE),"")</f>
        <v/>
      </c>
      <c r="AM12" s="202"/>
      <c r="AN12" s="200" t="str">
        <f>IFERROR(VLOOKUP(TableHandbook[[#This Row],[UDC]],TableSTRUBIOLB[],7,FALSE),"")</f>
        <v/>
      </c>
      <c r="AO12" s="200" t="str">
        <f>IFERROR(VLOOKUP(TableHandbook[[#This Row],[UDC]],TableSTRUBSCIM[],7,FALSE),"")</f>
        <v/>
      </c>
      <c r="AP12" s="200" t="str">
        <f>IFERROR(VLOOKUP(TableHandbook[[#This Row],[UDC]],TableSTRUCHEMB[],7,FALSE),"")</f>
        <v/>
      </c>
      <c r="AQ12" s="200" t="str">
        <f>IFERROR(VLOOKUP(TableHandbook[[#This Row],[UDC]],TableSTRUECOB1[],7,FALSE),"")</f>
        <v/>
      </c>
      <c r="AR12" s="200" t="str">
        <f>IFERROR(VLOOKUP(TableHandbook[[#This Row],[UDC]],TableSTRUEDART[],7,FALSE),"")</f>
        <v/>
      </c>
      <c r="AS12" s="200" t="str">
        <f>IFERROR(VLOOKUP(TableHandbook[[#This Row],[UDC]],TableSTRUEDENG[],7,FALSE),"")</f>
        <v/>
      </c>
      <c r="AT12" s="200" t="str">
        <f>IFERROR(VLOOKUP(TableHandbook[[#This Row],[UDC]],TableSTRUEDHAS[],7,FALSE),"")</f>
        <v/>
      </c>
      <c r="AU12" s="200" t="str">
        <f>IFERROR(VLOOKUP(TableHandbook[[#This Row],[UDC]],TableSTRUEDMAT[],7,FALSE),"")</f>
        <v/>
      </c>
      <c r="AV12" s="200" t="str">
        <f>IFERROR(VLOOKUP(TableHandbook[[#This Row],[UDC]],TableSTRUEDSCI[],7,FALSE),"")</f>
        <v/>
      </c>
      <c r="AW12" s="200" t="str">
        <f>IFERROR(VLOOKUP(TableHandbook[[#This Row],[UDC]],TableSTRUENGLB[],7,FALSE),"")</f>
        <v/>
      </c>
      <c r="AX12" s="200" t="str">
        <f>IFERROR(VLOOKUP(TableHandbook[[#This Row],[UDC]],TableSTRUENGLM[],7,FALSE),"")</f>
        <v/>
      </c>
      <c r="AY12" s="200" t="str">
        <f>IFERROR(VLOOKUP(TableHandbook[[#This Row],[UDC]],TableSTRUGEOB1[],7,FALSE),"")</f>
        <v/>
      </c>
      <c r="AZ12" s="200" t="str">
        <f>IFERROR(VLOOKUP(TableHandbook[[#This Row],[UDC]],TableSTRUHISB1[],7,FALSE),"")</f>
        <v/>
      </c>
      <c r="BA12" s="200" t="str">
        <f>IFERROR(VLOOKUP(TableHandbook[[#This Row],[UDC]],TableSTRUHUMAM[],7,FALSE),"")</f>
        <v/>
      </c>
      <c r="BB12" s="200" t="str">
        <f>IFERROR(VLOOKUP(TableHandbook[[#This Row],[UDC]],TableSTRUHUMBB[],7,FALSE),"")</f>
        <v/>
      </c>
      <c r="BC12" s="200" t="str">
        <f>IFERROR(VLOOKUP(TableHandbook[[#This Row],[UDC]],TableSTRUMATHB[],7,FALSE),"")</f>
        <v/>
      </c>
      <c r="BD12" s="200" t="str">
        <f>IFERROR(VLOOKUP(TableHandbook[[#This Row],[UDC]],TableSTRUMATHM[],7,FALSE),"")</f>
        <v/>
      </c>
      <c r="BE12" s="200" t="str">
        <f>IFERROR(VLOOKUP(TableHandbook[[#This Row],[UDC]],TableSTRUPARTB[],7,FALSE),"")</f>
        <v/>
      </c>
      <c r="BF12" s="200" t="str">
        <f>IFERROR(VLOOKUP(TableHandbook[[#This Row],[UDC]],TableSTRUPARTM[],7,FALSE),"")</f>
        <v/>
      </c>
      <c r="BG12" s="200" t="str">
        <f>IFERROR(VLOOKUP(TableHandbook[[#This Row],[UDC]],TableSTRUPOLB1[],7,FALSE),"")</f>
        <v/>
      </c>
      <c r="BH12" s="200" t="str">
        <f>IFERROR(VLOOKUP(TableHandbook[[#This Row],[UDC]],TableSTRUPSCIM[],7,FALSE),"")</f>
        <v/>
      </c>
      <c r="BI12" s="200" t="str">
        <f>IFERROR(VLOOKUP(TableHandbook[[#This Row],[UDC]],TableSTRUPSYCB[],7,FALSE),"")</f>
        <v/>
      </c>
      <c r="BJ12" s="200" t="str">
        <f>IFERROR(VLOOKUP(TableHandbook[[#This Row],[UDC]],TableSTRUPSYCM[],7,FALSE),"")</f>
        <v/>
      </c>
      <c r="BK12" s="200" t="str">
        <f>IFERROR(VLOOKUP(TableHandbook[[#This Row],[UDC]],TableSTRUSOSCM[],7,FALSE),"")</f>
        <v/>
      </c>
      <c r="BL12" s="200" t="str">
        <f>IFERROR(VLOOKUP(TableHandbook[[#This Row],[UDC]],TableSTRUVARTB[],7,FALSE),"")</f>
        <v/>
      </c>
      <c r="BM12" s="200" t="str">
        <f>IFERROR(VLOOKUP(TableHandbook[[#This Row],[UDC]],TableSTRUVARTM[],7,FALSE),"")</f>
        <v/>
      </c>
    </row>
    <row r="13" spans="1:65" x14ac:dyDescent="0.25">
      <c r="A13" s="262" t="s">
        <v>374</v>
      </c>
      <c r="B13" s="12"/>
      <c r="C13" s="11"/>
      <c r="D13" s="11" t="s">
        <v>552</v>
      </c>
      <c r="E13" s="12">
        <v>25</v>
      </c>
      <c r="F13" s="131" t="s">
        <v>548</v>
      </c>
      <c r="G13" s="126" t="str">
        <f>IFERROR(IF(VLOOKUP(TableHandbook[[#This Row],[UDC]],TableAvailabilities[],2,FALSE)&gt;0,"Y",""),"")</f>
        <v/>
      </c>
      <c r="H13" s="102" t="str">
        <f>IFERROR(IF(VLOOKUP(TableHandbook[[#This Row],[UDC]],TableAvailabilities[],3,FALSE)&gt;0,"Y",""),"")</f>
        <v/>
      </c>
      <c r="I13" s="127" t="str">
        <f>IFERROR(IF(VLOOKUP(TableHandbook[[#This Row],[UDC]],TableAvailabilities[],4,FALSE)&gt;0,"Y",""),"")</f>
        <v/>
      </c>
      <c r="J13" s="128" t="str">
        <f>IFERROR(IF(VLOOKUP(TableHandbook[[#This Row],[UDC]],TableAvailabilities[],5,FALSE)&gt;0,"Y",""),"")</f>
        <v/>
      </c>
      <c r="K13" s="128" t="str">
        <f>IFERROR(IF(VLOOKUP(TableHandbook[[#This Row],[UDC]],TableAvailabilities[],6,FALSE)&gt;0,"Y",""),"")</f>
        <v/>
      </c>
      <c r="L13" s="127" t="str">
        <f>IFERROR(IF(VLOOKUP(TableHandbook[[#This Row],[UDC]],TableAvailabilities[],7,FALSE)&gt;0,"Y",""),"")</f>
        <v/>
      </c>
      <c r="M13" s="207"/>
      <c r="N13" s="204" t="str">
        <f>IFERROR(VLOOKUP(TableHandbook[[#This Row],[UDC]],TableBEDUC[],7,FALSE),"")</f>
        <v/>
      </c>
      <c r="O13" s="193" t="str">
        <f>IFERROR(VLOOKUP(TableHandbook[[#This Row],[UDC]],TableBEDEC[],7,FALSE),"")</f>
        <v/>
      </c>
      <c r="P13" s="193" t="str">
        <f>IFERROR(VLOOKUP(TableHandbook[[#This Row],[UDC]],TableBEDPR[],7,FALSE),"")</f>
        <v/>
      </c>
      <c r="Q13" s="193" t="str">
        <f>IFERROR(VLOOKUP(TableHandbook[[#This Row],[UDC]],TableSTRUCATHL[],7,FALSE),"")</f>
        <v/>
      </c>
      <c r="R13" s="193" t="str">
        <f>IFERROR(VLOOKUP(TableHandbook[[#This Row],[UDC]],TableSTRUENGLL[],7,FALSE),"")</f>
        <v/>
      </c>
      <c r="S13" s="193" t="str">
        <f>IFERROR(VLOOKUP(TableHandbook[[#This Row],[UDC]],TableSTRUINTBC[],7,FALSE),"")</f>
        <v/>
      </c>
      <c r="T13" s="193" t="str">
        <f>IFERROR(VLOOKUP(TableHandbook[[#This Row],[UDC]],TableSTRUISTEM[],7,FALSE),"")</f>
        <v/>
      </c>
      <c r="U13" s="193" t="str">
        <f>IFERROR(VLOOKUP(TableHandbook[[#This Row],[UDC]],TableSTRULITNU[],7,FALSE),"")</f>
        <v/>
      </c>
      <c r="V13" s="193" t="str">
        <f>IFERROR(VLOOKUP(TableHandbook[[#This Row],[UDC]],TableSTRUTECHS[],7,FALSE),"")</f>
        <v/>
      </c>
      <c r="W13" s="193" t="str">
        <f>IFERROR(VLOOKUP(TableHandbook[[#This Row],[UDC]],TableBEDSC[],7,FALSE),"")</f>
        <v/>
      </c>
      <c r="X13" s="193" t="str">
        <f>IFERROR(VLOOKUP(TableHandbook[[#This Row],[UDC]],TableMJRUARTDR[],7,FALSE),"")</f>
        <v/>
      </c>
      <c r="Y13" s="193" t="str">
        <f>IFERROR(VLOOKUP(TableHandbook[[#This Row],[UDC]],TableMJRUARTME[],7,FALSE),"")</f>
        <v/>
      </c>
      <c r="Z13" s="193" t="str">
        <f>IFERROR(VLOOKUP(TableHandbook[[#This Row],[UDC]],TableMJRUARTVA[],7,FALSE),"")</f>
        <v/>
      </c>
      <c r="AA13" s="193" t="str">
        <f>IFERROR(VLOOKUP(TableHandbook[[#This Row],[UDC]],TableMJRUENGLT[],7,FALSE),"")</f>
        <v/>
      </c>
      <c r="AB13" s="193" t="str">
        <f>IFERROR(VLOOKUP(TableHandbook[[#This Row],[UDC]],TableMJRUHLTPE[],7,FALSE),"")</f>
        <v/>
      </c>
      <c r="AC13" s="193" t="str">
        <f>IFERROR(VLOOKUP(TableHandbook[[#This Row],[UDC]],TableMJRUHUSEC[],7,FALSE),"")</f>
        <v/>
      </c>
      <c r="AD13" s="193" t="str">
        <f>IFERROR(VLOOKUP(TableHandbook[[#This Row],[UDC]],TableMJRUHUSGE[],7,FALSE),"")</f>
        <v/>
      </c>
      <c r="AE13" s="193" t="str">
        <f>IFERROR(VLOOKUP(TableHandbook[[#This Row],[UDC]],TableMJRUHUSHI[],7,FALSE),"")</f>
        <v/>
      </c>
      <c r="AF13" s="193" t="str">
        <f>IFERROR(VLOOKUP(TableHandbook[[#This Row],[UDC]],TableMJRUHUSPL[],7,FALSE),"")</f>
        <v/>
      </c>
      <c r="AG13" s="193" t="str">
        <f>IFERROR(VLOOKUP(TableHandbook[[#This Row],[UDC]],TableMJRUMATHT[],7,FALSE),"")</f>
        <v/>
      </c>
      <c r="AH13" s="193" t="str">
        <f>IFERROR(VLOOKUP(TableHandbook[[#This Row],[UDC]],TableMJRUSCIBI[],7,FALSE),"")</f>
        <v/>
      </c>
      <c r="AI13" s="193" t="str">
        <f>IFERROR(VLOOKUP(TableHandbook[[#This Row],[UDC]],TableMJRUSCICH[],7,FALSE),"")</f>
        <v/>
      </c>
      <c r="AJ13" s="193" t="str">
        <f>IFERROR(VLOOKUP(TableHandbook[[#This Row],[UDC]],TableMJRUSCIHB[],7,FALSE),"")</f>
        <v>Core</v>
      </c>
      <c r="AK13" s="193" t="str">
        <f>IFERROR(VLOOKUP(TableHandbook[[#This Row],[UDC]],TableMJRUSCIPH[],7,FALSE),"")</f>
        <v/>
      </c>
      <c r="AL13" s="193" t="str">
        <f>IFERROR(VLOOKUP(TableHandbook[[#This Row],[UDC]],TableMJRUSCIPS[],7,FALSE),"")</f>
        <v/>
      </c>
      <c r="AM13" s="202"/>
      <c r="AN13" s="200" t="str">
        <f>IFERROR(VLOOKUP(TableHandbook[[#This Row],[UDC]],TableSTRUBIOLB[],7,FALSE),"")</f>
        <v/>
      </c>
      <c r="AO13" s="200" t="str">
        <f>IFERROR(VLOOKUP(TableHandbook[[#This Row],[UDC]],TableSTRUBSCIM[],7,FALSE),"")</f>
        <v/>
      </c>
      <c r="AP13" s="200" t="str">
        <f>IFERROR(VLOOKUP(TableHandbook[[#This Row],[UDC]],TableSTRUCHEMB[],7,FALSE),"")</f>
        <v/>
      </c>
      <c r="AQ13" s="200" t="str">
        <f>IFERROR(VLOOKUP(TableHandbook[[#This Row],[UDC]],TableSTRUECOB1[],7,FALSE),"")</f>
        <v/>
      </c>
      <c r="AR13" s="200" t="str">
        <f>IFERROR(VLOOKUP(TableHandbook[[#This Row],[UDC]],TableSTRUEDART[],7,FALSE),"")</f>
        <v/>
      </c>
      <c r="AS13" s="200" t="str">
        <f>IFERROR(VLOOKUP(TableHandbook[[#This Row],[UDC]],TableSTRUEDENG[],7,FALSE),"")</f>
        <v/>
      </c>
      <c r="AT13" s="200" t="str">
        <f>IFERROR(VLOOKUP(TableHandbook[[#This Row],[UDC]],TableSTRUEDHAS[],7,FALSE),"")</f>
        <v/>
      </c>
      <c r="AU13" s="200" t="str">
        <f>IFERROR(VLOOKUP(TableHandbook[[#This Row],[UDC]],TableSTRUEDMAT[],7,FALSE),"")</f>
        <v/>
      </c>
      <c r="AV13" s="200" t="str">
        <f>IFERROR(VLOOKUP(TableHandbook[[#This Row],[UDC]],TableSTRUEDSCI[],7,FALSE),"")</f>
        <v/>
      </c>
      <c r="AW13" s="200" t="str">
        <f>IFERROR(VLOOKUP(TableHandbook[[#This Row],[UDC]],TableSTRUENGLB[],7,FALSE),"")</f>
        <v/>
      </c>
      <c r="AX13" s="200" t="str">
        <f>IFERROR(VLOOKUP(TableHandbook[[#This Row],[UDC]],TableSTRUENGLM[],7,FALSE),"")</f>
        <v/>
      </c>
      <c r="AY13" s="200" t="str">
        <f>IFERROR(VLOOKUP(TableHandbook[[#This Row],[UDC]],TableSTRUGEOB1[],7,FALSE),"")</f>
        <v/>
      </c>
      <c r="AZ13" s="200" t="str">
        <f>IFERROR(VLOOKUP(TableHandbook[[#This Row],[UDC]],TableSTRUHISB1[],7,FALSE),"")</f>
        <v/>
      </c>
      <c r="BA13" s="200" t="str">
        <f>IFERROR(VLOOKUP(TableHandbook[[#This Row],[UDC]],TableSTRUHUMAM[],7,FALSE),"")</f>
        <v/>
      </c>
      <c r="BB13" s="200" t="str">
        <f>IFERROR(VLOOKUP(TableHandbook[[#This Row],[UDC]],TableSTRUHUMBB[],7,FALSE),"")</f>
        <v/>
      </c>
      <c r="BC13" s="200" t="str">
        <f>IFERROR(VLOOKUP(TableHandbook[[#This Row],[UDC]],TableSTRUMATHB[],7,FALSE),"")</f>
        <v/>
      </c>
      <c r="BD13" s="200" t="str">
        <f>IFERROR(VLOOKUP(TableHandbook[[#This Row],[UDC]],TableSTRUMATHM[],7,FALSE),"")</f>
        <v/>
      </c>
      <c r="BE13" s="200" t="str">
        <f>IFERROR(VLOOKUP(TableHandbook[[#This Row],[UDC]],TableSTRUPARTB[],7,FALSE),"")</f>
        <v/>
      </c>
      <c r="BF13" s="200" t="str">
        <f>IFERROR(VLOOKUP(TableHandbook[[#This Row],[UDC]],TableSTRUPARTM[],7,FALSE),"")</f>
        <v/>
      </c>
      <c r="BG13" s="200" t="str">
        <f>IFERROR(VLOOKUP(TableHandbook[[#This Row],[UDC]],TableSTRUPOLB1[],7,FALSE),"")</f>
        <v/>
      </c>
      <c r="BH13" s="200" t="str">
        <f>IFERROR(VLOOKUP(TableHandbook[[#This Row],[UDC]],TableSTRUPSCIM[],7,FALSE),"")</f>
        <v/>
      </c>
      <c r="BI13" s="200" t="str">
        <f>IFERROR(VLOOKUP(TableHandbook[[#This Row],[UDC]],TableSTRUPSYCB[],7,FALSE),"")</f>
        <v/>
      </c>
      <c r="BJ13" s="200" t="str">
        <f>IFERROR(VLOOKUP(TableHandbook[[#This Row],[UDC]],TableSTRUPSYCM[],7,FALSE),"")</f>
        <v/>
      </c>
      <c r="BK13" s="200" t="str">
        <f>IFERROR(VLOOKUP(TableHandbook[[#This Row],[UDC]],TableSTRUSOSCM[],7,FALSE),"")</f>
        <v/>
      </c>
      <c r="BL13" s="200" t="str">
        <f>IFERROR(VLOOKUP(TableHandbook[[#This Row],[UDC]],TableSTRUVARTB[],7,FALSE),"")</f>
        <v/>
      </c>
      <c r="BM13" s="200" t="str">
        <f>IFERROR(VLOOKUP(TableHandbook[[#This Row],[UDC]],TableSTRUVARTM[],7,FALSE),"")</f>
        <v/>
      </c>
    </row>
    <row r="14" spans="1:65" x14ac:dyDescent="0.25">
      <c r="A14" s="261" t="s">
        <v>497</v>
      </c>
      <c r="B14" s="12"/>
      <c r="C14" s="11"/>
      <c r="D14" s="11" t="s">
        <v>551</v>
      </c>
      <c r="E14" s="12">
        <v>25</v>
      </c>
      <c r="F14" s="131" t="s">
        <v>548</v>
      </c>
      <c r="G14" s="126" t="str">
        <f>IFERROR(IF(VLOOKUP(TableHandbook[[#This Row],[UDC]],TableAvailabilities[],2,FALSE)&gt;0,"Y",""),"")</f>
        <v/>
      </c>
      <c r="H14" s="102" t="str">
        <f>IFERROR(IF(VLOOKUP(TableHandbook[[#This Row],[UDC]],TableAvailabilities[],3,FALSE)&gt;0,"Y",""),"")</f>
        <v/>
      </c>
      <c r="I14" s="127" t="str">
        <f>IFERROR(IF(VLOOKUP(TableHandbook[[#This Row],[UDC]],TableAvailabilities[],4,FALSE)&gt;0,"Y",""),"")</f>
        <v/>
      </c>
      <c r="J14" s="128" t="str">
        <f>IFERROR(IF(VLOOKUP(TableHandbook[[#This Row],[UDC]],TableAvailabilities[],5,FALSE)&gt;0,"Y",""),"")</f>
        <v/>
      </c>
      <c r="K14" s="128" t="str">
        <f>IFERROR(IF(VLOOKUP(TableHandbook[[#This Row],[UDC]],TableAvailabilities[],6,FALSE)&gt;0,"Y",""),"")</f>
        <v/>
      </c>
      <c r="L14" s="127" t="str">
        <f>IFERROR(IF(VLOOKUP(TableHandbook[[#This Row],[UDC]],TableAvailabilities[],7,FALSE)&gt;0,"Y",""),"")</f>
        <v/>
      </c>
      <c r="M14" s="207"/>
      <c r="N14" s="204" t="str">
        <f>IFERROR(VLOOKUP(TableHandbook[[#This Row],[UDC]],TableBEDUC[],7,FALSE),"")</f>
        <v/>
      </c>
      <c r="O14" s="193" t="str">
        <f>IFERROR(VLOOKUP(TableHandbook[[#This Row],[UDC]],TableBEDEC[],7,FALSE),"")</f>
        <v/>
      </c>
      <c r="P14" s="193" t="str">
        <f>IFERROR(VLOOKUP(TableHandbook[[#This Row],[UDC]],TableBEDPR[],7,FALSE),"")</f>
        <v/>
      </c>
      <c r="Q14" s="193" t="str">
        <f>IFERROR(VLOOKUP(TableHandbook[[#This Row],[UDC]],TableSTRUCATHL[],7,FALSE),"")</f>
        <v/>
      </c>
      <c r="R14" s="193" t="str">
        <f>IFERROR(VLOOKUP(TableHandbook[[#This Row],[UDC]],TableSTRUENGLL[],7,FALSE),"")</f>
        <v/>
      </c>
      <c r="S14" s="193" t="str">
        <f>IFERROR(VLOOKUP(TableHandbook[[#This Row],[UDC]],TableSTRUINTBC[],7,FALSE),"")</f>
        <v/>
      </c>
      <c r="T14" s="193" t="str">
        <f>IFERROR(VLOOKUP(TableHandbook[[#This Row],[UDC]],TableSTRUISTEM[],7,FALSE),"")</f>
        <v/>
      </c>
      <c r="U14" s="193" t="str">
        <f>IFERROR(VLOOKUP(TableHandbook[[#This Row],[UDC]],TableSTRULITNU[],7,FALSE),"")</f>
        <v/>
      </c>
      <c r="V14" s="193" t="str">
        <f>IFERROR(VLOOKUP(TableHandbook[[#This Row],[UDC]],TableSTRUTECHS[],7,FALSE),"")</f>
        <v/>
      </c>
      <c r="W14" s="193" t="str">
        <f>IFERROR(VLOOKUP(TableHandbook[[#This Row],[UDC]],TableBEDSC[],7,FALSE),"")</f>
        <v/>
      </c>
      <c r="X14" s="193" t="str">
        <f>IFERROR(VLOOKUP(TableHandbook[[#This Row],[UDC]],TableMJRUARTDR[],7,FALSE),"")</f>
        <v/>
      </c>
      <c r="Y14" s="193" t="str">
        <f>IFERROR(VLOOKUP(TableHandbook[[#This Row],[UDC]],TableMJRUARTME[],7,FALSE),"")</f>
        <v/>
      </c>
      <c r="Z14" s="193" t="str">
        <f>IFERROR(VLOOKUP(TableHandbook[[#This Row],[UDC]],TableMJRUARTVA[],7,FALSE),"")</f>
        <v/>
      </c>
      <c r="AA14" s="193" t="str">
        <f>IFERROR(VLOOKUP(TableHandbook[[#This Row],[UDC]],TableMJRUENGLT[],7,FALSE),"")</f>
        <v/>
      </c>
      <c r="AB14" s="193" t="str">
        <f>IFERROR(VLOOKUP(TableHandbook[[#This Row],[UDC]],TableMJRUHLTPE[],7,FALSE),"")</f>
        <v/>
      </c>
      <c r="AC14" s="193" t="str">
        <f>IFERROR(VLOOKUP(TableHandbook[[#This Row],[UDC]],TableMJRUHUSEC[],7,FALSE),"")</f>
        <v/>
      </c>
      <c r="AD14" s="193" t="str">
        <f>IFERROR(VLOOKUP(TableHandbook[[#This Row],[UDC]],TableMJRUHUSGE[],7,FALSE),"")</f>
        <v/>
      </c>
      <c r="AE14" s="193" t="str">
        <f>IFERROR(VLOOKUP(TableHandbook[[#This Row],[UDC]],TableMJRUHUSHI[],7,FALSE),"")</f>
        <v/>
      </c>
      <c r="AF14" s="193" t="str">
        <f>IFERROR(VLOOKUP(TableHandbook[[#This Row],[UDC]],TableMJRUHUSPL[],7,FALSE),"")</f>
        <v/>
      </c>
      <c r="AG14" s="193" t="str">
        <f>IFERROR(VLOOKUP(TableHandbook[[#This Row],[UDC]],TableMJRUMATHT[],7,FALSE),"")</f>
        <v/>
      </c>
      <c r="AH14" s="193" t="str">
        <f>IFERROR(VLOOKUP(TableHandbook[[#This Row],[UDC]],TableMJRUSCIBI[],7,FALSE),"")</f>
        <v/>
      </c>
      <c r="AI14" s="193" t="str">
        <f>IFERROR(VLOOKUP(TableHandbook[[#This Row],[UDC]],TableMJRUSCICH[],7,FALSE),"")</f>
        <v/>
      </c>
      <c r="AJ14" s="193" t="str">
        <f>IFERROR(VLOOKUP(TableHandbook[[#This Row],[UDC]],TableMJRUSCIHB[],7,FALSE),"")</f>
        <v/>
      </c>
      <c r="AK14" s="193" t="str">
        <f>IFERROR(VLOOKUP(TableHandbook[[#This Row],[UDC]],TableMJRUSCIPH[],7,FALSE),"")</f>
        <v/>
      </c>
      <c r="AL14" s="193" t="str">
        <f>IFERROR(VLOOKUP(TableHandbook[[#This Row],[UDC]],TableMJRUSCIPS[],7,FALSE),"")</f>
        <v/>
      </c>
      <c r="AM14" s="202"/>
      <c r="AN14" s="200" t="str">
        <f>IFERROR(VLOOKUP(TableHandbook[[#This Row],[UDC]],TableSTRUBIOLB[],7,FALSE),"")</f>
        <v/>
      </c>
      <c r="AO14" s="200" t="str">
        <f>IFERROR(VLOOKUP(TableHandbook[[#This Row],[UDC]],TableSTRUBSCIM[],7,FALSE),"")</f>
        <v>Core</v>
      </c>
      <c r="AP14" s="200" t="str">
        <f>IFERROR(VLOOKUP(TableHandbook[[#This Row],[UDC]],TableSTRUCHEMB[],7,FALSE),"")</f>
        <v/>
      </c>
      <c r="AQ14" s="200" t="str">
        <f>IFERROR(VLOOKUP(TableHandbook[[#This Row],[UDC]],TableSTRUECOB1[],7,FALSE),"")</f>
        <v/>
      </c>
      <c r="AR14" s="200" t="str">
        <f>IFERROR(VLOOKUP(TableHandbook[[#This Row],[UDC]],TableSTRUEDART[],7,FALSE),"")</f>
        <v/>
      </c>
      <c r="AS14" s="200" t="str">
        <f>IFERROR(VLOOKUP(TableHandbook[[#This Row],[UDC]],TableSTRUEDENG[],7,FALSE),"")</f>
        <v/>
      </c>
      <c r="AT14" s="200" t="str">
        <f>IFERROR(VLOOKUP(TableHandbook[[#This Row],[UDC]],TableSTRUEDHAS[],7,FALSE),"")</f>
        <v/>
      </c>
      <c r="AU14" s="200" t="str">
        <f>IFERROR(VLOOKUP(TableHandbook[[#This Row],[UDC]],TableSTRUEDMAT[],7,FALSE),"")</f>
        <v/>
      </c>
      <c r="AV14" s="200" t="str">
        <f>IFERROR(VLOOKUP(TableHandbook[[#This Row],[UDC]],TableSTRUEDSCI[],7,FALSE),"")</f>
        <v/>
      </c>
      <c r="AW14" s="200" t="str">
        <f>IFERROR(VLOOKUP(TableHandbook[[#This Row],[UDC]],TableSTRUENGLB[],7,FALSE),"")</f>
        <v/>
      </c>
      <c r="AX14" s="200" t="str">
        <f>IFERROR(VLOOKUP(TableHandbook[[#This Row],[UDC]],TableSTRUENGLM[],7,FALSE),"")</f>
        <v/>
      </c>
      <c r="AY14" s="200" t="str">
        <f>IFERROR(VLOOKUP(TableHandbook[[#This Row],[UDC]],TableSTRUGEOB1[],7,FALSE),"")</f>
        <v/>
      </c>
      <c r="AZ14" s="200" t="str">
        <f>IFERROR(VLOOKUP(TableHandbook[[#This Row],[UDC]],TableSTRUHISB1[],7,FALSE),"")</f>
        <v/>
      </c>
      <c r="BA14" s="200" t="str">
        <f>IFERROR(VLOOKUP(TableHandbook[[#This Row],[UDC]],TableSTRUHUMAM[],7,FALSE),"")</f>
        <v/>
      </c>
      <c r="BB14" s="200" t="str">
        <f>IFERROR(VLOOKUP(TableHandbook[[#This Row],[UDC]],TableSTRUHUMBB[],7,FALSE),"")</f>
        <v/>
      </c>
      <c r="BC14" s="200" t="str">
        <f>IFERROR(VLOOKUP(TableHandbook[[#This Row],[UDC]],TableSTRUMATHB[],7,FALSE),"")</f>
        <v/>
      </c>
      <c r="BD14" s="200" t="str">
        <f>IFERROR(VLOOKUP(TableHandbook[[#This Row],[UDC]],TableSTRUMATHM[],7,FALSE),"")</f>
        <v/>
      </c>
      <c r="BE14" s="200" t="str">
        <f>IFERROR(VLOOKUP(TableHandbook[[#This Row],[UDC]],TableSTRUPARTB[],7,FALSE),"")</f>
        <v/>
      </c>
      <c r="BF14" s="200" t="str">
        <f>IFERROR(VLOOKUP(TableHandbook[[#This Row],[UDC]],TableSTRUPARTM[],7,FALSE),"")</f>
        <v/>
      </c>
      <c r="BG14" s="200" t="str">
        <f>IFERROR(VLOOKUP(TableHandbook[[#This Row],[UDC]],TableSTRUPOLB1[],7,FALSE),"")</f>
        <v/>
      </c>
      <c r="BH14" s="200" t="str">
        <f>IFERROR(VLOOKUP(TableHandbook[[#This Row],[UDC]],TableSTRUPSCIM[],7,FALSE),"")</f>
        <v/>
      </c>
      <c r="BI14" s="200" t="str">
        <f>IFERROR(VLOOKUP(TableHandbook[[#This Row],[UDC]],TableSTRUPSYCB[],7,FALSE),"")</f>
        <v/>
      </c>
      <c r="BJ14" s="200" t="str">
        <f>IFERROR(VLOOKUP(TableHandbook[[#This Row],[UDC]],TableSTRUPSYCM[],7,FALSE),"")</f>
        <v/>
      </c>
      <c r="BK14" s="200" t="str">
        <f>IFERROR(VLOOKUP(TableHandbook[[#This Row],[UDC]],TableSTRUSOSCM[],7,FALSE),"")</f>
        <v/>
      </c>
      <c r="BL14" s="200" t="str">
        <f>IFERROR(VLOOKUP(TableHandbook[[#This Row],[UDC]],TableSTRUVARTB[],7,FALSE),"")</f>
        <v/>
      </c>
      <c r="BM14" s="200" t="str">
        <f>IFERROR(VLOOKUP(TableHandbook[[#This Row],[UDC]],TableSTRUVARTM[],7,FALSE),"")</f>
        <v/>
      </c>
    </row>
    <row r="15" spans="1:65" x14ac:dyDescent="0.25">
      <c r="A15" s="261" t="s">
        <v>499</v>
      </c>
      <c r="B15" s="12"/>
      <c r="C15" s="11"/>
      <c r="D15" s="11" t="s">
        <v>550</v>
      </c>
      <c r="E15" s="12">
        <v>25</v>
      </c>
      <c r="F15" s="131" t="s">
        <v>548</v>
      </c>
      <c r="G15" s="126" t="str">
        <f>IFERROR(IF(VLOOKUP(TableHandbook[[#This Row],[UDC]],TableAvailabilities[],2,FALSE)&gt;0,"Y",""),"")</f>
        <v/>
      </c>
      <c r="H15" s="102" t="str">
        <f>IFERROR(IF(VLOOKUP(TableHandbook[[#This Row],[UDC]],TableAvailabilities[],3,FALSE)&gt;0,"Y",""),"")</f>
        <v/>
      </c>
      <c r="I15" s="127" t="str">
        <f>IFERROR(IF(VLOOKUP(TableHandbook[[#This Row],[UDC]],TableAvailabilities[],4,FALSE)&gt;0,"Y",""),"")</f>
        <v/>
      </c>
      <c r="J15" s="128" t="str">
        <f>IFERROR(IF(VLOOKUP(TableHandbook[[#This Row],[UDC]],TableAvailabilities[],5,FALSE)&gt;0,"Y",""),"")</f>
        <v/>
      </c>
      <c r="K15" s="128" t="str">
        <f>IFERROR(IF(VLOOKUP(TableHandbook[[#This Row],[UDC]],TableAvailabilities[],6,FALSE)&gt;0,"Y",""),"")</f>
        <v/>
      </c>
      <c r="L15" s="127" t="str">
        <f>IFERROR(IF(VLOOKUP(TableHandbook[[#This Row],[UDC]],TableAvailabilities[],7,FALSE)&gt;0,"Y",""),"")</f>
        <v/>
      </c>
      <c r="M15" s="207"/>
      <c r="N15" s="204" t="str">
        <f>IFERROR(VLOOKUP(TableHandbook[[#This Row],[UDC]],TableBEDUC[],7,FALSE),"")</f>
        <v/>
      </c>
      <c r="O15" s="193" t="str">
        <f>IFERROR(VLOOKUP(TableHandbook[[#This Row],[UDC]],TableBEDEC[],7,FALSE),"")</f>
        <v/>
      </c>
      <c r="P15" s="193" t="str">
        <f>IFERROR(VLOOKUP(TableHandbook[[#This Row],[UDC]],TableBEDPR[],7,FALSE),"")</f>
        <v/>
      </c>
      <c r="Q15" s="193" t="str">
        <f>IFERROR(VLOOKUP(TableHandbook[[#This Row],[UDC]],TableSTRUCATHL[],7,FALSE),"")</f>
        <v/>
      </c>
      <c r="R15" s="193" t="str">
        <f>IFERROR(VLOOKUP(TableHandbook[[#This Row],[UDC]],TableSTRUENGLL[],7,FALSE),"")</f>
        <v/>
      </c>
      <c r="S15" s="193" t="str">
        <f>IFERROR(VLOOKUP(TableHandbook[[#This Row],[UDC]],TableSTRUINTBC[],7,FALSE),"")</f>
        <v/>
      </c>
      <c r="T15" s="193" t="str">
        <f>IFERROR(VLOOKUP(TableHandbook[[#This Row],[UDC]],TableSTRUISTEM[],7,FALSE),"")</f>
        <v/>
      </c>
      <c r="U15" s="193" t="str">
        <f>IFERROR(VLOOKUP(TableHandbook[[#This Row],[UDC]],TableSTRULITNU[],7,FALSE),"")</f>
        <v/>
      </c>
      <c r="V15" s="193" t="str">
        <f>IFERROR(VLOOKUP(TableHandbook[[#This Row],[UDC]],TableSTRUTECHS[],7,FALSE),"")</f>
        <v/>
      </c>
      <c r="W15" s="193" t="str">
        <f>IFERROR(VLOOKUP(TableHandbook[[#This Row],[UDC]],TableBEDSC[],7,FALSE),"")</f>
        <v/>
      </c>
      <c r="X15" s="193" t="str">
        <f>IFERROR(VLOOKUP(TableHandbook[[#This Row],[UDC]],TableMJRUARTDR[],7,FALSE),"")</f>
        <v/>
      </c>
      <c r="Y15" s="193" t="str">
        <f>IFERROR(VLOOKUP(TableHandbook[[#This Row],[UDC]],TableMJRUARTME[],7,FALSE),"")</f>
        <v/>
      </c>
      <c r="Z15" s="193" t="str">
        <f>IFERROR(VLOOKUP(TableHandbook[[#This Row],[UDC]],TableMJRUARTVA[],7,FALSE),"")</f>
        <v/>
      </c>
      <c r="AA15" s="193" t="str">
        <f>IFERROR(VLOOKUP(TableHandbook[[#This Row],[UDC]],TableMJRUENGLT[],7,FALSE),"")</f>
        <v/>
      </c>
      <c r="AB15" s="193" t="str">
        <f>IFERROR(VLOOKUP(TableHandbook[[#This Row],[UDC]],TableMJRUHLTPE[],7,FALSE),"")</f>
        <v/>
      </c>
      <c r="AC15" s="193" t="str">
        <f>IFERROR(VLOOKUP(TableHandbook[[#This Row],[UDC]],TableMJRUHUSEC[],7,FALSE),"")</f>
        <v/>
      </c>
      <c r="AD15" s="193" t="str">
        <f>IFERROR(VLOOKUP(TableHandbook[[#This Row],[UDC]],TableMJRUHUSGE[],7,FALSE),"")</f>
        <v/>
      </c>
      <c r="AE15" s="193" t="str">
        <f>IFERROR(VLOOKUP(TableHandbook[[#This Row],[UDC]],TableMJRUHUSHI[],7,FALSE),"")</f>
        <v/>
      </c>
      <c r="AF15" s="193" t="str">
        <f>IFERROR(VLOOKUP(TableHandbook[[#This Row],[UDC]],TableMJRUHUSPL[],7,FALSE),"")</f>
        <v/>
      </c>
      <c r="AG15" s="193" t="str">
        <f>IFERROR(VLOOKUP(TableHandbook[[#This Row],[UDC]],TableMJRUMATHT[],7,FALSE),"")</f>
        <v/>
      </c>
      <c r="AH15" s="193" t="str">
        <f>IFERROR(VLOOKUP(TableHandbook[[#This Row],[UDC]],TableMJRUSCIBI[],7,FALSE),"")</f>
        <v/>
      </c>
      <c r="AI15" s="193" t="str">
        <f>IFERROR(VLOOKUP(TableHandbook[[#This Row],[UDC]],TableMJRUSCICH[],7,FALSE),"")</f>
        <v/>
      </c>
      <c r="AJ15" s="193" t="str">
        <f>IFERROR(VLOOKUP(TableHandbook[[#This Row],[UDC]],TableMJRUSCIHB[],7,FALSE),"")</f>
        <v/>
      </c>
      <c r="AK15" s="193" t="str">
        <f>IFERROR(VLOOKUP(TableHandbook[[#This Row],[UDC]],TableMJRUSCIPH[],7,FALSE),"")</f>
        <v/>
      </c>
      <c r="AL15" s="193" t="str">
        <f>IFERROR(VLOOKUP(TableHandbook[[#This Row],[UDC]],TableMJRUSCIPS[],7,FALSE),"")</f>
        <v/>
      </c>
      <c r="AM15" s="202"/>
      <c r="AN15" s="200" t="str">
        <f>IFERROR(VLOOKUP(TableHandbook[[#This Row],[UDC]],TableSTRUBIOLB[],7,FALSE),"")</f>
        <v/>
      </c>
      <c r="AO15" s="200" t="str">
        <f>IFERROR(VLOOKUP(TableHandbook[[#This Row],[UDC]],TableSTRUBSCIM[],7,FALSE),"")</f>
        <v/>
      </c>
      <c r="AP15" s="200" t="str">
        <f>IFERROR(VLOOKUP(TableHandbook[[#This Row],[UDC]],TableSTRUCHEMB[],7,FALSE),"")</f>
        <v/>
      </c>
      <c r="AQ15" s="200" t="str">
        <f>IFERROR(VLOOKUP(TableHandbook[[#This Row],[UDC]],TableSTRUECOB1[],7,FALSE),"")</f>
        <v>Core</v>
      </c>
      <c r="AR15" s="200" t="str">
        <f>IFERROR(VLOOKUP(TableHandbook[[#This Row],[UDC]],TableSTRUEDART[],7,FALSE),"")</f>
        <v/>
      </c>
      <c r="AS15" s="200" t="str">
        <f>IFERROR(VLOOKUP(TableHandbook[[#This Row],[UDC]],TableSTRUEDENG[],7,FALSE),"")</f>
        <v/>
      </c>
      <c r="AT15" s="200" t="str">
        <f>IFERROR(VLOOKUP(TableHandbook[[#This Row],[UDC]],TableSTRUEDHAS[],7,FALSE),"")</f>
        <v/>
      </c>
      <c r="AU15" s="200" t="str">
        <f>IFERROR(VLOOKUP(TableHandbook[[#This Row],[UDC]],TableSTRUEDMAT[],7,FALSE),"")</f>
        <v/>
      </c>
      <c r="AV15" s="200" t="str">
        <f>IFERROR(VLOOKUP(TableHandbook[[#This Row],[UDC]],TableSTRUEDSCI[],7,FALSE),"")</f>
        <v/>
      </c>
      <c r="AW15" s="200" t="str">
        <f>IFERROR(VLOOKUP(TableHandbook[[#This Row],[UDC]],TableSTRUENGLB[],7,FALSE),"")</f>
        <v/>
      </c>
      <c r="AX15" s="200" t="str">
        <f>IFERROR(VLOOKUP(TableHandbook[[#This Row],[UDC]],TableSTRUENGLM[],7,FALSE),"")</f>
        <v/>
      </c>
      <c r="AY15" s="200" t="str">
        <f>IFERROR(VLOOKUP(TableHandbook[[#This Row],[UDC]],TableSTRUGEOB1[],7,FALSE),"")</f>
        <v/>
      </c>
      <c r="AZ15" s="200" t="str">
        <f>IFERROR(VLOOKUP(TableHandbook[[#This Row],[UDC]],TableSTRUHISB1[],7,FALSE),"")</f>
        <v/>
      </c>
      <c r="BA15" s="200" t="str">
        <f>IFERROR(VLOOKUP(TableHandbook[[#This Row],[UDC]],TableSTRUHUMAM[],7,FALSE),"")</f>
        <v/>
      </c>
      <c r="BB15" s="200" t="str">
        <f>IFERROR(VLOOKUP(TableHandbook[[#This Row],[UDC]],TableSTRUHUMBB[],7,FALSE),"")</f>
        <v/>
      </c>
      <c r="BC15" s="200" t="str">
        <f>IFERROR(VLOOKUP(TableHandbook[[#This Row],[UDC]],TableSTRUMATHB[],7,FALSE),"")</f>
        <v/>
      </c>
      <c r="BD15" s="200" t="str">
        <f>IFERROR(VLOOKUP(TableHandbook[[#This Row],[UDC]],TableSTRUMATHM[],7,FALSE),"")</f>
        <v/>
      </c>
      <c r="BE15" s="200" t="str">
        <f>IFERROR(VLOOKUP(TableHandbook[[#This Row],[UDC]],TableSTRUPARTB[],7,FALSE),"")</f>
        <v/>
      </c>
      <c r="BF15" s="200" t="str">
        <f>IFERROR(VLOOKUP(TableHandbook[[#This Row],[UDC]],TableSTRUPARTM[],7,FALSE),"")</f>
        <v/>
      </c>
      <c r="BG15" s="200" t="str">
        <f>IFERROR(VLOOKUP(TableHandbook[[#This Row],[UDC]],TableSTRUPOLB1[],7,FALSE),"")</f>
        <v/>
      </c>
      <c r="BH15" s="200" t="str">
        <f>IFERROR(VLOOKUP(TableHandbook[[#This Row],[UDC]],TableSTRUPSCIM[],7,FALSE),"")</f>
        <v/>
      </c>
      <c r="BI15" s="200" t="str">
        <f>IFERROR(VLOOKUP(TableHandbook[[#This Row],[UDC]],TableSTRUPSYCB[],7,FALSE),"")</f>
        <v/>
      </c>
      <c r="BJ15" s="200" t="str">
        <f>IFERROR(VLOOKUP(TableHandbook[[#This Row],[UDC]],TableSTRUPSYCM[],7,FALSE),"")</f>
        <v/>
      </c>
      <c r="BK15" s="200" t="str">
        <f>IFERROR(VLOOKUP(TableHandbook[[#This Row],[UDC]],TableSTRUSOSCM[],7,FALSE),"")</f>
        <v/>
      </c>
      <c r="BL15" s="200" t="str">
        <f>IFERROR(VLOOKUP(TableHandbook[[#This Row],[UDC]],TableSTRUVARTB[],7,FALSE),"")</f>
        <v/>
      </c>
      <c r="BM15" s="200" t="str">
        <f>IFERROR(VLOOKUP(TableHandbook[[#This Row],[UDC]],TableSTRUVARTM[],7,FALSE),"")</f>
        <v/>
      </c>
    </row>
    <row r="16" spans="1:65" x14ac:dyDescent="0.25">
      <c r="A16" s="261" t="s">
        <v>500</v>
      </c>
      <c r="B16" s="12"/>
      <c r="C16" s="11"/>
      <c r="D16" s="11" t="s">
        <v>550</v>
      </c>
      <c r="E16" s="12">
        <v>25</v>
      </c>
      <c r="F16" s="131" t="s">
        <v>548</v>
      </c>
      <c r="G16" s="126" t="str">
        <f>IFERROR(IF(VLOOKUP(TableHandbook[[#This Row],[UDC]],TableAvailabilities[],2,FALSE)&gt;0,"Y",""),"")</f>
        <v/>
      </c>
      <c r="H16" s="102" t="str">
        <f>IFERROR(IF(VLOOKUP(TableHandbook[[#This Row],[UDC]],TableAvailabilities[],3,FALSE)&gt;0,"Y",""),"")</f>
        <v/>
      </c>
      <c r="I16" s="127" t="str">
        <f>IFERROR(IF(VLOOKUP(TableHandbook[[#This Row],[UDC]],TableAvailabilities[],4,FALSE)&gt;0,"Y",""),"")</f>
        <v/>
      </c>
      <c r="J16" s="128" t="str">
        <f>IFERROR(IF(VLOOKUP(TableHandbook[[#This Row],[UDC]],TableAvailabilities[],5,FALSE)&gt;0,"Y",""),"")</f>
        <v/>
      </c>
      <c r="K16" s="128" t="str">
        <f>IFERROR(IF(VLOOKUP(TableHandbook[[#This Row],[UDC]],TableAvailabilities[],6,FALSE)&gt;0,"Y",""),"")</f>
        <v/>
      </c>
      <c r="L16" s="127" t="str">
        <f>IFERROR(IF(VLOOKUP(TableHandbook[[#This Row],[UDC]],TableAvailabilities[],7,FALSE)&gt;0,"Y",""),"")</f>
        <v/>
      </c>
      <c r="M16" s="207"/>
      <c r="N16" s="204" t="str">
        <f>IFERROR(VLOOKUP(TableHandbook[[#This Row],[UDC]],TableBEDUC[],7,FALSE),"")</f>
        <v/>
      </c>
      <c r="O16" s="193" t="str">
        <f>IFERROR(VLOOKUP(TableHandbook[[#This Row],[UDC]],TableBEDEC[],7,FALSE),"")</f>
        <v/>
      </c>
      <c r="P16" s="193" t="str">
        <f>IFERROR(VLOOKUP(TableHandbook[[#This Row],[UDC]],TableBEDPR[],7,FALSE),"")</f>
        <v/>
      </c>
      <c r="Q16" s="193" t="str">
        <f>IFERROR(VLOOKUP(TableHandbook[[#This Row],[UDC]],TableSTRUCATHL[],7,FALSE),"")</f>
        <v/>
      </c>
      <c r="R16" s="193" t="str">
        <f>IFERROR(VLOOKUP(TableHandbook[[#This Row],[UDC]],TableSTRUENGLL[],7,FALSE),"")</f>
        <v/>
      </c>
      <c r="S16" s="193" t="str">
        <f>IFERROR(VLOOKUP(TableHandbook[[#This Row],[UDC]],TableSTRUINTBC[],7,FALSE),"")</f>
        <v/>
      </c>
      <c r="T16" s="193" t="str">
        <f>IFERROR(VLOOKUP(TableHandbook[[#This Row],[UDC]],TableSTRUISTEM[],7,FALSE),"")</f>
        <v/>
      </c>
      <c r="U16" s="193" t="str">
        <f>IFERROR(VLOOKUP(TableHandbook[[#This Row],[UDC]],TableSTRULITNU[],7,FALSE),"")</f>
        <v/>
      </c>
      <c r="V16" s="193" t="str">
        <f>IFERROR(VLOOKUP(TableHandbook[[#This Row],[UDC]],TableSTRUTECHS[],7,FALSE),"")</f>
        <v/>
      </c>
      <c r="W16" s="193" t="str">
        <f>IFERROR(VLOOKUP(TableHandbook[[#This Row],[UDC]],TableBEDSC[],7,FALSE),"")</f>
        <v/>
      </c>
      <c r="X16" s="193" t="str">
        <f>IFERROR(VLOOKUP(TableHandbook[[#This Row],[UDC]],TableMJRUARTDR[],7,FALSE),"")</f>
        <v/>
      </c>
      <c r="Y16" s="193" t="str">
        <f>IFERROR(VLOOKUP(TableHandbook[[#This Row],[UDC]],TableMJRUARTME[],7,FALSE),"")</f>
        <v/>
      </c>
      <c r="Z16" s="193" t="str">
        <f>IFERROR(VLOOKUP(TableHandbook[[#This Row],[UDC]],TableMJRUARTVA[],7,FALSE),"")</f>
        <v/>
      </c>
      <c r="AA16" s="193" t="str">
        <f>IFERROR(VLOOKUP(TableHandbook[[#This Row],[UDC]],TableMJRUENGLT[],7,FALSE),"")</f>
        <v/>
      </c>
      <c r="AB16" s="193" t="str">
        <f>IFERROR(VLOOKUP(TableHandbook[[#This Row],[UDC]],TableMJRUHLTPE[],7,FALSE),"")</f>
        <v/>
      </c>
      <c r="AC16" s="193" t="str">
        <f>IFERROR(VLOOKUP(TableHandbook[[#This Row],[UDC]],TableMJRUHUSEC[],7,FALSE),"")</f>
        <v/>
      </c>
      <c r="AD16" s="193" t="str">
        <f>IFERROR(VLOOKUP(TableHandbook[[#This Row],[UDC]],TableMJRUHUSGE[],7,FALSE),"")</f>
        <v/>
      </c>
      <c r="AE16" s="193" t="str">
        <f>IFERROR(VLOOKUP(TableHandbook[[#This Row],[UDC]],TableMJRUHUSHI[],7,FALSE),"")</f>
        <v/>
      </c>
      <c r="AF16" s="193" t="str">
        <f>IFERROR(VLOOKUP(TableHandbook[[#This Row],[UDC]],TableMJRUHUSPL[],7,FALSE),"")</f>
        <v/>
      </c>
      <c r="AG16" s="193" t="str">
        <f>IFERROR(VLOOKUP(TableHandbook[[#This Row],[UDC]],TableMJRUMATHT[],7,FALSE),"")</f>
        <v/>
      </c>
      <c r="AH16" s="193" t="str">
        <f>IFERROR(VLOOKUP(TableHandbook[[#This Row],[UDC]],TableMJRUSCIBI[],7,FALSE),"")</f>
        <v/>
      </c>
      <c r="AI16" s="193" t="str">
        <f>IFERROR(VLOOKUP(TableHandbook[[#This Row],[UDC]],TableMJRUSCICH[],7,FALSE),"")</f>
        <v/>
      </c>
      <c r="AJ16" s="193" t="str">
        <f>IFERROR(VLOOKUP(TableHandbook[[#This Row],[UDC]],TableMJRUSCIHB[],7,FALSE),"")</f>
        <v/>
      </c>
      <c r="AK16" s="193" t="str">
        <f>IFERROR(VLOOKUP(TableHandbook[[#This Row],[UDC]],TableMJRUSCIPH[],7,FALSE),"")</f>
        <v/>
      </c>
      <c r="AL16" s="193" t="str">
        <f>IFERROR(VLOOKUP(TableHandbook[[#This Row],[UDC]],TableMJRUSCIPS[],7,FALSE),"")</f>
        <v/>
      </c>
      <c r="AM16" s="202"/>
      <c r="AN16" s="200" t="str">
        <f>IFERROR(VLOOKUP(TableHandbook[[#This Row],[UDC]],TableSTRUBIOLB[],7,FALSE),"")</f>
        <v/>
      </c>
      <c r="AO16" s="200" t="str">
        <f>IFERROR(VLOOKUP(TableHandbook[[#This Row],[UDC]],TableSTRUBSCIM[],7,FALSE),"")</f>
        <v/>
      </c>
      <c r="AP16" s="200" t="str">
        <f>IFERROR(VLOOKUP(TableHandbook[[#This Row],[UDC]],TableSTRUCHEMB[],7,FALSE),"")</f>
        <v/>
      </c>
      <c r="AQ16" s="200" t="str">
        <f>IFERROR(VLOOKUP(TableHandbook[[#This Row],[UDC]],TableSTRUECOB1[],7,FALSE),"")</f>
        <v/>
      </c>
      <c r="AR16" s="200" t="str">
        <f>IFERROR(VLOOKUP(TableHandbook[[#This Row],[UDC]],TableSTRUEDART[],7,FALSE),"")</f>
        <v/>
      </c>
      <c r="AS16" s="200" t="str">
        <f>IFERROR(VLOOKUP(TableHandbook[[#This Row],[UDC]],TableSTRUEDENG[],7,FALSE),"")</f>
        <v/>
      </c>
      <c r="AT16" s="200" t="str">
        <f>IFERROR(VLOOKUP(TableHandbook[[#This Row],[UDC]],TableSTRUEDHAS[],7,FALSE),"")</f>
        <v/>
      </c>
      <c r="AU16" s="200" t="str">
        <f>IFERROR(VLOOKUP(TableHandbook[[#This Row],[UDC]],TableSTRUEDMAT[],7,FALSE),"")</f>
        <v/>
      </c>
      <c r="AV16" s="200" t="str">
        <f>IFERROR(VLOOKUP(TableHandbook[[#This Row],[UDC]],TableSTRUEDSCI[],7,FALSE),"")</f>
        <v/>
      </c>
      <c r="AW16" s="200" t="str">
        <f>IFERROR(VLOOKUP(TableHandbook[[#This Row],[UDC]],TableSTRUENGLB[],7,FALSE),"")</f>
        <v/>
      </c>
      <c r="AX16" s="200" t="str">
        <f>IFERROR(VLOOKUP(TableHandbook[[#This Row],[UDC]],TableSTRUENGLM[],7,FALSE),"")</f>
        <v/>
      </c>
      <c r="AY16" s="200" t="str">
        <f>IFERROR(VLOOKUP(TableHandbook[[#This Row],[UDC]],TableSTRUGEOB1[],7,FALSE),"")</f>
        <v>Core</v>
      </c>
      <c r="AZ16" s="200" t="str">
        <f>IFERROR(VLOOKUP(TableHandbook[[#This Row],[UDC]],TableSTRUHISB1[],7,FALSE),"")</f>
        <v/>
      </c>
      <c r="BA16" s="200" t="str">
        <f>IFERROR(VLOOKUP(TableHandbook[[#This Row],[UDC]],TableSTRUHUMAM[],7,FALSE),"")</f>
        <v/>
      </c>
      <c r="BB16" s="200" t="str">
        <f>IFERROR(VLOOKUP(TableHandbook[[#This Row],[UDC]],TableSTRUHUMBB[],7,FALSE),"")</f>
        <v/>
      </c>
      <c r="BC16" s="200" t="str">
        <f>IFERROR(VLOOKUP(TableHandbook[[#This Row],[UDC]],TableSTRUMATHB[],7,FALSE),"")</f>
        <v/>
      </c>
      <c r="BD16" s="200" t="str">
        <f>IFERROR(VLOOKUP(TableHandbook[[#This Row],[UDC]],TableSTRUMATHM[],7,FALSE),"")</f>
        <v/>
      </c>
      <c r="BE16" s="200" t="str">
        <f>IFERROR(VLOOKUP(TableHandbook[[#This Row],[UDC]],TableSTRUPARTB[],7,FALSE),"")</f>
        <v/>
      </c>
      <c r="BF16" s="200" t="str">
        <f>IFERROR(VLOOKUP(TableHandbook[[#This Row],[UDC]],TableSTRUPARTM[],7,FALSE),"")</f>
        <v/>
      </c>
      <c r="BG16" s="200" t="str">
        <f>IFERROR(VLOOKUP(TableHandbook[[#This Row],[UDC]],TableSTRUPOLB1[],7,FALSE),"")</f>
        <v/>
      </c>
      <c r="BH16" s="200" t="str">
        <f>IFERROR(VLOOKUP(TableHandbook[[#This Row],[UDC]],TableSTRUPSCIM[],7,FALSE),"")</f>
        <v/>
      </c>
      <c r="BI16" s="200" t="str">
        <f>IFERROR(VLOOKUP(TableHandbook[[#This Row],[UDC]],TableSTRUPSYCB[],7,FALSE),"")</f>
        <v/>
      </c>
      <c r="BJ16" s="200" t="str">
        <f>IFERROR(VLOOKUP(TableHandbook[[#This Row],[UDC]],TableSTRUPSYCM[],7,FALSE),"")</f>
        <v/>
      </c>
      <c r="BK16" s="200" t="str">
        <f>IFERROR(VLOOKUP(TableHandbook[[#This Row],[UDC]],TableSTRUSOSCM[],7,FALSE),"")</f>
        <v/>
      </c>
      <c r="BL16" s="200" t="str">
        <f>IFERROR(VLOOKUP(TableHandbook[[#This Row],[UDC]],TableSTRUVARTB[],7,FALSE),"")</f>
        <v/>
      </c>
      <c r="BM16" s="200" t="str">
        <f>IFERROR(VLOOKUP(TableHandbook[[#This Row],[UDC]],TableSTRUVARTM[],7,FALSE),"")</f>
        <v/>
      </c>
    </row>
    <row r="17" spans="1:65" x14ac:dyDescent="0.25">
      <c r="A17" s="261" t="s">
        <v>480</v>
      </c>
      <c r="B17" s="12"/>
      <c r="C17" s="11"/>
      <c r="D17" s="11" t="s">
        <v>550</v>
      </c>
      <c r="E17" s="12">
        <v>25</v>
      </c>
      <c r="F17" s="131" t="s">
        <v>548</v>
      </c>
      <c r="G17" s="126" t="str">
        <f>IFERROR(IF(VLOOKUP(TableHandbook[[#This Row],[UDC]],TableAvailabilities[],2,FALSE)&gt;0,"Y",""),"")</f>
        <v/>
      </c>
      <c r="H17" s="102" t="str">
        <f>IFERROR(IF(VLOOKUP(TableHandbook[[#This Row],[UDC]],TableAvailabilities[],3,FALSE)&gt;0,"Y",""),"")</f>
        <v/>
      </c>
      <c r="I17" s="127" t="str">
        <f>IFERROR(IF(VLOOKUP(TableHandbook[[#This Row],[UDC]],TableAvailabilities[],4,FALSE)&gt;0,"Y",""),"")</f>
        <v/>
      </c>
      <c r="J17" s="128" t="str">
        <f>IFERROR(IF(VLOOKUP(TableHandbook[[#This Row],[UDC]],TableAvailabilities[],5,FALSE)&gt;0,"Y",""),"")</f>
        <v/>
      </c>
      <c r="K17" s="128" t="str">
        <f>IFERROR(IF(VLOOKUP(TableHandbook[[#This Row],[UDC]],TableAvailabilities[],6,FALSE)&gt;0,"Y",""),"")</f>
        <v/>
      </c>
      <c r="L17" s="127" t="str">
        <f>IFERROR(IF(VLOOKUP(TableHandbook[[#This Row],[UDC]],TableAvailabilities[],7,FALSE)&gt;0,"Y",""),"")</f>
        <v/>
      </c>
      <c r="M17" s="207"/>
      <c r="N17" s="204" t="str">
        <f>IFERROR(VLOOKUP(TableHandbook[[#This Row],[UDC]],TableBEDUC[],7,FALSE),"")</f>
        <v/>
      </c>
      <c r="O17" s="193" t="str">
        <f>IFERROR(VLOOKUP(TableHandbook[[#This Row],[UDC]],TableBEDEC[],7,FALSE),"")</f>
        <v/>
      </c>
      <c r="P17" s="193" t="str">
        <f>IFERROR(VLOOKUP(TableHandbook[[#This Row],[UDC]],TableBEDPR[],7,FALSE),"")</f>
        <v/>
      </c>
      <c r="Q17" s="193" t="str">
        <f>IFERROR(VLOOKUP(TableHandbook[[#This Row],[UDC]],TableSTRUCATHL[],7,FALSE),"")</f>
        <v/>
      </c>
      <c r="R17" s="193" t="str">
        <f>IFERROR(VLOOKUP(TableHandbook[[#This Row],[UDC]],TableSTRUENGLL[],7,FALSE),"")</f>
        <v/>
      </c>
      <c r="S17" s="193" t="str">
        <f>IFERROR(VLOOKUP(TableHandbook[[#This Row],[UDC]],TableSTRUINTBC[],7,FALSE),"")</f>
        <v/>
      </c>
      <c r="T17" s="193" t="str">
        <f>IFERROR(VLOOKUP(TableHandbook[[#This Row],[UDC]],TableSTRUISTEM[],7,FALSE),"")</f>
        <v/>
      </c>
      <c r="U17" s="193" t="str">
        <f>IFERROR(VLOOKUP(TableHandbook[[#This Row],[UDC]],TableSTRULITNU[],7,FALSE),"")</f>
        <v/>
      </c>
      <c r="V17" s="193" t="str">
        <f>IFERROR(VLOOKUP(TableHandbook[[#This Row],[UDC]],TableSTRUTECHS[],7,FALSE),"")</f>
        <v/>
      </c>
      <c r="W17" s="193" t="str">
        <f>IFERROR(VLOOKUP(TableHandbook[[#This Row],[UDC]],TableBEDSC[],7,FALSE),"")</f>
        <v/>
      </c>
      <c r="X17" s="193" t="str">
        <f>IFERROR(VLOOKUP(TableHandbook[[#This Row],[UDC]],TableMJRUARTDR[],7,FALSE),"")</f>
        <v/>
      </c>
      <c r="Y17" s="193" t="str">
        <f>IFERROR(VLOOKUP(TableHandbook[[#This Row],[UDC]],TableMJRUARTME[],7,FALSE),"")</f>
        <v/>
      </c>
      <c r="Z17" s="193" t="str">
        <f>IFERROR(VLOOKUP(TableHandbook[[#This Row],[UDC]],TableMJRUARTVA[],7,FALSE),"")</f>
        <v/>
      </c>
      <c r="AA17" s="193" t="str">
        <f>IFERROR(VLOOKUP(TableHandbook[[#This Row],[UDC]],TableMJRUENGLT[],7,FALSE),"")</f>
        <v/>
      </c>
      <c r="AB17" s="193" t="str">
        <f>IFERROR(VLOOKUP(TableHandbook[[#This Row],[UDC]],TableMJRUHLTPE[],7,FALSE),"")</f>
        <v/>
      </c>
      <c r="AC17" s="193" t="str">
        <f>IFERROR(VLOOKUP(TableHandbook[[#This Row],[UDC]],TableMJRUHUSEC[],7,FALSE),"")</f>
        <v/>
      </c>
      <c r="AD17" s="193" t="str">
        <f>IFERROR(VLOOKUP(TableHandbook[[#This Row],[UDC]],TableMJRUHUSGE[],7,FALSE),"")</f>
        <v/>
      </c>
      <c r="AE17" s="193" t="str">
        <f>IFERROR(VLOOKUP(TableHandbook[[#This Row],[UDC]],TableMJRUHUSHI[],7,FALSE),"")</f>
        <v/>
      </c>
      <c r="AF17" s="193" t="str">
        <f>IFERROR(VLOOKUP(TableHandbook[[#This Row],[UDC]],TableMJRUHUSPL[],7,FALSE),"")</f>
        <v/>
      </c>
      <c r="AG17" s="193" t="str">
        <f>IFERROR(VLOOKUP(TableHandbook[[#This Row],[UDC]],TableMJRUMATHT[],7,FALSE),"")</f>
        <v/>
      </c>
      <c r="AH17" s="193" t="str">
        <f>IFERROR(VLOOKUP(TableHandbook[[#This Row],[UDC]],TableMJRUSCIBI[],7,FALSE),"")</f>
        <v/>
      </c>
      <c r="AI17" s="193" t="str">
        <f>IFERROR(VLOOKUP(TableHandbook[[#This Row],[UDC]],TableMJRUSCICH[],7,FALSE),"")</f>
        <v/>
      </c>
      <c r="AJ17" s="193" t="str">
        <f>IFERROR(VLOOKUP(TableHandbook[[#This Row],[UDC]],TableMJRUSCIHB[],7,FALSE),"")</f>
        <v/>
      </c>
      <c r="AK17" s="193" t="str">
        <f>IFERROR(VLOOKUP(TableHandbook[[#This Row],[UDC]],TableMJRUSCIPH[],7,FALSE),"")</f>
        <v/>
      </c>
      <c r="AL17" s="193" t="str">
        <f>IFERROR(VLOOKUP(TableHandbook[[#This Row],[UDC]],TableMJRUSCIPS[],7,FALSE),"")</f>
        <v/>
      </c>
      <c r="AM17" s="202"/>
      <c r="AN17" s="200" t="str">
        <f>IFERROR(VLOOKUP(TableHandbook[[#This Row],[UDC]],TableSTRUBIOLB[],7,FALSE),"")</f>
        <v/>
      </c>
      <c r="AO17" s="200" t="str">
        <f>IFERROR(VLOOKUP(TableHandbook[[#This Row],[UDC]],TableSTRUBSCIM[],7,FALSE),"")</f>
        <v/>
      </c>
      <c r="AP17" s="200" t="str">
        <f>IFERROR(VLOOKUP(TableHandbook[[#This Row],[UDC]],TableSTRUCHEMB[],7,FALSE),"")</f>
        <v/>
      </c>
      <c r="AQ17" s="200" t="str">
        <f>IFERROR(VLOOKUP(TableHandbook[[#This Row],[UDC]],TableSTRUECOB1[],7,FALSE),"")</f>
        <v/>
      </c>
      <c r="AR17" s="200" t="str">
        <f>IFERROR(VLOOKUP(TableHandbook[[#This Row],[UDC]],TableSTRUEDART[],7,FALSE),"")</f>
        <v/>
      </c>
      <c r="AS17" s="200" t="str">
        <f>IFERROR(VLOOKUP(TableHandbook[[#This Row],[UDC]],TableSTRUEDENG[],7,FALSE),"")</f>
        <v/>
      </c>
      <c r="AT17" s="200" t="str">
        <f>IFERROR(VLOOKUP(TableHandbook[[#This Row],[UDC]],TableSTRUEDHAS[],7,FALSE),"")</f>
        <v/>
      </c>
      <c r="AU17" s="200" t="str">
        <f>IFERROR(VLOOKUP(TableHandbook[[#This Row],[UDC]],TableSTRUEDMAT[],7,FALSE),"")</f>
        <v/>
      </c>
      <c r="AV17" s="200" t="str">
        <f>IFERROR(VLOOKUP(TableHandbook[[#This Row],[UDC]],TableSTRUEDSCI[],7,FALSE),"")</f>
        <v/>
      </c>
      <c r="AW17" s="200" t="str">
        <f>IFERROR(VLOOKUP(TableHandbook[[#This Row],[UDC]],TableSTRUENGLB[],7,FALSE),"")</f>
        <v/>
      </c>
      <c r="AX17" s="200" t="str">
        <f>IFERROR(VLOOKUP(TableHandbook[[#This Row],[UDC]],TableSTRUENGLM[],7,FALSE),"")</f>
        <v/>
      </c>
      <c r="AY17" s="200" t="str">
        <f>IFERROR(VLOOKUP(TableHandbook[[#This Row],[UDC]],TableSTRUGEOB1[],7,FALSE),"")</f>
        <v/>
      </c>
      <c r="AZ17" s="200" t="str">
        <f>IFERROR(VLOOKUP(TableHandbook[[#This Row],[UDC]],TableSTRUHISB1[],7,FALSE),"")</f>
        <v>Core</v>
      </c>
      <c r="BA17" s="200" t="str">
        <f>IFERROR(VLOOKUP(TableHandbook[[#This Row],[UDC]],TableSTRUHUMAM[],7,FALSE),"")</f>
        <v/>
      </c>
      <c r="BB17" s="200" t="str">
        <f>IFERROR(VLOOKUP(TableHandbook[[#This Row],[UDC]],TableSTRUHUMBB[],7,FALSE),"")</f>
        <v/>
      </c>
      <c r="BC17" s="200" t="str">
        <f>IFERROR(VLOOKUP(TableHandbook[[#This Row],[UDC]],TableSTRUMATHB[],7,FALSE),"")</f>
        <v/>
      </c>
      <c r="BD17" s="200" t="str">
        <f>IFERROR(VLOOKUP(TableHandbook[[#This Row],[UDC]],TableSTRUMATHM[],7,FALSE),"")</f>
        <v/>
      </c>
      <c r="BE17" s="200" t="str">
        <f>IFERROR(VLOOKUP(TableHandbook[[#This Row],[UDC]],TableSTRUPARTB[],7,FALSE),"")</f>
        <v/>
      </c>
      <c r="BF17" s="200" t="str">
        <f>IFERROR(VLOOKUP(TableHandbook[[#This Row],[UDC]],TableSTRUPARTM[],7,FALSE),"")</f>
        <v/>
      </c>
      <c r="BG17" s="200" t="str">
        <f>IFERROR(VLOOKUP(TableHandbook[[#This Row],[UDC]],TableSTRUPOLB1[],7,FALSE),"")</f>
        <v/>
      </c>
      <c r="BH17" s="200" t="str">
        <f>IFERROR(VLOOKUP(TableHandbook[[#This Row],[UDC]],TableSTRUPSCIM[],7,FALSE),"")</f>
        <v/>
      </c>
      <c r="BI17" s="200" t="str">
        <f>IFERROR(VLOOKUP(TableHandbook[[#This Row],[UDC]],TableSTRUPSYCB[],7,FALSE),"")</f>
        <v/>
      </c>
      <c r="BJ17" s="200" t="str">
        <f>IFERROR(VLOOKUP(TableHandbook[[#This Row],[UDC]],TableSTRUPSYCM[],7,FALSE),"")</f>
        <v/>
      </c>
      <c r="BK17" s="200" t="str">
        <f>IFERROR(VLOOKUP(TableHandbook[[#This Row],[UDC]],TableSTRUSOSCM[],7,FALSE),"")</f>
        <v/>
      </c>
      <c r="BL17" s="200" t="str">
        <f>IFERROR(VLOOKUP(TableHandbook[[#This Row],[UDC]],TableSTRUVARTB[],7,FALSE),"")</f>
        <v/>
      </c>
      <c r="BM17" s="200" t="str">
        <f>IFERROR(VLOOKUP(TableHandbook[[#This Row],[UDC]],TableSTRUVARTM[],7,FALSE),"")</f>
        <v/>
      </c>
    </row>
    <row r="18" spans="1:65" x14ac:dyDescent="0.25">
      <c r="A18" s="261" t="s">
        <v>507</v>
      </c>
      <c r="B18" s="12"/>
      <c r="C18" s="11"/>
      <c r="D18" s="11" t="s">
        <v>550</v>
      </c>
      <c r="E18" s="12">
        <v>25</v>
      </c>
      <c r="F18" s="131" t="s">
        <v>548</v>
      </c>
      <c r="G18" s="126" t="str">
        <f>IFERROR(IF(VLOOKUP(TableHandbook[[#This Row],[UDC]],TableAvailabilities[],2,FALSE)&gt;0,"Y",""),"")</f>
        <v/>
      </c>
      <c r="H18" s="102" t="str">
        <f>IFERROR(IF(VLOOKUP(TableHandbook[[#This Row],[UDC]],TableAvailabilities[],3,FALSE)&gt;0,"Y",""),"")</f>
        <v/>
      </c>
      <c r="I18" s="127" t="str">
        <f>IFERROR(IF(VLOOKUP(TableHandbook[[#This Row],[UDC]],TableAvailabilities[],4,FALSE)&gt;0,"Y",""),"")</f>
        <v/>
      </c>
      <c r="J18" s="128" t="str">
        <f>IFERROR(IF(VLOOKUP(TableHandbook[[#This Row],[UDC]],TableAvailabilities[],5,FALSE)&gt;0,"Y",""),"")</f>
        <v/>
      </c>
      <c r="K18" s="128" t="str">
        <f>IFERROR(IF(VLOOKUP(TableHandbook[[#This Row],[UDC]],TableAvailabilities[],6,FALSE)&gt;0,"Y",""),"")</f>
        <v/>
      </c>
      <c r="L18" s="127" t="str">
        <f>IFERROR(IF(VLOOKUP(TableHandbook[[#This Row],[UDC]],TableAvailabilities[],7,FALSE)&gt;0,"Y",""),"")</f>
        <v/>
      </c>
      <c r="M18" s="207"/>
      <c r="N18" s="204" t="str">
        <f>IFERROR(VLOOKUP(TableHandbook[[#This Row],[UDC]],TableBEDUC[],7,FALSE),"")</f>
        <v/>
      </c>
      <c r="O18" s="193" t="str">
        <f>IFERROR(VLOOKUP(TableHandbook[[#This Row],[UDC]],TableBEDEC[],7,FALSE),"")</f>
        <v/>
      </c>
      <c r="P18" s="193" t="str">
        <f>IFERROR(VLOOKUP(TableHandbook[[#This Row],[UDC]],TableBEDPR[],7,FALSE),"")</f>
        <v/>
      </c>
      <c r="Q18" s="193" t="str">
        <f>IFERROR(VLOOKUP(TableHandbook[[#This Row],[UDC]],TableSTRUCATHL[],7,FALSE),"")</f>
        <v/>
      </c>
      <c r="R18" s="193" t="str">
        <f>IFERROR(VLOOKUP(TableHandbook[[#This Row],[UDC]],TableSTRUENGLL[],7,FALSE),"")</f>
        <v/>
      </c>
      <c r="S18" s="193" t="str">
        <f>IFERROR(VLOOKUP(TableHandbook[[#This Row],[UDC]],TableSTRUINTBC[],7,FALSE),"")</f>
        <v/>
      </c>
      <c r="T18" s="193" t="str">
        <f>IFERROR(VLOOKUP(TableHandbook[[#This Row],[UDC]],TableSTRUISTEM[],7,FALSE),"")</f>
        <v/>
      </c>
      <c r="U18" s="193" t="str">
        <f>IFERROR(VLOOKUP(TableHandbook[[#This Row],[UDC]],TableSTRULITNU[],7,FALSE),"")</f>
        <v/>
      </c>
      <c r="V18" s="193" t="str">
        <f>IFERROR(VLOOKUP(TableHandbook[[#This Row],[UDC]],TableSTRUTECHS[],7,FALSE),"")</f>
        <v/>
      </c>
      <c r="W18" s="193" t="str">
        <f>IFERROR(VLOOKUP(TableHandbook[[#This Row],[UDC]],TableBEDSC[],7,FALSE),"")</f>
        <v/>
      </c>
      <c r="X18" s="193" t="str">
        <f>IFERROR(VLOOKUP(TableHandbook[[#This Row],[UDC]],TableMJRUARTDR[],7,FALSE),"")</f>
        <v/>
      </c>
      <c r="Y18" s="193" t="str">
        <f>IFERROR(VLOOKUP(TableHandbook[[#This Row],[UDC]],TableMJRUARTME[],7,FALSE),"")</f>
        <v/>
      </c>
      <c r="Z18" s="193" t="str">
        <f>IFERROR(VLOOKUP(TableHandbook[[#This Row],[UDC]],TableMJRUARTVA[],7,FALSE),"")</f>
        <v/>
      </c>
      <c r="AA18" s="193" t="str">
        <f>IFERROR(VLOOKUP(TableHandbook[[#This Row],[UDC]],TableMJRUENGLT[],7,FALSE),"")</f>
        <v/>
      </c>
      <c r="AB18" s="193" t="str">
        <f>IFERROR(VLOOKUP(TableHandbook[[#This Row],[UDC]],TableMJRUHLTPE[],7,FALSE),"")</f>
        <v/>
      </c>
      <c r="AC18" s="193" t="str">
        <f>IFERROR(VLOOKUP(TableHandbook[[#This Row],[UDC]],TableMJRUHUSEC[],7,FALSE),"")</f>
        <v/>
      </c>
      <c r="AD18" s="193" t="str">
        <f>IFERROR(VLOOKUP(TableHandbook[[#This Row],[UDC]],TableMJRUHUSGE[],7,FALSE),"")</f>
        <v/>
      </c>
      <c r="AE18" s="193" t="str">
        <f>IFERROR(VLOOKUP(TableHandbook[[#This Row],[UDC]],TableMJRUHUSHI[],7,FALSE),"")</f>
        <v/>
      </c>
      <c r="AF18" s="193" t="str">
        <f>IFERROR(VLOOKUP(TableHandbook[[#This Row],[UDC]],TableMJRUHUSPL[],7,FALSE),"")</f>
        <v/>
      </c>
      <c r="AG18" s="193" t="str">
        <f>IFERROR(VLOOKUP(TableHandbook[[#This Row],[UDC]],TableMJRUMATHT[],7,FALSE),"")</f>
        <v/>
      </c>
      <c r="AH18" s="193" t="str">
        <f>IFERROR(VLOOKUP(TableHandbook[[#This Row],[UDC]],TableMJRUSCIBI[],7,FALSE),"")</f>
        <v/>
      </c>
      <c r="AI18" s="193" t="str">
        <f>IFERROR(VLOOKUP(TableHandbook[[#This Row],[UDC]],TableMJRUSCICH[],7,FALSE),"")</f>
        <v/>
      </c>
      <c r="AJ18" s="193" t="str">
        <f>IFERROR(VLOOKUP(TableHandbook[[#This Row],[UDC]],TableMJRUSCIHB[],7,FALSE),"")</f>
        <v/>
      </c>
      <c r="AK18" s="193" t="str">
        <f>IFERROR(VLOOKUP(TableHandbook[[#This Row],[UDC]],TableMJRUSCIPH[],7,FALSE),"")</f>
        <v/>
      </c>
      <c r="AL18" s="193" t="str">
        <f>IFERROR(VLOOKUP(TableHandbook[[#This Row],[UDC]],TableMJRUSCIPS[],7,FALSE),"")</f>
        <v/>
      </c>
      <c r="AM18" s="202"/>
      <c r="AN18" s="200" t="str">
        <f>IFERROR(VLOOKUP(TableHandbook[[#This Row],[UDC]],TableSTRUBIOLB[],7,FALSE),"")</f>
        <v/>
      </c>
      <c r="AO18" s="200" t="str">
        <f>IFERROR(VLOOKUP(TableHandbook[[#This Row],[UDC]],TableSTRUBSCIM[],7,FALSE),"")</f>
        <v/>
      </c>
      <c r="AP18" s="200" t="str">
        <f>IFERROR(VLOOKUP(TableHandbook[[#This Row],[UDC]],TableSTRUCHEMB[],7,FALSE),"")</f>
        <v/>
      </c>
      <c r="AQ18" s="200" t="str">
        <f>IFERROR(VLOOKUP(TableHandbook[[#This Row],[UDC]],TableSTRUECOB1[],7,FALSE),"")</f>
        <v/>
      </c>
      <c r="AR18" s="200" t="str">
        <f>IFERROR(VLOOKUP(TableHandbook[[#This Row],[UDC]],TableSTRUEDART[],7,FALSE),"")</f>
        <v/>
      </c>
      <c r="AS18" s="200" t="str">
        <f>IFERROR(VLOOKUP(TableHandbook[[#This Row],[UDC]],TableSTRUEDENG[],7,FALSE),"")</f>
        <v/>
      </c>
      <c r="AT18" s="200" t="str">
        <f>IFERROR(VLOOKUP(TableHandbook[[#This Row],[UDC]],TableSTRUEDHAS[],7,FALSE),"")</f>
        <v/>
      </c>
      <c r="AU18" s="200" t="str">
        <f>IFERROR(VLOOKUP(TableHandbook[[#This Row],[UDC]],TableSTRUEDMAT[],7,FALSE),"")</f>
        <v/>
      </c>
      <c r="AV18" s="200" t="str">
        <f>IFERROR(VLOOKUP(TableHandbook[[#This Row],[UDC]],TableSTRUEDSCI[],7,FALSE),"")</f>
        <v/>
      </c>
      <c r="AW18" s="200" t="str">
        <f>IFERROR(VLOOKUP(TableHandbook[[#This Row],[UDC]],TableSTRUENGLB[],7,FALSE),"")</f>
        <v/>
      </c>
      <c r="AX18" s="200" t="str">
        <f>IFERROR(VLOOKUP(TableHandbook[[#This Row],[UDC]],TableSTRUENGLM[],7,FALSE),"")</f>
        <v/>
      </c>
      <c r="AY18" s="200" t="str">
        <f>IFERROR(VLOOKUP(TableHandbook[[#This Row],[UDC]],TableSTRUGEOB1[],7,FALSE),"")</f>
        <v/>
      </c>
      <c r="AZ18" s="200" t="str">
        <f>IFERROR(VLOOKUP(TableHandbook[[#This Row],[UDC]],TableSTRUHISB1[],7,FALSE),"")</f>
        <v/>
      </c>
      <c r="BA18" s="200" t="str">
        <f>IFERROR(VLOOKUP(TableHandbook[[#This Row],[UDC]],TableSTRUHUMAM[],7,FALSE),"")</f>
        <v>Core</v>
      </c>
      <c r="BB18" s="200" t="str">
        <f>IFERROR(VLOOKUP(TableHandbook[[#This Row],[UDC]],TableSTRUHUMBB[],7,FALSE),"")</f>
        <v/>
      </c>
      <c r="BC18" s="200" t="str">
        <f>IFERROR(VLOOKUP(TableHandbook[[#This Row],[UDC]],TableSTRUMATHB[],7,FALSE),"")</f>
        <v/>
      </c>
      <c r="BD18" s="200" t="str">
        <f>IFERROR(VLOOKUP(TableHandbook[[#This Row],[UDC]],TableSTRUMATHM[],7,FALSE),"")</f>
        <v/>
      </c>
      <c r="BE18" s="200" t="str">
        <f>IFERROR(VLOOKUP(TableHandbook[[#This Row],[UDC]],TableSTRUPARTB[],7,FALSE),"")</f>
        <v/>
      </c>
      <c r="BF18" s="200" t="str">
        <f>IFERROR(VLOOKUP(TableHandbook[[#This Row],[UDC]],TableSTRUPARTM[],7,FALSE),"")</f>
        <v/>
      </c>
      <c r="BG18" s="200" t="str">
        <f>IFERROR(VLOOKUP(TableHandbook[[#This Row],[UDC]],TableSTRUPOLB1[],7,FALSE),"")</f>
        <v/>
      </c>
      <c r="BH18" s="200" t="str">
        <f>IFERROR(VLOOKUP(TableHandbook[[#This Row],[UDC]],TableSTRUPSCIM[],7,FALSE),"")</f>
        <v/>
      </c>
      <c r="BI18" s="200" t="str">
        <f>IFERROR(VLOOKUP(TableHandbook[[#This Row],[UDC]],TableSTRUPSYCB[],7,FALSE),"")</f>
        <v/>
      </c>
      <c r="BJ18" s="200" t="str">
        <f>IFERROR(VLOOKUP(TableHandbook[[#This Row],[UDC]],TableSTRUPSYCM[],7,FALSE),"")</f>
        <v/>
      </c>
      <c r="BK18" s="200" t="str">
        <f>IFERROR(VLOOKUP(TableHandbook[[#This Row],[UDC]],TableSTRUSOSCM[],7,FALSE),"")</f>
        <v/>
      </c>
      <c r="BL18" s="200" t="str">
        <f>IFERROR(VLOOKUP(TableHandbook[[#This Row],[UDC]],TableSTRUVARTB[],7,FALSE),"")</f>
        <v/>
      </c>
      <c r="BM18" s="200" t="str">
        <f>IFERROR(VLOOKUP(TableHandbook[[#This Row],[UDC]],TableSTRUVARTM[],7,FALSE),"")</f>
        <v/>
      </c>
    </row>
    <row r="19" spans="1:65" x14ac:dyDescent="0.25">
      <c r="A19" s="261" t="s">
        <v>491</v>
      </c>
      <c r="B19" s="12"/>
      <c r="C19" s="11"/>
      <c r="D19" s="11" t="s">
        <v>553</v>
      </c>
      <c r="E19" s="12">
        <v>25</v>
      </c>
      <c r="F19" s="131" t="s">
        <v>548</v>
      </c>
      <c r="G19" s="126" t="str">
        <f>IFERROR(IF(VLOOKUP(TableHandbook[[#This Row],[UDC]],TableAvailabilities[],2,FALSE)&gt;0,"Y",""),"")</f>
        <v/>
      </c>
      <c r="H19" s="102" t="str">
        <f>IFERROR(IF(VLOOKUP(TableHandbook[[#This Row],[UDC]],TableAvailabilities[],3,FALSE)&gt;0,"Y",""),"")</f>
        <v/>
      </c>
      <c r="I19" s="127" t="str">
        <f>IFERROR(IF(VLOOKUP(TableHandbook[[#This Row],[UDC]],TableAvailabilities[],4,FALSE)&gt;0,"Y",""),"")</f>
        <v/>
      </c>
      <c r="J19" s="128" t="str">
        <f>IFERROR(IF(VLOOKUP(TableHandbook[[#This Row],[UDC]],TableAvailabilities[],5,FALSE)&gt;0,"Y",""),"")</f>
        <v/>
      </c>
      <c r="K19" s="128" t="str">
        <f>IFERROR(IF(VLOOKUP(TableHandbook[[#This Row],[UDC]],TableAvailabilities[],6,FALSE)&gt;0,"Y",""),"")</f>
        <v/>
      </c>
      <c r="L19" s="127" t="str">
        <f>IFERROR(IF(VLOOKUP(TableHandbook[[#This Row],[UDC]],TableAvailabilities[],7,FALSE)&gt;0,"Y",""),"")</f>
        <v/>
      </c>
      <c r="M19" s="207"/>
      <c r="N19" s="204" t="str">
        <f>IFERROR(VLOOKUP(TableHandbook[[#This Row],[UDC]],TableBEDUC[],7,FALSE),"")</f>
        <v/>
      </c>
      <c r="O19" s="193" t="str">
        <f>IFERROR(VLOOKUP(TableHandbook[[#This Row],[UDC]],TableBEDEC[],7,FALSE),"")</f>
        <v/>
      </c>
      <c r="P19" s="193" t="str">
        <f>IFERROR(VLOOKUP(TableHandbook[[#This Row],[UDC]],TableBEDPR[],7,FALSE),"")</f>
        <v/>
      </c>
      <c r="Q19" s="193" t="str">
        <f>IFERROR(VLOOKUP(TableHandbook[[#This Row],[UDC]],TableSTRUCATHL[],7,FALSE),"")</f>
        <v/>
      </c>
      <c r="R19" s="193" t="str">
        <f>IFERROR(VLOOKUP(TableHandbook[[#This Row],[UDC]],TableSTRUENGLL[],7,FALSE),"")</f>
        <v/>
      </c>
      <c r="S19" s="193" t="str">
        <f>IFERROR(VLOOKUP(TableHandbook[[#This Row],[UDC]],TableSTRUINTBC[],7,FALSE),"")</f>
        <v/>
      </c>
      <c r="T19" s="193" t="str">
        <f>IFERROR(VLOOKUP(TableHandbook[[#This Row],[UDC]],TableSTRUISTEM[],7,FALSE),"")</f>
        <v/>
      </c>
      <c r="U19" s="193" t="str">
        <f>IFERROR(VLOOKUP(TableHandbook[[#This Row],[UDC]],TableSTRULITNU[],7,FALSE),"")</f>
        <v/>
      </c>
      <c r="V19" s="193" t="str">
        <f>IFERROR(VLOOKUP(TableHandbook[[#This Row],[UDC]],TableSTRUTECHS[],7,FALSE),"")</f>
        <v/>
      </c>
      <c r="W19" s="193" t="str">
        <f>IFERROR(VLOOKUP(TableHandbook[[#This Row],[UDC]],TableBEDSC[],7,FALSE),"")</f>
        <v/>
      </c>
      <c r="X19" s="193" t="str">
        <f>IFERROR(VLOOKUP(TableHandbook[[#This Row],[UDC]],TableMJRUARTDR[],7,FALSE),"")</f>
        <v/>
      </c>
      <c r="Y19" s="193" t="str">
        <f>IFERROR(VLOOKUP(TableHandbook[[#This Row],[UDC]],TableMJRUARTME[],7,FALSE),"")</f>
        <v/>
      </c>
      <c r="Z19" s="193" t="str">
        <f>IFERROR(VLOOKUP(TableHandbook[[#This Row],[UDC]],TableMJRUARTVA[],7,FALSE),"")</f>
        <v/>
      </c>
      <c r="AA19" s="193" t="str">
        <f>IFERROR(VLOOKUP(TableHandbook[[#This Row],[UDC]],TableMJRUENGLT[],7,FALSE),"")</f>
        <v/>
      </c>
      <c r="AB19" s="193" t="str">
        <f>IFERROR(VLOOKUP(TableHandbook[[#This Row],[UDC]],TableMJRUHLTPE[],7,FALSE),"")</f>
        <v/>
      </c>
      <c r="AC19" s="193" t="str">
        <f>IFERROR(VLOOKUP(TableHandbook[[#This Row],[UDC]],TableMJRUHUSEC[],7,FALSE),"")</f>
        <v/>
      </c>
      <c r="AD19" s="193" t="str">
        <f>IFERROR(VLOOKUP(TableHandbook[[#This Row],[UDC]],TableMJRUHUSGE[],7,FALSE),"")</f>
        <v/>
      </c>
      <c r="AE19" s="193" t="str">
        <f>IFERROR(VLOOKUP(TableHandbook[[#This Row],[UDC]],TableMJRUHUSHI[],7,FALSE),"")</f>
        <v/>
      </c>
      <c r="AF19" s="193" t="str">
        <f>IFERROR(VLOOKUP(TableHandbook[[#This Row],[UDC]],TableMJRUHUSPL[],7,FALSE),"")</f>
        <v/>
      </c>
      <c r="AG19" s="193" t="str">
        <f>IFERROR(VLOOKUP(TableHandbook[[#This Row],[UDC]],TableMJRUMATHT[],7,FALSE),"")</f>
        <v/>
      </c>
      <c r="AH19" s="193" t="str">
        <f>IFERROR(VLOOKUP(TableHandbook[[#This Row],[UDC]],TableMJRUSCIBI[],7,FALSE),"")</f>
        <v/>
      </c>
      <c r="AI19" s="193" t="str">
        <f>IFERROR(VLOOKUP(TableHandbook[[#This Row],[UDC]],TableMJRUSCICH[],7,FALSE),"")</f>
        <v/>
      </c>
      <c r="AJ19" s="193" t="str">
        <f>IFERROR(VLOOKUP(TableHandbook[[#This Row],[UDC]],TableMJRUSCIHB[],7,FALSE),"")</f>
        <v/>
      </c>
      <c r="AK19" s="193" t="str">
        <f>IFERROR(VLOOKUP(TableHandbook[[#This Row],[UDC]],TableMJRUSCIPH[],7,FALSE),"")</f>
        <v/>
      </c>
      <c r="AL19" s="193" t="str">
        <f>IFERROR(VLOOKUP(TableHandbook[[#This Row],[UDC]],TableMJRUSCIPS[],7,FALSE),"")</f>
        <v/>
      </c>
      <c r="AM19" s="202"/>
      <c r="AN19" s="200" t="str">
        <f>IFERROR(VLOOKUP(TableHandbook[[#This Row],[UDC]],TableSTRUBIOLB[],7,FALSE),"")</f>
        <v/>
      </c>
      <c r="AO19" s="200" t="str">
        <f>IFERROR(VLOOKUP(TableHandbook[[#This Row],[UDC]],TableSTRUBSCIM[],7,FALSE),"")</f>
        <v/>
      </c>
      <c r="AP19" s="200" t="str">
        <f>IFERROR(VLOOKUP(TableHandbook[[#This Row],[UDC]],TableSTRUCHEMB[],7,FALSE),"")</f>
        <v/>
      </c>
      <c r="AQ19" s="200" t="str">
        <f>IFERROR(VLOOKUP(TableHandbook[[#This Row],[UDC]],TableSTRUECOB1[],7,FALSE),"")</f>
        <v/>
      </c>
      <c r="AR19" s="200" t="str">
        <f>IFERROR(VLOOKUP(TableHandbook[[#This Row],[UDC]],TableSTRUEDART[],7,FALSE),"")</f>
        <v/>
      </c>
      <c r="AS19" s="200" t="str">
        <f>IFERROR(VLOOKUP(TableHandbook[[#This Row],[UDC]],TableSTRUEDENG[],7,FALSE),"")</f>
        <v/>
      </c>
      <c r="AT19" s="200" t="str">
        <f>IFERROR(VLOOKUP(TableHandbook[[#This Row],[UDC]],TableSTRUEDHAS[],7,FALSE),"")</f>
        <v/>
      </c>
      <c r="AU19" s="200" t="str">
        <f>IFERROR(VLOOKUP(TableHandbook[[#This Row],[UDC]],TableSTRUEDMAT[],7,FALSE),"")</f>
        <v/>
      </c>
      <c r="AV19" s="200" t="str">
        <f>IFERROR(VLOOKUP(TableHandbook[[#This Row],[UDC]],TableSTRUEDSCI[],7,FALSE),"")</f>
        <v/>
      </c>
      <c r="AW19" s="200" t="str">
        <f>IFERROR(VLOOKUP(TableHandbook[[#This Row],[UDC]],TableSTRUENGLB[],7,FALSE),"")</f>
        <v/>
      </c>
      <c r="AX19" s="200" t="str">
        <f>IFERROR(VLOOKUP(TableHandbook[[#This Row],[UDC]],TableSTRUENGLM[],7,FALSE),"")</f>
        <v/>
      </c>
      <c r="AY19" s="200" t="str">
        <f>IFERROR(VLOOKUP(TableHandbook[[#This Row],[UDC]],TableSTRUGEOB1[],7,FALSE),"")</f>
        <v/>
      </c>
      <c r="AZ19" s="200" t="str">
        <f>IFERROR(VLOOKUP(TableHandbook[[#This Row],[UDC]],TableSTRUHISB1[],7,FALSE),"")</f>
        <v/>
      </c>
      <c r="BA19" s="200" t="str">
        <f>IFERROR(VLOOKUP(TableHandbook[[#This Row],[UDC]],TableSTRUHUMAM[],7,FALSE),"")</f>
        <v/>
      </c>
      <c r="BB19" s="200" t="str">
        <f>IFERROR(VLOOKUP(TableHandbook[[#This Row],[UDC]],TableSTRUHUMBB[],7,FALSE),"")</f>
        <v/>
      </c>
      <c r="BC19" s="200" t="str">
        <f>IFERROR(VLOOKUP(TableHandbook[[#This Row],[UDC]],TableSTRUMATHB[],7,FALSE),"")</f>
        <v/>
      </c>
      <c r="BD19" s="200" t="str">
        <f>IFERROR(VLOOKUP(TableHandbook[[#This Row],[UDC]],TableSTRUMATHM[],7,FALSE),"")</f>
        <v/>
      </c>
      <c r="BE19" s="200" t="str">
        <f>IFERROR(VLOOKUP(TableHandbook[[#This Row],[UDC]],TableSTRUPARTB[],7,FALSE),"")</f>
        <v/>
      </c>
      <c r="BF19" s="200" t="str">
        <f>IFERROR(VLOOKUP(TableHandbook[[#This Row],[UDC]],TableSTRUPARTM[],7,FALSE),"")</f>
        <v/>
      </c>
      <c r="BG19" s="200" t="str">
        <f>IFERROR(VLOOKUP(TableHandbook[[#This Row],[UDC]],TableSTRUPOLB1[],7,FALSE),"")</f>
        <v/>
      </c>
      <c r="BH19" s="200" t="str">
        <f>IFERROR(VLOOKUP(TableHandbook[[#This Row],[UDC]],TableSTRUPSCIM[],7,FALSE),"")</f>
        <v/>
      </c>
      <c r="BI19" s="200" t="str">
        <f>IFERROR(VLOOKUP(TableHandbook[[#This Row],[UDC]],TableSTRUPSYCB[],7,FALSE),"")</f>
        <v/>
      </c>
      <c r="BJ19" s="200" t="str">
        <f>IFERROR(VLOOKUP(TableHandbook[[#This Row],[UDC]],TableSTRUPSYCM[],7,FALSE),"")</f>
        <v>Core</v>
      </c>
      <c r="BK19" s="200" t="str">
        <f>IFERROR(VLOOKUP(TableHandbook[[#This Row],[UDC]],TableSTRUSOSCM[],7,FALSE),"")</f>
        <v/>
      </c>
      <c r="BL19" s="200" t="str">
        <f>IFERROR(VLOOKUP(TableHandbook[[#This Row],[UDC]],TableSTRUVARTB[],7,FALSE),"")</f>
        <v/>
      </c>
      <c r="BM19" s="200" t="str">
        <f>IFERROR(VLOOKUP(TableHandbook[[#This Row],[UDC]],TableSTRUVARTM[],7,FALSE),"")</f>
        <v/>
      </c>
    </row>
    <row r="20" spans="1:65" x14ac:dyDescent="0.25">
      <c r="A20" s="261" t="s">
        <v>508</v>
      </c>
      <c r="B20" s="12"/>
      <c r="C20" s="11"/>
      <c r="D20" s="11" t="s">
        <v>550</v>
      </c>
      <c r="E20" s="12">
        <v>25</v>
      </c>
      <c r="F20" s="131" t="s">
        <v>548</v>
      </c>
      <c r="G20" s="126" t="str">
        <f>IFERROR(IF(VLOOKUP(TableHandbook[[#This Row],[UDC]],TableAvailabilities[],2,FALSE)&gt;0,"Y",""),"")</f>
        <v/>
      </c>
      <c r="H20" s="102" t="str">
        <f>IFERROR(IF(VLOOKUP(TableHandbook[[#This Row],[UDC]],TableAvailabilities[],3,FALSE)&gt;0,"Y",""),"")</f>
        <v/>
      </c>
      <c r="I20" s="127" t="str">
        <f>IFERROR(IF(VLOOKUP(TableHandbook[[#This Row],[UDC]],TableAvailabilities[],4,FALSE)&gt;0,"Y",""),"")</f>
        <v/>
      </c>
      <c r="J20" s="128" t="str">
        <f>IFERROR(IF(VLOOKUP(TableHandbook[[#This Row],[UDC]],TableAvailabilities[],5,FALSE)&gt;0,"Y",""),"")</f>
        <v/>
      </c>
      <c r="K20" s="128" t="str">
        <f>IFERROR(IF(VLOOKUP(TableHandbook[[#This Row],[UDC]],TableAvailabilities[],6,FALSE)&gt;0,"Y",""),"")</f>
        <v/>
      </c>
      <c r="L20" s="127" t="str">
        <f>IFERROR(IF(VLOOKUP(TableHandbook[[#This Row],[UDC]],TableAvailabilities[],7,FALSE)&gt;0,"Y",""),"")</f>
        <v/>
      </c>
      <c r="M20" s="207"/>
      <c r="N20" s="204" t="str">
        <f>IFERROR(VLOOKUP(TableHandbook[[#This Row],[UDC]],TableBEDUC[],7,FALSE),"")</f>
        <v/>
      </c>
      <c r="O20" s="193" t="str">
        <f>IFERROR(VLOOKUP(TableHandbook[[#This Row],[UDC]],TableBEDEC[],7,FALSE),"")</f>
        <v/>
      </c>
      <c r="P20" s="193" t="str">
        <f>IFERROR(VLOOKUP(TableHandbook[[#This Row],[UDC]],TableBEDPR[],7,FALSE),"")</f>
        <v/>
      </c>
      <c r="Q20" s="193" t="str">
        <f>IFERROR(VLOOKUP(TableHandbook[[#This Row],[UDC]],TableSTRUCATHL[],7,FALSE),"")</f>
        <v/>
      </c>
      <c r="R20" s="193" t="str">
        <f>IFERROR(VLOOKUP(TableHandbook[[#This Row],[UDC]],TableSTRUENGLL[],7,FALSE),"")</f>
        <v/>
      </c>
      <c r="S20" s="193" t="str">
        <f>IFERROR(VLOOKUP(TableHandbook[[#This Row],[UDC]],TableSTRUINTBC[],7,FALSE),"")</f>
        <v/>
      </c>
      <c r="T20" s="193" t="str">
        <f>IFERROR(VLOOKUP(TableHandbook[[#This Row],[UDC]],TableSTRUISTEM[],7,FALSE),"")</f>
        <v/>
      </c>
      <c r="U20" s="193" t="str">
        <f>IFERROR(VLOOKUP(TableHandbook[[#This Row],[UDC]],TableSTRULITNU[],7,FALSE),"")</f>
        <v/>
      </c>
      <c r="V20" s="193" t="str">
        <f>IFERROR(VLOOKUP(TableHandbook[[#This Row],[UDC]],TableSTRUTECHS[],7,FALSE),"")</f>
        <v/>
      </c>
      <c r="W20" s="193" t="str">
        <f>IFERROR(VLOOKUP(TableHandbook[[#This Row],[UDC]],TableBEDSC[],7,FALSE),"")</f>
        <v/>
      </c>
      <c r="X20" s="193" t="str">
        <f>IFERROR(VLOOKUP(TableHandbook[[#This Row],[UDC]],TableMJRUARTDR[],7,FALSE),"")</f>
        <v/>
      </c>
      <c r="Y20" s="193" t="str">
        <f>IFERROR(VLOOKUP(TableHandbook[[#This Row],[UDC]],TableMJRUARTME[],7,FALSE),"")</f>
        <v/>
      </c>
      <c r="Z20" s="193" t="str">
        <f>IFERROR(VLOOKUP(TableHandbook[[#This Row],[UDC]],TableMJRUARTVA[],7,FALSE),"")</f>
        <v/>
      </c>
      <c r="AA20" s="193" t="str">
        <f>IFERROR(VLOOKUP(TableHandbook[[#This Row],[UDC]],TableMJRUENGLT[],7,FALSE),"")</f>
        <v/>
      </c>
      <c r="AB20" s="193" t="str">
        <f>IFERROR(VLOOKUP(TableHandbook[[#This Row],[UDC]],TableMJRUHLTPE[],7,FALSE),"")</f>
        <v/>
      </c>
      <c r="AC20" s="193" t="str">
        <f>IFERROR(VLOOKUP(TableHandbook[[#This Row],[UDC]],TableMJRUHUSEC[],7,FALSE),"")</f>
        <v/>
      </c>
      <c r="AD20" s="193" t="str">
        <f>IFERROR(VLOOKUP(TableHandbook[[#This Row],[UDC]],TableMJRUHUSGE[],7,FALSE),"")</f>
        <v/>
      </c>
      <c r="AE20" s="193" t="str">
        <f>IFERROR(VLOOKUP(TableHandbook[[#This Row],[UDC]],TableMJRUHUSHI[],7,FALSE),"")</f>
        <v/>
      </c>
      <c r="AF20" s="193" t="str">
        <f>IFERROR(VLOOKUP(TableHandbook[[#This Row],[UDC]],TableMJRUHUSPL[],7,FALSE),"")</f>
        <v/>
      </c>
      <c r="AG20" s="193" t="str">
        <f>IFERROR(VLOOKUP(TableHandbook[[#This Row],[UDC]],TableMJRUMATHT[],7,FALSE),"")</f>
        <v/>
      </c>
      <c r="AH20" s="193" t="str">
        <f>IFERROR(VLOOKUP(TableHandbook[[#This Row],[UDC]],TableMJRUSCIBI[],7,FALSE),"")</f>
        <v/>
      </c>
      <c r="AI20" s="193" t="str">
        <f>IFERROR(VLOOKUP(TableHandbook[[#This Row],[UDC]],TableMJRUSCICH[],7,FALSE),"")</f>
        <v/>
      </c>
      <c r="AJ20" s="193" t="str">
        <f>IFERROR(VLOOKUP(TableHandbook[[#This Row],[UDC]],TableMJRUSCIHB[],7,FALSE),"")</f>
        <v/>
      </c>
      <c r="AK20" s="193" t="str">
        <f>IFERROR(VLOOKUP(TableHandbook[[#This Row],[UDC]],TableMJRUSCIPH[],7,FALSE),"")</f>
        <v/>
      </c>
      <c r="AL20" s="193" t="str">
        <f>IFERROR(VLOOKUP(TableHandbook[[#This Row],[UDC]],TableMJRUSCIPS[],7,FALSE),"")</f>
        <v/>
      </c>
      <c r="AM20" s="202"/>
      <c r="AN20" s="200" t="str">
        <f>IFERROR(VLOOKUP(TableHandbook[[#This Row],[UDC]],TableSTRUBIOLB[],7,FALSE),"")</f>
        <v/>
      </c>
      <c r="AO20" s="200" t="str">
        <f>IFERROR(VLOOKUP(TableHandbook[[#This Row],[UDC]],TableSTRUBSCIM[],7,FALSE),"")</f>
        <v/>
      </c>
      <c r="AP20" s="200" t="str">
        <f>IFERROR(VLOOKUP(TableHandbook[[#This Row],[UDC]],TableSTRUCHEMB[],7,FALSE),"")</f>
        <v/>
      </c>
      <c r="AQ20" s="200" t="str">
        <f>IFERROR(VLOOKUP(TableHandbook[[#This Row],[UDC]],TableSTRUECOB1[],7,FALSE),"")</f>
        <v/>
      </c>
      <c r="AR20" s="200" t="str">
        <f>IFERROR(VLOOKUP(TableHandbook[[#This Row],[UDC]],TableSTRUEDART[],7,FALSE),"")</f>
        <v/>
      </c>
      <c r="AS20" s="200" t="str">
        <f>IFERROR(VLOOKUP(TableHandbook[[#This Row],[UDC]],TableSTRUEDENG[],7,FALSE),"")</f>
        <v/>
      </c>
      <c r="AT20" s="200" t="str">
        <f>IFERROR(VLOOKUP(TableHandbook[[#This Row],[UDC]],TableSTRUEDHAS[],7,FALSE),"")</f>
        <v/>
      </c>
      <c r="AU20" s="200" t="str">
        <f>IFERROR(VLOOKUP(TableHandbook[[#This Row],[UDC]],TableSTRUEDMAT[],7,FALSE),"")</f>
        <v/>
      </c>
      <c r="AV20" s="200" t="str">
        <f>IFERROR(VLOOKUP(TableHandbook[[#This Row],[UDC]],TableSTRUEDSCI[],7,FALSE),"")</f>
        <v/>
      </c>
      <c r="AW20" s="200" t="str">
        <f>IFERROR(VLOOKUP(TableHandbook[[#This Row],[UDC]],TableSTRUENGLB[],7,FALSE),"")</f>
        <v/>
      </c>
      <c r="AX20" s="200" t="str">
        <f>IFERROR(VLOOKUP(TableHandbook[[#This Row],[UDC]],TableSTRUENGLM[],7,FALSE),"")</f>
        <v/>
      </c>
      <c r="AY20" s="200" t="str">
        <f>IFERROR(VLOOKUP(TableHandbook[[#This Row],[UDC]],TableSTRUGEOB1[],7,FALSE),"")</f>
        <v/>
      </c>
      <c r="AZ20" s="200" t="str">
        <f>IFERROR(VLOOKUP(TableHandbook[[#This Row],[UDC]],TableSTRUHISB1[],7,FALSE),"")</f>
        <v/>
      </c>
      <c r="BA20" s="200" t="str">
        <f>IFERROR(VLOOKUP(TableHandbook[[#This Row],[UDC]],TableSTRUHUMAM[],7,FALSE),"")</f>
        <v/>
      </c>
      <c r="BB20" s="200" t="str">
        <f>IFERROR(VLOOKUP(TableHandbook[[#This Row],[UDC]],TableSTRUHUMBB[],7,FALSE),"")</f>
        <v/>
      </c>
      <c r="BC20" s="200" t="str">
        <f>IFERROR(VLOOKUP(TableHandbook[[#This Row],[UDC]],TableSTRUMATHB[],7,FALSE),"")</f>
        <v/>
      </c>
      <c r="BD20" s="200" t="str">
        <f>IFERROR(VLOOKUP(TableHandbook[[#This Row],[UDC]],TableSTRUMATHM[],7,FALSE),"")</f>
        <v/>
      </c>
      <c r="BE20" s="200" t="str">
        <f>IFERROR(VLOOKUP(TableHandbook[[#This Row],[UDC]],TableSTRUPARTB[],7,FALSE),"")</f>
        <v/>
      </c>
      <c r="BF20" s="200" t="str">
        <f>IFERROR(VLOOKUP(TableHandbook[[#This Row],[UDC]],TableSTRUPARTM[],7,FALSE),"")</f>
        <v/>
      </c>
      <c r="BG20" s="200" t="str">
        <f>IFERROR(VLOOKUP(TableHandbook[[#This Row],[UDC]],TableSTRUPOLB1[],7,FALSE),"")</f>
        <v/>
      </c>
      <c r="BH20" s="200" t="str">
        <f>IFERROR(VLOOKUP(TableHandbook[[#This Row],[UDC]],TableSTRUPSCIM[],7,FALSE),"")</f>
        <v/>
      </c>
      <c r="BI20" s="200" t="str">
        <f>IFERROR(VLOOKUP(TableHandbook[[#This Row],[UDC]],TableSTRUPSYCB[],7,FALSE),"")</f>
        <v/>
      </c>
      <c r="BJ20" s="200" t="str">
        <f>IFERROR(VLOOKUP(TableHandbook[[#This Row],[UDC]],TableSTRUPSYCM[],7,FALSE),"")</f>
        <v/>
      </c>
      <c r="BK20" s="200" t="str">
        <f>IFERROR(VLOOKUP(TableHandbook[[#This Row],[UDC]],TableSTRUSOSCM[],7,FALSE),"")</f>
        <v>Core</v>
      </c>
      <c r="BL20" s="200" t="str">
        <f>IFERROR(VLOOKUP(TableHandbook[[#This Row],[UDC]],TableSTRUVARTB[],7,FALSE),"")</f>
        <v/>
      </c>
      <c r="BM20" s="200" t="str">
        <f>IFERROR(VLOOKUP(TableHandbook[[#This Row],[UDC]],TableSTRUVARTM[],7,FALSE),"")</f>
        <v/>
      </c>
    </row>
    <row r="21" spans="1:65" x14ac:dyDescent="0.25">
      <c r="A21" s="262" t="s">
        <v>307</v>
      </c>
      <c r="B21" s="12">
        <v>2</v>
      </c>
      <c r="C21" s="11"/>
      <c r="D21" s="11" t="s">
        <v>554</v>
      </c>
      <c r="E21" s="12">
        <v>25</v>
      </c>
      <c r="F21" s="131" t="s">
        <v>544</v>
      </c>
      <c r="G21" s="126" t="str">
        <f>IFERROR(IF(VLOOKUP(TableHandbook[[#This Row],[UDC]],TableAvailabilities[],2,FALSE)&gt;0,"Y",""),"")</f>
        <v/>
      </c>
      <c r="H21" s="102" t="str">
        <f>IFERROR(IF(VLOOKUP(TableHandbook[[#This Row],[UDC]],TableAvailabilities[],3,FALSE)&gt;0,"Y",""),"")</f>
        <v/>
      </c>
      <c r="I21" s="127" t="str">
        <f>IFERROR(IF(VLOOKUP(TableHandbook[[#This Row],[UDC]],TableAvailabilities[],4,FALSE)&gt;0,"Y",""),"")</f>
        <v/>
      </c>
      <c r="J21" s="128" t="str">
        <f>IFERROR(IF(VLOOKUP(TableHandbook[[#This Row],[UDC]],TableAvailabilities[],5,FALSE)&gt;0,"Y",""),"")</f>
        <v>Y</v>
      </c>
      <c r="K21" s="128" t="str">
        <f>IFERROR(IF(VLOOKUP(TableHandbook[[#This Row],[UDC]],TableAvailabilities[],6,FALSE)&gt;0,"Y",""),"")</f>
        <v>Y</v>
      </c>
      <c r="L21" s="127" t="str">
        <f>IFERROR(IF(VLOOKUP(TableHandbook[[#This Row],[UDC]],TableAvailabilities[],7,FALSE)&gt;0,"Y",""),"")</f>
        <v/>
      </c>
      <c r="M21" s="207"/>
      <c r="N21" s="204" t="str">
        <f>IFERROR(VLOOKUP(TableHandbook[[#This Row],[UDC]],TableBEDUC[],7,FALSE),"")</f>
        <v/>
      </c>
      <c r="O21" s="193" t="str">
        <f>IFERROR(VLOOKUP(TableHandbook[[#This Row],[UDC]],TableBEDEC[],7,FALSE),"")</f>
        <v/>
      </c>
      <c r="P21" s="193" t="str">
        <f>IFERROR(VLOOKUP(TableHandbook[[#This Row],[UDC]],TableBEDPR[],7,FALSE),"")</f>
        <v/>
      </c>
      <c r="Q21" s="193" t="str">
        <f>IFERROR(VLOOKUP(TableHandbook[[#This Row],[UDC]],TableSTRUCATHL[],7,FALSE),"")</f>
        <v/>
      </c>
      <c r="R21" s="193" t="str">
        <f>IFERROR(VLOOKUP(TableHandbook[[#This Row],[UDC]],TableSTRUENGLL[],7,FALSE),"")</f>
        <v/>
      </c>
      <c r="S21" s="193" t="str">
        <f>IFERROR(VLOOKUP(TableHandbook[[#This Row],[UDC]],TableSTRUINTBC[],7,FALSE),"")</f>
        <v/>
      </c>
      <c r="T21" s="193" t="str">
        <f>IFERROR(VLOOKUP(TableHandbook[[#This Row],[UDC]],TableSTRUISTEM[],7,FALSE),"")</f>
        <v/>
      </c>
      <c r="U21" s="193" t="str">
        <f>IFERROR(VLOOKUP(TableHandbook[[#This Row],[UDC]],TableSTRULITNU[],7,FALSE),"")</f>
        <v/>
      </c>
      <c r="V21" s="193" t="str">
        <f>IFERROR(VLOOKUP(TableHandbook[[#This Row],[UDC]],TableSTRUTECHS[],7,FALSE),"")</f>
        <v/>
      </c>
      <c r="W21" s="193" t="str">
        <f>IFERROR(VLOOKUP(TableHandbook[[#This Row],[UDC]],TableBEDSC[],7,FALSE),"")</f>
        <v/>
      </c>
      <c r="X21" s="193" t="str">
        <f>IFERROR(VLOOKUP(TableHandbook[[#This Row],[UDC]],TableMJRUARTDR[],7,FALSE),"")</f>
        <v/>
      </c>
      <c r="Y21" s="193" t="str">
        <f>IFERROR(VLOOKUP(TableHandbook[[#This Row],[UDC]],TableMJRUARTME[],7,FALSE),"")</f>
        <v/>
      </c>
      <c r="Z21" s="193" t="str">
        <f>IFERROR(VLOOKUP(TableHandbook[[#This Row],[UDC]],TableMJRUARTVA[],7,FALSE),"")</f>
        <v/>
      </c>
      <c r="AA21" s="193" t="str">
        <f>IFERROR(VLOOKUP(TableHandbook[[#This Row],[UDC]],TableMJRUENGLT[],7,FALSE),"")</f>
        <v/>
      </c>
      <c r="AB21" s="193" t="str">
        <f>IFERROR(VLOOKUP(TableHandbook[[#This Row],[UDC]],TableMJRUHLTPE[],7,FALSE),"")</f>
        <v/>
      </c>
      <c r="AC21" s="193" t="str">
        <f>IFERROR(VLOOKUP(TableHandbook[[#This Row],[UDC]],TableMJRUHUSEC[],7,FALSE),"")</f>
        <v/>
      </c>
      <c r="AD21" s="193" t="str">
        <f>IFERROR(VLOOKUP(TableHandbook[[#This Row],[UDC]],TableMJRUHUSGE[],7,FALSE),"")</f>
        <v/>
      </c>
      <c r="AE21" s="193" t="str">
        <f>IFERROR(VLOOKUP(TableHandbook[[#This Row],[UDC]],TableMJRUHUSHI[],7,FALSE),"")</f>
        <v/>
      </c>
      <c r="AF21" s="193" t="str">
        <f>IFERROR(VLOOKUP(TableHandbook[[#This Row],[UDC]],TableMJRUHUSPL[],7,FALSE),"")</f>
        <v>Core</v>
      </c>
      <c r="AG21" s="193" t="str">
        <f>IFERROR(VLOOKUP(TableHandbook[[#This Row],[UDC]],TableMJRUMATHT[],7,FALSE),"")</f>
        <v/>
      </c>
      <c r="AH21" s="193" t="str">
        <f>IFERROR(VLOOKUP(TableHandbook[[#This Row],[UDC]],TableMJRUSCIBI[],7,FALSE),"")</f>
        <v/>
      </c>
      <c r="AI21" s="193" t="str">
        <f>IFERROR(VLOOKUP(TableHandbook[[#This Row],[UDC]],TableMJRUSCICH[],7,FALSE),"")</f>
        <v/>
      </c>
      <c r="AJ21" s="193" t="str">
        <f>IFERROR(VLOOKUP(TableHandbook[[#This Row],[UDC]],TableMJRUSCIHB[],7,FALSE),"")</f>
        <v/>
      </c>
      <c r="AK21" s="193" t="str">
        <f>IFERROR(VLOOKUP(TableHandbook[[#This Row],[UDC]],TableMJRUSCIPH[],7,FALSE),"")</f>
        <v/>
      </c>
      <c r="AL21" s="193" t="str">
        <f>IFERROR(VLOOKUP(TableHandbook[[#This Row],[UDC]],TableMJRUSCIPS[],7,FALSE),"")</f>
        <v/>
      </c>
      <c r="AM21" s="202"/>
      <c r="AN21" s="200" t="str">
        <f>IFERROR(VLOOKUP(TableHandbook[[#This Row],[UDC]],TableSTRUBIOLB[],7,FALSE),"")</f>
        <v/>
      </c>
      <c r="AO21" s="200" t="str">
        <f>IFERROR(VLOOKUP(TableHandbook[[#This Row],[UDC]],TableSTRUBSCIM[],7,FALSE),"")</f>
        <v/>
      </c>
      <c r="AP21" s="200" t="str">
        <f>IFERROR(VLOOKUP(TableHandbook[[#This Row],[UDC]],TableSTRUCHEMB[],7,FALSE),"")</f>
        <v/>
      </c>
      <c r="AQ21" s="200" t="str">
        <f>IFERROR(VLOOKUP(TableHandbook[[#This Row],[UDC]],TableSTRUECOB1[],7,FALSE),"")</f>
        <v/>
      </c>
      <c r="AR21" s="200" t="str">
        <f>IFERROR(VLOOKUP(TableHandbook[[#This Row],[UDC]],TableSTRUEDART[],7,FALSE),"")</f>
        <v/>
      </c>
      <c r="AS21" s="200" t="str">
        <f>IFERROR(VLOOKUP(TableHandbook[[#This Row],[UDC]],TableSTRUEDENG[],7,FALSE),"")</f>
        <v/>
      </c>
      <c r="AT21" s="200" t="str">
        <f>IFERROR(VLOOKUP(TableHandbook[[#This Row],[UDC]],TableSTRUEDHAS[],7,FALSE),"")</f>
        <v/>
      </c>
      <c r="AU21" s="200" t="str">
        <f>IFERROR(VLOOKUP(TableHandbook[[#This Row],[UDC]],TableSTRUEDMAT[],7,FALSE),"")</f>
        <v/>
      </c>
      <c r="AV21" s="200" t="str">
        <f>IFERROR(VLOOKUP(TableHandbook[[#This Row],[UDC]],TableSTRUEDSCI[],7,FALSE),"")</f>
        <v/>
      </c>
      <c r="AW21" s="200" t="str">
        <f>IFERROR(VLOOKUP(TableHandbook[[#This Row],[UDC]],TableSTRUENGLB[],7,FALSE),"")</f>
        <v/>
      </c>
      <c r="AX21" s="200" t="str">
        <f>IFERROR(VLOOKUP(TableHandbook[[#This Row],[UDC]],TableSTRUENGLM[],7,FALSE),"")</f>
        <v/>
      </c>
      <c r="AY21" s="200" t="str">
        <f>IFERROR(VLOOKUP(TableHandbook[[#This Row],[UDC]],TableSTRUGEOB1[],7,FALSE),"")</f>
        <v/>
      </c>
      <c r="AZ21" s="200" t="str">
        <f>IFERROR(VLOOKUP(TableHandbook[[#This Row],[UDC]],TableSTRUHISB1[],7,FALSE),"")</f>
        <v/>
      </c>
      <c r="BA21" s="200" t="str">
        <f>IFERROR(VLOOKUP(TableHandbook[[#This Row],[UDC]],TableSTRUHUMAM[],7,FALSE),"")</f>
        <v>Core</v>
      </c>
      <c r="BB21" s="200" t="str">
        <f>IFERROR(VLOOKUP(TableHandbook[[#This Row],[UDC]],TableSTRUHUMBB[],7,FALSE),"")</f>
        <v/>
      </c>
      <c r="BC21" s="200" t="str">
        <f>IFERROR(VLOOKUP(TableHandbook[[#This Row],[UDC]],TableSTRUMATHB[],7,FALSE),"")</f>
        <v/>
      </c>
      <c r="BD21" s="200" t="str">
        <f>IFERROR(VLOOKUP(TableHandbook[[#This Row],[UDC]],TableSTRUMATHM[],7,FALSE),"")</f>
        <v/>
      </c>
      <c r="BE21" s="200" t="str">
        <f>IFERROR(VLOOKUP(TableHandbook[[#This Row],[UDC]],TableSTRUPARTB[],7,FALSE),"")</f>
        <v/>
      </c>
      <c r="BF21" s="200" t="str">
        <f>IFERROR(VLOOKUP(TableHandbook[[#This Row],[UDC]],TableSTRUPARTM[],7,FALSE),"")</f>
        <v/>
      </c>
      <c r="BG21" s="200" t="str">
        <f>IFERROR(VLOOKUP(TableHandbook[[#This Row],[UDC]],TableSTRUPOLB1[],7,FALSE),"")</f>
        <v/>
      </c>
      <c r="BH21" s="200" t="str">
        <f>IFERROR(VLOOKUP(TableHandbook[[#This Row],[UDC]],TableSTRUPSCIM[],7,FALSE),"")</f>
        <v/>
      </c>
      <c r="BI21" s="200" t="str">
        <f>IFERROR(VLOOKUP(TableHandbook[[#This Row],[UDC]],TableSTRUPSYCB[],7,FALSE),"")</f>
        <v/>
      </c>
      <c r="BJ21" s="200" t="str">
        <f>IFERROR(VLOOKUP(TableHandbook[[#This Row],[UDC]],TableSTRUPSYCM[],7,FALSE),"")</f>
        <v/>
      </c>
      <c r="BK21" s="200" t="str">
        <f>IFERROR(VLOOKUP(TableHandbook[[#This Row],[UDC]],TableSTRUSOSCM[],7,FALSE),"")</f>
        <v/>
      </c>
      <c r="BL21" s="200" t="str">
        <f>IFERROR(VLOOKUP(TableHandbook[[#This Row],[UDC]],TableSTRUVARTB[],7,FALSE),"")</f>
        <v/>
      </c>
      <c r="BM21" s="200" t="str">
        <f>IFERROR(VLOOKUP(TableHandbook[[#This Row],[UDC]],TableSTRUVARTM[],7,FALSE),"")</f>
        <v/>
      </c>
    </row>
    <row r="22" spans="1:65" x14ac:dyDescent="0.25">
      <c r="A22" s="262" t="s">
        <v>355</v>
      </c>
      <c r="B22" s="12">
        <v>1</v>
      </c>
      <c r="C22" s="11"/>
      <c r="D22" s="11" t="s">
        <v>555</v>
      </c>
      <c r="E22" s="12">
        <v>25</v>
      </c>
      <c r="F22" s="131" t="s">
        <v>544</v>
      </c>
      <c r="G22" s="126" t="str">
        <f>IFERROR(IF(VLOOKUP(TableHandbook[[#This Row],[UDC]],TableAvailabilities[],2,FALSE)&gt;0,"Y",""),"")</f>
        <v/>
      </c>
      <c r="H22" s="102" t="str">
        <f>IFERROR(IF(VLOOKUP(TableHandbook[[#This Row],[UDC]],TableAvailabilities[],3,FALSE)&gt;0,"Y",""),"")</f>
        <v/>
      </c>
      <c r="I22" s="127" t="str">
        <f>IFERROR(IF(VLOOKUP(TableHandbook[[#This Row],[UDC]],TableAvailabilities[],4,FALSE)&gt;0,"Y",""),"")</f>
        <v/>
      </c>
      <c r="J22" s="128" t="str">
        <f>IFERROR(IF(VLOOKUP(TableHandbook[[#This Row],[UDC]],TableAvailabilities[],5,FALSE)&gt;0,"Y",""),"")</f>
        <v>Y</v>
      </c>
      <c r="K22" s="128" t="str">
        <f>IFERROR(IF(VLOOKUP(TableHandbook[[#This Row],[UDC]],TableAvailabilities[],6,FALSE)&gt;0,"Y",""),"")</f>
        <v>Y</v>
      </c>
      <c r="L22" s="127" t="str">
        <f>IFERROR(IF(VLOOKUP(TableHandbook[[#This Row],[UDC]],TableAvailabilities[],7,FALSE)&gt;0,"Y",""),"")</f>
        <v/>
      </c>
      <c r="M22" s="207"/>
      <c r="N22" s="204" t="str">
        <f>IFERROR(VLOOKUP(TableHandbook[[#This Row],[UDC]],TableBEDUC[],7,FALSE),"")</f>
        <v/>
      </c>
      <c r="O22" s="193" t="str">
        <f>IFERROR(VLOOKUP(TableHandbook[[#This Row],[UDC]],TableBEDEC[],7,FALSE),"")</f>
        <v/>
      </c>
      <c r="P22" s="193" t="str">
        <f>IFERROR(VLOOKUP(TableHandbook[[#This Row],[UDC]],TableBEDPR[],7,FALSE),"")</f>
        <v/>
      </c>
      <c r="Q22" s="193" t="str">
        <f>IFERROR(VLOOKUP(TableHandbook[[#This Row],[UDC]],TableSTRUCATHL[],7,FALSE),"")</f>
        <v/>
      </c>
      <c r="R22" s="193" t="str">
        <f>IFERROR(VLOOKUP(TableHandbook[[#This Row],[UDC]],TableSTRUENGLL[],7,FALSE),"")</f>
        <v/>
      </c>
      <c r="S22" s="193" t="str">
        <f>IFERROR(VLOOKUP(TableHandbook[[#This Row],[UDC]],TableSTRUINTBC[],7,FALSE),"")</f>
        <v/>
      </c>
      <c r="T22" s="193" t="str">
        <f>IFERROR(VLOOKUP(TableHandbook[[#This Row],[UDC]],TableSTRUISTEM[],7,FALSE),"")</f>
        <v/>
      </c>
      <c r="U22" s="193" t="str">
        <f>IFERROR(VLOOKUP(TableHandbook[[#This Row],[UDC]],TableSTRULITNU[],7,FALSE),"")</f>
        <v/>
      </c>
      <c r="V22" s="193" t="str">
        <f>IFERROR(VLOOKUP(TableHandbook[[#This Row],[UDC]],TableSTRUTECHS[],7,FALSE),"")</f>
        <v/>
      </c>
      <c r="W22" s="193" t="str">
        <f>IFERROR(VLOOKUP(TableHandbook[[#This Row],[UDC]],TableBEDSC[],7,FALSE),"")</f>
        <v/>
      </c>
      <c r="X22" s="193" t="str">
        <f>IFERROR(VLOOKUP(TableHandbook[[#This Row],[UDC]],TableMJRUARTDR[],7,FALSE),"")</f>
        <v/>
      </c>
      <c r="Y22" s="193" t="str">
        <f>IFERROR(VLOOKUP(TableHandbook[[#This Row],[UDC]],TableMJRUARTME[],7,FALSE),"")</f>
        <v/>
      </c>
      <c r="Z22" s="193" t="str">
        <f>IFERROR(VLOOKUP(TableHandbook[[#This Row],[UDC]],TableMJRUARTVA[],7,FALSE),"")</f>
        <v/>
      </c>
      <c r="AA22" s="193" t="str">
        <f>IFERROR(VLOOKUP(TableHandbook[[#This Row],[UDC]],TableMJRUENGLT[],7,FALSE),"")</f>
        <v/>
      </c>
      <c r="AB22" s="193" t="str">
        <f>IFERROR(VLOOKUP(TableHandbook[[#This Row],[UDC]],TableMJRUHLTPE[],7,FALSE),"")</f>
        <v/>
      </c>
      <c r="AC22" s="193" t="str">
        <f>IFERROR(VLOOKUP(TableHandbook[[#This Row],[UDC]],TableMJRUHUSEC[],7,FALSE),"")</f>
        <v/>
      </c>
      <c r="AD22" s="193" t="str">
        <f>IFERROR(VLOOKUP(TableHandbook[[#This Row],[UDC]],TableMJRUHUSGE[],7,FALSE),"")</f>
        <v/>
      </c>
      <c r="AE22" s="193" t="str">
        <f>IFERROR(VLOOKUP(TableHandbook[[#This Row],[UDC]],TableMJRUHUSHI[],7,FALSE),"")</f>
        <v/>
      </c>
      <c r="AF22" s="193" t="str">
        <f>IFERROR(VLOOKUP(TableHandbook[[#This Row],[UDC]],TableMJRUHUSPL[],7,FALSE),"")</f>
        <v>Core</v>
      </c>
      <c r="AG22" s="193" t="str">
        <f>IFERROR(VLOOKUP(TableHandbook[[#This Row],[UDC]],TableMJRUMATHT[],7,FALSE),"")</f>
        <v/>
      </c>
      <c r="AH22" s="193" t="str">
        <f>IFERROR(VLOOKUP(TableHandbook[[#This Row],[UDC]],TableMJRUSCIBI[],7,FALSE),"")</f>
        <v/>
      </c>
      <c r="AI22" s="193" t="str">
        <f>IFERROR(VLOOKUP(TableHandbook[[#This Row],[UDC]],TableMJRUSCICH[],7,FALSE),"")</f>
        <v/>
      </c>
      <c r="AJ22" s="193" t="str">
        <f>IFERROR(VLOOKUP(TableHandbook[[#This Row],[UDC]],TableMJRUSCIHB[],7,FALSE),"")</f>
        <v/>
      </c>
      <c r="AK22" s="193" t="str">
        <f>IFERROR(VLOOKUP(TableHandbook[[#This Row],[UDC]],TableMJRUSCIPH[],7,FALSE),"")</f>
        <v/>
      </c>
      <c r="AL22" s="193" t="str">
        <f>IFERROR(VLOOKUP(TableHandbook[[#This Row],[UDC]],TableMJRUSCIPS[],7,FALSE),"")</f>
        <v>Core</v>
      </c>
      <c r="AM22" s="202"/>
      <c r="AN22" s="200" t="str">
        <f>IFERROR(VLOOKUP(TableHandbook[[#This Row],[UDC]],TableSTRUBIOLB[],7,FALSE),"")</f>
        <v/>
      </c>
      <c r="AO22" s="200" t="str">
        <f>IFERROR(VLOOKUP(TableHandbook[[#This Row],[UDC]],TableSTRUBSCIM[],7,FALSE),"")</f>
        <v/>
      </c>
      <c r="AP22" s="200" t="str">
        <f>IFERROR(VLOOKUP(TableHandbook[[#This Row],[UDC]],TableSTRUCHEMB[],7,FALSE),"")</f>
        <v/>
      </c>
      <c r="AQ22" s="200" t="str">
        <f>IFERROR(VLOOKUP(TableHandbook[[#This Row],[UDC]],TableSTRUECOB1[],7,FALSE),"")</f>
        <v/>
      </c>
      <c r="AR22" s="200" t="str">
        <f>IFERROR(VLOOKUP(TableHandbook[[#This Row],[UDC]],TableSTRUEDART[],7,FALSE),"")</f>
        <v/>
      </c>
      <c r="AS22" s="200" t="str">
        <f>IFERROR(VLOOKUP(TableHandbook[[#This Row],[UDC]],TableSTRUEDENG[],7,FALSE),"")</f>
        <v/>
      </c>
      <c r="AT22" s="200" t="str">
        <f>IFERROR(VLOOKUP(TableHandbook[[#This Row],[UDC]],TableSTRUEDHAS[],7,FALSE),"")</f>
        <v/>
      </c>
      <c r="AU22" s="200" t="str">
        <f>IFERROR(VLOOKUP(TableHandbook[[#This Row],[UDC]],TableSTRUEDMAT[],7,FALSE),"")</f>
        <v/>
      </c>
      <c r="AV22" s="200" t="str">
        <f>IFERROR(VLOOKUP(TableHandbook[[#This Row],[UDC]],TableSTRUEDSCI[],7,FALSE),"")</f>
        <v/>
      </c>
      <c r="AW22" s="200" t="str">
        <f>IFERROR(VLOOKUP(TableHandbook[[#This Row],[UDC]],TableSTRUENGLB[],7,FALSE),"")</f>
        <v/>
      </c>
      <c r="AX22" s="200" t="str">
        <f>IFERROR(VLOOKUP(TableHandbook[[#This Row],[UDC]],TableSTRUENGLM[],7,FALSE),"")</f>
        <v/>
      </c>
      <c r="AY22" s="200" t="str">
        <f>IFERROR(VLOOKUP(TableHandbook[[#This Row],[UDC]],TableSTRUGEOB1[],7,FALSE),"")</f>
        <v/>
      </c>
      <c r="AZ22" s="200" t="str">
        <f>IFERROR(VLOOKUP(TableHandbook[[#This Row],[UDC]],TableSTRUHISB1[],7,FALSE),"")</f>
        <v/>
      </c>
      <c r="BA22" s="200" t="str">
        <f>IFERROR(VLOOKUP(TableHandbook[[#This Row],[UDC]],TableSTRUHUMAM[],7,FALSE),"")</f>
        <v/>
      </c>
      <c r="BB22" s="200" t="str">
        <f>IFERROR(VLOOKUP(TableHandbook[[#This Row],[UDC]],TableSTRUHUMBB[],7,FALSE),"")</f>
        <v/>
      </c>
      <c r="BC22" s="200" t="str">
        <f>IFERROR(VLOOKUP(TableHandbook[[#This Row],[UDC]],TableSTRUMATHB[],7,FALSE),"")</f>
        <v/>
      </c>
      <c r="BD22" s="200" t="str">
        <f>IFERROR(VLOOKUP(TableHandbook[[#This Row],[UDC]],TableSTRUMATHM[],7,FALSE),"")</f>
        <v/>
      </c>
      <c r="BE22" s="200" t="str">
        <f>IFERROR(VLOOKUP(TableHandbook[[#This Row],[UDC]],TableSTRUPARTB[],7,FALSE),"")</f>
        <v/>
      </c>
      <c r="BF22" s="200" t="str">
        <f>IFERROR(VLOOKUP(TableHandbook[[#This Row],[UDC]],TableSTRUPARTM[],7,FALSE),"")</f>
        <v/>
      </c>
      <c r="BG22" s="200" t="str">
        <f>IFERROR(VLOOKUP(TableHandbook[[#This Row],[UDC]],TableSTRUPOLB1[],7,FALSE),"")</f>
        <v/>
      </c>
      <c r="BH22" s="200" t="str">
        <f>IFERROR(VLOOKUP(TableHandbook[[#This Row],[UDC]],TableSTRUPSCIM[],7,FALSE),"")</f>
        <v/>
      </c>
      <c r="BI22" s="200" t="str">
        <f>IFERROR(VLOOKUP(TableHandbook[[#This Row],[UDC]],TableSTRUPSYCB[],7,FALSE),"")</f>
        <v/>
      </c>
      <c r="BJ22" s="200" t="str">
        <f>IFERROR(VLOOKUP(TableHandbook[[#This Row],[UDC]],TableSTRUPSYCM[],7,FALSE),"")</f>
        <v>AltCore</v>
      </c>
      <c r="BK22" s="200" t="str">
        <f>IFERROR(VLOOKUP(TableHandbook[[#This Row],[UDC]],TableSTRUSOSCM[],7,FALSE),"")</f>
        <v>Core</v>
      </c>
      <c r="BL22" s="200" t="str">
        <f>IFERROR(VLOOKUP(TableHandbook[[#This Row],[UDC]],TableSTRUVARTB[],7,FALSE),"")</f>
        <v/>
      </c>
      <c r="BM22" s="200" t="str">
        <f>IFERROR(VLOOKUP(TableHandbook[[#This Row],[UDC]],TableSTRUVARTM[],7,FALSE),"")</f>
        <v/>
      </c>
    </row>
    <row r="23" spans="1:65" x14ac:dyDescent="0.25">
      <c r="A23" s="261" t="s">
        <v>503</v>
      </c>
      <c r="B23" s="12">
        <v>2</v>
      </c>
      <c r="C23" s="11"/>
      <c r="D23" s="11" t="s">
        <v>556</v>
      </c>
      <c r="E23" s="12">
        <v>25</v>
      </c>
      <c r="F23" s="131" t="s">
        <v>544</v>
      </c>
      <c r="G23" s="126" t="str">
        <f>IFERROR(IF(VLOOKUP(TableHandbook[[#This Row],[UDC]],TableAvailabilities[],2,FALSE)&gt;0,"Y",""),"")</f>
        <v>Y</v>
      </c>
      <c r="H23" s="102" t="str">
        <f>IFERROR(IF(VLOOKUP(TableHandbook[[#This Row],[UDC]],TableAvailabilities[],3,FALSE)&gt;0,"Y",""),"")</f>
        <v/>
      </c>
      <c r="I23" s="127" t="str">
        <f>IFERROR(IF(VLOOKUP(TableHandbook[[#This Row],[UDC]],TableAvailabilities[],4,FALSE)&gt;0,"Y",""),"")</f>
        <v/>
      </c>
      <c r="J23" s="128" t="str">
        <f>IFERROR(IF(VLOOKUP(TableHandbook[[#This Row],[UDC]],TableAvailabilities[],5,FALSE)&gt;0,"Y",""),"")</f>
        <v/>
      </c>
      <c r="K23" s="128" t="str">
        <f>IFERROR(IF(VLOOKUP(TableHandbook[[#This Row],[UDC]],TableAvailabilities[],6,FALSE)&gt;0,"Y",""),"")</f>
        <v/>
      </c>
      <c r="L23" s="127" t="str">
        <f>IFERROR(IF(VLOOKUP(TableHandbook[[#This Row],[UDC]],TableAvailabilities[],7,FALSE)&gt;0,"Y",""),"")</f>
        <v/>
      </c>
      <c r="M23" s="207"/>
      <c r="N23" s="204" t="str">
        <f>IFERROR(VLOOKUP(TableHandbook[[#This Row],[UDC]],TableBEDUC[],7,FALSE),"")</f>
        <v/>
      </c>
      <c r="O23" s="193" t="str">
        <f>IFERROR(VLOOKUP(TableHandbook[[#This Row],[UDC]],TableBEDEC[],7,FALSE),"")</f>
        <v/>
      </c>
      <c r="P23" s="193" t="str">
        <f>IFERROR(VLOOKUP(TableHandbook[[#This Row],[UDC]],TableBEDPR[],7,FALSE),"")</f>
        <v/>
      </c>
      <c r="Q23" s="193" t="str">
        <f>IFERROR(VLOOKUP(TableHandbook[[#This Row],[UDC]],TableSTRUCATHL[],7,FALSE),"")</f>
        <v/>
      </c>
      <c r="R23" s="193" t="str">
        <f>IFERROR(VLOOKUP(TableHandbook[[#This Row],[UDC]],TableSTRUENGLL[],7,FALSE),"")</f>
        <v/>
      </c>
      <c r="S23" s="193" t="str">
        <f>IFERROR(VLOOKUP(TableHandbook[[#This Row],[UDC]],TableSTRUINTBC[],7,FALSE),"")</f>
        <v/>
      </c>
      <c r="T23" s="193" t="str">
        <f>IFERROR(VLOOKUP(TableHandbook[[#This Row],[UDC]],TableSTRUISTEM[],7,FALSE),"")</f>
        <v/>
      </c>
      <c r="U23" s="193" t="str">
        <f>IFERROR(VLOOKUP(TableHandbook[[#This Row],[UDC]],TableSTRULITNU[],7,FALSE),"")</f>
        <v/>
      </c>
      <c r="V23" s="193" t="str">
        <f>IFERROR(VLOOKUP(TableHandbook[[#This Row],[UDC]],TableSTRUTECHS[],7,FALSE),"")</f>
        <v/>
      </c>
      <c r="W23" s="193" t="str">
        <f>IFERROR(VLOOKUP(TableHandbook[[#This Row],[UDC]],TableBEDSC[],7,FALSE),"")</f>
        <v/>
      </c>
      <c r="X23" s="193" t="str">
        <f>IFERROR(VLOOKUP(TableHandbook[[#This Row],[UDC]],TableMJRUARTDR[],7,FALSE),"")</f>
        <v/>
      </c>
      <c r="Y23" s="193" t="str">
        <f>IFERROR(VLOOKUP(TableHandbook[[#This Row],[UDC]],TableMJRUARTME[],7,FALSE),"")</f>
        <v/>
      </c>
      <c r="Z23" s="193" t="str">
        <f>IFERROR(VLOOKUP(TableHandbook[[#This Row],[UDC]],TableMJRUARTVA[],7,FALSE),"")</f>
        <v/>
      </c>
      <c r="AA23" s="193" t="str">
        <f>IFERROR(VLOOKUP(TableHandbook[[#This Row],[UDC]],TableMJRUENGLT[],7,FALSE),"")</f>
        <v/>
      </c>
      <c r="AB23" s="193" t="str">
        <f>IFERROR(VLOOKUP(TableHandbook[[#This Row],[UDC]],TableMJRUHLTPE[],7,FALSE),"")</f>
        <v/>
      </c>
      <c r="AC23" s="193" t="str">
        <f>IFERROR(VLOOKUP(TableHandbook[[#This Row],[UDC]],TableMJRUHUSEC[],7,FALSE),"")</f>
        <v/>
      </c>
      <c r="AD23" s="193" t="str">
        <f>IFERROR(VLOOKUP(TableHandbook[[#This Row],[UDC]],TableMJRUHUSGE[],7,FALSE),"")</f>
        <v/>
      </c>
      <c r="AE23" s="193" t="str">
        <f>IFERROR(VLOOKUP(TableHandbook[[#This Row],[UDC]],TableMJRUHUSHI[],7,FALSE),"")</f>
        <v/>
      </c>
      <c r="AF23" s="193" t="str">
        <f>IFERROR(VLOOKUP(TableHandbook[[#This Row],[UDC]],TableMJRUHUSPL[],7,FALSE),"")</f>
        <v/>
      </c>
      <c r="AG23" s="193" t="str">
        <f>IFERROR(VLOOKUP(TableHandbook[[#This Row],[UDC]],TableMJRUMATHT[],7,FALSE),"")</f>
        <v/>
      </c>
      <c r="AH23" s="193" t="str">
        <f>IFERROR(VLOOKUP(TableHandbook[[#This Row],[UDC]],TableMJRUSCIBI[],7,FALSE),"")</f>
        <v/>
      </c>
      <c r="AI23" s="193" t="str">
        <f>IFERROR(VLOOKUP(TableHandbook[[#This Row],[UDC]],TableMJRUSCICH[],7,FALSE),"")</f>
        <v/>
      </c>
      <c r="AJ23" s="193" t="str">
        <f>IFERROR(VLOOKUP(TableHandbook[[#This Row],[UDC]],TableMJRUSCIHB[],7,FALSE),"")</f>
        <v/>
      </c>
      <c r="AK23" s="193" t="str">
        <f>IFERROR(VLOOKUP(TableHandbook[[#This Row],[UDC]],TableMJRUSCIPH[],7,FALSE),"")</f>
        <v/>
      </c>
      <c r="AL23" s="193" t="str">
        <f>IFERROR(VLOOKUP(TableHandbook[[#This Row],[UDC]],TableMJRUSCIPS[],7,FALSE),"")</f>
        <v/>
      </c>
      <c r="AM23" s="202"/>
      <c r="AN23" s="200" t="str">
        <f>IFERROR(VLOOKUP(TableHandbook[[#This Row],[UDC]],TableSTRUBIOLB[],7,FALSE),"")</f>
        <v/>
      </c>
      <c r="AO23" s="200" t="str">
        <f>IFERROR(VLOOKUP(TableHandbook[[#This Row],[UDC]],TableSTRUBSCIM[],7,FALSE),"")</f>
        <v/>
      </c>
      <c r="AP23" s="200" t="str">
        <f>IFERROR(VLOOKUP(TableHandbook[[#This Row],[UDC]],TableSTRUCHEMB[],7,FALSE),"")</f>
        <v/>
      </c>
      <c r="AQ23" s="200" t="str">
        <f>IFERROR(VLOOKUP(TableHandbook[[#This Row],[UDC]],TableSTRUECOB1[],7,FALSE),"")</f>
        <v/>
      </c>
      <c r="AR23" s="200" t="str">
        <f>IFERROR(VLOOKUP(TableHandbook[[#This Row],[UDC]],TableSTRUEDART[],7,FALSE),"")</f>
        <v/>
      </c>
      <c r="AS23" s="200" t="str">
        <f>IFERROR(VLOOKUP(TableHandbook[[#This Row],[UDC]],TableSTRUEDENG[],7,FALSE),"")</f>
        <v/>
      </c>
      <c r="AT23" s="200" t="str">
        <f>IFERROR(VLOOKUP(TableHandbook[[#This Row],[UDC]],TableSTRUEDHAS[],7,FALSE),"")</f>
        <v/>
      </c>
      <c r="AU23" s="200" t="str">
        <f>IFERROR(VLOOKUP(TableHandbook[[#This Row],[UDC]],TableSTRUEDMAT[],7,FALSE),"")</f>
        <v/>
      </c>
      <c r="AV23" s="200" t="str">
        <f>IFERROR(VLOOKUP(TableHandbook[[#This Row],[UDC]],TableSTRUEDSCI[],7,FALSE),"")</f>
        <v/>
      </c>
      <c r="AW23" s="200" t="str">
        <f>IFERROR(VLOOKUP(TableHandbook[[#This Row],[UDC]],TableSTRUENGLB[],7,FALSE),"")</f>
        <v/>
      </c>
      <c r="AX23" s="200" t="str">
        <f>IFERROR(VLOOKUP(TableHandbook[[#This Row],[UDC]],TableSTRUENGLM[],7,FALSE),"")</f>
        <v/>
      </c>
      <c r="AY23" s="200" t="str">
        <f>IFERROR(VLOOKUP(TableHandbook[[#This Row],[UDC]],TableSTRUGEOB1[],7,FALSE),"")</f>
        <v/>
      </c>
      <c r="AZ23" s="200" t="str">
        <f>IFERROR(VLOOKUP(TableHandbook[[#This Row],[UDC]],TableSTRUHISB1[],7,FALSE),"")</f>
        <v/>
      </c>
      <c r="BA23" s="200" t="str">
        <f>IFERROR(VLOOKUP(TableHandbook[[#This Row],[UDC]],TableSTRUHUMAM[],7,FALSE),"")</f>
        <v/>
      </c>
      <c r="BB23" s="200" t="str">
        <f>IFERROR(VLOOKUP(TableHandbook[[#This Row],[UDC]],TableSTRUHUMBB[],7,FALSE),"")</f>
        <v/>
      </c>
      <c r="BC23" s="200" t="str">
        <f>IFERROR(VLOOKUP(TableHandbook[[#This Row],[UDC]],TableSTRUMATHB[],7,FALSE),"")</f>
        <v/>
      </c>
      <c r="BD23" s="200" t="str">
        <f>IFERROR(VLOOKUP(TableHandbook[[#This Row],[UDC]],TableSTRUMATHM[],7,FALSE),"")</f>
        <v/>
      </c>
      <c r="BE23" s="200" t="str">
        <f>IFERROR(VLOOKUP(TableHandbook[[#This Row],[UDC]],TableSTRUPARTB[],7,FALSE),"")</f>
        <v/>
      </c>
      <c r="BF23" s="200" t="str">
        <f>IFERROR(VLOOKUP(TableHandbook[[#This Row],[UDC]],TableSTRUPARTM[],7,FALSE),"")</f>
        <v/>
      </c>
      <c r="BG23" s="200" t="str">
        <f>IFERROR(VLOOKUP(TableHandbook[[#This Row],[UDC]],TableSTRUPOLB1[],7,FALSE),"")</f>
        <v/>
      </c>
      <c r="BH23" s="200" t="str">
        <f>IFERROR(VLOOKUP(TableHandbook[[#This Row],[UDC]],TableSTRUPSCIM[],7,FALSE),"")</f>
        <v>Core</v>
      </c>
      <c r="BI23" s="200" t="str">
        <f>IFERROR(VLOOKUP(TableHandbook[[#This Row],[UDC]],TableSTRUPSYCB[],7,FALSE),"")</f>
        <v/>
      </c>
      <c r="BJ23" s="200" t="str">
        <f>IFERROR(VLOOKUP(TableHandbook[[#This Row],[UDC]],TableSTRUPSYCM[],7,FALSE),"")</f>
        <v/>
      </c>
      <c r="BK23" s="200" t="str">
        <f>IFERROR(VLOOKUP(TableHandbook[[#This Row],[UDC]],TableSTRUSOSCM[],7,FALSE),"")</f>
        <v/>
      </c>
      <c r="BL23" s="200" t="str">
        <f>IFERROR(VLOOKUP(TableHandbook[[#This Row],[UDC]],TableSTRUVARTB[],7,FALSE),"")</f>
        <v/>
      </c>
      <c r="BM23" s="200" t="str">
        <f>IFERROR(VLOOKUP(TableHandbook[[#This Row],[UDC]],TableSTRUVARTM[],7,FALSE),"")</f>
        <v/>
      </c>
    </row>
    <row r="24" spans="1:65" x14ac:dyDescent="0.25">
      <c r="A24" s="261" t="s">
        <v>504</v>
      </c>
      <c r="B24" s="12">
        <v>1</v>
      </c>
      <c r="C24" s="11"/>
      <c r="D24" s="11" t="s">
        <v>557</v>
      </c>
      <c r="E24" s="12">
        <v>25</v>
      </c>
      <c r="F24" s="131" t="s">
        <v>558</v>
      </c>
      <c r="G24" s="126" t="str">
        <f>IFERROR(IF(VLOOKUP(TableHandbook[[#This Row],[UDC]],TableAvailabilities[],2,FALSE)&gt;0,"Y",""),"")</f>
        <v>Y</v>
      </c>
      <c r="H24" s="102" t="str">
        <f>IFERROR(IF(VLOOKUP(TableHandbook[[#This Row],[UDC]],TableAvailabilities[],3,FALSE)&gt;0,"Y",""),"")</f>
        <v>Y</v>
      </c>
      <c r="I24" s="127" t="str">
        <f>IFERROR(IF(VLOOKUP(TableHandbook[[#This Row],[UDC]],TableAvailabilities[],4,FALSE)&gt;0,"Y",""),"")</f>
        <v/>
      </c>
      <c r="J24" s="128" t="str">
        <f>IFERROR(IF(VLOOKUP(TableHandbook[[#This Row],[UDC]],TableAvailabilities[],5,FALSE)&gt;0,"Y",""),"")</f>
        <v/>
      </c>
      <c r="K24" s="128" t="str">
        <f>IFERROR(IF(VLOOKUP(TableHandbook[[#This Row],[UDC]],TableAvailabilities[],6,FALSE)&gt;0,"Y",""),"")</f>
        <v/>
      </c>
      <c r="L24" s="127" t="str">
        <f>IFERROR(IF(VLOOKUP(TableHandbook[[#This Row],[UDC]],TableAvailabilities[],7,FALSE)&gt;0,"Y",""),"")</f>
        <v/>
      </c>
      <c r="M24" s="207"/>
      <c r="N24" s="204" t="str">
        <f>IFERROR(VLOOKUP(TableHandbook[[#This Row],[UDC]],TableBEDUC[],7,FALSE),"")</f>
        <v/>
      </c>
      <c r="O24" s="193" t="str">
        <f>IFERROR(VLOOKUP(TableHandbook[[#This Row],[UDC]],TableBEDEC[],7,FALSE),"")</f>
        <v/>
      </c>
      <c r="P24" s="193" t="str">
        <f>IFERROR(VLOOKUP(TableHandbook[[#This Row],[UDC]],TableBEDPR[],7,FALSE),"")</f>
        <v/>
      </c>
      <c r="Q24" s="193" t="str">
        <f>IFERROR(VLOOKUP(TableHandbook[[#This Row],[UDC]],TableSTRUCATHL[],7,FALSE),"")</f>
        <v/>
      </c>
      <c r="R24" s="193" t="str">
        <f>IFERROR(VLOOKUP(TableHandbook[[#This Row],[UDC]],TableSTRUENGLL[],7,FALSE),"")</f>
        <v/>
      </c>
      <c r="S24" s="193" t="str">
        <f>IFERROR(VLOOKUP(TableHandbook[[#This Row],[UDC]],TableSTRUINTBC[],7,FALSE),"")</f>
        <v/>
      </c>
      <c r="T24" s="193" t="str">
        <f>IFERROR(VLOOKUP(TableHandbook[[#This Row],[UDC]],TableSTRUISTEM[],7,FALSE),"")</f>
        <v/>
      </c>
      <c r="U24" s="193" t="str">
        <f>IFERROR(VLOOKUP(TableHandbook[[#This Row],[UDC]],TableSTRULITNU[],7,FALSE),"")</f>
        <v/>
      </c>
      <c r="V24" s="193" t="str">
        <f>IFERROR(VLOOKUP(TableHandbook[[#This Row],[UDC]],TableSTRUTECHS[],7,FALSE),"")</f>
        <v/>
      </c>
      <c r="W24" s="193" t="str">
        <f>IFERROR(VLOOKUP(TableHandbook[[#This Row],[UDC]],TableBEDSC[],7,FALSE),"")</f>
        <v/>
      </c>
      <c r="X24" s="193" t="str">
        <f>IFERROR(VLOOKUP(TableHandbook[[#This Row],[UDC]],TableMJRUARTDR[],7,FALSE),"")</f>
        <v/>
      </c>
      <c r="Y24" s="193" t="str">
        <f>IFERROR(VLOOKUP(TableHandbook[[#This Row],[UDC]],TableMJRUARTME[],7,FALSE),"")</f>
        <v/>
      </c>
      <c r="Z24" s="193" t="str">
        <f>IFERROR(VLOOKUP(TableHandbook[[#This Row],[UDC]],TableMJRUARTVA[],7,FALSE),"")</f>
        <v/>
      </c>
      <c r="AA24" s="193" t="str">
        <f>IFERROR(VLOOKUP(TableHandbook[[#This Row],[UDC]],TableMJRUENGLT[],7,FALSE),"")</f>
        <v/>
      </c>
      <c r="AB24" s="193" t="str">
        <f>IFERROR(VLOOKUP(TableHandbook[[#This Row],[UDC]],TableMJRUHLTPE[],7,FALSE),"")</f>
        <v/>
      </c>
      <c r="AC24" s="193" t="str">
        <f>IFERROR(VLOOKUP(TableHandbook[[#This Row],[UDC]],TableMJRUHUSEC[],7,FALSE),"")</f>
        <v/>
      </c>
      <c r="AD24" s="193" t="str">
        <f>IFERROR(VLOOKUP(TableHandbook[[#This Row],[UDC]],TableMJRUHUSGE[],7,FALSE),"")</f>
        <v/>
      </c>
      <c r="AE24" s="193" t="str">
        <f>IFERROR(VLOOKUP(TableHandbook[[#This Row],[UDC]],TableMJRUHUSHI[],7,FALSE),"")</f>
        <v/>
      </c>
      <c r="AF24" s="193" t="str">
        <f>IFERROR(VLOOKUP(TableHandbook[[#This Row],[UDC]],TableMJRUHUSPL[],7,FALSE),"")</f>
        <v/>
      </c>
      <c r="AG24" s="193" t="str">
        <f>IFERROR(VLOOKUP(TableHandbook[[#This Row],[UDC]],TableMJRUMATHT[],7,FALSE),"")</f>
        <v/>
      </c>
      <c r="AH24" s="193" t="str">
        <f>IFERROR(VLOOKUP(TableHandbook[[#This Row],[UDC]],TableMJRUSCIBI[],7,FALSE),"")</f>
        <v/>
      </c>
      <c r="AI24" s="193" t="str">
        <f>IFERROR(VLOOKUP(TableHandbook[[#This Row],[UDC]],TableMJRUSCICH[],7,FALSE),"")</f>
        <v/>
      </c>
      <c r="AJ24" s="193" t="str">
        <f>IFERROR(VLOOKUP(TableHandbook[[#This Row],[UDC]],TableMJRUSCIHB[],7,FALSE),"")</f>
        <v/>
      </c>
      <c r="AK24" s="193" t="str">
        <f>IFERROR(VLOOKUP(TableHandbook[[#This Row],[UDC]],TableMJRUSCIPH[],7,FALSE),"")</f>
        <v/>
      </c>
      <c r="AL24" s="193" t="str">
        <f>IFERROR(VLOOKUP(TableHandbook[[#This Row],[UDC]],TableMJRUSCIPS[],7,FALSE),"")</f>
        <v/>
      </c>
      <c r="AM24" s="202"/>
      <c r="AN24" s="200" t="str">
        <f>IFERROR(VLOOKUP(TableHandbook[[#This Row],[UDC]],TableSTRUBIOLB[],7,FALSE),"")</f>
        <v/>
      </c>
      <c r="AO24" s="200" t="str">
        <f>IFERROR(VLOOKUP(TableHandbook[[#This Row],[UDC]],TableSTRUBSCIM[],7,FALSE),"")</f>
        <v/>
      </c>
      <c r="AP24" s="200" t="str">
        <f>IFERROR(VLOOKUP(TableHandbook[[#This Row],[UDC]],TableSTRUCHEMB[],7,FALSE),"")</f>
        <v/>
      </c>
      <c r="AQ24" s="200" t="str">
        <f>IFERROR(VLOOKUP(TableHandbook[[#This Row],[UDC]],TableSTRUECOB1[],7,FALSE),"")</f>
        <v/>
      </c>
      <c r="AR24" s="200" t="str">
        <f>IFERROR(VLOOKUP(TableHandbook[[#This Row],[UDC]],TableSTRUEDART[],7,FALSE),"")</f>
        <v/>
      </c>
      <c r="AS24" s="200" t="str">
        <f>IFERROR(VLOOKUP(TableHandbook[[#This Row],[UDC]],TableSTRUEDENG[],7,FALSE),"")</f>
        <v/>
      </c>
      <c r="AT24" s="200" t="str">
        <f>IFERROR(VLOOKUP(TableHandbook[[#This Row],[UDC]],TableSTRUEDHAS[],7,FALSE),"")</f>
        <v/>
      </c>
      <c r="AU24" s="200" t="str">
        <f>IFERROR(VLOOKUP(TableHandbook[[#This Row],[UDC]],TableSTRUEDMAT[],7,FALSE),"")</f>
        <v/>
      </c>
      <c r="AV24" s="200" t="str">
        <f>IFERROR(VLOOKUP(TableHandbook[[#This Row],[UDC]],TableSTRUEDSCI[],7,FALSE),"")</f>
        <v/>
      </c>
      <c r="AW24" s="200" t="str">
        <f>IFERROR(VLOOKUP(TableHandbook[[#This Row],[UDC]],TableSTRUENGLB[],7,FALSE),"")</f>
        <v/>
      </c>
      <c r="AX24" s="200" t="str">
        <f>IFERROR(VLOOKUP(TableHandbook[[#This Row],[UDC]],TableSTRUENGLM[],7,FALSE),"")</f>
        <v/>
      </c>
      <c r="AY24" s="200" t="str">
        <f>IFERROR(VLOOKUP(TableHandbook[[#This Row],[UDC]],TableSTRUGEOB1[],7,FALSE),"")</f>
        <v/>
      </c>
      <c r="AZ24" s="200" t="str">
        <f>IFERROR(VLOOKUP(TableHandbook[[#This Row],[UDC]],TableSTRUHISB1[],7,FALSE),"")</f>
        <v/>
      </c>
      <c r="BA24" s="200" t="str">
        <f>IFERROR(VLOOKUP(TableHandbook[[#This Row],[UDC]],TableSTRUHUMAM[],7,FALSE),"")</f>
        <v/>
      </c>
      <c r="BB24" s="200" t="str">
        <f>IFERROR(VLOOKUP(TableHandbook[[#This Row],[UDC]],TableSTRUHUMBB[],7,FALSE),"")</f>
        <v/>
      </c>
      <c r="BC24" s="200" t="str">
        <f>IFERROR(VLOOKUP(TableHandbook[[#This Row],[UDC]],TableSTRUMATHB[],7,FALSE),"")</f>
        <v/>
      </c>
      <c r="BD24" s="200" t="str">
        <f>IFERROR(VLOOKUP(TableHandbook[[#This Row],[UDC]],TableSTRUMATHM[],7,FALSE),"")</f>
        <v/>
      </c>
      <c r="BE24" s="200" t="str">
        <f>IFERROR(VLOOKUP(TableHandbook[[#This Row],[UDC]],TableSTRUPARTB[],7,FALSE),"")</f>
        <v/>
      </c>
      <c r="BF24" s="200" t="str">
        <f>IFERROR(VLOOKUP(TableHandbook[[#This Row],[UDC]],TableSTRUPARTM[],7,FALSE),"")</f>
        <v/>
      </c>
      <c r="BG24" s="200" t="str">
        <f>IFERROR(VLOOKUP(TableHandbook[[#This Row],[UDC]],TableSTRUPOLB1[],7,FALSE),"")</f>
        <v/>
      </c>
      <c r="BH24" s="200" t="str">
        <f>IFERROR(VLOOKUP(TableHandbook[[#This Row],[UDC]],TableSTRUPSCIM[],7,FALSE),"")</f>
        <v/>
      </c>
      <c r="BI24" s="200" t="str">
        <f>IFERROR(VLOOKUP(TableHandbook[[#This Row],[UDC]],TableSTRUPSYCB[],7,FALSE),"")</f>
        <v>Core</v>
      </c>
      <c r="BJ24" s="200" t="str">
        <f>IFERROR(VLOOKUP(TableHandbook[[#This Row],[UDC]],TableSTRUPSYCM[],7,FALSE),"")</f>
        <v/>
      </c>
      <c r="BK24" s="200" t="str">
        <f>IFERROR(VLOOKUP(TableHandbook[[#This Row],[UDC]],TableSTRUSOSCM[],7,FALSE),"")</f>
        <v/>
      </c>
      <c r="BL24" s="200" t="str">
        <f>IFERROR(VLOOKUP(TableHandbook[[#This Row],[UDC]],TableSTRUVARTB[],7,FALSE),"")</f>
        <v/>
      </c>
      <c r="BM24" s="200" t="str">
        <f>IFERROR(VLOOKUP(TableHandbook[[#This Row],[UDC]],TableSTRUVARTM[],7,FALSE),"")</f>
        <v/>
      </c>
    </row>
    <row r="25" spans="1:65" x14ac:dyDescent="0.25">
      <c r="A25" s="262" t="s">
        <v>335</v>
      </c>
      <c r="B25" s="12">
        <v>1</v>
      </c>
      <c r="C25" s="11"/>
      <c r="D25" s="11" t="s">
        <v>559</v>
      </c>
      <c r="E25" s="12">
        <v>25</v>
      </c>
      <c r="F25" s="131" t="s">
        <v>544</v>
      </c>
      <c r="G25" s="126" t="str">
        <f>IFERROR(IF(VLOOKUP(TableHandbook[[#This Row],[UDC]],TableAvailabilities[],2,FALSE)&gt;0,"Y",""),"")</f>
        <v>Y</v>
      </c>
      <c r="H25" s="102" t="str">
        <f>IFERROR(IF(VLOOKUP(TableHandbook[[#This Row],[UDC]],TableAvailabilities[],3,FALSE)&gt;0,"Y",""),"")</f>
        <v/>
      </c>
      <c r="I25" s="127" t="str">
        <f>IFERROR(IF(VLOOKUP(TableHandbook[[#This Row],[UDC]],TableAvailabilities[],4,FALSE)&gt;0,"Y",""),"")</f>
        <v/>
      </c>
      <c r="J25" s="128" t="str">
        <f>IFERROR(IF(VLOOKUP(TableHandbook[[#This Row],[UDC]],TableAvailabilities[],5,FALSE)&gt;0,"Y",""),"")</f>
        <v/>
      </c>
      <c r="K25" s="128" t="str">
        <f>IFERROR(IF(VLOOKUP(TableHandbook[[#This Row],[UDC]],TableAvailabilities[],6,FALSE)&gt;0,"Y",""),"")</f>
        <v/>
      </c>
      <c r="L25" s="127" t="str">
        <f>IFERROR(IF(VLOOKUP(TableHandbook[[#This Row],[UDC]],TableAvailabilities[],7,FALSE)&gt;0,"Y",""),"")</f>
        <v/>
      </c>
      <c r="M25" s="207"/>
      <c r="N25" s="204" t="str">
        <f>IFERROR(VLOOKUP(TableHandbook[[#This Row],[UDC]],TableBEDUC[],7,FALSE),"")</f>
        <v/>
      </c>
      <c r="O25" s="193" t="str">
        <f>IFERROR(VLOOKUP(TableHandbook[[#This Row],[UDC]],TableBEDEC[],7,FALSE),"")</f>
        <v/>
      </c>
      <c r="P25" s="193" t="str">
        <f>IFERROR(VLOOKUP(TableHandbook[[#This Row],[UDC]],TableBEDPR[],7,FALSE),"")</f>
        <v/>
      </c>
      <c r="Q25" s="193" t="str">
        <f>IFERROR(VLOOKUP(TableHandbook[[#This Row],[UDC]],TableSTRUCATHL[],7,FALSE),"")</f>
        <v/>
      </c>
      <c r="R25" s="193" t="str">
        <f>IFERROR(VLOOKUP(TableHandbook[[#This Row],[UDC]],TableSTRUENGLL[],7,FALSE),"")</f>
        <v/>
      </c>
      <c r="S25" s="193" t="str">
        <f>IFERROR(VLOOKUP(TableHandbook[[#This Row],[UDC]],TableSTRUINTBC[],7,FALSE),"")</f>
        <v/>
      </c>
      <c r="T25" s="193" t="str">
        <f>IFERROR(VLOOKUP(TableHandbook[[#This Row],[UDC]],TableSTRUISTEM[],7,FALSE),"")</f>
        <v/>
      </c>
      <c r="U25" s="193" t="str">
        <f>IFERROR(VLOOKUP(TableHandbook[[#This Row],[UDC]],TableSTRULITNU[],7,FALSE),"")</f>
        <v/>
      </c>
      <c r="V25" s="193" t="str">
        <f>IFERROR(VLOOKUP(TableHandbook[[#This Row],[UDC]],TableSTRUTECHS[],7,FALSE),"")</f>
        <v/>
      </c>
      <c r="W25" s="193" t="str">
        <f>IFERROR(VLOOKUP(TableHandbook[[#This Row],[UDC]],TableBEDSC[],7,FALSE),"")</f>
        <v/>
      </c>
      <c r="X25" s="193" t="str">
        <f>IFERROR(VLOOKUP(TableHandbook[[#This Row],[UDC]],TableMJRUARTDR[],7,FALSE),"")</f>
        <v/>
      </c>
      <c r="Y25" s="193" t="str">
        <f>IFERROR(VLOOKUP(TableHandbook[[#This Row],[UDC]],TableMJRUARTME[],7,FALSE),"")</f>
        <v/>
      </c>
      <c r="Z25" s="193" t="str">
        <f>IFERROR(VLOOKUP(TableHandbook[[#This Row],[UDC]],TableMJRUARTVA[],7,FALSE),"")</f>
        <v/>
      </c>
      <c r="AA25" s="193" t="str">
        <f>IFERROR(VLOOKUP(TableHandbook[[#This Row],[UDC]],TableMJRUENGLT[],7,FALSE),"")</f>
        <v/>
      </c>
      <c r="AB25" s="193" t="str">
        <f>IFERROR(VLOOKUP(TableHandbook[[#This Row],[UDC]],TableMJRUHLTPE[],7,FALSE),"")</f>
        <v/>
      </c>
      <c r="AC25" s="193" t="str">
        <f>IFERROR(VLOOKUP(TableHandbook[[#This Row],[UDC]],TableMJRUHUSEC[],7,FALSE),"")</f>
        <v/>
      </c>
      <c r="AD25" s="193" t="str">
        <f>IFERROR(VLOOKUP(TableHandbook[[#This Row],[UDC]],TableMJRUHUSGE[],7,FALSE),"")</f>
        <v/>
      </c>
      <c r="AE25" s="193" t="str">
        <f>IFERROR(VLOOKUP(TableHandbook[[#This Row],[UDC]],TableMJRUHUSHI[],7,FALSE),"")</f>
        <v/>
      </c>
      <c r="AF25" s="193" t="str">
        <f>IFERROR(VLOOKUP(TableHandbook[[#This Row],[UDC]],TableMJRUHUSPL[],7,FALSE),"")</f>
        <v/>
      </c>
      <c r="AG25" s="193" t="str">
        <f>IFERROR(VLOOKUP(TableHandbook[[#This Row],[UDC]],TableMJRUMATHT[],7,FALSE),"")</f>
        <v/>
      </c>
      <c r="AH25" s="193" t="str">
        <f>IFERROR(VLOOKUP(TableHandbook[[#This Row],[UDC]],TableMJRUSCIBI[],7,FALSE),"")</f>
        <v>Core</v>
      </c>
      <c r="AI25" s="193" t="str">
        <f>IFERROR(VLOOKUP(TableHandbook[[#This Row],[UDC]],TableMJRUSCICH[],7,FALSE),"")</f>
        <v/>
      </c>
      <c r="AJ25" s="193" t="str">
        <f>IFERROR(VLOOKUP(TableHandbook[[#This Row],[UDC]],TableMJRUSCIHB[],7,FALSE),"")</f>
        <v/>
      </c>
      <c r="AK25" s="193" t="str">
        <f>IFERROR(VLOOKUP(TableHandbook[[#This Row],[UDC]],TableMJRUSCIPH[],7,FALSE),"")</f>
        <v/>
      </c>
      <c r="AL25" s="193" t="str">
        <f>IFERROR(VLOOKUP(TableHandbook[[#This Row],[UDC]],TableMJRUSCIPS[],7,FALSE),"")</f>
        <v/>
      </c>
      <c r="AM25" s="202"/>
      <c r="AN25" s="200" t="str">
        <f>IFERROR(VLOOKUP(TableHandbook[[#This Row],[UDC]],TableSTRUBIOLB[],7,FALSE),"")</f>
        <v/>
      </c>
      <c r="AO25" s="200" t="str">
        <f>IFERROR(VLOOKUP(TableHandbook[[#This Row],[UDC]],TableSTRUBSCIM[],7,FALSE),"")</f>
        <v>Core</v>
      </c>
      <c r="AP25" s="200" t="str">
        <f>IFERROR(VLOOKUP(TableHandbook[[#This Row],[UDC]],TableSTRUCHEMB[],7,FALSE),"")</f>
        <v/>
      </c>
      <c r="AQ25" s="200" t="str">
        <f>IFERROR(VLOOKUP(TableHandbook[[#This Row],[UDC]],TableSTRUECOB1[],7,FALSE),"")</f>
        <v/>
      </c>
      <c r="AR25" s="200" t="str">
        <f>IFERROR(VLOOKUP(TableHandbook[[#This Row],[UDC]],TableSTRUEDART[],7,FALSE),"")</f>
        <v/>
      </c>
      <c r="AS25" s="200" t="str">
        <f>IFERROR(VLOOKUP(TableHandbook[[#This Row],[UDC]],TableSTRUEDENG[],7,FALSE),"")</f>
        <v/>
      </c>
      <c r="AT25" s="200" t="str">
        <f>IFERROR(VLOOKUP(TableHandbook[[#This Row],[UDC]],TableSTRUEDHAS[],7,FALSE),"")</f>
        <v/>
      </c>
      <c r="AU25" s="200" t="str">
        <f>IFERROR(VLOOKUP(TableHandbook[[#This Row],[UDC]],TableSTRUEDMAT[],7,FALSE),"")</f>
        <v/>
      </c>
      <c r="AV25" s="200" t="str">
        <f>IFERROR(VLOOKUP(TableHandbook[[#This Row],[UDC]],TableSTRUEDSCI[],7,FALSE),"")</f>
        <v/>
      </c>
      <c r="AW25" s="200" t="str">
        <f>IFERROR(VLOOKUP(TableHandbook[[#This Row],[UDC]],TableSTRUENGLB[],7,FALSE),"")</f>
        <v/>
      </c>
      <c r="AX25" s="200" t="str">
        <f>IFERROR(VLOOKUP(TableHandbook[[#This Row],[UDC]],TableSTRUENGLM[],7,FALSE),"")</f>
        <v/>
      </c>
      <c r="AY25" s="200" t="str">
        <f>IFERROR(VLOOKUP(TableHandbook[[#This Row],[UDC]],TableSTRUGEOB1[],7,FALSE),"")</f>
        <v/>
      </c>
      <c r="AZ25" s="200" t="str">
        <f>IFERROR(VLOOKUP(TableHandbook[[#This Row],[UDC]],TableSTRUHISB1[],7,FALSE),"")</f>
        <v/>
      </c>
      <c r="BA25" s="200" t="str">
        <f>IFERROR(VLOOKUP(TableHandbook[[#This Row],[UDC]],TableSTRUHUMAM[],7,FALSE),"")</f>
        <v/>
      </c>
      <c r="BB25" s="200" t="str">
        <f>IFERROR(VLOOKUP(TableHandbook[[#This Row],[UDC]],TableSTRUHUMBB[],7,FALSE),"")</f>
        <v/>
      </c>
      <c r="BC25" s="200" t="str">
        <f>IFERROR(VLOOKUP(TableHandbook[[#This Row],[UDC]],TableSTRUMATHB[],7,FALSE),"")</f>
        <v/>
      </c>
      <c r="BD25" s="200" t="str">
        <f>IFERROR(VLOOKUP(TableHandbook[[#This Row],[UDC]],TableSTRUMATHM[],7,FALSE),"")</f>
        <v/>
      </c>
      <c r="BE25" s="200" t="str">
        <f>IFERROR(VLOOKUP(TableHandbook[[#This Row],[UDC]],TableSTRUPARTB[],7,FALSE),"")</f>
        <v/>
      </c>
      <c r="BF25" s="200" t="str">
        <f>IFERROR(VLOOKUP(TableHandbook[[#This Row],[UDC]],TableSTRUPARTM[],7,FALSE),"")</f>
        <v/>
      </c>
      <c r="BG25" s="200" t="str">
        <f>IFERROR(VLOOKUP(TableHandbook[[#This Row],[UDC]],TableSTRUPOLB1[],7,FALSE),"")</f>
        <v/>
      </c>
      <c r="BH25" s="200" t="str">
        <f>IFERROR(VLOOKUP(TableHandbook[[#This Row],[UDC]],TableSTRUPSCIM[],7,FALSE),"")</f>
        <v/>
      </c>
      <c r="BI25" s="200" t="str">
        <f>IFERROR(VLOOKUP(TableHandbook[[#This Row],[UDC]],TableSTRUPSYCB[],7,FALSE),"")</f>
        <v/>
      </c>
      <c r="BJ25" s="200" t="str">
        <f>IFERROR(VLOOKUP(TableHandbook[[#This Row],[UDC]],TableSTRUPSYCM[],7,FALSE),"")</f>
        <v/>
      </c>
      <c r="BK25" s="200" t="str">
        <f>IFERROR(VLOOKUP(TableHandbook[[#This Row],[UDC]],TableSTRUSOSCM[],7,FALSE),"")</f>
        <v/>
      </c>
      <c r="BL25" s="200" t="str">
        <f>IFERROR(VLOOKUP(TableHandbook[[#This Row],[UDC]],TableSTRUVARTB[],7,FALSE),"")</f>
        <v/>
      </c>
      <c r="BM25" s="200" t="str">
        <f>IFERROR(VLOOKUP(TableHandbook[[#This Row],[UDC]],TableSTRUVARTM[],7,FALSE),"")</f>
        <v/>
      </c>
    </row>
    <row r="26" spans="1:65" x14ac:dyDescent="0.25">
      <c r="A26" s="262" t="s">
        <v>333</v>
      </c>
      <c r="B26" s="12">
        <v>1</v>
      </c>
      <c r="C26" s="11"/>
      <c r="D26" s="11" t="s">
        <v>560</v>
      </c>
      <c r="E26" s="12">
        <v>25</v>
      </c>
      <c r="F26" s="131" t="s">
        <v>544</v>
      </c>
      <c r="G26" s="126" t="str">
        <f>IFERROR(IF(VLOOKUP(TableHandbook[[#This Row],[UDC]],TableAvailabilities[],2,FALSE)&gt;0,"Y",""),"")</f>
        <v>Y</v>
      </c>
      <c r="H26" s="102" t="str">
        <f>IFERROR(IF(VLOOKUP(TableHandbook[[#This Row],[UDC]],TableAvailabilities[],3,FALSE)&gt;0,"Y",""),"")</f>
        <v>Y</v>
      </c>
      <c r="I26" s="127" t="str">
        <f>IFERROR(IF(VLOOKUP(TableHandbook[[#This Row],[UDC]],TableAvailabilities[],4,FALSE)&gt;0,"Y",""),"")</f>
        <v/>
      </c>
      <c r="J26" s="128" t="str">
        <f>IFERROR(IF(VLOOKUP(TableHandbook[[#This Row],[UDC]],TableAvailabilities[],5,FALSE)&gt;0,"Y",""),"")</f>
        <v>Y</v>
      </c>
      <c r="K26" s="128" t="str">
        <f>IFERROR(IF(VLOOKUP(TableHandbook[[#This Row],[UDC]],TableAvailabilities[],6,FALSE)&gt;0,"Y",""),"")</f>
        <v>Y</v>
      </c>
      <c r="L26" s="127" t="str">
        <f>IFERROR(IF(VLOOKUP(TableHandbook[[#This Row],[UDC]],TableAvailabilities[],7,FALSE)&gt;0,"Y",""),"")</f>
        <v/>
      </c>
      <c r="M26" s="207"/>
      <c r="N26" s="204" t="str">
        <f>IFERROR(VLOOKUP(TableHandbook[[#This Row],[UDC]],TableBEDUC[],7,FALSE),"")</f>
        <v/>
      </c>
      <c r="O26" s="193" t="str">
        <f>IFERROR(VLOOKUP(TableHandbook[[#This Row],[UDC]],TableBEDEC[],7,FALSE),"")</f>
        <v/>
      </c>
      <c r="P26" s="193" t="str">
        <f>IFERROR(VLOOKUP(TableHandbook[[#This Row],[UDC]],TableBEDPR[],7,FALSE),"")</f>
        <v/>
      </c>
      <c r="Q26" s="193" t="str">
        <f>IFERROR(VLOOKUP(TableHandbook[[#This Row],[UDC]],TableSTRUCATHL[],7,FALSE),"")</f>
        <v/>
      </c>
      <c r="R26" s="193" t="str">
        <f>IFERROR(VLOOKUP(TableHandbook[[#This Row],[UDC]],TableSTRUENGLL[],7,FALSE),"")</f>
        <v/>
      </c>
      <c r="S26" s="193" t="str">
        <f>IFERROR(VLOOKUP(TableHandbook[[#This Row],[UDC]],TableSTRUINTBC[],7,FALSE),"")</f>
        <v/>
      </c>
      <c r="T26" s="193" t="str">
        <f>IFERROR(VLOOKUP(TableHandbook[[#This Row],[UDC]],TableSTRUISTEM[],7,FALSE),"")</f>
        <v/>
      </c>
      <c r="U26" s="193" t="str">
        <f>IFERROR(VLOOKUP(TableHandbook[[#This Row],[UDC]],TableSTRULITNU[],7,FALSE),"")</f>
        <v/>
      </c>
      <c r="V26" s="193" t="str">
        <f>IFERROR(VLOOKUP(TableHandbook[[#This Row],[UDC]],TableSTRUTECHS[],7,FALSE),"")</f>
        <v/>
      </c>
      <c r="W26" s="193" t="str">
        <f>IFERROR(VLOOKUP(TableHandbook[[#This Row],[UDC]],TableBEDSC[],7,FALSE),"")</f>
        <v/>
      </c>
      <c r="X26" s="193" t="str">
        <f>IFERROR(VLOOKUP(TableHandbook[[#This Row],[UDC]],TableMJRUARTDR[],7,FALSE),"")</f>
        <v/>
      </c>
      <c r="Y26" s="193" t="str">
        <f>IFERROR(VLOOKUP(TableHandbook[[#This Row],[UDC]],TableMJRUARTME[],7,FALSE),"")</f>
        <v/>
      </c>
      <c r="Z26" s="193" t="str">
        <f>IFERROR(VLOOKUP(TableHandbook[[#This Row],[UDC]],TableMJRUARTVA[],7,FALSE),"")</f>
        <v/>
      </c>
      <c r="AA26" s="193" t="str">
        <f>IFERROR(VLOOKUP(TableHandbook[[#This Row],[UDC]],TableMJRUENGLT[],7,FALSE),"")</f>
        <v/>
      </c>
      <c r="AB26" s="193" t="str">
        <f>IFERROR(VLOOKUP(TableHandbook[[#This Row],[UDC]],TableMJRUHLTPE[],7,FALSE),"")</f>
        <v/>
      </c>
      <c r="AC26" s="193" t="str">
        <f>IFERROR(VLOOKUP(TableHandbook[[#This Row],[UDC]],TableMJRUHUSEC[],7,FALSE),"")</f>
        <v/>
      </c>
      <c r="AD26" s="193" t="str">
        <f>IFERROR(VLOOKUP(TableHandbook[[#This Row],[UDC]],TableMJRUHUSGE[],7,FALSE),"")</f>
        <v/>
      </c>
      <c r="AE26" s="193" t="str">
        <f>IFERROR(VLOOKUP(TableHandbook[[#This Row],[UDC]],TableMJRUHUSHI[],7,FALSE),"")</f>
        <v/>
      </c>
      <c r="AF26" s="193" t="str">
        <f>IFERROR(VLOOKUP(TableHandbook[[#This Row],[UDC]],TableMJRUHUSPL[],7,FALSE),"")</f>
        <v>Core</v>
      </c>
      <c r="AG26" s="193" t="str">
        <f>IFERROR(VLOOKUP(TableHandbook[[#This Row],[UDC]],TableMJRUMATHT[],7,FALSE),"")</f>
        <v/>
      </c>
      <c r="AH26" s="193" t="str">
        <f>IFERROR(VLOOKUP(TableHandbook[[#This Row],[UDC]],TableMJRUSCIBI[],7,FALSE),"")</f>
        <v/>
      </c>
      <c r="AI26" s="193" t="str">
        <f>IFERROR(VLOOKUP(TableHandbook[[#This Row],[UDC]],TableMJRUSCICH[],7,FALSE),"")</f>
        <v/>
      </c>
      <c r="AJ26" s="193" t="str">
        <f>IFERROR(VLOOKUP(TableHandbook[[#This Row],[UDC]],TableMJRUSCIHB[],7,FALSE),"")</f>
        <v/>
      </c>
      <c r="AK26" s="193" t="str">
        <f>IFERROR(VLOOKUP(TableHandbook[[#This Row],[UDC]],TableMJRUSCIPH[],7,FALSE),"")</f>
        <v/>
      </c>
      <c r="AL26" s="193" t="str">
        <f>IFERROR(VLOOKUP(TableHandbook[[#This Row],[UDC]],TableMJRUSCIPS[],7,FALSE),"")</f>
        <v/>
      </c>
      <c r="AM26" s="202"/>
      <c r="AN26" s="200" t="str">
        <f>IFERROR(VLOOKUP(TableHandbook[[#This Row],[UDC]],TableSTRUBIOLB[],7,FALSE),"")</f>
        <v/>
      </c>
      <c r="AO26" s="200" t="str">
        <f>IFERROR(VLOOKUP(TableHandbook[[#This Row],[UDC]],TableSTRUBSCIM[],7,FALSE),"")</f>
        <v/>
      </c>
      <c r="AP26" s="200" t="str">
        <f>IFERROR(VLOOKUP(TableHandbook[[#This Row],[UDC]],TableSTRUCHEMB[],7,FALSE),"")</f>
        <v/>
      </c>
      <c r="AQ26" s="200" t="str">
        <f>IFERROR(VLOOKUP(TableHandbook[[#This Row],[UDC]],TableSTRUECOB1[],7,FALSE),"")</f>
        <v/>
      </c>
      <c r="AR26" s="200" t="str">
        <f>IFERROR(VLOOKUP(TableHandbook[[#This Row],[UDC]],TableSTRUEDART[],7,FALSE),"")</f>
        <v/>
      </c>
      <c r="AS26" s="200" t="str">
        <f>IFERROR(VLOOKUP(TableHandbook[[#This Row],[UDC]],TableSTRUEDENG[],7,FALSE),"")</f>
        <v/>
      </c>
      <c r="AT26" s="200" t="str">
        <f>IFERROR(VLOOKUP(TableHandbook[[#This Row],[UDC]],TableSTRUEDHAS[],7,FALSE),"")</f>
        <v/>
      </c>
      <c r="AU26" s="200" t="str">
        <f>IFERROR(VLOOKUP(TableHandbook[[#This Row],[UDC]],TableSTRUEDMAT[],7,FALSE),"")</f>
        <v/>
      </c>
      <c r="AV26" s="200" t="str">
        <f>IFERROR(VLOOKUP(TableHandbook[[#This Row],[UDC]],TableSTRUEDSCI[],7,FALSE),"")</f>
        <v/>
      </c>
      <c r="AW26" s="200" t="str">
        <f>IFERROR(VLOOKUP(TableHandbook[[#This Row],[UDC]],TableSTRUENGLB[],7,FALSE),"")</f>
        <v/>
      </c>
      <c r="AX26" s="200" t="str">
        <f>IFERROR(VLOOKUP(TableHandbook[[#This Row],[UDC]],TableSTRUENGLM[],7,FALSE),"")</f>
        <v/>
      </c>
      <c r="AY26" s="200" t="str">
        <f>IFERROR(VLOOKUP(TableHandbook[[#This Row],[UDC]],TableSTRUGEOB1[],7,FALSE),"")</f>
        <v/>
      </c>
      <c r="AZ26" s="200" t="str">
        <f>IFERROR(VLOOKUP(TableHandbook[[#This Row],[UDC]],TableSTRUHISB1[],7,FALSE),"")</f>
        <v/>
      </c>
      <c r="BA26" s="200" t="str">
        <f>IFERROR(VLOOKUP(TableHandbook[[#This Row],[UDC]],TableSTRUHUMAM[],7,FALSE),"")</f>
        <v/>
      </c>
      <c r="BB26" s="200" t="str">
        <f>IFERROR(VLOOKUP(TableHandbook[[#This Row],[UDC]],TableSTRUHUMBB[],7,FALSE),"")</f>
        <v/>
      </c>
      <c r="BC26" s="200" t="str">
        <f>IFERROR(VLOOKUP(TableHandbook[[#This Row],[UDC]],TableSTRUMATHB[],7,FALSE),"")</f>
        <v/>
      </c>
      <c r="BD26" s="200" t="str">
        <f>IFERROR(VLOOKUP(TableHandbook[[#This Row],[UDC]],TableSTRUMATHM[],7,FALSE),"")</f>
        <v/>
      </c>
      <c r="BE26" s="200" t="str">
        <f>IFERROR(VLOOKUP(TableHandbook[[#This Row],[UDC]],TableSTRUPARTB[],7,FALSE),"")</f>
        <v/>
      </c>
      <c r="BF26" s="200" t="str">
        <f>IFERROR(VLOOKUP(TableHandbook[[#This Row],[UDC]],TableSTRUPARTM[],7,FALSE),"")</f>
        <v/>
      </c>
      <c r="BG26" s="200" t="str">
        <f>IFERROR(VLOOKUP(TableHandbook[[#This Row],[UDC]],TableSTRUPOLB1[],7,FALSE),"")</f>
        <v/>
      </c>
      <c r="BH26" s="200" t="str">
        <f>IFERROR(VLOOKUP(TableHandbook[[#This Row],[UDC]],TableSTRUPSCIM[],7,FALSE),"")</f>
        <v/>
      </c>
      <c r="BI26" s="200" t="str">
        <f>IFERROR(VLOOKUP(TableHandbook[[#This Row],[UDC]],TableSTRUPSYCB[],7,FALSE),"")</f>
        <v/>
      </c>
      <c r="BJ26" s="200" t="str">
        <f>IFERROR(VLOOKUP(TableHandbook[[#This Row],[UDC]],TableSTRUPSYCM[],7,FALSE),"")</f>
        <v/>
      </c>
      <c r="BK26" s="200" t="str">
        <f>IFERROR(VLOOKUP(TableHandbook[[#This Row],[UDC]],TableSTRUSOSCM[],7,FALSE),"")</f>
        <v/>
      </c>
      <c r="BL26" s="200" t="str">
        <f>IFERROR(VLOOKUP(TableHandbook[[#This Row],[UDC]],TableSTRUVARTB[],7,FALSE),"")</f>
        <v/>
      </c>
      <c r="BM26" s="200" t="str">
        <f>IFERROR(VLOOKUP(TableHandbook[[#This Row],[UDC]],TableSTRUVARTM[],7,FALSE),"")</f>
        <v/>
      </c>
    </row>
    <row r="27" spans="1:65" x14ac:dyDescent="0.25">
      <c r="A27" s="262" t="s">
        <v>561</v>
      </c>
      <c r="B27" s="12">
        <v>1</v>
      </c>
      <c r="C27" s="11"/>
      <c r="D27" s="11" t="s">
        <v>562</v>
      </c>
      <c r="E27" s="12">
        <v>25</v>
      </c>
      <c r="F27" s="131" t="s">
        <v>544</v>
      </c>
      <c r="G27" s="126" t="str">
        <f>IFERROR(IF(VLOOKUP(TableHandbook[[#This Row],[UDC]],TableAvailabilities[],2,FALSE)&gt;0,"Y",""),"")</f>
        <v/>
      </c>
      <c r="H27" s="102" t="str">
        <f>IFERROR(IF(VLOOKUP(TableHandbook[[#This Row],[UDC]],TableAvailabilities[],3,FALSE)&gt;0,"Y",""),"")</f>
        <v/>
      </c>
      <c r="I27" s="127" t="str">
        <f>IFERROR(IF(VLOOKUP(TableHandbook[[#This Row],[UDC]],TableAvailabilities[],4,FALSE)&gt;0,"Y",""),"")</f>
        <v/>
      </c>
      <c r="J27" s="128" t="str">
        <f>IFERROR(IF(VLOOKUP(TableHandbook[[#This Row],[UDC]],TableAvailabilities[],5,FALSE)&gt;0,"Y",""),"")</f>
        <v/>
      </c>
      <c r="K27" s="128" t="str">
        <f>IFERROR(IF(VLOOKUP(TableHandbook[[#This Row],[UDC]],TableAvailabilities[],6,FALSE)&gt;0,"Y",""),"")</f>
        <v/>
      </c>
      <c r="L27" s="127" t="str">
        <f>IFERROR(IF(VLOOKUP(TableHandbook[[#This Row],[UDC]],TableAvailabilities[],7,FALSE)&gt;0,"Y",""),"")</f>
        <v/>
      </c>
      <c r="M27" s="207" t="s">
        <v>563</v>
      </c>
      <c r="N27" s="204" t="str">
        <f>IFERROR(VLOOKUP(TableHandbook[[#This Row],[UDC]],TableBEDUC[],7,FALSE),"")</f>
        <v/>
      </c>
      <c r="O27" s="193" t="str">
        <f>IFERROR(VLOOKUP(TableHandbook[[#This Row],[UDC]],TableBEDEC[],7,FALSE),"")</f>
        <v/>
      </c>
      <c r="P27" s="193" t="str">
        <f>IFERROR(VLOOKUP(TableHandbook[[#This Row],[UDC]],TableBEDPR[],7,FALSE),"")</f>
        <v/>
      </c>
      <c r="Q27" s="193" t="str">
        <f>IFERROR(VLOOKUP(TableHandbook[[#This Row],[UDC]],TableSTRUCATHL[],7,FALSE),"")</f>
        <v/>
      </c>
      <c r="R27" s="193" t="str">
        <f>IFERROR(VLOOKUP(TableHandbook[[#This Row],[UDC]],TableSTRUENGLL[],7,FALSE),"")</f>
        <v/>
      </c>
      <c r="S27" s="193" t="str">
        <f>IFERROR(VLOOKUP(TableHandbook[[#This Row],[UDC]],TableSTRUINTBC[],7,FALSE),"")</f>
        <v/>
      </c>
      <c r="T27" s="193" t="str">
        <f>IFERROR(VLOOKUP(TableHandbook[[#This Row],[UDC]],TableSTRUISTEM[],7,FALSE),"")</f>
        <v/>
      </c>
      <c r="U27" s="193" t="str">
        <f>IFERROR(VLOOKUP(TableHandbook[[#This Row],[UDC]],TableSTRULITNU[],7,FALSE),"")</f>
        <v/>
      </c>
      <c r="V27" s="193" t="str">
        <f>IFERROR(VLOOKUP(TableHandbook[[#This Row],[UDC]],TableSTRUTECHS[],7,FALSE),"")</f>
        <v/>
      </c>
      <c r="W27" s="193" t="str">
        <f>IFERROR(VLOOKUP(TableHandbook[[#This Row],[UDC]],TableBEDSC[],7,FALSE),"")</f>
        <v/>
      </c>
      <c r="X27" s="193" t="str">
        <f>IFERROR(VLOOKUP(TableHandbook[[#This Row],[UDC]],TableMJRUARTDR[],7,FALSE),"")</f>
        <v/>
      </c>
      <c r="Y27" s="193" t="str">
        <f>IFERROR(VLOOKUP(TableHandbook[[#This Row],[UDC]],TableMJRUARTME[],7,FALSE),"")</f>
        <v/>
      </c>
      <c r="Z27" s="193" t="str">
        <f>IFERROR(VLOOKUP(TableHandbook[[#This Row],[UDC]],TableMJRUARTVA[],7,FALSE),"")</f>
        <v/>
      </c>
      <c r="AA27" s="193" t="str">
        <f>IFERROR(VLOOKUP(TableHandbook[[#This Row],[UDC]],TableMJRUENGLT[],7,FALSE),"")</f>
        <v/>
      </c>
      <c r="AB27" s="193" t="str">
        <f>IFERROR(VLOOKUP(TableHandbook[[#This Row],[UDC]],TableMJRUHLTPE[],7,FALSE),"")</f>
        <v/>
      </c>
      <c r="AC27" s="193" t="str">
        <f>IFERROR(VLOOKUP(TableHandbook[[#This Row],[UDC]],TableMJRUHUSEC[],7,FALSE),"")</f>
        <v/>
      </c>
      <c r="AD27" s="193" t="str">
        <f>IFERROR(VLOOKUP(TableHandbook[[#This Row],[UDC]],TableMJRUHUSGE[],7,FALSE),"")</f>
        <v/>
      </c>
      <c r="AE27" s="193" t="str">
        <f>IFERROR(VLOOKUP(TableHandbook[[#This Row],[UDC]],TableMJRUHUSHI[],7,FALSE),"")</f>
        <v/>
      </c>
      <c r="AF27" s="193" t="str">
        <f>IFERROR(VLOOKUP(TableHandbook[[#This Row],[UDC]],TableMJRUHUSPL[],7,FALSE),"")</f>
        <v/>
      </c>
      <c r="AG27" s="193" t="str">
        <f>IFERROR(VLOOKUP(TableHandbook[[#This Row],[UDC]],TableMJRUMATHT[],7,FALSE),"")</f>
        <v/>
      </c>
      <c r="AH27" s="193" t="str">
        <f>IFERROR(VLOOKUP(TableHandbook[[#This Row],[UDC]],TableMJRUSCIBI[],7,FALSE),"")</f>
        <v/>
      </c>
      <c r="AI27" s="193" t="str">
        <f>IFERROR(VLOOKUP(TableHandbook[[#This Row],[UDC]],TableMJRUSCICH[],7,FALSE),"")</f>
        <v/>
      </c>
      <c r="AJ27" s="193" t="str">
        <f>IFERROR(VLOOKUP(TableHandbook[[#This Row],[UDC]],TableMJRUSCIHB[],7,FALSE),"")</f>
        <v/>
      </c>
      <c r="AK27" s="193" t="str">
        <f>IFERROR(VLOOKUP(TableHandbook[[#This Row],[UDC]],TableMJRUSCIPH[],7,FALSE),"")</f>
        <v/>
      </c>
      <c r="AL27" s="193" t="str">
        <f>IFERROR(VLOOKUP(TableHandbook[[#This Row],[UDC]],TableMJRUSCIPS[],7,FALSE),"")</f>
        <v/>
      </c>
      <c r="AM27" s="202"/>
      <c r="AN27" s="200" t="str">
        <f>IFERROR(VLOOKUP(TableHandbook[[#This Row],[UDC]],TableSTRUBIOLB[],7,FALSE),"")</f>
        <v/>
      </c>
      <c r="AO27" s="200" t="str">
        <f>IFERROR(VLOOKUP(TableHandbook[[#This Row],[UDC]],TableSTRUBSCIM[],7,FALSE),"")</f>
        <v/>
      </c>
      <c r="AP27" s="200" t="str">
        <f>IFERROR(VLOOKUP(TableHandbook[[#This Row],[UDC]],TableSTRUCHEMB[],7,FALSE),"")</f>
        <v/>
      </c>
      <c r="AQ27" s="200" t="str">
        <f>IFERROR(VLOOKUP(TableHandbook[[#This Row],[UDC]],TableSTRUECOB1[],7,FALSE),"")</f>
        <v/>
      </c>
      <c r="AR27" s="200" t="str">
        <f>IFERROR(VLOOKUP(TableHandbook[[#This Row],[UDC]],TableSTRUEDART[],7,FALSE),"")</f>
        <v/>
      </c>
      <c r="AS27" s="200" t="str">
        <f>IFERROR(VLOOKUP(TableHandbook[[#This Row],[UDC]],TableSTRUEDENG[],7,FALSE),"")</f>
        <v/>
      </c>
      <c r="AT27" s="200" t="str">
        <f>IFERROR(VLOOKUP(TableHandbook[[#This Row],[UDC]],TableSTRUEDHAS[],7,FALSE),"")</f>
        <v/>
      </c>
      <c r="AU27" s="200" t="str">
        <f>IFERROR(VLOOKUP(TableHandbook[[#This Row],[UDC]],TableSTRUEDMAT[],7,FALSE),"")</f>
        <v/>
      </c>
      <c r="AV27" s="200" t="str">
        <f>IFERROR(VLOOKUP(TableHandbook[[#This Row],[UDC]],TableSTRUEDSCI[],7,FALSE),"")</f>
        <v/>
      </c>
      <c r="AW27" s="200" t="str">
        <f>IFERROR(VLOOKUP(TableHandbook[[#This Row],[UDC]],TableSTRUENGLB[],7,FALSE),"")</f>
        <v/>
      </c>
      <c r="AX27" s="200" t="str">
        <f>IFERROR(VLOOKUP(TableHandbook[[#This Row],[UDC]],TableSTRUENGLM[],7,FALSE),"")</f>
        <v/>
      </c>
      <c r="AY27" s="200" t="str">
        <f>IFERROR(VLOOKUP(TableHandbook[[#This Row],[UDC]],TableSTRUGEOB1[],7,FALSE),"")</f>
        <v/>
      </c>
      <c r="AZ27" s="200" t="str">
        <f>IFERROR(VLOOKUP(TableHandbook[[#This Row],[UDC]],TableSTRUHISB1[],7,FALSE),"")</f>
        <v/>
      </c>
      <c r="BA27" s="200" t="str">
        <f>IFERROR(VLOOKUP(TableHandbook[[#This Row],[UDC]],TableSTRUHUMAM[],7,FALSE),"")</f>
        <v/>
      </c>
      <c r="BB27" s="200" t="str">
        <f>IFERROR(VLOOKUP(TableHandbook[[#This Row],[UDC]],TableSTRUHUMBB[],7,FALSE),"")</f>
        <v/>
      </c>
      <c r="BC27" s="200" t="str">
        <f>IFERROR(VLOOKUP(TableHandbook[[#This Row],[UDC]],TableSTRUMATHB[],7,FALSE),"")</f>
        <v/>
      </c>
      <c r="BD27" s="200" t="str">
        <f>IFERROR(VLOOKUP(TableHandbook[[#This Row],[UDC]],TableSTRUMATHM[],7,FALSE),"")</f>
        <v/>
      </c>
      <c r="BE27" s="200" t="str">
        <f>IFERROR(VLOOKUP(TableHandbook[[#This Row],[UDC]],TableSTRUPARTB[],7,FALSE),"")</f>
        <v/>
      </c>
      <c r="BF27" s="200" t="str">
        <f>IFERROR(VLOOKUP(TableHandbook[[#This Row],[UDC]],TableSTRUPARTM[],7,FALSE),"")</f>
        <v/>
      </c>
      <c r="BG27" s="200" t="str">
        <f>IFERROR(VLOOKUP(TableHandbook[[#This Row],[UDC]],TableSTRUPOLB1[],7,FALSE),"")</f>
        <v/>
      </c>
      <c r="BH27" s="200" t="str">
        <f>IFERROR(VLOOKUP(TableHandbook[[#This Row],[UDC]],TableSTRUPSCIM[],7,FALSE),"")</f>
        <v/>
      </c>
      <c r="BI27" s="200" t="str">
        <f>IFERROR(VLOOKUP(TableHandbook[[#This Row],[UDC]],TableSTRUPSYCB[],7,FALSE),"")</f>
        <v/>
      </c>
      <c r="BJ27" s="200" t="str">
        <f>IFERROR(VLOOKUP(TableHandbook[[#This Row],[UDC]],TableSTRUPSYCM[],7,FALSE),"")</f>
        <v/>
      </c>
      <c r="BK27" s="200" t="str">
        <f>IFERROR(VLOOKUP(TableHandbook[[#This Row],[UDC]],TableSTRUSOSCM[],7,FALSE),"")</f>
        <v/>
      </c>
      <c r="BL27" s="200" t="str">
        <f>IFERROR(VLOOKUP(TableHandbook[[#This Row],[UDC]],TableSTRUVARTB[],7,FALSE),"")</f>
        <v/>
      </c>
      <c r="BM27" s="200" t="str">
        <f>IFERROR(VLOOKUP(TableHandbook[[#This Row],[UDC]],TableSTRUVARTM[],7,FALSE),"")</f>
        <v/>
      </c>
    </row>
    <row r="28" spans="1:65" x14ac:dyDescent="0.25">
      <c r="A28" s="262" t="s">
        <v>401</v>
      </c>
      <c r="B28" s="12">
        <v>1</v>
      </c>
      <c r="C28" s="11"/>
      <c r="D28" s="11" t="s">
        <v>564</v>
      </c>
      <c r="E28" s="12">
        <v>25</v>
      </c>
      <c r="F28" s="131" t="s">
        <v>544</v>
      </c>
      <c r="G28" s="126" t="str">
        <f>IFERROR(IF(VLOOKUP(TableHandbook[[#This Row],[UDC]],TableAvailabilities[],2,FALSE)&gt;0,"Y",""),"")</f>
        <v>Y</v>
      </c>
      <c r="H28" s="102" t="str">
        <f>IFERROR(IF(VLOOKUP(TableHandbook[[#This Row],[UDC]],TableAvailabilities[],3,FALSE)&gt;0,"Y",""),"")</f>
        <v>Y</v>
      </c>
      <c r="I28" s="127" t="str">
        <f>IFERROR(IF(VLOOKUP(TableHandbook[[#This Row],[UDC]],TableAvailabilities[],4,FALSE)&gt;0,"Y",""),"")</f>
        <v/>
      </c>
      <c r="J28" s="128" t="str">
        <f>IFERROR(IF(VLOOKUP(TableHandbook[[#This Row],[UDC]],TableAvailabilities[],5,FALSE)&gt;0,"Y",""),"")</f>
        <v/>
      </c>
      <c r="K28" s="128" t="str">
        <f>IFERROR(IF(VLOOKUP(TableHandbook[[#This Row],[UDC]],TableAvailabilities[],6,FALSE)&gt;0,"Y",""),"")</f>
        <v/>
      </c>
      <c r="L28" s="127" t="str">
        <f>IFERROR(IF(VLOOKUP(TableHandbook[[#This Row],[UDC]],TableAvailabilities[],7,FALSE)&gt;0,"Y",""),"")</f>
        <v/>
      </c>
      <c r="M28" s="207" t="s">
        <v>565</v>
      </c>
      <c r="N28" s="204" t="str">
        <f>IFERROR(VLOOKUP(TableHandbook[[#This Row],[UDC]],TableBEDUC[],7,FALSE),"")</f>
        <v/>
      </c>
      <c r="O28" s="193" t="str">
        <f>IFERROR(VLOOKUP(TableHandbook[[#This Row],[UDC]],TableBEDEC[],7,FALSE),"")</f>
        <v/>
      </c>
      <c r="P28" s="193" t="str">
        <f>IFERROR(VLOOKUP(TableHandbook[[#This Row],[UDC]],TableBEDPR[],7,FALSE),"")</f>
        <v/>
      </c>
      <c r="Q28" s="193" t="str">
        <f>IFERROR(VLOOKUP(TableHandbook[[#This Row],[UDC]],TableSTRUCATHL[],7,FALSE),"")</f>
        <v/>
      </c>
      <c r="R28" s="193" t="str">
        <f>IFERROR(VLOOKUP(TableHandbook[[#This Row],[UDC]],TableSTRUENGLL[],7,FALSE),"")</f>
        <v/>
      </c>
      <c r="S28" s="193" t="str">
        <f>IFERROR(VLOOKUP(TableHandbook[[#This Row],[UDC]],TableSTRUINTBC[],7,FALSE),"")</f>
        <v/>
      </c>
      <c r="T28" s="193" t="str">
        <f>IFERROR(VLOOKUP(TableHandbook[[#This Row],[UDC]],TableSTRUISTEM[],7,FALSE),"")</f>
        <v/>
      </c>
      <c r="U28" s="193" t="str">
        <f>IFERROR(VLOOKUP(TableHandbook[[#This Row],[UDC]],TableSTRULITNU[],7,FALSE),"")</f>
        <v/>
      </c>
      <c r="V28" s="193" t="str">
        <f>IFERROR(VLOOKUP(TableHandbook[[#This Row],[UDC]],TableSTRUTECHS[],7,FALSE),"")</f>
        <v/>
      </c>
      <c r="W28" s="193" t="str">
        <f>IFERROR(VLOOKUP(TableHandbook[[#This Row],[UDC]],TableBEDSC[],7,FALSE),"")</f>
        <v/>
      </c>
      <c r="X28" s="193" t="str">
        <f>IFERROR(VLOOKUP(TableHandbook[[#This Row],[UDC]],TableMJRUARTDR[],7,FALSE),"")</f>
        <v/>
      </c>
      <c r="Y28" s="193" t="str">
        <f>IFERROR(VLOOKUP(TableHandbook[[#This Row],[UDC]],TableMJRUARTME[],7,FALSE),"")</f>
        <v/>
      </c>
      <c r="Z28" s="193" t="str">
        <f>IFERROR(VLOOKUP(TableHandbook[[#This Row],[UDC]],TableMJRUARTVA[],7,FALSE),"")</f>
        <v/>
      </c>
      <c r="AA28" s="193" t="str">
        <f>IFERROR(VLOOKUP(TableHandbook[[#This Row],[UDC]],TableMJRUENGLT[],7,FALSE),"")</f>
        <v/>
      </c>
      <c r="AB28" s="193" t="str">
        <f>IFERROR(VLOOKUP(TableHandbook[[#This Row],[UDC]],TableMJRUHLTPE[],7,FALSE),"")</f>
        <v/>
      </c>
      <c r="AC28" s="193" t="str">
        <f>IFERROR(VLOOKUP(TableHandbook[[#This Row],[UDC]],TableMJRUHUSEC[],7,FALSE),"")</f>
        <v/>
      </c>
      <c r="AD28" s="193" t="str">
        <f>IFERROR(VLOOKUP(TableHandbook[[#This Row],[UDC]],TableMJRUHUSGE[],7,FALSE),"")</f>
        <v/>
      </c>
      <c r="AE28" s="193" t="str">
        <f>IFERROR(VLOOKUP(TableHandbook[[#This Row],[UDC]],TableMJRUHUSHI[],7,FALSE),"")</f>
        <v/>
      </c>
      <c r="AF28" s="193" t="str">
        <f>IFERROR(VLOOKUP(TableHandbook[[#This Row],[UDC]],TableMJRUHUSPL[],7,FALSE),"")</f>
        <v>Core</v>
      </c>
      <c r="AG28" s="193" t="str">
        <f>IFERROR(VLOOKUP(TableHandbook[[#This Row],[UDC]],TableMJRUMATHT[],7,FALSE),"")</f>
        <v/>
      </c>
      <c r="AH28" s="193" t="str">
        <f>IFERROR(VLOOKUP(TableHandbook[[#This Row],[UDC]],TableMJRUSCIBI[],7,FALSE),"")</f>
        <v/>
      </c>
      <c r="AI28" s="193" t="str">
        <f>IFERROR(VLOOKUP(TableHandbook[[#This Row],[UDC]],TableMJRUSCICH[],7,FALSE),"")</f>
        <v/>
      </c>
      <c r="AJ28" s="193" t="str">
        <f>IFERROR(VLOOKUP(TableHandbook[[#This Row],[UDC]],TableMJRUSCIHB[],7,FALSE),"")</f>
        <v/>
      </c>
      <c r="AK28" s="193" t="str">
        <f>IFERROR(VLOOKUP(TableHandbook[[#This Row],[UDC]],TableMJRUSCIPH[],7,FALSE),"")</f>
        <v/>
      </c>
      <c r="AL28" s="193" t="str">
        <f>IFERROR(VLOOKUP(TableHandbook[[#This Row],[UDC]],TableMJRUSCIPS[],7,FALSE),"")</f>
        <v/>
      </c>
      <c r="AM28" s="202"/>
      <c r="AN28" s="200" t="str">
        <f>IFERROR(VLOOKUP(TableHandbook[[#This Row],[UDC]],TableSTRUBIOLB[],7,FALSE),"")</f>
        <v/>
      </c>
      <c r="AO28" s="200" t="str">
        <f>IFERROR(VLOOKUP(TableHandbook[[#This Row],[UDC]],TableSTRUBSCIM[],7,FALSE),"")</f>
        <v/>
      </c>
      <c r="AP28" s="200" t="str">
        <f>IFERROR(VLOOKUP(TableHandbook[[#This Row],[UDC]],TableSTRUCHEMB[],7,FALSE),"")</f>
        <v/>
      </c>
      <c r="AQ28" s="200" t="str">
        <f>IFERROR(VLOOKUP(TableHandbook[[#This Row],[UDC]],TableSTRUECOB1[],7,FALSE),"")</f>
        <v/>
      </c>
      <c r="AR28" s="200" t="str">
        <f>IFERROR(VLOOKUP(TableHandbook[[#This Row],[UDC]],TableSTRUEDART[],7,FALSE),"")</f>
        <v/>
      </c>
      <c r="AS28" s="200" t="str">
        <f>IFERROR(VLOOKUP(TableHandbook[[#This Row],[UDC]],TableSTRUEDENG[],7,FALSE),"")</f>
        <v/>
      </c>
      <c r="AT28" s="200" t="str">
        <f>IFERROR(VLOOKUP(TableHandbook[[#This Row],[UDC]],TableSTRUEDHAS[],7,FALSE),"")</f>
        <v/>
      </c>
      <c r="AU28" s="200" t="str">
        <f>IFERROR(VLOOKUP(TableHandbook[[#This Row],[UDC]],TableSTRUEDMAT[],7,FALSE),"")</f>
        <v/>
      </c>
      <c r="AV28" s="200" t="str">
        <f>IFERROR(VLOOKUP(TableHandbook[[#This Row],[UDC]],TableSTRUEDSCI[],7,FALSE),"")</f>
        <v/>
      </c>
      <c r="AW28" s="200" t="str">
        <f>IFERROR(VLOOKUP(TableHandbook[[#This Row],[UDC]],TableSTRUENGLB[],7,FALSE),"")</f>
        <v/>
      </c>
      <c r="AX28" s="200" t="str">
        <f>IFERROR(VLOOKUP(TableHandbook[[#This Row],[UDC]],TableSTRUENGLM[],7,FALSE),"")</f>
        <v/>
      </c>
      <c r="AY28" s="200" t="str">
        <f>IFERROR(VLOOKUP(TableHandbook[[#This Row],[UDC]],TableSTRUGEOB1[],7,FALSE),"")</f>
        <v/>
      </c>
      <c r="AZ28" s="200" t="str">
        <f>IFERROR(VLOOKUP(TableHandbook[[#This Row],[UDC]],TableSTRUHISB1[],7,FALSE),"")</f>
        <v/>
      </c>
      <c r="BA28" s="200" t="str">
        <f>IFERROR(VLOOKUP(TableHandbook[[#This Row],[UDC]],TableSTRUHUMAM[],7,FALSE),"")</f>
        <v/>
      </c>
      <c r="BB28" s="200" t="str">
        <f>IFERROR(VLOOKUP(TableHandbook[[#This Row],[UDC]],TableSTRUHUMBB[],7,FALSE),"")</f>
        <v/>
      </c>
      <c r="BC28" s="200" t="str">
        <f>IFERROR(VLOOKUP(TableHandbook[[#This Row],[UDC]],TableSTRUMATHB[],7,FALSE),"")</f>
        <v/>
      </c>
      <c r="BD28" s="200" t="str">
        <f>IFERROR(VLOOKUP(TableHandbook[[#This Row],[UDC]],TableSTRUMATHM[],7,FALSE),"")</f>
        <v/>
      </c>
      <c r="BE28" s="200" t="str">
        <f>IFERROR(VLOOKUP(TableHandbook[[#This Row],[UDC]],TableSTRUPARTB[],7,FALSE),"")</f>
        <v/>
      </c>
      <c r="BF28" s="200" t="str">
        <f>IFERROR(VLOOKUP(TableHandbook[[#This Row],[UDC]],TableSTRUPARTM[],7,FALSE),"")</f>
        <v/>
      </c>
      <c r="BG28" s="200" t="str">
        <f>IFERROR(VLOOKUP(TableHandbook[[#This Row],[UDC]],TableSTRUPOLB1[],7,FALSE),"")</f>
        <v/>
      </c>
      <c r="BH28" s="200" t="str">
        <f>IFERROR(VLOOKUP(TableHandbook[[#This Row],[UDC]],TableSTRUPSCIM[],7,FALSE),"")</f>
        <v/>
      </c>
      <c r="BI28" s="200" t="str">
        <f>IFERROR(VLOOKUP(TableHandbook[[#This Row],[UDC]],TableSTRUPSYCB[],7,FALSE),"")</f>
        <v/>
      </c>
      <c r="BJ28" s="200" t="str">
        <f>IFERROR(VLOOKUP(TableHandbook[[#This Row],[UDC]],TableSTRUPSYCM[],7,FALSE),"")</f>
        <v/>
      </c>
      <c r="BK28" s="200" t="str">
        <f>IFERROR(VLOOKUP(TableHandbook[[#This Row],[UDC]],TableSTRUSOSCM[],7,FALSE),"")</f>
        <v/>
      </c>
      <c r="BL28" s="200" t="str">
        <f>IFERROR(VLOOKUP(TableHandbook[[#This Row],[UDC]],TableSTRUVARTB[],7,FALSE),"")</f>
        <v/>
      </c>
      <c r="BM28" s="200" t="str">
        <f>IFERROR(VLOOKUP(TableHandbook[[#This Row],[UDC]],TableSTRUVARTM[],7,FALSE),"")</f>
        <v/>
      </c>
    </row>
    <row r="29" spans="1:65" x14ac:dyDescent="0.25">
      <c r="A29" s="262" t="s">
        <v>356</v>
      </c>
      <c r="B29" s="12">
        <v>1</v>
      </c>
      <c r="C29" s="11"/>
      <c r="D29" s="11" t="s">
        <v>566</v>
      </c>
      <c r="E29" s="12">
        <v>25</v>
      </c>
      <c r="F29" s="131" t="s">
        <v>335</v>
      </c>
      <c r="G29" s="126" t="str">
        <f>IFERROR(IF(VLOOKUP(TableHandbook[[#This Row],[UDC]],TableAvailabilities[],2,FALSE)&gt;0,"Y",""),"")</f>
        <v/>
      </c>
      <c r="H29" s="102" t="str">
        <f>IFERROR(IF(VLOOKUP(TableHandbook[[#This Row],[UDC]],TableAvailabilities[],3,FALSE)&gt;0,"Y",""),"")</f>
        <v/>
      </c>
      <c r="I29" s="127" t="str">
        <f>IFERROR(IF(VLOOKUP(TableHandbook[[#This Row],[UDC]],TableAvailabilities[],4,FALSE)&gt;0,"Y",""),"")</f>
        <v/>
      </c>
      <c r="J29" s="128" t="str">
        <f>IFERROR(IF(VLOOKUP(TableHandbook[[#This Row],[UDC]],TableAvailabilities[],5,FALSE)&gt;0,"Y",""),"")</f>
        <v>Y</v>
      </c>
      <c r="K29" s="128" t="str">
        <f>IFERROR(IF(VLOOKUP(TableHandbook[[#This Row],[UDC]],TableAvailabilities[],6,FALSE)&gt;0,"Y",""),"")</f>
        <v/>
      </c>
      <c r="L29" s="127" t="str">
        <f>IFERROR(IF(VLOOKUP(TableHandbook[[#This Row],[UDC]],TableAvailabilities[],7,FALSE)&gt;0,"Y",""),"")</f>
        <v/>
      </c>
      <c r="M29" s="207"/>
      <c r="N29" s="204" t="str">
        <f>IFERROR(VLOOKUP(TableHandbook[[#This Row],[UDC]],TableBEDUC[],7,FALSE),"")</f>
        <v/>
      </c>
      <c r="O29" s="193" t="str">
        <f>IFERROR(VLOOKUP(TableHandbook[[#This Row],[UDC]],TableBEDEC[],7,FALSE),"")</f>
        <v/>
      </c>
      <c r="P29" s="193" t="str">
        <f>IFERROR(VLOOKUP(TableHandbook[[#This Row],[UDC]],TableBEDPR[],7,FALSE),"")</f>
        <v/>
      </c>
      <c r="Q29" s="193" t="str">
        <f>IFERROR(VLOOKUP(TableHandbook[[#This Row],[UDC]],TableSTRUCATHL[],7,FALSE),"")</f>
        <v/>
      </c>
      <c r="R29" s="193" t="str">
        <f>IFERROR(VLOOKUP(TableHandbook[[#This Row],[UDC]],TableSTRUENGLL[],7,FALSE),"")</f>
        <v/>
      </c>
      <c r="S29" s="193" t="str">
        <f>IFERROR(VLOOKUP(TableHandbook[[#This Row],[UDC]],TableSTRUINTBC[],7,FALSE),"")</f>
        <v/>
      </c>
      <c r="T29" s="193" t="str">
        <f>IFERROR(VLOOKUP(TableHandbook[[#This Row],[UDC]],TableSTRUISTEM[],7,FALSE),"")</f>
        <v/>
      </c>
      <c r="U29" s="193" t="str">
        <f>IFERROR(VLOOKUP(TableHandbook[[#This Row],[UDC]],TableSTRULITNU[],7,FALSE),"")</f>
        <v/>
      </c>
      <c r="V29" s="193" t="str">
        <f>IFERROR(VLOOKUP(TableHandbook[[#This Row],[UDC]],TableSTRUTECHS[],7,FALSE),"")</f>
        <v/>
      </c>
      <c r="W29" s="193" t="str">
        <f>IFERROR(VLOOKUP(TableHandbook[[#This Row],[UDC]],TableBEDSC[],7,FALSE),"")</f>
        <v/>
      </c>
      <c r="X29" s="193" t="str">
        <f>IFERROR(VLOOKUP(TableHandbook[[#This Row],[UDC]],TableMJRUARTDR[],7,FALSE),"")</f>
        <v/>
      </c>
      <c r="Y29" s="193" t="str">
        <f>IFERROR(VLOOKUP(TableHandbook[[#This Row],[UDC]],TableMJRUARTME[],7,FALSE),"")</f>
        <v/>
      </c>
      <c r="Z29" s="193" t="str">
        <f>IFERROR(VLOOKUP(TableHandbook[[#This Row],[UDC]],TableMJRUARTVA[],7,FALSE),"")</f>
        <v/>
      </c>
      <c r="AA29" s="193" t="str">
        <f>IFERROR(VLOOKUP(TableHandbook[[#This Row],[UDC]],TableMJRUENGLT[],7,FALSE),"")</f>
        <v/>
      </c>
      <c r="AB29" s="193" t="str">
        <f>IFERROR(VLOOKUP(TableHandbook[[#This Row],[UDC]],TableMJRUHLTPE[],7,FALSE),"")</f>
        <v/>
      </c>
      <c r="AC29" s="193" t="str">
        <f>IFERROR(VLOOKUP(TableHandbook[[#This Row],[UDC]],TableMJRUHUSEC[],7,FALSE),"")</f>
        <v/>
      </c>
      <c r="AD29" s="193" t="str">
        <f>IFERROR(VLOOKUP(TableHandbook[[#This Row],[UDC]],TableMJRUHUSGE[],7,FALSE),"")</f>
        <v/>
      </c>
      <c r="AE29" s="193" t="str">
        <f>IFERROR(VLOOKUP(TableHandbook[[#This Row],[UDC]],TableMJRUHUSHI[],7,FALSE),"")</f>
        <v/>
      </c>
      <c r="AF29" s="193" t="str">
        <f>IFERROR(VLOOKUP(TableHandbook[[#This Row],[UDC]],TableMJRUHUSPL[],7,FALSE),"")</f>
        <v/>
      </c>
      <c r="AG29" s="193" t="str">
        <f>IFERROR(VLOOKUP(TableHandbook[[#This Row],[UDC]],TableMJRUMATHT[],7,FALSE),"")</f>
        <v/>
      </c>
      <c r="AH29" s="193" t="str">
        <f>IFERROR(VLOOKUP(TableHandbook[[#This Row],[UDC]],TableMJRUSCIBI[],7,FALSE),"")</f>
        <v>Core</v>
      </c>
      <c r="AI29" s="193" t="str">
        <f>IFERROR(VLOOKUP(TableHandbook[[#This Row],[UDC]],TableMJRUSCICH[],7,FALSE),"")</f>
        <v/>
      </c>
      <c r="AJ29" s="193" t="str">
        <f>IFERROR(VLOOKUP(TableHandbook[[#This Row],[UDC]],TableMJRUSCIHB[],7,FALSE),"")</f>
        <v/>
      </c>
      <c r="AK29" s="193" t="str">
        <f>IFERROR(VLOOKUP(TableHandbook[[#This Row],[UDC]],TableMJRUSCIPH[],7,FALSE),"")</f>
        <v/>
      </c>
      <c r="AL29" s="193" t="str">
        <f>IFERROR(VLOOKUP(TableHandbook[[#This Row],[UDC]],TableMJRUSCIPS[],7,FALSE),"")</f>
        <v/>
      </c>
      <c r="AM29" s="202"/>
      <c r="AN29" s="200" t="str">
        <f>IFERROR(VLOOKUP(TableHandbook[[#This Row],[UDC]],TableSTRUBIOLB[],7,FALSE),"")</f>
        <v/>
      </c>
      <c r="AO29" s="200" t="str">
        <f>IFERROR(VLOOKUP(TableHandbook[[#This Row],[UDC]],TableSTRUBSCIM[],7,FALSE),"")</f>
        <v>Core</v>
      </c>
      <c r="AP29" s="200" t="str">
        <f>IFERROR(VLOOKUP(TableHandbook[[#This Row],[UDC]],TableSTRUCHEMB[],7,FALSE),"")</f>
        <v/>
      </c>
      <c r="AQ29" s="200" t="str">
        <f>IFERROR(VLOOKUP(TableHandbook[[#This Row],[UDC]],TableSTRUECOB1[],7,FALSE),"")</f>
        <v/>
      </c>
      <c r="AR29" s="200" t="str">
        <f>IFERROR(VLOOKUP(TableHandbook[[#This Row],[UDC]],TableSTRUEDART[],7,FALSE),"")</f>
        <v/>
      </c>
      <c r="AS29" s="200" t="str">
        <f>IFERROR(VLOOKUP(TableHandbook[[#This Row],[UDC]],TableSTRUEDENG[],7,FALSE),"")</f>
        <v/>
      </c>
      <c r="AT29" s="200" t="str">
        <f>IFERROR(VLOOKUP(TableHandbook[[#This Row],[UDC]],TableSTRUEDHAS[],7,FALSE),"")</f>
        <v/>
      </c>
      <c r="AU29" s="200" t="str">
        <f>IFERROR(VLOOKUP(TableHandbook[[#This Row],[UDC]],TableSTRUEDMAT[],7,FALSE),"")</f>
        <v/>
      </c>
      <c r="AV29" s="200" t="str">
        <f>IFERROR(VLOOKUP(TableHandbook[[#This Row],[UDC]],TableSTRUEDSCI[],7,FALSE),"")</f>
        <v/>
      </c>
      <c r="AW29" s="200" t="str">
        <f>IFERROR(VLOOKUP(TableHandbook[[#This Row],[UDC]],TableSTRUENGLB[],7,FALSE),"")</f>
        <v/>
      </c>
      <c r="AX29" s="200" t="str">
        <f>IFERROR(VLOOKUP(TableHandbook[[#This Row],[UDC]],TableSTRUENGLM[],7,FALSE),"")</f>
        <v/>
      </c>
      <c r="AY29" s="200" t="str">
        <f>IFERROR(VLOOKUP(TableHandbook[[#This Row],[UDC]],TableSTRUGEOB1[],7,FALSE),"")</f>
        <v/>
      </c>
      <c r="AZ29" s="200" t="str">
        <f>IFERROR(VLOOKUP(TableHandbook[[#This Row],[UDC]],TableSTRUHISB1[],7,FALSE),"")</f>
        <v/>
      </c>
      <c r="BA29" s="200" t="str">
        <f>IFERROR(VLOOKUP(TableHandbook[[#This Row],[UDC]],TableSTRUHUMAM[],7,FALSE),"")</f>
        <v/>
      </c>
      <c r="BB29" s="200" t="str">
        <f>IFERROR(VLOOKUP(TableHandbook[[#This Row],[UDC]],TableSTRUHUMBB[],7,FALSE),"")</f>
        <v/>
      </c>
      <c r="BC29" s="200" t="str">
        <f>IFERROR(VLOOKUP(TableHandbook[[#This Row],[UDC]],TableSTRUMATHB[],7,FALSE),"")</f>
        <v/>
      </c>
      <c r="BD29" s="200" t="str">
        <f>IFERROR(VLOOKUP(TableHandbook[[#This Row],[UDC]],TableSTRUMATHM[],7,FALSE),"")</f>
        <v/>
      </c>
      <c r="BE29" s="200" t="str">
        <f>IFERROR(VLOOKUP(TableHandbook[[#This Row],[UDC]],TableSTRUPARTB[],7,FALSE),"")</f>
        <v/>
      </c>
      <c r="BF29" s="200" t="str">
        <f>IFERROR(VLOOKUP(TableHandbook[[#This Row],[UDC]],TableSTRUPARTM[],7,FALSE),"")</f>
        <v/>
      </c>
      <c r="BG29" s="200" t="str">
        <f>IFERROR(VLOOKUP(TableHandbook[[#This Row],[UDC]],TableSTRUPOLB1[],7,FALSE),"")</f>
        <v/>
      </c>
      <c r="BH29" s="200" t="str">
        <f>IFERROR(VLOOKUP(TableHandbook[[#This Row],[UDC]],TableSTRUPSCIM[],7,FALSE),"")</f>
        <v/>
      </c>
      <c r="BI29" s="200" t="str">
        <f>IFERROR(VLOOKUP(TableHandbook[[#This Row],[UDC]],TableSTRUPSYCB[],7,FALSE),"")</f>
        <v/>
      </c>
      <c r="BJ29" s="200" t="str">
        <f>IFERROR(VLOOKUP(TableHandbook[[#This Row],[UDC]],TableSTRUPSYCM[],7,FALSE),"")</f>
        <v/>
      </c>
      <c r="BK29" s="200" t="str">
        <f>IFERROR(VLOOKUP(TableHandbook[[#This Row],[UDC]],TableSTRUSOSCM[],7,FALSE),"")</f>
        <v/>
      </c>
      <c r="BL29" s="200" t="str">
        <f>IFERROR(VLOOKUP(TableHandbook[[#This Row],[UDC]],TableSTRUVARTB[],7,FALSE),"")</f>
        <v/>
      </c>
      <c r="BM29" s="200" t="str">
        <f>IFERROR(VLOOKUP(TableHandbook[[#This Row],[UDC]],TableSTRUVARTM[],7,FALSE),"")</f>
        <v/>
      </c>
    </row>
    <row r="30" spans="1:65" x14ac:dyDescent="0.25">
      <c r="A30" s="262" t="s">
        <v>310</v>
      </c>
      <c r="B30" s="12">
        <v>1</v>
      </c>
      <c r="C30" s="11"/>
      <c r="D30" s="11" t="s">
        <v>567</v>
      </c>
      <c r="E30" s="12">
        <v>25</v>
      </c>
      <c r="F30" s="131" t="s">
        <v>544</v>
      </c>
      <c r="G30" s="126" t="str">
        <f>IFERROR(IF(VLOOKUP(TableHandbook[[#This Row],[UDC]],TableAvailabilities[],2,FALSE)&gt;0,"Y",""),"")</f>
        <v>Y</v>
      </c>
      <c r="H30" s="102" t="str">
        <f>IFERROR(IF(VLOOKUP(TableHandbook[[#This Row],[UDC]],TableAvailabilities[],3,FALSE)&gt;0,"Y",""),"")</f>
        <v/>
      </c>
      <c r="I30" s="127" t="str">
        <f>IFERROR(IF(VLOOKUP(TableHandbook[[#This Row],[UDC]],TableAvailabilities[],4,FALSE)&gt;0,"Y",""),"")</f>
        <v/>
      </c>
      <c r="J30" s="128" t="str">
        <f>IFERROR(IF(VLOOKUP(TableHandbook[[#This Row],[UDC]],TableAvailabilities[],5,FALSE)&gt;0,"Y",""),"")</f>
        <v>Y</v>
      </c>
      <c r="K30" s="128" t="str">
        <f>IFERROR(IF(VLOOKUP(TableHandbook[[#This Row],[UDC]],TableAvailabilities[],6,FALSE)&gt;0,"Y",""),"")</f>
        <v/>
      </c>
      <c r="L30" s="127" t="str">
        <f>IFERROR(IF(VLOOKUP(TableHandbook[[#This Row],[UDC]],TableAvailabilities[],7,FALSE)&gt;0,"Y",""),"")</f>
        <v/>
      </c>
      <c r="M30" s="207"/>
      <c r="N30" s="204" t="str">
        <f>IFERROR(VLOOKUP(TableHandbook[[#This Row],[UDC]],TableBEDUC[],7,FALSE),"")</f>
        <v/>
      </c>
      <c r="O30" s="193" t="str">
        <f>IFERROR(VLOOKUP(TableHandbook[[#This Row],[UDC]],TableBEDEC[],7,FALSE),"")</f>
        <v/>
      </c>
      <c r="P30" s="193" t="str">
        <f>IFERROR(VLOOKUP(TableHandbook[[#This Row],[UDC]],TableBEDPR[],7,FALSE),"")</f>
        <v/>
      </c>
      <c r="Q30" s="193" t="str">
        <f>IFERROR(VLOOKUP(TableHandbook[[#This Row],[UDC]],TableSTRUCATHL[],7,FALSE),"")</f>
        <v/>
      </c>
      <c r="R30" s="193" t="str">
        <f>IFERROR(VLOOKUP(TableHandbook[[#This Row],[UDC]],TableSTRUENGLL[],7,FALSE),"")</f>
        <v/>
      </c>
      <c r="S30" s="193" t="str">
        <f>IFERROR(VLOOKUP(TableHandbook[[#This Row],[UDC]],TableSTRUINTBC[],7,FALSE),"")</f>
        <v/>
      </c>
      <c r="T30" s="193" t="str">
        <f>IFERROR(VLOOKUP(TableHandbook[[#This Row],[UDC]],TableSTRUISTEM[],7,FALSE),"")</f>
        <v/>
      </c>
      <c r="U30" s="193" t="str">
        <f>IFERROR(VLOOKUP(TableHandbook[[#This Row],[UDC]],TableSTRULITNU[],7,FALSE),"")</f>
        <v/>
      </c>
      <c r="V30" s="193" t="str">
        <f>IFERROR(VLOOKUP(TableHandbook[[#This Row],[UDC]],TableSTRUTECHS[],7,FALSE),"")</f>
        <v/>
      </c>
      <c r="W30" s="193" t="str">
        <f>IFERROR(VLOOKUP(TableHandbook[[#This Row],[UDC]],TableBEDSC[],7,FALSE),"")</f>
        <v/>
      </c>
      <c r="X30" s="193" t="str">
        <f>IFERROR(VLOOKUP(TableHandbook[[#This Row],[UDC]],TableMJRUARTDR[],7,FALSE),"")</f>
        <v/>
      </c>
      <c r="Y30" s="193" t="str">
        <f>IFERROR(VLOOKUP(TableHandbook[[#This Row],[UDC]],TableMJRUARTME[],7,FALSE),"")</f>
        <v/>
      </c>
      <c r="Z30" s="193" t="str">
        <f>IFERROR(VLOOKUP(TableHandbook[[#This Row],[UDC]],TableMJRUARTVA[],7,FALSE),"")</f>
        <v/>
      </c>
      <c r="AA30" s="193" t="str">
        <f>IFERROR(VLOOKUP(TableHandbook[[#This Row],[UDC]],TableMJRUENGLT[],7,FALSE),"")</f>
        <v/>
      </c>
      <c r="AB30" s="193" t="str">
        <f>IFERROR(VLOOKUP(TableHandbook[[#This Row],[UDC]],TableMJRUHLTPE[],7,FALSE),"")</f>
        <v/>
      </c>
      <c r="AC30" s="193" t="str">
        <f>IFERROR(VLOOKUP(TableHandbook[[#This Row],[UDC]],TableMJRUHUSEC[],7,FALSE),"")</f>
        <v/>
      </c>
      <c r="AD30" s="193" t="str">
        <f>IFERROR(VLOOKUP(TableHandbook[[#This Row],[UDC]],TableMJRUHUSGE[],7,FALSE),"")</f>
        <v/>
      </c>
      <c r="AE30" s="193" t="str">
        <f>IFERROR(VLOOKUP(TableHandbook[[#This Row],[UDC]],TableMJRUHUSHI[],7,FALSE),"")</f>
        <v/>
      </c>
      <c r="AF30" s="193" t="str">
        <f>IFERROR(VLOOKUP(TableHandbook[[#This Row],[UDC]],TableMJRUHUSPL[],7,FALSE),"")</f>
        <v/>
      </c>
      <c r="AG30" s="193" t="str">
        <f>IFERROR(VLOOKUP(TableHandbook[[#This Row],[UDC]],TableMJRUMATHT[],7,FALSE),"")</f>
        <v/>
      </c>
      <c r="AH30" s="193" t="str">
        <f>IFERROR(VLOOKUP(TableHandbook[[#This Row],[UDC]],TableMJRUSCIBI[],7,FALSE),"")</f>
        <v/>
      </c>
      <c r="AI30" s="193" t="str">
        <f>IFERROR(VLOOKUP(TableHandbook[[#This Row],[UDC]],TableMJRUSCICH[],7,FALSE),"")</f>
        <v>Core</v>
      </c>
      <c r="AJ30" s="193" t="str">
        <f>IFERROR(VLOOKUP(TableHandbook[[#This Row],[UDC]],TableMJRUSCIHB[],7,FALSE),"")</f>
        <v/>
      </c>
      <c r="AK30" s="193" t="str">
        <f>IFERROR(VLOOKUP(TableHandbook[[#This Row],[UDC]],TableMJRUSCIPH[],7,FALSE),"")</f>
        <v/>
      </c>
      <c r="AL30" s="193" t="str">
        <f>IFERROR(VLOOKUP(TableHandbook[[#This Row],[UDC]],TableMJRUSCIPS[],7,FALSE),"")</f>
        <v/>
      </c>
      <c r="AM30" s="202"/>
      <c r="AN30" s="200" t="str">
        <f>IFERROR(VLOOKUP(TableHandbook[[#This Row],[UDC]],TableSTRUBIOLB[],7,FALSE),"")</f>
        <v/>
      </c>
      <c r="AO30" s="200" t="str">
        <f>IFERROR(VLOOKUP(TableHandbook[[#This Row],[UDC]],TableSTRUBSCIM[],7,FALSE),"")</f>
        <v/>
      </c>
      <c r="AP30" s="200" t="str">
        <f>IFERROR(VLOOKUP(TableHandbook[[#This Row],[UDC]],TableSTRUCHEMB[],7,FALSE),"")</f>
        <v/>
      </c>
      <c r="AQ30" s="200" t="str">
        <f>IFERROR(VLOOKUP(TableHandbook[[#This Row],[UDC]],TableSTRUECOB1[],7,FALSE),"")</f>
        <v/>
      </c>
      <c r="AR30" s="200" t="str">
        <f>IFERROR(VLOOKUP(TableHandbook[[#This Row],[UDC]],TableSTRUEDART[],7,FALSE),"")</f>
        <v/>
      </c>
      <c r="AS30" s="200" t="str">
        <f>IFERROR(VLOOKUP(TableHandbook[[#This Row],[UDC]],TableSTRUEDENG[],7,FALSE),"")</f>
        <v/>
      </c>
      <c r="AT30" s="200" t="str">
        <f>IFERROR(VLOOKUP(TableHandbook[[#This Row],[UDC]],TableSTRUEDHAS[],7,FALSE),"")</f>
        <v/>
      </c>
      <c r="AU30" s="200" t="str">
        <f>IFERROR(VLOOKUP(TableHandbook[[#This Row],[UDC]],TableSTRUEDMAT[],7,FALSE),"")</f>
        <v/>
      </c>
      <c r="AV30" s="200" t="str">
        <f>IFERROR(VLOOKUP(TableHandbook[[#This Row],[UDC]],TableSTRUEDSCI[],7,FALSE),"")</f>
        <v/>
      </c>
      <c r="AW30" s="200" t="str">
        <f>IFERROR(VLOOKUP(TableHandbook[[#This Row],[UDC]],TableSTRUENGLB[],7,FALSE),"")</f>
        <v/>
      </c>
      <c r="AX30" s="200" t="str">
        <f>IFERROR(VLOOKUP(TableHandbook[[#This Row],[UDC]],TableSTRUENGLM[],7,FALSE),"")</f>
        <v/>
      </c>
      <c r="AY30" s="200" t="str">
        <f>IFERROR(VLOOKUP(TableHandbook[[#This Row],[UDC]],TableSTRUGEOB1[],7,FALSE),"")</f>
        <v/>
      </c>
      <c r="AZ30" s="200" t="str">
        <f>IFERROR(VLOOKUP(TableHandbook[[#This Row],[UDC]],TableSTRUHISB1[],7,FALSE),"")</f>
        <v/>
      </c>
      <c r="BA30" s="200" t="str">
        <f>IFERROR(VLOOKUP(TableHandbook[[#This Row],[UDC]],TableSTRUHUMAM[],7,FALSE),"")</f>
        <v/>
      </c>
      <c r="BB30" s="200" t="str">
        <f>IFERROR(VLOOKUP(TableHandbook[[#This Row],[UDC]],TableSTRUHUMBB[],7,FALSE),"")</f>
        <v/>
      </c>
      <c r="BC30" s="200" t="str">
        <f>IFERROR(VLOOKUP(TableHandbook[[#This Row],[UDC]],TableSTRUMATHB[],7,FALSE),"")</f>
        <v/>
      </c>
      <c r="BD30" s="200" t="str">
        <f>IFERROR(VLOOKUP(TableHandbook[[#This Row],[UDC]],TableSTRUMATHM[],7,FALSE),"")</f>
        <v/>
      </c>
      <c r="BE30" s="200" t="str">
        <f>IFERROR(VLOOKUP(TableHandbook[[#This Row],[UDC]],TableSTRUPARTB[],7,FALSE),"")</f>
        <v/>
      </c>
      <c r="BF30" s="200" t="str">
        <f>IFERROR(VLOOKUP(TableHandbook[[#This Row],[UDC]],TableSTRUPARTM[],7,FALSE),"")</f>
        <v/>
      </c>
      <c r="BG30" s="200" t="str">
        <f>IFERROR(VLOOKUP(TableHandbook[[#This Row],[UDC]],TableSTRUPOLB1[],7,FALSE),"")</f>
        <v/>
      </c>
      <c r="BH30" s="200" t="str">
        <f>IFERROR(VLOOKUP(TableHandbook[[#This Row],[UDC]],TableSTRUPSCIM[],7,FALSE),"")</f>
        <v>Core</v>
      </c>
      <c r="BI30" s="200" t="str">
        <f>IFERROR(VLOOKUP(TableHandbook[[#This Row],[UDC]],TableSTRUPSYCB[],7,FALSE),"")</f>
        <v/>
      </c>
      <c r="BJ30" s="200" t="str">
        <f>IFERROR(VLOOKUP(TableHandbook[[#This Row],[UDC]],TableSTRUPSYCM[],7,FALSE),"")</f>
        <v/>
      </c>
      <c r="BK30" s="200" t="str">
        <f>IFERROR(VLOOKUP(TableHandbook[[#This Row],[UDC]],TableSTRUSOSCM[],7,FALSE),"")</f>
        <v/>
      </c>
      <c r="BL30" s="200" t="str">
        <f>IFERROR(VLOOKUP(TableHandbook[[#This Row],[UDC]],TableSTRUVARTB[],7,FALSE),"")</f>
        <v/>
      </c>
      <c r="BM30" s="200" t="str">
        <f>IFERROR(VLOOKUP(TableHandbook[[#This Row],[UDC]],TableSTRUVARTM[],7,FALSE),"")</f>
        <v/>
      </c>
    </row>
    <row r="31" spans="1:65" x14ac:dyDescent="0.25">
      <c r="A31" s="261" t="s">
        <v>478</v>
      </c>
      <c r="B31" s="12">
        <v>1</v>
      </c>
      <c r="C31" s="11"/>
      <c r="D31" s="11" t="s">
        <v>568</v>
      </c>
      <c r="E31" s="12">
        <v>25</v>
      </c>
      <c r="F31" s="131" t="s">
        <v>544</v>
      </c>
      <c r="G31" s="126" t="str">
        <f>IFERROR(IF(VLOOKUP(TableHandbook[[#This Row],[UDC]],TableAvailabilities[],2,FALSE)&gt;0,"Y",""),"")</f>
        <v>Y</v>
      </c>
      <c r="H31" s="102" t="str">
        <f>IFERROR(IF(VLOOKUP(TableHandbook[[#This Row],[UDC]],TableAvailabilities[],3,FALSE)&gt;0,"Y",""),"")</f>
        <v/>
      </c>
      <c r="I31" s="127" t="str">
        <f>IFERROR(IF(VLOOKUP(TableHandbook[[#This Row],[UDC]],TableAvailabilities[],4,FALSE)&gt;0,"Y",""),"")</f>
        <v/>
      </c>
      <c r="J31" s="128" t="str">
        <f>IFERROR(IF(VLOOKUP(TableHandbook[[#This Row],[UDC]],TableAvailabilities[],5,FALSE)&gt;0,"Y",""),"")</f>
        <v>Y</v>
      </c>
      <c r="K31" s="128" t="str">
        <f>IFERROR(IF(VLOOKUP(TableHandbook[[#This Row],[UDC]],TableAvailabilities[],6,FALSE)&gt;0,"Y",""),"")</f>
        <v/>
      </c>
      <c r="L31" s="127" t="str">
        <f>IFERROR(IF(VLOOKUP(TableHandbook[[#This Row],[UDC]],TableAvailabilities[],7,FALSE)&gt;0,"Y",""),"")</f>
        <v/>
      </c>
      <c r="M31" s="207"/>
      <c r="N31" s="204" t="str">
        <f>IFERROR(VLOOKUP(TableHandbook[[#This Row],[UDC]],TableBEDUC[],7,FALSE),"")</f>
        <v/>
      </c>
      <c r="O31" s="193" t="str">
        <f>IFERROR(VLOOKUP(TableHandbook[[#This Row],[UDC]],TableBEDEC[],7,FALSE),"")</f>
        <v/>
      </c>
      <c r="P31" s="193" t="str">
        <f>IFERROR(VLOOKUP(TableHandbook[[#This Row],[UDC]],TableBEDPR[],7,FALSE),"")</f>
        <v/>
      </c>
      <c r="Q31" s="193" t="str">
        <f>IFERROR(VLOOKUP(TableHandbook[[#This Row],[UDC]],TableSTRUCATHL[],7,FALSE),"")</f>
        <v/>
      </c>
      <c r="R31" s="193" t="str">
        <f>IFERROR(VLOOKUP(TableHandbook[[#This Row],[UDC]],TableSTRUENGLL[],7,FALSE),"")</f>
        <v/>
      </c>
      <c r="S31" s="193" t="str">
        <f>IFERROR(VLOOKUP(TableHandbook[[#This Row],[UDC]],TableSTRUINTBC[],7,FALSE),"")</f>
        <v/>
      </c>
      <c r="T31" s="193" t="str">
        <f>IFERROR(VLOOKUP(TableHandbook[[#This Row],[UDC]],TableSTRUISTEM[],7,FALSE),"")</f>
        <v/>
      </c>
      <c r="U31" s="193" t="str">
        <f>IFERROR(VLOOKUP(TableHandbook[[#This Row],[UDC]],TableSTRULITNU[],7,FALSE),"")</f>
        <v/>
      </c>
      <c r="V31" s="193" t="str">
        <f>IFERROR(VLOOKUP(TableHandbook[[#This Row],[UDC]],TableSTRUTECHS[],7,FALSE),"")</f>
        <v/>
      </c>
      <c r="W31" s="193" t="str">
        <f>IFERROR(VLOOKUP(TableHandbook[[#This Row],[UDC]],TableBEDSC[],7,FALSE),"")</f>
        <v/>
      </c>
      <c r="X31" s="193" t="str">
        <f>IFERROR(VLOOKUP(TableHandbook[[#This Row],[UDC]],TableMJRUARTDR[],7,FALSE),"")</f>
        <v/>
      </c>
      <c r="Y31" s="193" t="str">
        <f>IFERROR(VLOOKUP(TableHandbook[[#This Row],[UDC]],TableMJRUARTME[],7,FALSE),"")</f>
        <v/>
      </c>
      <c r="Z31" s="193" t="str">
        <f>IFERROR(VLOOKUP(TableHandbook[[#This Row],[UDC]],TableMJRUARTVA[],7,FALSE),"")</f>
        <v/>
      </c>
      <c r="AA31" s="193" t="str">
        <f>IFERROR(VLOOKUP(TableHandbook[[#This Row],[UDC]],TableMJRUENGLT[],7,FALSE),"")</f>
        <v/>
      </c>
      <c r="AB31" s="193" t="str">
        <f>IFERROR(VLOOKUP(TableHandbook[[#This Row],[UDC]],TableMJRUHLTPE[],7,FALSE),"")</f>
        <v/>
      </c>
      <c r="AC31" s="193" t="str">
        <f>IFERROR(VLOOKUP(TableHandbook[[#This Row],[UDC]],TableMJRUHUSEC[],7,FALSE),"")</f>
        <v/>
      </c>
      <c r="AD31" s="193" t="str">
        <f>IFERROR(VLOOKUP(TableHandbook[[#This Row],[UDC]],TableMJRUHUSGE[],7,FALSE),"")</f>
        <v/>
      </c>
      <c r="AE31" s="193" t="str">
        <f>IFERROR(VLOOKUP(TableHandbook[[#This Row],[UDC]],TableMJRUHUSHI[],7,FALSE),"")</f>
        <v/>
      </c>
      <c r="AF31" s="193" t="str">
        <f>IFERROR(VLOOKUP(TableHandbook[[#This Row],[UDC]],TableMJRUHUSPL[],7,FALSE),"")</f>
        <v/>
      </c>
      <c r="AG31" s="193" t="str">
        <f>IFERROR(VLOOKUP(TableHandbook[[#This Row],[UDC]],TableMJRUMATHT[],7,FALSE),"")</f>
        <v/>
      </c>
      <c r="AH31" s="193" t="str">
        <f>IFERROR(VLOOKUP(TableHandbook[[#This Row],[UDC]],TableMJRUSCIBI[],7,FALSE),"")</f>
        <v/>
      </c>
      <c r="AI31" s="193" t="str">
        <f>IFERROR(VLOOKUP(TableHandbook[[#This Row],[UDC]],TableMJRUSCICH[],7,FALSE),"")</f>
        <v/>
      </c>
      <c r="AJ31" s="193" t="str">
        <f>IFERROR(VLOOKUP(TableHandbook[[#This Row],[UDC]],TableMJRUSCIHB[],7,FALSE),"")</f>
        <v/>
      </c>
      <c r="AK31" s="193" t="str">
        <f>IFERROR(VLOOKUP(TableHandbook[[#This Row],[UDC]],TableMJRUSCIPH[],7,FALSE),"")</f>
        <v/>
      </c>
      <c r="AL31" s="193" t="str">
        <f>IFERROR(VLOOKUP(TableHandbook[[#This Row],[UDC]],TableMJRUSCIPS[],7,FALSE),"")</f>
        <v/>
      </c>
      <c r="AM31" s="202"/>
      <c r="AN31" s="200" t="str">
        <f>IFERROR(VLOOKUP(TableHandbook[[#This Row],[UDC]],TableSTRUBIOLB[],7,FALSE),"")</f>
        <v/>
      </c>
      <c r="AO31" s="200" t="str">
        <f>IFERROR(VLOOKUP(TableHandbook[[#This Row],[UDC]],TableSTRUBSCIM[],7,FALSE),"")</f>
        <v/>
      </c>
      <c r="AP31" s="200" t="str">
        <f>IFERROR(VLOOKUP(TableHandbook[[#This Row],[UDC]],TableSTRUCHEMB[],7,FALSE),"")</f>
        <v>Core</v>
      </c>
      <c r="AQ31" s="200" t="str">
        <f>IFERROR(VLOOKUP(TableHandbook[[#This Row],[UDC]],TableSTRUECOB1[],7,FALSE),"")</f>
        <v/>
      </c>
      <c r="AR31" s="200" t="str">
        <f>IFERROR(VLOOKUP(TableHandbook[[#This Row],[UDC]],TableSTRUEDART[],7,FALSE),"")</f>
        <v/>
      </c>
      <c r="AS31" s="200" t="str">
        <f>IFERROR(VLOOKUP(TableHandbook[[#This Row],[UDC]],TableSTRUEDENG[],7,FALSE),"")</f>
        <v/>
      </c>
      <c r="AT31" s="200" t="str">
        <f>IFERROR(VLOOKUP(TableHandbook[[#This Row],[UDC]],TableSTRUEDHAS[],7,FALSE),"")</f>
        <v/>
      </c>
      <c r="AU31" s="200" t="str">
        <f>IFERROR(VLOOKUP(TableHandbook[[#This Row],[UDC]],TableSTRUEDMAT[],7,FALSE),"")</f>
        <v/>
      </c>
      <c r="AV31" s="200" t="str">
        <f>IFERROR(VLOOKUP(TableHandbook[[#This Row],[UDC]],TableSTRUEDSCI[],7,FALSE),"")</f>
        <v/>
      </c>
      <c r="AW31" s="200" t="str">
        <f>IFERROR(VLOOKUP(TableHandbook[[#This Row],[UDC]],TableSTRUENGLB[],7,FALSE),"")</f>
        <v/>
      </c>
      <c r="AX31" s="200" t="str">
        <f>IFERROR(VLOOKUP(TableHandbook[[#This Row],[UDC]],TableSTRUENGLM[],7,FALSE),"")</f>
        <v/>
      </c>
      <c r="AY31" s="200" t="str">
        <f>IFERROR(VLOOKUP(TableHandbook[[#This Row],[UDC]],TableSTRUGEOB1[],7,FALSE),"")</f>
        <v/>
      </c>
      <c r="AZ31" s="200" t="str">
        <f>IFERROR(VLOOKUP(TableHandbook[[#This Row],[UDC]],TableSTRUHISB1[],7,FALSE),"")</f>
        <v/>
      </c>
      <c r="BA31" s="200" t="str">
        <f>IFERROR(VLOOKUP(TableHandbook[[#This Row],[UDC]],TableSTRUHUMAM[],7,FALSE),"")</f>
        <v/>
      </c>
      <c r="BB31" s="200" t="str">
        <f>IFERROR(VLOOKUP(TableHandbook[[#This Row],[UDC]],TableSTRUHUMBB[],7,FALSE),"")</f>
        <v/>
      </c>
      <c r="BC31" s="200" t="str">
        <f>IFERROR(VLOOKUP(TableHandbook[[#This Row],[UDC]],TableSTRUMATHB[],7,FALSE),"")</f>
        <v/>
      </c>
      <c r="BD31" s="200" t="str">
        <f>IFERROR(VLOOKUP(TableHandbook[[#This Row],[UDC]],TableSTRUMATHM[],7,FALSE),"")</f>
        <v/>
      </c>
      <c r="BE31" s="200" t="str">
        <f>IFERROR(VLOOKUP(TableHandbook[[#This Row],[UDC]],TableSTRUPARTB[],7,FALSE),"")</f>
        <v/>
      </c>
      <c r="BF31" s="200" t="str">
        <f>IFERROR(VLOOKUP(TableHandbook[[#This Row],[UDC]],TableSTRUPARTM[],7,FALSE),"")</f>
        <v/>
      </c>
      <c r="BG31" s="200" t="str">
        <f>IFERROR(VLOOKUP(TableHandbook[[#This Row],[UDC]],TableSTRUPOLB1[],7,FALSE),"")</f>
        <v/>
      </c>
      <c r="BH31" s="200" t="str">
        <f>IFERROR(VLOOKUP(TableHandbook[[#This Row],[UDC]],TableSTRUPSCIM[],7,FALSE),"")</f>
        <v/>
      </c>
      <c r="BI31" s="200" t="str">
        <f>IFERROR(VLOOKUP(TableHandbook[[#This Row],[UDC]],TableSTRUPSYCB[],7,FALSE),"")</f>
        <v/>
      </c>
      <c r="BJ31" s="200" t="str">
        <f>IFERROR(VLOOKUP(TableHandbook[[#This Row],[UDC]],TableSTRUPSYCM[],7,FALSE),"")</f>
        <v/>
      </c>
      <c r="BK31" s="200" t="str">
        <f>IFERROR(VLOOKUP(TableHandbook[[#This Row],[UDC]],TableSTRUSOSCM[],7,FALSE),"")</f>
        <v/>
      </c>
      <c r="BL31" s="200" t="str">
        <f>IFERROR(VLOOKUP(TableHandbook[[#This Row],[UDC]],TableSTRUVARTB[],7,FALSE),"")</f>
        <v/>
      </c>
      <c r="BM31" s="200" t="str">
        <f>IFERROR(VLOOKUP(TableHandbook[[#This Row],[UDC]],TableSTRUVARTM[],7,FALSE),"")</f>
        <v/>
      </c>
    </row>
    <row r="32" spans="1:65" x14ac:dyDescent="0.25">
      <c r="A32" s="262" t="s">
        <v>336</v>
      </c>
      <c r="B32" s="12">
        <v>1</v>
      </c>
      <c r="C32" s="11"/>
      <c r="D32" s="11" t="s">
        <v>569</v>
      </c>
      <c r="E32" s="12">
        <v>25</v>
      </c>
      <c r="F32" s="131" t="s">
        <v>570</v>
      </c>
      <c r="G32" s="126" t="str">
        <f>IFERROR(IF(VLOOKUP(TableHandbook[[#This Row],[UDC]],TableAvailabilities[],2,FALSE)&gt;0,"Y",""),"")</f>
        <v>Y</v>
      </c>
      <c r="H32" s="102" t="str">
        <f>IFERROR(IF(VLOOKUP(TableHandbook[[#This Row],[UDC]],TableAvailabilities[],3,FALSE)&gt;0,"Y",""),"")</f>
        <v/>
      </c>
      <c r="I32" s="127" t="str">
        <f>IFERROR(IF(VLOOKUP(TableHandbook[[#This Row],[UDC]],TableAvailabilities[],4,FALSE)&gt;0,"Y",""),"")</f>
        <v/>
      </c>
      <c r="J32" s="128" t="str">
        <f>IFERROR(IF(VLOOKUP(TableHandbook[[#This Row],[UDC]],TableAvailabilities[],5,FALSE)&gt;0,"Y",""),"")</f>
        <v>Y</v>
      </c>
      <c r="K32" s="128" t="str">
        <f>IFERROR(IF(VLOOKUP(TableHandbook[[#This Row],[UDC]],TableAvailabilities[],6,FALSE)&gt;0,"Y",""),"")</f>
        <v/>
      </c>
      <c r="L32" s="127" t="str">
        <f>IFERROR(IF(VLOOKUP(TableHandbook[[#This Row],[UDC]],TableAvailabilities[],7,FALSE)&gt;0,"Y",""),"")</f>
        <v/>
      </c>
      <c r="M32" s="207"/>
      <c r="N32" s="204" t="str">
        <f>IFERROR(VLOOKUP(TableHandbook[[#This Row],[UDC]],TableBEDUC[],7,FALSE),"")</f>
        <v/>
      </c>
      <c r="O32" s="193" t="str">
        <f>IFERROR(VLOOKUP(TableHandbook[[#This Row],[UDC]],TableBEDEC[],7,FALSE),"")</f>
        <v/>
      </c>
      <c r="P32" s="193" t="str">
        <f>IFERROR(VLOOKUP(TableHandbook[[#This Row],[UDC]],TableBEDPR[],7,FALSE),"")</f>
        <v/>
      </c>
      <c r="Q32" s="193" t="str">
        <f>IFERROR(VLOOKUP(TableHandbook[[#This Row],[UDC]],TableSTRUCATHL[],7,FALSE),"")</f>
        <v/>
      </c>
      <c r="R32" s="193" t="str">
        <f>IFERROR(VLOOKUP(TableHandbook[[#This Row],[UDC]],TableSTRUENGLL[],7,FALSE),"")</f>
        <v/>
      </c>
      <c r="S32" s="193" t="str">
        <f>IFERROR(VLOOKUP(TableHandbook[[#This Row],[UDC]],TableSTRUINTBC[],7,FALSE),"")</f>
        <v/>
      </c>
      <c r="T32" s="193" t="str">
        <f>IFERROR(VLOOKUP(TableHandbook[[#This Row],[UDC]],TableSTRUISTEM[],7,FALSE),"")</f>
        <v/>
      </c>
      <c r="U32" s="193" t="str">
        <f>IFERROR(VLOOKUP(TableHandbook[[#This Row],[UDC]],TableSTRULITNU[],7,FALSE),"")</f>
        <v/>
      </c>
      <c r="V32" s="193" t="str">
        <f>IFERROR(VLOOKUP(TableHandbook[[#This Row],[UDC]],TableSTRUTECHS[],7,FALSE),"")</f>
        <v/>
      </c>
      <c r="W32" s="193" t="str">
        <f>IFERROR(VLOOKUP(TableHandbook[[#This Row],[UDC]],TableBEDSC[],7,FALSE),"")</f>
        <v/>
      </c>
      <c r="X32" s="193" t="str">
        <f>IFERROR(VLOOKUP(TableHandbook[[#This Row],[UDC]],TableMJRUARTDR[],7,FALSE),"")</f>
        <v/>
      </c>
      <c r="Y32" s="193" t="str">
        <f>IFERROR(VLOOKUP(TableHandbook[[#This Row],[UDC]],TableMJRUARTME[],7,FALSE),"")</f>
        <v/>
      </c>
      <c r="Z32" s="193" t="str">
        <f>IFERROR(VLOOKUP(TableHandbook[[#This Row],[UDC]],TableMJRUARTVA[],7,FALSE),"")</f>
        <v/>
      </c>
      <c r="AA32" s="193" t="str">
        <f>IFERROR(VLOOKUP(TableHandbook[[#This Row],[UDC]],TableMJRUENGLT[],7,FALSE),"")</f>
        <v/>
      </c>
      <c r="AB32" s="193" t="str">
        <f>IFERROR(VLOOKUP(TableHandbook[[#This Row],[UDC]],TableMJRUHLTPE[],7,FALSE),"")</f>
        <v/>
      </c>
      <c r="AC32" s="193" t="str">
        <f>IFERROR(VLOOKUP(TableHandbook[[#This Row],[UDC]],TableMJRUHUSEC[],7,FALSE),"")</f>
        <v/>
      </c>
      <c r="AD32" s="193" t="str">
        <f>IFERROR(VLOOKUP(TableHandbook[[#This Row],[UDC]],TableMJRUHUSGE[],7,FALSE),"")</f>
        <v/>
      </c>
      <c r="AE32" s="193" t="str">
        <f>IFERROR(VLOOKUP(TableHandbook[[#This Row],[UDC]],TableMJRUHUSHI[],7,FALSE),"")</f>
        <v/>
      </c>
      <c r="AF32" s="193" t="str">
        <f>IFERROR(VLOOKUP(TableHandbook[[#This Row],[UDC]],TableMJRUHUSPL[],7,FALSE),"")</f>
        <v/>
      </c>
      <c r="AG32" s="193" t="str">
        <f>IFERROR(VLOOKUP(TableHandbook[[#This Row],[UDC]],TableMJRUMATHT[],7,FALSE),"")</f>
        <v/>
      </c>
      <c r="AH32" s="193" t="str">
        <f>IFERROR(VLOOKUP(TableHandbook[[#This Row],[UDC]],TableMJRUSCIBI[],7,FALSE),"")</f>
        <v/>
      </c>
      <c r="AI32" s="193" t="str">
        <f>IFERROR(VLOOKUP(TableHandbook[[#This Row],[UDC]],TableMJRUSCICH[],7,FALSE),"")</f>
        <v>Core</v>
      </c>
      <c r="AJ32" s="193" t="str">
        <f>IFERROR(VLOOKUP(TableHandbook[[#This Row],[UDC]],TableMJRUSCIHB[],7,FALSE),"")</f>
        <v/>
      </c>
      <c r="AK32" s="193" t="str">
        <f>IFERROR(VLOOKUP(TableHandbook[[#This Row],[UDC]],TableMJRUSCIPH[],7,FALSE),"")</f>
        <v/>
      </c>
      <c r="AL32" s="193" t="str">
        <f>IFERROR(VLOOKUP(TableHandbook[[#This Row],[UDC]],TableMJRUSCIPS[],7,FALSE),"")</f>
        <v/>
      </c>
      <c r="AM32" s="202"/>
      <c r="AN32" s="200" t="str">
        <f>IFERROR(VLOOKUP(TableHandbook[[#This Row],[UDC]],TableSTRUBIOLB[],7,FALSE),"")</f>
        <v/>
      </c>
      <c r="AO32" s="200" t="str">
        <f>IFERROR(VLOOKUP(TableHandbook[[#This Row],[UDC]],TableSTRUBSCIM[],7,FALSE),"")</f>
        <v/>
      </c>
      <c r="AP32" s="200" t="str">
        <f>IFERROR(VLOOKUP(TableHandbook[[#This Row],[UDC]],TableSTRUCHEMB[],7,FALSE),"")</f>
        <v/>
      </c>
      <c r="AQ32" s="200" t="str">
        <f>IFERROR(VLOOKUP(TableHandbook[[#This Row],[UDC]],TableSTRUECOB1[],7,FALSE),"")</f>
        <v/>
      </c>
      <c r="AR32" s="200" t="str">
        <f>IFERROR(VLOOKUP(TableHandbook[[#This Row],[UDC]],TableSTRUEDART[],7,FALSE),"")</f>
        <v/>
      </c>
      <c r="AS32" s="200" t="str">
        <f>IFERROR(VLOOKUP(TableHandbook[[#This Row],[UDC]],TableSTRUEDENG[],7,FALSE),"")</f>
        <v/>
      </c>
      <c r="AT32" s="200" t="str">
        <f>IFERROR(VLOOKUP(TableHandbook[[#This Row],[UDC]],TableSTRUEDHAS[],7,FALSE),"")</f>
        <v/>
      </c>
      <c r="AU32" s="200" t="str">
        <f>IFERROR(VLOOKUP(TableHandbook[[#This Row],[UDC]],TableSTRUEDMAT[],7,FALSE),"")</f>
        <v/>
      </c>
      <c r="AV32" s="200" t="str">
        <f>IFERROR(VLOOKUP(TableHandbook[[#This Row],[UDC]],TableSTRUEDSCI[],7,FALSE),"")</f>
        <v/>
      </c>
      <c r="AW32" s="200" t="str">
        <f>IFERROR(VLOOKUP(TableHandbook[[#This Row],[UDC]],TableSTRUENGLB[],7,FALSE),"")</f>
        <v/>
      </c>
      <c r="AX32" s="200" t="str">
        <f>IFERROR(VLOOKUP(TableHandbook[[#This Row],[UDC]],TableSTRUENGLM[],7,FALSE),"")</f>
        <v/>
      </c>
      <c r="AY32" s="200" t="str">
        <f>IFERROR(VLOOKUP(TableHandbook[[#This Row],[UDC]],TableSTRUGEOB1[],7,FALSE),"")</f>
        <v/>
      </c>
      <c r="AZ32" s="200" t="str">
        <f>IFERROR(VLOOKUP(TableHandbook[[#This Row],[UDC]],TableSTRUHISB1[],7,FALSE),"")</f>
        <v/>
      </c>
      <c r="BA32" s="200" t="str">
        <f>IFERROR(VLOOKUP(TableHandbook[[#This Row],[UDC]],TableSTRUHUMAM[],7,FALSE),"")</f>
        <v/>
      </c>
      <c r="BB32" s="200" t="str">
        <f>IFERROR(VLOOKUP(TableHandbook[[#This Row],[UDC]],TableSTRUHUMBB[],7,FALSE),"")</f>
        <v/>
      </c>
      <c r="BC32" s="200" t="str">
        <f>IFERROR(VLOOKUP(TableHandbook[[#This Row],[UDC]],TableSTRUMATHB[],7,FALSE),"")</f>
        <v/>
      </c>
      <c r="BD32" s="200" t="str">
        <f>IFERROR(VLOOKUP(TableHandbook[[#This Row],[UDC]],TableSTRUMATHM[],7,FALSE),"")</f>
        <v/>
      </c>
      <c r="BE32" s="200" t="str">
        <f>IFERROR(VLOOKUP(TableHandbook[[#This Row],[UDC]],TableSTRUPARTB[],7,FALSE),"")</f>
        <v/>
      </c>
      <c r="BF32" s="200" t="str">
        <f>IFERROR(VLOOKUP(TableHandbook[[#This Row],[UDC]],TableSTRUPARTM[],7,FALSE),"")</f>
        <v/>
      </c>
      <c r="BG32" s="200" t="str">
        <f>IFERROR(VLOOKUP(TableHandbook[[#This Row],[UDC]],TableSTRUPOLB1[],7,FALSE),"")</f>
        <v/>
      </c>
      <c r="BH32" s="200" t="str">
        <f>IFERROR(VLOOKUP(TableHandbook[[#This Row],[UDC]],TableSTRUPSCIM[],7,FALSE),"")</f>
        <v/>
      </c>
      <c r="BI32" s="200" t="str">
        <f>IFERROR(VLOOKUP(TableHandbook[[#This Row],[UDC]],TableSTRUPSYCB[],7,FALSE),"")</f>
        <v/>
      </c>
      <c r="BJ32" s="200" t="str">
        <f>IFERROR(VLOOKUP(TableHandbook[[#This Row],[UDC]],TableSTRUPSYCM[],7,FALSE),"")</f>
        <v/>
      </c>
      <c r="BK32" s="200" t="str">
        <f>IFERROR(VLOOKUP(TableHandbook[[#This Row],[UDC]],TableSTRUSOSCM[],7,FALSE),"")</f>
        <v/>
      </c>
      <c r="BL32" s="200" t="str">
        <f>IFERROR(VLOOKUP(TableHandbook[[#This Row],[UDC]],TableSTRUVARTB[],7,FALSE),"")</f>
        <v/>
      </c>
      <c r="BM32" s="200" t="str">
        <f>IFERROR(VLOOKUP(TableHandbook[[#This Row],[UDC]],TableSTRUVARTM[],7,FALSE),"")</f>
        <v/>
      </c>
    </row>
    <row r="33" spans="1:65" x14ac:dyDescent="0.25">
      <c r="A33" s="261" t="s">
        <v>498</v>
      </c>
      <c r="B33" s="12">
        <v>1</v>
      </c>
      <c r="C33" s="11"/>
      <c r="D33" s="11" t="s">
        <v>571</v>
      </c>
      <c r="E33" s="12">
        <v>25</v>
      </c>
      <c r="F33" s="131" t="s">
        <v>572</v>
      </c>
      <c r="G33" s="126" t="str">
        <f>IFERROR(IF(VLOOKUP(TableHandbook[[#This Row],[UDC]],TableAvailabilities[],2,FALSE)&gt;0,"Y",""),"")</f>
        <v>Y</v>
      </c>
      <c r="H33" s="102" t="str">
        <f>IFERROR(IF(VLOOKUP(TableHandbook[[#This Row],[UDC]],TableAvailabilities[],3,FALSE)&gt;0,"Y",""),"")</f>
        <v/>
      </c>
      <c r="I33" s="127" t="str">
        <f>IFERROR(IF(VLOOKUP(TableHandbook[[#This Row],[UDC]],TableAvailabilities[],4,FALSE)&gt;0,"Y",""),"")</f>
        <v/>
      </c>
      <c r="J33" s="128" t="str">
        <f>IFERROR(IF(VLOOKUP(TableHandbook[[#This Row],[UDC]],TableAvailabilities[],5,FALSE)&gt;0,"Y",""),"")</f>
        <v/>
      </c>
      <c r="K33" s="128" t="str">
        <f>IFERROR(IF(VLOOKUP(TableHandbook[[#This Row],[UDC]],TableAvailabilities[],6,FALSE)&gt;0,"Y",""),"")</f>
        <v/>
      </c>
      <c r="L33" s="127" t="str">
        <f>IFERROR(IF(VLOOKUP(TableHandbook[[#This Row],[UDC]],TableAvailabilities[],7,FALSE)&gt;0,"Y",""),"")</f>
        <v/>
      </c>
      <c r="M33" s="207"/>
      <c r="N33" s="204" t="str">
        <f>IFERROR(VLOOKUP(TableHandbook[[#This Row],[UDC]],TableBEDUC[],7,FALSE),"")</f>
        <v/>
      </c>
      <c r="O33" s="193" t="str">
        <f>IFERROR(VLOOKUP(TableHandbook[[#This Row],[UDC]],TableBEDEC[],7,FALSE),"")</f>
        <v/>
      </c>
      <c r="P33" s="193" t="str">
        <f>IFERROR(VLOOKUP(TableHandbook[[#This Row],[UDC]],TableBEDPR[],7,FALSE),"")</f>
        <v/>
      </c>
      <c r="Q33" s="193" t="str">
        <f>IFERROR(VLOOKUP(TableHandbook[[#This Row],[UDC]],TableSTRUCATHL[],7,FALSE),"")</f>
        <v/>
      </c>
      <c r="R33" s="193" t="str">
        <f>IFERROR(VLOOKUP(TableHandbook[[#This Row],[UDC]],TableSTRUENGLL[],7,FALSE),"")</f>
        <v/>
      </c>
      <c r="S33" s="193" t="str">
        <f>IFERROR(VLOOKUP(TableHandbook[[#This Row],[UDC]],TableSTRUINTBC[],7,FALSE),"")</f>
        <v/>
      </c>
      <c r="T33" s="193" t="str">
        <f>IFERROR(VLOOKUP(TableHandbook[[#This Row],[UDC]],TableSTRUISTEM[],7,FALSE),"")</f>
        <v/>
      </c>
      <c r="U33" s="193" t="str">
        <f>IFERROR(VLOOKUP(TableHandbook[[#This Row],[UDC]],TableSTRULITNU[],7,FALSE),"")</f>
        <v/>
      </c>
      <c r="V33" s="193" t="str">
        <f>IFERROR(VLOOKUP(TableHandbook[[#This Row],[UDC]],TableSTRUTECHS[],7,FALSE),"")</f>
        <v/>
      </c>
      <c r="W33" s="193" t="str">
        <f>IFERROR(VLOOKUP(TableHandbook[[#This Row],[UDC]],TableBEDSC[],7,FALSE),"")</f>
        <v/>
      </c>
      <c r="X33" s="193" t="str">
        <f>IFERROR(VLOOKUP(TableHandbook[[#This Row],[UDC]],TableMJRUARTDR[],7,FALSE),"")</f>
        <v/>
      </c>
      <c r="Y33" s="193" t="str">
        <f>IFERROR(VLOOKUP(TableHandbook[[#This Row],[UDC]],TableMJRUARTME[],7,FALSE),"")</f>
        <v/>
      </c>
      <c r="Z33" s="193" t="str">
        <f>IFERROR(VLOOKUP(TableHandbook[[#This Row],[UDC]],TableMJRUARTVA[],7,FALSE),"")</f>
        <v/>
      </c>
      <c r="AA33" s="193" t="str">
        <f>IFERROR(VLOOKUP(TableHandbook[[#This Row],[UDC]],TableMJRUENGLT[],7,FALSE),"")</f>
        <v/>
      </c>
      <c r="AB33" s="193" t="str">
        <f>IFERROR(VLOOKUP(TableHandbook[[#This Row],[UDC]],TableMJRUHLTPE[],7,FALSE),"")</f>
        <v/>
      </c>
      <c r="AC33" s="193" t="str">
        <f>IFERROR(VLOOKUP(TableHandbook[[#This Row],[UDC]],TableMJRUHUSEC[],7,FALSE),"")</f>
        <v/>
      </c>
      <c r="AD33" s="193" t="str">
        <f>IFERROR(VLOOKUP(TableHandbook[[#This Row],[UDC]],TableMJRUHUSGE[],7,FALSE),"")</f>
        <v/>
      </c>
      <c r="AE33" s="193" t="str">
        <f>IFERROR(VLOOKUP(TableHandbook[[#This Row],[UDC]],TableMJRUHUSHI[],7,FALSE),"")</f>
        <v/>
      </c>
      <c r="AF33" s="193" t="str">
        <f>IFERROR(VLOOKUP(TableHandbook[[#This Row],[UDC]],TableMJRUHUSPL[],7,FALSE),"")</f>
        <v/>
      </c>
      <c r="AG33" s="193" t="str">
        <f>IFERROR(VLOOKUP(TableHandbook[[#This Row],[UDC]],TableMJRUMATHT[],7,FALSE),"")</f>
        <v/>
      </c>
      <c r="AH33" s="193" t="str">
        <f>IFERROR(VLOOKUP(TableHandbook[[#This Row],[UDC]],TableMJRUSCIBI[],7,FALSE),"")</f>
        <v/>
      </c>
      <c r="AI33" s="193" t="str">
        <f>IFERROR(VLOOKUP(TableHandbook[[#This Row],[UDC]],TableMJRUSCICH[],7,FALSE),"")</f>
        <v/>
      </c>
      <c r="AJ33" s="193" t="str">
        <f>IFERROR(VLOOKUP(TableHandbook[[#This Row],[UDC]],TableMJRUSCIHB[],7,FALSE),"")</f>
        <v/>
      </c>
      <c r="AK33" s="193" t="str">
        <f>IFERROR(VLOOKUP(TableHandbook[[#This Row],[UDC]],TableMJRUSCIPH[],7,FALSE),"")</f>
        <v/>
      </c>
      <c r="AL33" s="193" t="str">
        <f>IFERROR(VLOOKUP(TableHandbook[[#This Row],[UDC]],TableMJRUSCIPS[],7,FALSE),"")</f>
        <v/>
      </c>
      <c r="AM33" s="202"/>
      <c r="AN33" s="200" t="str">
        <f>IFERROR(VLOOKUP(TableHandbook[[#This Row],[UDC]],TableSTRUBIOLB[],7,FALSE),"")</f>
        <v/>
      </c>
      <c r="AO33" s="200" t="str">
        <f>IFERROR(VLOOKUP(TableHandbook[[#This Row],[UDC]],TableSTRUBSCIM[],7,FALSE),"")</f>
        <v/>
      </c>
      <c r="AP33" s="200" t="str">
        <f>IFERROR(VLOOKUP(TableHandbook[[#This Row],[UDC]],TableSTRUCHEMB[],7,FALSE),"")</f>
        <v>Core</v>
      </c>
      <c r="AQ33" s="200" t="str">
        <f>IFERROR(VLOOKUP(TableHandbook[[#This Row],[UDC]],TableSTRUECOB1[],7,FALSE),"")</f>
        <v/>
      </c>
      <c r="AR33" s="200" t="str">
        <f>IFERROR(VLOOKUP(TableHandbook[[#This Row],[UDC]],TableSTRUEDART[],7,FALSE),"")</f>
        <v/>
      </c>
      <c r="AS33" s="200" t="str">
        <f>IFERROR(VLOOKUP(TableHandbook[[#This Row],[UDC]],TableSTRUEDENG[],7,FALSE),"")</f>
        <v/>
      </c>
      <c r="AT33" s="200" t="str">
        <f>IFERROR(VLOOKUP(TableHandbook[[#This Row],[UDC]],TableSTRUEDHAS[],7,FALSE),"")</f>
        <v/>
      </c>
      <c r="AU33" s="200" t="str">
        <f>IFERROR(VLOOKUP(TableHandbook[[#This Row],[UDC]],TableSTRUEDMAT[],7,FALSE),"")</f>
        <v/>
      </c>
      <c r="AV33" s="200" t="str">
        <f>IFERROR(VLOOKUP(TableHandbook[[#This Row],[UDC]],TableSTRUEDSCI[],7,FALSE),"")</f>
        <v/>
      </c>
      <c r="AW33" s="200" t="str">
        <f>IFERROR(VLOOKUP(TableHandbook[[#This Row],[UDC]],TableSTRUENGLB[],7,FALSE),"")</f>
        <v/>
      </c>
      <c r="AX33" s="200" t="str">
        <f>IFERROR(VLOOKUP(TableHandbook[[#This Row],[UDC]],TableSTRUENGLM[],7,FALSE),"")</f>
        <v/>
      </c>
      <c r="AY33" s="200" t="str">
        <f>IFERROR(VLOOKUP(TableHandbook[[#This Row],[UDC]],TableSTRUGEOB1[],7,FALSE),"")</f>
        <v/>
      </c>
      <c r="AZ33" s="200" t="str">
        <f>IFERROR(VLOOKUP(TableHandbook[[#This Row],[UDC]],TableSTRUHISB1[],7,FALSE),"")</f>
        <v/>
      </c>
      <c r="BA33" s="200" t="str">
        <f>IFERROR(VLOOKUP(TableHandbook[[#This Row],[UDC]],TableSTRUHUMAM[],7,FALSE),"")</f>
        <v/>
      </c>
      <c r="BB33" s="200" t="str">
        <f>IFERROR(VLOOKUP(TableHandbook[[#This Row],[UDC]],TableSTRUHUMBB[],7,FALSE),"")</f>
        <v/>
      </c>
      <c r="BC33" s="200" t="str">
        <f>IFERROR(VLOOKUP(TableHandbook[[#This Row],[UDC]],TableSTRUMATHB[],7,FALSE),"")</f>
        <v/>
      </c>
      <c r="BD33" s="200" t="str">
        <f>IFERROR(VLOOKUP(TableHandbook[[#This Row],[UDC]],TableSTRUMATHM[],7,FALSE),"")</f>
        <v/>
      </c>
      <c r="BE33" s="200" t="str">
        <f>IFERROR(VLOOKUP(TableHandbook[[#This Row],[UDC]],TableSTRUPARTB[],7,FALSE),"")</f>
        <v/>
      </c>
      <c r="BF33" s="200" t="str">
        <f>IFERROR(VLOOKUP(TableHandbook[[#This Row],[UDC]],TableSTRUPARTM[],7,FALSE),"")</f>
        <v/>
      </c>
      <c r="BG33" s="200" t="str">
        <f>IFERROR(VLOOKUP(TableHandbook[[#This Row],[UDC]],TableSTRUPOLB1[],7,FALSE),"")</f>
        <v/>
      </c>
      <c r="BH33" s="200" t="str">
        <f>IFERROR(VLOOKUP(TableHandbook[[#This Row],[UDC]],TableSTRUPSCIM[],7,FALSE),"")</f>
        <v/>
      </c>
      <c r="BI33" s="200" t="str">
        <f>IFERROR(VLOOKUP(TableHandbook[[#This Row],[UDC]],TableSTRUPSYCB[],7,FALSE),"")</f>
        <v/>
      </c>
      <c r="BJ33" s="200" t="str">
        <f>IFERROR(VLOOKUP(TableHandbook[[#This Row],[UDC]],TableSTRUPSYCM[],7,FALSE),"")</f>
        <v/>
      </c>
      <c r="BK33" s="200" t="str">
        <f>IFERROR(VLOOKUP(TableHandbook[[#This Row],[UDC]],TableSTRUSOSCM[],7,FALSE),"")</f>
        <v/>
      </c>
      <c r="BL33" s="200" t="str">
        <f>IFERROR(VLOOKUP(TableHandbook[[#This Row],[UDC]],TableSTRUVARTB[],7,FALSE),"")</f>
        <v/>
      </c>
      <c r="BM33" s="200" t="str">
        <f>IFERROR(VLOOKUP(TableHandbook[[#This Row],[UDC]],TableSTRUVARTM[],7,FALSE),"")</f>
        <v/>
      </c>
    </row>
    <row r="34" spans="1:65" x14ac:dyDescent="0.25">
      <c r="A34" s="261" t="s">
        <v>490</v>
      </c>
      <c r="B34" s="12">
        <v>1</v>
      </c>
      <c r="C34" s="11"/>
      <c r="D34" s="11" t="s">
        <v>573</v>
      </c>
      <c r="E34" s="12">
        <v>25</v>
      </c>
      <c r="F34" s="131" t="s">
        <v>310</v>
      </c>
      <c r="G34" s="126" t="str">
        <f>IFERROR(IF(VLOOKUP(TableHandbook[[#This Row],[UDC]],TableAvailabilities[],2,FALSE)&gt;0,"Y",""),"")</f>
        <v/>
      </c>
      <c r="H34" s="102" t="str">
        <f>IFERROR(IF(VLOOKUP(TableHandbook[[#This Row],[UDC]],TableAvailabilities[],3,FALSE)&gt;0,"Y",""),"")</f>
        <v/>
      </c>
      <c r="I34" s="127" t="str">
        <f>IFERROR(IF(VLOOKUP(TableHandbook[[#This Row],[UDC]],TableAvailabilities[],4,FALSE)&gt;0,"Y",""),"")</f>
        <v/>
      </c>
      <c r="J34" s="128" t="str">
        <f>IFERROR(IF(VLOOKUP(TableHandbook[[#This Row],[UDC]],TableAvailabilities[],5,FALSE)&gt;0,"Y",""),"")</f>
        <v>Y</v>
      </c>
      <c r="K34" s="128" t="str">
        <f>IFERROR(IF(VLOOKUP(TableHandbook[[#This Row],[UDC]],TableAvailabilities[],6,FALSE)&gt;0,"Y",""),"")</f>
        <v/>
      </c>
      <c r="L34" s="127" t="str">
        <f>IFERROR(IF(VLOOKUP(TableHandbook[[#This Row],[UDC]],TableAvailabilities[],7,FALSE)&gt;0,"Y",""),"")</f>
        <v/>
      </c>
      <c r="M34" s="207"/>
      <c r="N34" s="204" t="str">
        <f>IFERROR(VLOOKUP(TableHandbook[[#This Row],[UDC]],TableBEDUC[],7,FALSE),"")</f>
        <v/>
      </c>
      <c r="O34" s="193" t="str">
        <f>IFERROR(VLOOKUP(TableHandbook[[#This Row],[UDC]],TableBEDEC[],7,FALSE),"")</f>
        <v/>
      </c>
      <c r="P34" s="193" t="str">
        <f>IFERROR(VLOOKUP(TableHandbook[[#This Row],[UDC]],TableBEDPR[],7,FALSE),"")</f>
        <v/>
      </c>
      <c r="Q34" s="193" t="str">
        <f>IFERROR(VLOOKUP(TableHandbook[[#This Row],[UDC]],TableSTRUCATHL[],7,FALSE),"")</f>
        <v/>
      </c>
      <c r="R34" s="193" t="str">
        <f>IFERROR(VLOOKUP(TableHandbook[[#This Row],[UDC]],TableSTRUENGLL[],7,FALSE),"")</f>
        <v/>
      </c>
      <c r="S34" s="193" t="str">
        <f>IFERROR(VLOOKUP(TableHandbook[[#This Row],[UDC]],TableSTRUINTBC[],7,FALSE),"")</f>
        <v/>
      </c>
      <c r="T34" s="193" t="str">
        <f>IFERROR(VLOOKUP(TableHandbook[[#This Row],[UDC]],TableSTRUISTEM[],7,FALSE),"")</f>
        <v/>
      </c>
      <c r="U34" s="193" t="str">
        <f>IFERROR(VLOOKUP(TableHandbook[[#This Row],[UDC]],TableSTRULITNU[],7,FALSE),"")</f>
        <v/>
      </c>
      <c r="V34" s="193" t="str">
        <f>IFERROR(VLOOKUP(TableHandbook[[#This Row],[UDC]],TableSTRUTECHS[],7,FALSE),"")</f>
        <v/>
      </c>
      <c r="W34" s="193" t="str">
        <f>IFERROR(VLOOKUP(TableHandbook[[#This Row],[UDC]],TableBEDSC[],7,FALSE),"")</f>
        <v/>
      </c>
      <c r="X34" s="193" t="str">
        <f>IFERROR(VLOOKUP(TableHandbook[[#This Row],[UDC]],TableMJRUARTDR[],7,FALSE),"")</f>
        <v/>
      </c>
      <c r="Y34" s="193" t="str">
        <f>IFERROR(VLOOKUP(TableHandbook[[#This Row],[UDC]],TableMJRUARTME[],7,FALSE),"")</f>
        <v/>
      </c>
      <c r="Z34" s="193" t="str">
        <f>IFERROR(VLOOKUP(TableHandbook[[#This Row],[UDC]],TableMJRUARTVA[],7,FALSE),"")</f>
        <v/>
      </c>
      <c r="AA34" s="193" t="str">
        <f>IFERROR(VLOOKUP(TableHandbook[[#This Row],[UDC]],TableMJRUENGLT[],7,FALSE),"")</f>
        <v/>
      </c>
      <c r="AB34" s="193" t="str">
        <f>IFERROR(VLOOKUP(TableHandbook[[#This Row],[UDC]],TableMJRUHLTPE[],7,FALSE),"")</f>
        <v/>
      </c>
      <c r="AC34" s="193" t="str">
        <f>IFERROR(VLOOKUP(TableHandbook[[#This Row],[UDC]],TableMJRUHUSEC[],7,FALSE),"")</f>
        <v/>
      </c>
      <c r="AD34" s="193" t="str">
        <f>IFERROR(VLOOKUP(TableHandbook[[#This Row],[UDC]],TableMJRUHUSGE[],7,FALSE),"")</f>
        <v/>
      </c>
      <c r="AE34" s="193" t="str">
        <f>IFERROR(VLOOKUP(TableHandbook[[#This Row],[UDC]],TableMJRUHUSHI[],7,FALSE),"")</f>
        <v/>
      </c>
      <c r="AF34" s="193" t="str">
        <f>IFERROR(VLOOKUP(TableHandbook[[#This Row],[UDC]],TableMJRUHUSPL[],7,FALSE),"")</f>
        <v/>
      </c>
      <c r="AG34" s="193" t="str">
        <f>IFERROR(VLOOKUP(TableHandbook[[#This Row],[UDC]],TableMJRUMATHT[],7,FALSE),"")</f>
        <v/>
      </c>
      <c r="AH34" s="193" t="str">
        <f>IFERROR(VLOOKUP(TableHandbook[[#This Row],[UDC]],TableMJRUSCIBI[],7,FALSE),"")</f>
        <v/>
      </c>
      <c r="AI34" s="193" t="str">
        <f>IFERROR(VLOOKUP(TableHandbook[[#This Row],[UDC]],TableMJRUSCICH[],7,FALSE),"")</f>
        <v/>
      </c>
      <c r="AJ34" s="193" t="str">
        <f>IFERROR(VLOOKUP(TableHandbook[[#This Row],[UDC]],TableMJRUSCIHB[],7,FALSE),"")</f>
        <v/>
      </c>
      <c r="AK34" s="193" t="str">
        <f>IFERROR(VLOOKUP(TableHandbook[[#This Row],[UDC]],TableMJRUSCIPH[],7,FALSE),"")</f>
        <v/>
      </c>
      <c r="AL34" s="193" t="str">
        <f>IFERROR(VLOOKUP(TableHandbook[[#This Row],[UDC]],TableMJRUSCIPS[],7,FALSE),"")</f>
        <v/>
      </c>
      <c r="AM34" s="202"/>
      <c r="AN34" s="200" t="str">
        <f>IFERROR(VLOOKUP(TableHandbook[[#This Row],[UDC]],TableSTRUBIOLB[],7,FALSE),"")</f>
        <v/>
      </c>
      <c r="AO34" s="200" t="str">
        <f>IFERROR(VLOOKUP(TableHandbook[[#This Row],[UDC]],TableSTRUBSCIM[],7,FALSE),"")</f>
        <v/>
      </c>
      <c r="AP34" s="200" t="str">
        <f>IFERROR(VLOOKUP(TableHandbook[[#This Row],[UDC]],TableSTRUCHEMB[],7,FALSE),"")</f>
        <v/>
      </c>
      <c r="AQ34" s="200" t="str">
        <f>IFERROR(VLOOKUP(TableHandbook[[#This Row],[UDC]],TableSTRUECOB1[],7,FALSE),"")</f>
        <v/>
      </c>
      <c r="AR34" s="200" t="str">
        <f>IFERROR(VLOOKUP(TableHandbook[[#This Row],[UDC]],TableSTRUEDART[],7,FALSE),"")</f>
        <v/>
      </c>
      <c r="AS34" s="200" t="str">
        <f>IFERROR(VLOOKUP(TableHandbook[[#This Row],[UDC]],TableSTRUEDENG[],7,FALSE),"")</f>
        <v/>
      </c>
      <c r="AT34" s="200" t="str">
        <f>IFERROR(VLOOKUP(TableHandbook[[#This Row],[UDC]],TableSTRUEDHAS[],7,FALSE),"")</f>
        <v/>
      </c>
      <c r="AU34" s="200" t="str">
        <f>IFERROR(VLOOKUP(TableHandbook[[#This Row],[UDC]],TableSTRUEDMAT[],7,FALSE),"")</f>
        <v/>
      </c>
      <c r="AV34" s="200" t="str">
        <f>IFERROR(VLOOKUP(TableHandbook[[#This Row],[UDC]],TableSTRUEDSCI[],7,FALSE),"")</f>
        <v/>
      </c>
      <c r="AW34" s="200" t="str">
        <f>IFERROR(VLOOKUP(TableHandbook[[#This Row],[UDC]],TableSTRUENGLB[],7,FALSE),"")</f>
        <v/>
      </c>
      <c r="AX34" s="200" t="str">
        <f>IFERROR(VLOOKUP(TableHandbook[[#This Row],[UDC]],TableSTRUENGLM[],7,FALSE),"")</f>
        <v/>
      </c>
      <c r="AY34" s="200" t="str">
        <f>IFERROR(VLOOKUP(TableHandbook[[#This Row],[UDC]],TableSTRUGEOB1[],7,FALSE),"")</f>
        <v/>
      </c>
      <c r="AZ34" s="200" t="str">
        <f>IFERROR(VLOOKUP(TableHandbook[[#This Row],[UDC]],TableSTRUHISB1[],7,FALSE),"")</f>
        <v/>
      </c>
      <c r="BA34" s="200" t="str">
        <f>IFERROR(VLOOKUP(TableHandbook[[#This Row],[UDC]],TableSTRUHUMAM[],7,FALSE),"")</f>
        <v/>
      </c>
      <c r="BB34" s="200" t="str">
        <f>IFERROR(VLOOKUP(TableHandbook[[#This Row],[UDC]],TableSTRUHUMBB[],7,FALSE),"")</f>
        <v/>
      </c>
      <c r="BC34" s="200" t="str">
        <f>IFERROR(VLOOKUP(TableHandbook[[#This Row],[UDC]],TableSTRUMATHB[],7,FALSE),"")</f>
        <v/>
      </c>
      <c r="BD34" s="200" t="str">
        <f>IFERROR(VLOOKUP(TableHandbook[[#This Row],[UDC]],TableSTRUMATHM[],7,FALSE),"")</f>
        <v/>
      </c>
      <c r="BE34" s="200" t="str">
        <f>IFERROR(VLOOKUP(TableHandbook[[#This Row],[UDC]],TableSTRUPARTB[],7,FALSE),"")</f>
        <v/>
      </c>
      <c r="BF34" s="200" t="str">
        <f>IFERROR(VLOOKUP(TableHandbook[[#This Row],[UDC]],TableSTRUPARTM[],7,FALSE),"")</f>
        <v/>
      </c>
      <c r="BG34" s="200" t="str">
        <f>IFERROR(VLOOKUP(TableHandbook[[#This Row],[UDC]],TableSTRUPOLB1[],7,FALSE),"")</f>
        <v/>
      </c>
      <c r="BH34" s="200" t="str">
        <f>IFERROR(VLOOKUP(TableHandbook[[#This Row],[UDC]],TableSTRUPSCIM[],7,FALSE),"")</f>
        <v>Core</v>
      </c>
      <c r="BI34" s="200" t="str">
        <f>IFERROR(VLOOKUP(TableHandbook[[#This Row],[UDC]],TableSTRUPSYCB[],7,FALSE),"")</f>
        <v/>
      </c>
      <c r="BJ34" s="200" t="str">
        <f>IFERROR(VLOOKUP(TableHandbook[[#This Row],[UDC]],TableSTRUPSYCM[],7,FALSE),"")</f>
        <v/>
      </c>
      <c r="BK34" s="200" t="str">
        <f>IFERROR(VLOOKUP(TableHandbook[[#This Row],[UDC]],TableSTRUSOSCM[],7,FALSE),"")</f>
        <v/>
      </c>
      <c r="BL34" s="200" t="str">
        <f>IFERROR(VLOOKUP(TableHandbook[[#This Row],[UDC]],TableSTRUVARTB[],7,FALSE),"")</f>
        <v/>
      </c>
      <c r="BM34" s="200" t="str">
        <f>IFERROR(VLOOKUP(TableHandbook[[#This Row],[UDC]],TableSTRUVARTM[],7,FALSE),"")</f>
        <v/>
      </c>
    </row>
    <row r="35" spans="1:65" x14ac:dyDescent="0.25">
      <c r="A35" s="262" t="s">
        <v>373</v>
      </c>
      <c r="B35" s="12">
        <v>1</v>
      </c>
      <c r="C35" s="11"/>
      <c r="D35" s="11" t="s">
        <v>574</v>
      </c>
      <c r="E35" s="12">
        <v>25</v>
      </c>
      <c r="F35" s="131" t="s">
        <v>572</v>
      </c>
      <c r="G35" s="126" t="str">
        <f>IFERROR(IF(VLOOKUP(TableHandbook[[#This Row],[UDC]],TableAvailabilities[],2,FALSE)&gt;0,"Y",""),"")</f>
        <v>Y</v>
      </c>
      <c r="H35" s="102" t="str">
        <f>IFERROR(IF(VLOOKUP(TableHandbook[[#This Row],[UDC]],TableAvailabilities[],3,FALSE)&gt;0,"Y",""),"")</f>
        <v/>
      </c>
      <c r="I35" s="127" t="str">
        <f>IFERROR(IF(VLOOKUP(TableHandbook[[#This Row],[UDC]],TableAvailabilities[],4,FALSE)&gt;0,"Y",""),"")</f>
        <v/>
      </c>
      <c r="J35" s="128" t="str">
        <f>IFERROR(IF(VLOOKUP(TableHandbook[[#This Row],[UDC]],TableAvailabilities[],5,FALSE)&gt;0,"Y",""),"")</f>
        <v/>
      </c>
      <c r="K35" s="128" t="str">
        <f>IFERROR(IF(VLOOKUP(TableHandbook[[#This Row],[UDC]],TableAvailabilities[],6,FALSE)&gt;0,"Y",""),"")</f>
        <v/>
      </c>
      <c r="L35" s="127" t="str">
        <f>IFERROR(IF(VLOOKUP(TableHandbook[[#This Row],[UDC]],TableAvailabilities[],7,FALSE)&gt;0,"Y",""),"")</f>
        <v/>
      </c>
      <c r="M35" s="207"/>
      <c r="N35" s="204" t="str">
        <f>IFERROR(VLOOKUP(TableHandbook[[#This Row],[UDC]],TableBEDUC[],7,FALSE),"")</f>
        <v/>
      </c>
      <c r="O35" s="193" t="str">
        <f>IFERROR(VLOOKUP(TableHandbook[[#This Row],[UDC]],TableBEDEC[],7,FALSE),"")</f>
        <v/>
      </c>
      <c r="P35" s="193" t="str">
        <f>IFERROR(VLOOKUP(TableHandbook[[#This Row],[UDC]],TableBEDPR[],7,FALSE),"")</f>
        <v/>
      </c>
      <c r="Q35" s="193" t="str">
        <f>IFERROR(VLOOKUP(TableHandbook[[#This Row],[UDC]],TableSTRUCATHL[],7,FALSE),"")</f>
        <v/>
      </c>
      <c r="R35" s="193" t="str">
        <f>IFERROR(VLOOKUP(TableHandbook[[#This Row],[UDC]],TableSTRUENGLL[],7,FALSE),"")</f>
        <v/>
      </c>
      <c r="S35" s="193" t="str">
        <f>IFERROR(VLOOKUP(TableHandbook[[#This Row],[UDC]],TableSTRUINTBC[],7,FALSE),"")</f>
        <v/>
      </c>
      <c r="T35" s="193" t="str">
        <f>IFERROR(VLOOKUP(TableHandbook[[#This Row],[UDC]],TableSTRUISTEM[],7,FALSE),"")</f>
        <v/>
      </c>
      <c r="U35" s="193" t="str">
        <f>IFERROR(VLOOKUP(TableHandbook[[#This Row],[UDC]],TableSTRULITNU[],7,FALSE),"")</f>
        <v/>
      </c>
      <c r="V35" s="193" t="str">
        <f>IFERROR(VLOOKUP(TableHandbook[[#This Row],[UDC]],TableSTRUTECHS[],7,FALSE),"")</f>
        <v/>
      </c>
      <c r="W35" s="193" t="str">
        <f>IFERROR(VLOOKUP(TableHandbook[[#This Row],[UDC]],TableBEDSC[],7,FALSE),"")</f>
        <v/>
      </c>
      <c r="X35" s="193" t="str">
        <f>IFERROR(VLOOKUP(TableHandbook[[#This Row],[UDC]],TableMJRUARTDR[],7,FALSE),"")</f>
        <v/>
      </c>
      <c r="Y35" s="193" t="str">
        <f>IFERROR(VLOOKUP(TableHandbook[[#This Row],[UDC]],TableMJRUARTME[],7,FALSE),"")</f>
        <v/>
      </c>
      <c r="Z35" s="193" t="str">
        <f>IFERROR(VLOOKUP(TableHandbook[[#This Row],[UDC]],TableMJRUARTVA[],7,FALSE),"")</f>
        <v/>
      </c>
      <c r="AA35" s="193" t="str">
        <f>IFERROR(VLOOKUP(TableHandbook[[#This Row],[UDC]],TableMJRUENGLT[],7,FALSE),"")</f>
        <v/>
      </c>
      <c r="AB35" s="193" t="str">
        <f>IFERROR(VLOOKUP(TableHandbook[[#This Row],[UDC]],TableMJRUHLTPE[],7,FALSE),"")</f>
        <v/>
      </c>
      <c r="AC35" s="193" t="str">
        <f>IFERROR(VLOOKUP(TableHandbook[[#This Row],[UDC]],TableMJRUHUSEC[],7,FALSE),"")</f>
        <v/>
      </c>
      <c r="AD35" s="193" t="str">
        <f>IFERROR(VLOOKUP(TableHandbook[[#This Row],[UDC]],TableMJRUHUSGE[],7,FALSE),"")</f>
        <v/>
      </c>
      <c r="AE35" s="193" t="str">
        <f>IFERROR(VLOOKUP(TableHandbook[[#This Row],[UDC]],TableMJRUHUSHI[],7,FALSE),"")</f>
        <v/>
      </c>
      <c r="AF35" s="193" t="str">
        <f>IFERROR(VLOOKUP(TableHandbook[[#This Row],[UDC]],TableMJRUHUSPL[],7,FALSE),"")</f>
        <v/>
      </c>
      <c r="AG35" s="193" t="str">
        <f>IFERROR(VLOOKUP(TableHandbook[[#This Row],[UDC]],TableMJRUMATHT[],7,FALSE),"")</f>
        <v/>
      </c>
      <c r="AH35" s="193" t="str">
        <f>IFERROR(VLOOKUP(TableHandbook[[#This Row],[UDC]],TableMJRUSCIBI[],7,FALSE),"")</f>
        <v/>
      </c>
      <c r="AI35" s="193" t="str">
        <f>IFERROR(VLOOKUP(TableHandbook[[#This Row],[UDC]],TableMJRUSCICH[],7,FALSE),"")</f>
        <v>Core</v>
      </c>
      <c r="AJ35" s="193" t="str">
        <f>IFERROR(VLOOKUP(TableHandbook[[#This Row],[UDC]],TableMJRUSCIHB[],7,FALSE),"")</f>
        <v/>
      </c>
      <c r="AK35" s="193" t="str">
        <f>IFERROR(VLOOKUP(TableHandbook[[#This Row],[UDC]],TableMJRUSCIPH[],7,FALSE),"")</f>
        <v/>
      </c>
      <c r="AL35" s="193" t="str">
        <f>IFERROR(VLOOKUP(TableHandbook[[#This Row],[UDC]],TableMJRUSCIPS[],7,FALSE),"")</f>
        <v/>
      </c>
      <c r="AM35" s="202"/>
      <c r="AN35" s="200" t="str">
        <f>IFERROR(VLOOKUP(TableHandbook[[#This Row],[UDC]],TableSTRUBIOLB[],7,FALSE),"")</f>
        <v/>
      </c>
      <c r="AO35" s="200" t="str">
        <f>IFERROR(VLOOKUP(TableHandbook[[#This Row],[UDC]],TableSTRUBSCIM[],7,FALSE),"")</f>
        <v/>
      </c>
      <c r="AP35" s="200" t="str">
        <f>IFERROR(VLOOKUP(TableHandbook[[#This Row],[UDC]],TableSTRUCHEMB[],7,FALSE),"")</f>
        <v/>
      </c>
      <c r="AQ35" s="200" t="str">
        <f>IFERROR(VLOOKUP(TableHandbook[[#This Row],[UDC]],TableSTRUECOB1[],7,FALSE),"")</f>
        <v/>
      </c>
      <c r="AR35" s="200" t="str">
        <f>IFERROR(VLOOKUP(TableHandbook[[#This Row],[UDC]],TableSTRUEDART[],7,FALSE),"")</f>
        <v/>
      </c>
      <c r="AS35" s="200" t="str">
        <f>IFERROR(VLOOKUP(TableHandbook[[#This Row],[UDC]],TableSTRUEDENG[],7,FALSE),"")</f>
        <v/>
      </c>
      <c r="AT35" s="200" t="str">
        <f>IFERROR(VLOOKUP(TableHandbook[[#This Row],[UDC]],TableSTRUEDHAS[],7,FALSE),"")</f>
        <v/>
      </c>
      <c r="AU35" s="200" t="str">
        <f>IFERROR(VLOOKUP(TableHandbook[[#This Row],[UDC]],TableSTRUEDMAT[],7,FALSE),"")</f>
        <v/>
      </c>
      <c r="AV35" s="200" t="str">
        <f>IFERROR(VLOOKUP(TableHandbook[[#This Row],[UDC]],TableSTRUEDSCI[],7,FALSE),"")</f>
        <v/>
      </c>
      <c r="AW35" s="200" t="str">
        <f>IFERROR(VLOOKUP(TableHandbook[[#This Row],[UDC]],TableSTRUENGLB[],7,FALSE),"")</f>
        <v/>
      </c>
      <c r="AX35" s="200" t="str">
        <f>IFERROR(VLOOKUP(TableHandbook[[#This Row],[UDC]],TableSTRUENGLM[],7,FALSE),"")</f>
        <v/>
      </c>
      <c r="AY35" s="200" t="str">
        <f>IFERROR(VLOOKUP(TableHandbook[[#This Row],[UDC]],TableSTRUGEOB1[],7,FALSE),"")</f>
        <v/>
      </c>
      <c r="AZ35" s="200" t="str">
        <f>IFERROR(VLOOKUP(TableHandbook[[#This Row],[UDC]],TableSTRUHISB1[],7,FALSE),"")</f>
        <v/>
      </c>
      <c r="BA35" s="200" t="str">
        <f>IFERROR(VLOOKUP(TableHandbook[[#This Row],[UDC]],TableSTRUHUMAM[],7,FALSE),"")</f>
        <v/>
      </c>
      <c r="BB35" s="200" t="str">
        <f>IFERROR(VLOOKUP(TableHandbook[[#This Row],[UDC]],TableSTRUHUMBB[],7,FALSE),"")</f>
        <v/>
      </c>
      <c r="BC35" s="200" t="str">
        <f>IFERROR(VLOOKUP(TableHandbook[[#This Row],[UDC]],TableSTRUMATHB[],7,FALSE),"")</f>
        <v/>
      </c>
      <c r="BD35" s="200" t="str">
        <f>IFERROR(VLOOKUP(TableHandbook[[#This Row],[UDC]],TableSTRUMATHM[],7,FALSE),"")</f>
        <v/>
      </c>
      <c r="BE35" s="200" t="str">
        <f>IFERROR(VLOOKUP(TableHandbook[[#This Row],[UDC]],TableSTRUPARTB[],7,FALSE),"")</f>
        <v/>
      </c>
      <c r="BF35" s="200" t="str">
        <f>IFERROR(VLOOKUP(TableHandbook[[#This Row],[UDC]],TableSTRUPARTM[],7,FALSE),"")</f>
        <v/>
      </c>
      <c r="BG35" s="200" t="str">
        <f>IFERROR(VLOOKUP(TableHandbook[[#This Row],[UDC]],TableSTRUPOLB1[],7,FALSE),"")</f>
        <v/>
      </c>
      <c r="BH35" s="200" t="str">
        <f>IFERROR(VLOOKUP(TableHandbook[[#This Row],[UDC]],TableSTRUPSCIM[],7,FALSE),"")</f>
        <v/>
      </c>
      <c r="BI35" s="200" t="str">
        <f>IFERROR(VLOOKUP(TableHandbook[[#This Row],[UDC]],TableSTRUPSYCB[],7,FALSE),"")</f>
        <v/>
      </c>
      <c r="BJ35" s="200" t="str">
        <f>IFERROR(VLOOKUP(TableHandbook[[#This Row],[UDC]],TableSTRUPSYCM[],7,FALSE),"")</f>
        <v/>
      </c>
      <c r="BK35" s="200" t="str">
        <f>IFERROR(VLOOKUP(TableHandbook[[#This Row],[UDC]],TableSTRUSOSCM[],7,FALSE),"")</f>
        <v/>
      </c>
      <c r="BL35" s="200" t="str">
        <f>IFERROR(VLOOKUP(TableHandbook[[#This Row],[UDC]],TableSTRUVARTB[],7,FALSE),"")</f>
        <v/>
      </c>
      <c r="BM35" s="200" t="str">
        <f>IFERROR(VLOOKUP(TableHandbook[[#This Row],[UDC]],TableSTRUVARTM[],7,FALSE),"")</f>
        <v/>
      </c>
    </row>
    <row r="36" spans="1:65" x14ac:dyDescent="0.25">
      <c r="A36" s="262" t="s">
        <v>357</v>
      </c>
      <c r="B36" s="12">
        <v>1</v>
      </c>
      <c r="C36" s="11"/>
      <c r="D36" s="11" t="s">
        <v>575</v>
      </c>
      <c r="E36" s="12">
        <v>25</v>
      </c>
      <c r="F36" s="131" t="s">
        <v>572</v>
      </c>
      <c r="G36" s="126" t="str">
        <f>IFERROR(IF(VLOOKUP(TableHandbook[[#This Row],[UDC]],TableAvailabilities[],2,FALSE)&gt;0,"Y",""),"")</f>
        <v/>
      </c>
      <c r="H36" s="102" t="str">
        <f>IFERROR(IF(VLOOKUP(TableHandbook[[#This Row],[UDC]],TableAvailabilities[],3,FALSE)&gt;0,"Y",""),"")</f>
        <v/>
      </c>
      <c r="I36" s="127" t="str">
        <f>IFERROR(IF(VLOOKUP(TableHandbook[[#This Row],[UDC]],TableAvailabilities[],4,FALSE)&gt;0,"Y",""),"")</f>
        <v/>
      </c>
      <c r="J36" s="128" t="str">
        <f>IFERROR(IF(VLOOKUP(TableHandbook[[#This Row],[UDC]],TableAvailabilities[],5,FALSE)&gt;0,"Y",""),"")</f>
        <v>Y</v>
      </c>
      <c r="K36" s="128" t="str">
        <f>IFERROR(IF(VLOOKUP(TableHandbook[[#This Row],[UDC]],TableAvailabilities[],6,FALSE)&gt;0,"Y",""),"")</f>
        <v/>
      </c>
      <c r="L36" s="127" t="str">
        <f>IFERROR(IF(VLOOKUP(TableHandbook[[#This Row],[UDC]],TableAvailabilities[],7,FALSE)&gt;0,"Y",""),"")</f>
        <v/>
      </c>
      <c r="M36" s="207"/>
      <c r="N36" s="204" t="str">
        <f>IFERROR(VLOOKUP(TableHandbook[[#This Row],[UDC]],TableBEDUC[],7,FALSE),"")</f>
        <v/>
      </c>
      <c r="O36" s="193" t="str">
        <f>IFERROR(VLOOKUP(TableHandbook[[#This Row],[UDC]],TableBEDEC[],7,FALSE),"")</f>
        <v/>
      </c>
      <c r="P36" s="193" t="str">
        <f>IFERROR(VLOOKUP(TableHandbook[[#This Row],[UDC]],TableBEDPR[],7,FALSE),"")</f>
        <v/>
      </c>
      <c r="Q36" s="193" t="str">
        <f>IFERROR(VLOOKUP(TableHandbook[[#This Row],[UDC]],TableSTRUCATHL[],7,FALSE),"")</f>
        <v/>
      </c>
      <c r="R36" s="193" t="str">
        <f>IFERROR(VLOOKUP(TableHandbook[[#This Row],[UDC]],TableSTRUENGLL[],7,FALSE),"")</f>
        <v/>
      </c>
      <c r="S36" s="193" t="str">
        <f>IFERROR(VLOOKUP(TableHandbook[[#This Row],[UDC]],TableSTRUINTBC[],7,FALSE),"")</f>
        <v/>
      </c>
      <c r="T36" s="193" t="str">
        <f>IFERROR(VLOOKUP(TableHandbook[[#This Row],[UDC]],TableSTRUISTEM[],7,FALSE),"")</f>
        <v/>
      </c>
      <c r="U36" s="193" t="str">
        <f>IFERROR(VLOOKUP(TableHandbook[[#This Row],[UDC]],TableSTRULITNU[],7,FALSE),"")</f>
        <v/>
      </c>
      <c r="V36" s="193" t="str">
        <f>IFERROR(VLOOKUP(TableHandbook[[#This Row],[UDC]],TableSTRUTECHS[],7,FALSE),"")</f>
        <v/>
      </c>
      <c r="W36" s="193" t="str">
        <f>IFERROR(VLOOKUP(TableHandbook[[#This Row],[UDC]],TableBEDSC[],7,FALSE),"")</f>
        <v/>
      </c>
      <c r="X36" s="193" t="str">
        <f>IFERROR(VLOOKUP(TableHandbook[[#This Row],[UDC]],TableMJRUARTDR[],7,FALSE),"")</f>
        <v/>
      </c>
      <c r="Y36" s="193" t="str">
        <f>IFERROR(VLOOKUP(TableHandbook[[#This Row],[UDC]],TableMJRUARTME[],7,FALSE),"")</f>
        <v/>
      </c>
      <c r="Z36" s="193" t="str">
        <f>IFERROR(VLOOKUP(TableHandbook[[#This Row],[UDC]],TableMJRUARTVA[],7,FALSE),"")</f>
        <v/>
      </c>
      <c r="AA36" s="193" t="str">
        <f>IFERROR(VLOOKUP(TableHandbook[[#This Row],[UDC]],TableMJRUENGLT[],7,FALSE),"")</f>
        <v/>
      </c>
      <c r="AB36" s="193" t="str">
        <f>IFERROR(VLOOKUP(TableHandbook[[#This Row],[UDC]],TableMJRUHLTPE[],7,FALSE),"")</f>
        <v/>
      </c>
      <c r="AC36" s="193" t="str">
        <f>IFERROR(VLOOKUP(TableHandbook[[#This Row],[UDC]],TableMJRUHUSEC[],7,FALSE),"")</f>
        <v/>
      </c>
      <c r="AD36" s="193" t="str">
        <f>IFERROR(VLOOKUP(TableHandbook[[#This Row],[UDC]],TableMJRUHUSGE[],7,FALSE),"")</f>
        <v/>
      </c>
      <c r="AE36" s="193" t="str">
        <f>IFERROR(VLOOKUP(TableHandbook[[#This Row],[UDC]],TableMJRUHUSHI[],7,FALSE),"")</f>
        <v/>
      </c>
      <c r="AF36" s="193" t="str">
        <f>IFERROR(VLOOKUP(TableHandbook[[#This Row],[UDC]],TableMJRUHUSPL[],7,FALSE),"")</f>
        <v/>
      </c>
      <c r="AG36" s="193" t="str">
        <f>IFERROR(VLOOKUP(TableHandbook[[#This Row],[UDC]],TableMJRUMATHT[],7,FALSE),"")</f>
        <v/>
      </c>
      <c r="AH36" s="193" t="str">
        <f>IFERROR(VLOOKUP(TableHandbook[[#This Row],[UDC]],TableMJRUSCIBI[],7,FALSE),"")</f>
        <v/>
      </c>
      <c r="AI36" s="193" t="str">
        <f>IFERROR(VLOOKUP(TableHandbook[[#This Row],[UDC]],TableMJRUSCICH[],7,FALSE),"")</f>
        <v>Core</v>
      </c>
      <c r="AJ36" s="193" t="str">
        <f>IFERROR(VLOOKUP(TableHandbook[[#This Row],[UDC]],TableMJRUSCIHB[],7,FALSE),"")</f>
        <v/>
      </c>
      <c r="AK36" s="193" t="str">
        <f>IFERROR(VLOOKUP(TableHandbook[[#This Row],[UDC]],TableMJRUSCIPH[],7,FALSE),"")</f>
        <v/>
      </c>
      <c r="AL36" s="193" t="str">
        <f>IFERROR(VLOOKUP(TableHandbook[[#This Row],[UDC]],TableMJRUSCIPS[],7,FALSE),"")</f>
        <v/>
      </c>
      <c r="AM36" s="202"/>
      <c r="AN36" s="200" t="str">
        <f>IFERROR(VLOOKUP(TableHandbook[[#This Row],[UDC]],TableSTRUBIOLB[],7,FALSE),"")</f>
        <v/>
      </c>
      <c r="AO36" s="200" t="str">
        <f>IFERROR(VLOOKUP(TableHandbook[[#This Row],[UDC]],TableSTRUBSCIM[],7,FALSE),"")</f>
        <v/>
      </c>
      <c r="AP36" s="200" t="str">
        <f>IFERROR(VLOOKUP(TableHandbook[[#This Row],[UDC]],TableSTRUCHEMB[],7,FALSE),"")</f>
        <v/>
      </c>
      <c r="AQ36" s="200" t="str">
        <f>IFERROR(VLOOKUP(TableHandbook[[#This Row],[UDC]],TableSTRUECOB1[],7,FALSE),"")</f>
        <v/>
      </c>
      <c r="AR36" s="200" t="str">
        <f>IFERROR(VLOOKUP(TableHandbook[[#This Row],[UDC]],TableSTRUEDART[],7,FALSE),"")</f>
        <v/>
      </c>
      <c r="AS36" s="200" t="str">
        <f>IFERROR(VLOOKUP(TableHandbook[[#This Row],[UDC]],TableSTRUEDENG[],7,FALSE),"")</f>
        <v/>
      </c>
      <c r="AT36" s="200" t="str">
        <f>IFERROR(VLOOKUP(TableHandbook[[#This Row],[UDC]],TableSTRUEDHAS[],7,FALSE),"")</f>
        <v/>
      </c>
      <c r="AU36" s="200" t="str">
        <f>IFERROR(VLOOKUP(TableHandbook[[#This Row],[UDC]],TableSTRUEDMAT[],7,FALSE),"")</f>
        <v/>
      </c>
      <c r="AV36" s="200" t="str">
        <f>IFERROR(VLOOKUP(TableHandbook[[#This Row],[UDC]],TableSTRUEDSCI[],7,FALSE),"")</f>
        <v/>
      </c>
      <c r="AW36" s="200" t="str">
        <f>IFERROR(VLOOKUP(TableHandbook[[#This Row],[UDC]],TableSTRUENGLB[],7,FALSE),"")</f>
        <v/>
      </c>
      <c r="AX36" s="200" t="str">
        <f>IFERROR(VLOOKUP(TableHandbook[[#This Row],[UDC]],TableSTRUENGLM[],7,FALSE),"")</f>
        <v/>
      </c>
      <c r="AY36" s="200" t="str">
        <f>IFERROR(VLOOKUP(TableHandbook[[#This Row],[UDC]],TableSTRUGEOB1[],7,FALSE),"")</f>
        <v/>
      </c>
      <c r="AZ36" s="200" t="str">
        <f>IFERROR(VLOOKUP(TableHandbook[[#This Row],[UDC]],TableSTRUHISB1[],7,FALSE),"")</f>
        <v/>
      </c>
      <c r="BA36" s="200" t="str">
        <f>IFERROR(VLOOKUP(TableHandbook[[#This Row],[UDC]],TableSTRUHUMAM[],7,FALSE),"")</f>
        <v/>
      </c>
      <c r="BB36" s="200" t="str">
        <f>IFERROR(VLOOKUP(TableHandbook[[#This Row],[UDC]],TableSTRUHUMBB[],7,FALSE),"")</f>
        <v/>
      </c>
      <c r="BC36" s="200" t="str">
        <f>IFERROR(VLOOKUP(TableHandbook[[#This Row],[UDC]],TableSTRUMATHB[],7,FALSE),"")</f>
        <v/>
      </c>
      <c r="BD36" s="200" t="str">
        <f>IFERROR(VLOOKUP(TableHandbook[[#This Row],[UDC]],TableSTRUMATHM[],7,FALSE),"")</f>
        <v/>
      </c>
      <c r="BE36" s="200" t="str">
        <f>IFERROR(VLOOKUP(TableHandbook[[#This Row],[UDC]],TableSTRUPARTB[],7,FALSE),"")</f>
        <v/>
      </c>
      <c r="BF36" s="200" t="str">
        <f>IFERROR(VLOOKUP(TableHandbook[[#This Row],[UDC]],TableSTRUPARTM[],7,FALSE),"")</f>
        <v/>
      </c>
      <c r="BG36" s="200" t="str">
        <f>IFERROR(VLOOKUP(TableHandbook[[#This Row],[UDC]],TableSTRUPOLB1[],7,FALSE),"")</f>
        <v/>
      </c>
      <c r="BH36" s="200" t="str">
        <f>IFERROR(VLOOKUP(TableHandbook[[#This Row],[UDC]],TableSTRUPSCIM[],7,FALSE),"")</f>
        <v/>
      </c>
      <c r="BI36" s="200" t="str">
        <f>IFERROR(VLOOKUP(TableHandbook[[#This Row],[UDC]],TableSTRUPSYCB[],7,FALSE),"")</f>
        <v/>
      </c>
      <c r="BJ36" s="200" t="str">
        <f>IFERROR(VLOOKUP(TableHandbook[[#This Row],[UDC]],TableSTRUPSYCM[],7,FALSE),"")</f>
        <v/>
      </c>
      <c r="BK36" s="200" t="str">
        <f>IFERROR(VLOOKUP(TableHandbook[[#This Row],[UDC]],TableSTRUSOSCM[],7,FALSE),"")</f>
        <v/>
      </c>
      <c r="BL36" s="200" t="str">
        <f>IFERROR(VLOOKUP(TableHandbook[[#This Row],[UDC]],TableSTRUVARTB[],7,FALSE),"")</f>
        <v/>
      </c>
      <c r="BM36" s="200" t="str">
        <f>IFERROR(VLOOKUP(TableHandbook[[#This Row],[UDC]],TableSTRUVARTM[],7,FALSE),"")</f>
        <v/>
      </c>
    </row>
    <row r="37" spans="1:65" x14ac:dyDescent="0.25">
      <c r="A37" s="261" t="s">
        <v>512</v>
      </c>
      <c r="B37" s="12">
        <v>1</v>
      </c>
      <c r="C37" s="11"/>
      <c r="D37" s="11" t="s">
        <v>576</v>
      </c>
      <c r="E37" s="12">
        <v>25</v>
      </c>
      <c r="F37" s="131" t="s">
        <v>577</v>
      </c>
      <c r="G37" s="126" t="str">
        <f>IFERROR(IF(VLOOKUP(TableHandbook[[#This Row],[UDC]],TableAvailabilities[],2,FALSE)&gt;0,"Y",""),"")</f>
        <v/>
      </c>
      <c r="H37" s="102" t="str">
        <f>IFERROR(IF(VLOOKUP(TableHandbook[[#This Row],[UDC]],TableAvailabilities[],3,FALSE)&gt;0,"Y",""),"")</f>
        <v/>
      </c>
      <c r="I37" s="127" t="str">
        <f>IFERROR(IF(VLOOKUP(TableHandbook[[#This Row],[UDC]],TableAvailabilities[],4,FALSE)&gt;0,"Y",""),"")</f>
        <v/>
      </c>
      <c r="J37" s="128" t="str">
        <f>IFERROR(IF(VLOOKUP(TableHandbook[[#This Row],[UDC]],TableAvailabilities[],5,FALSE)&gt;0,"Y",""),"")</f>
        <v>Y</v>
      </c>
      <c r="K37" s="128" t="str">
        <f>IFERROR(IF(VLOOKUP(TableHandbook[[#This Row],[UDC]],TableAvailabilities[],6,FALSE)&gt;0,"Y",""),"")</f>
        <v/>
      </c>
      <c r="L37" s="127" t="str">
        <f>IFERROR(IF(VLOOKUP(TableHandbook[[#This Row],[UDC]],TableAvailabilities[],7,FALSE)&gt;0,"Y",""),"")</f>
        <v/>
      </c>
      <c r="M37" s="207"/>
      <c r="N37" s="204" t="str">
        <f>IFERROR(VLOOKUP(TableHandbook[[#This Row],[UDC]],TableBEDUC[],7,FALSE),"")</f>
        <v/>
      </c>
      <c r="O37" s="193" t="str">
        <f>IFERROR(VLOOKUP(TableHandbook[[#This Row],[UDC]],TableBEDEC[],7,FALSE),"")</f>
        <v/>
      </c>
      <c r="P37" s="193" t="str">
        <f>IFERROR(VLOOKUP(TableHandbook[[#This Row],[UDC]],TableBEDPR[],7,FALSE),"")</f>
        <v/>
      </c>
      <c r="Q37" s="193" t="str">
        <f>IFERROR(VLOOKUP(TableHandbook[[#This Row],[UDC]],TableSTRUCATHL[],7,FALSE),"")</f>
        <v/>
      </c>
      <c r="R37" s="193" t="str">
        <f>IFERROR(VLOOKUP(TableHandbook[[#This Row],[UDC]],TableSTRUENGLL[],7,FALSE),"")</f>
        <v/>
      </c>
      <c r="S37" s="193" t="str">
        <f>IFERROR(VLOOKUP(TableHandbook[[#This Row],[UDC]],TableSTRUINTBC[],7,FALSE),"")</f>
        <v/>
      </c>
      <c r="T37" s="193" t="str">
        <f>IFERROR(VLOOKUP(TableHandbook[[#This Row],[UDC]],TableSTRUISTEM[],7,FALSE),"")</f>
        <v/>
      </c>
      <c r="U37" s="193" t="str">
        <f>IFERROR(VLOOKUP(TableHandbook[[#This Row],[UDC]],TableSTRULITNU[],7,FALSE),"")</f>
        <v/>
      </c>
      <c r="V37" s="193" t="str">
        <f>IFERROR(VLOOKUP(TableHandbook[[#This Row],[UDC]],TableSTRUTECHS[],7,FALSE),"")</f>
        <v/>
      </c>
      <c r="W37" s="193" t="str">
        <f>IFERROR(VLOOKUP(TableHandbook[[#This Row],[UDC]],TableBEDSC[],7,FALSE),"")</f>
        <v/>
      </c>
      <c r="X37" s="193" t="str">
        <f>IFERROR(VLOOKUP(TableHandbook[[#This Row],[UDC]],TableMJRUARTDR[],7,FALSE),"")</f>
        <v/>
      </c>
      <c r="Y37" s="193" t="str">
        <f>IFERROR(VLOOKUP(TableHandbook[[#This Row],[UDC]],TableMJRUARTME[],7,FALSE),"")</f>
        <v/>
      </c>
      <c r="Z37" s="193" t="str">
        <f>IFERROR(VLOOKUP(TableHandbook[[#This Row],[UDC]],TableMJRUARTVA[],7,FALSE),"")</f>
        <v/>
      </c>
      <c r="AA37" s="193" t="str">
        <f>IFERROR(VLOOKUP(TableHandbook[[#This Row],[UDC]],TableMJRUENGLT[],7,FALSE),"")</f>
        <v/>
      </c>
      <c r="AB37" s="193" t="str">
        <f>IFERROR(VLOOKUP(TableHandbook[[#This Row],[UDC]],TableMJRUHLTPE[],7,FALSE),"")</f>
        <v/>
      </c>
      <c r="AC37" s="193" t="str">
        <f>IFERROR(VLOOKUP(TableHandbook[[#This Row],[UDC]],TableMJRUHUSEC[],7,FALSE),"")</f>
        <v/>
      </c>
      <c r="AD37" s="193" t="str">
        <f>IFERROR(VLOOKUP(TableHandbook[[#This Row],[UDC]],TableMJRUHUSGE[],7,FALSE),"")</f>
        <v/>
      </c>
      <c r="AE37" s="193" t="str">
        <f>IFERROR(VLOOKUP(TableHandbook[[#This Row],[UDC]],TableMJRUHUSHI[],7,FALSE),"")</f>
        <v/>
      </c>
      <c r="AF37" s="193" t="str">
        <f>IFERROR(VLOOKUP(TableHandbook[[#This Row],[UDC]],TableMJRUHUSPL[],7,FALSE),"")</f>
        <v/>
      </c>
      <c r="AG37" s="193" t="str">
        <f>IFERROR(VLOOKUP(TableHandbook[[#This Row],[UDC]],TableMJRUMATHT[],7,FALSE),"")</f>
        <v/>
      </c>
      <c r="AH37" s="193" t="str">
        <f>IFERROR(VLOOKUP(TableHandbook[[#This Row],[UDC]],TableMJRUSCIBI[],7,FALSE),"")</f>
        <v/>
      </c>
      <c r="AI37" s="193" t="str">
        <f>IFERROR(VLOOKUP(TableHandbook[[#This Row],[UDC]],TableMJRUSCICH[],7,FALSE),"")</f>
        <v/>
      </c>
      <c r="AJ37" s="193" t="str">
        <f>IFERROR(VLOOKUP(TableHandbook[[#This Row],[UDC]],TableMJRUSCIHB[],7,FALSE),"")</f>
        <v/>
      </c>
      <c r="AK37" s="193" t="str">
        <f>IFERROR(VLOOKUP(TableHandbook[[#This Row],[UDC]],TableMJRUSCIPH[],7,FALSE),"")</f>
        <v/>
      </c>
      <c r="AL37" s="193" t="str">
        <f>IFERROR(VLOOKUP(TableHandbook[[#This Row],[UDC]],TableMJRUSCIPS[],7,FALSE),"")</f>
        <v/>
      </c>
      <c r="AM37" s="202"/>
      <c r="AN37" s="200" t="str">
        <f>IFERROR(VLOOKUP(TableHandbook[[#This Row],[UDC]],TableSTRUBIOLB[],7,FALSE),"")</f>
        <v/>
      </c>
      <c r="AO37" s="200" t="str">
        <f>IFERROR(VLOOKUP(TableHandbook[[#This Row],[UDC]],TableSTRUBSCIM[],7,FALSE),"")</f>
        <v/>
      </c>
      <c r="AP37" s="200" t="str">
        <f>IFERROR(VLOOKUP(TableHandbook[[#This Row],[UDC]],TableSTRUCHEMB[],7,FALSE),"")</f>
        <v>Core</v>
      </c>
      <c r="AQ37" s="200" t="str">
        <f>IFERROR(VLOOKUP(TableHandbook[[#This Row],[UDC]],TableSTRUECOB1[],7,FALSE),"")</f>
        <v/>
      </c>
      <c r="AR37" s="200" t="str">
        <f>IFERROR(VLOOKUP(TableHandbook[[#This Row],[UDC]],TableSTRUEDART[],7,FALSE),"")</f>
        <v/>
      </c>
      <c r="AS37" s="200" t="str">
        <f>IFERROR(VLOOKUP(TableHandbook[[#This Row],[UDC]],TableSTRUEDENG[],7,FALSE),"")</f>
        <v/>
      </c>
      <c r="AT37" s="200" t="str">
        <f>IFERROR(VLOOKUP(TableHandbook[[#This Row],[UDC]],TableSTRUEDHAS[],7,FALSE),"")</f>
        <v/>
      </c>
      <c r="AU37" s="200" t="str">
        <f>IFERROR(VLOOKUP(TableHandbook[[#This Row],[UDC]],TableSTRUEDMAT[],7,FALSE),"")</f>
        <v/>
      </c>
      <c r="AV37" s="200" t="str">
        <f>IFERROR(VLOOKUP(TableHandbook[[#This Row],[UDC]],TableSTRUEDSCI[],7,FALSE),"")</f>
        <v/>
      </c>
      <c r="AW37" s="200" t="str">
        <f>IFERROR(VLOOKUP(TableHandbook[[#This Row],[UDC]],TableSTRUENGLB[],7,FALSE),"")</f>
        <v/>
      </c>
      <c r="AX37" s="200" t="str">
        <f>IFERROR(VLOOKUP(TableHandbook[[#This Row],[UDC]],TableSTRUENGLM[],7,FALSE),"")</f>
        <v/>
      </c>
      <c r="AY37" s="200" t="str">
        <f>IFERROR(VLOOKUP(TableHandbook[[#This Row],[UDC]],TableSTRUGEOB1[],7,FALSE),"")</f>
        <v/>
      </c>
      <c r="AZ37" s="200" t="str">
        <f>IFERROR(VLOOKUP(TableHandbook[[#This Row],[UDC]],TableSTRUHISB1[],7,FALSE),"")</f>
        <v/>
      </c>
      <c r="BA37" s="200" t="str">
        <f>IFERROR(VLOOKUP(TableHandbook[[#This Row],[UDC]],TableSTRUHUMAM[],7,FALSE),"")</f>
        <v/>
      </c>
      <c r="BB37" s="200" t="str">
        <f>IFERROR(VLOOKUP(TableHandbook[[#This Row],[UDC]],TableSTRUHUMBB[],7,FALSE),"")</f>
        <v/>
      </c>
      <c r="BC37" s="200" t="str">
        <f>IFERROR(VLOOKUP(TableHandbook[[#This Row],[UDC]],TableSTRUMATHB[],7,FALSE),"")</f>
        <v/>
      </c>
      <c r="BD37" s="200" t="str">
        <f>IFERROR(VLOOKUP(TableHandbook[[#This Row],[UDC]],TableSTRUMATHM[],7,FALSE),"")</f>
        <v/>
      </c>
      <c r="BE37" s="200" t="str">
        <f>IFERROR(VLOOKUP(TableHandbook[[#This Row],[UDC]],TableSTRUPARTB[],7,FALSE),"")</f>
        <v/>
      </c>
      <c r="BF37" s="200" t="str">
        <f>IFERROR(VLOOKUP(TableHandbook[[#This Row],[UDC]],TableSTRUPARTM[],7,FALSE),"")</f>
        <v/>
      </c>
      <c r="BG37" s="200" t="str">
        <f>IFERROR(VLOOKUP(TableHandbook[[#This Row],[UDC]],TableSTRUPOLB1[],7,FALSE),"")</f>
        <v/>
      </c>
      <c r="BH37" s="200" t="str">
        <f>IFERROR(VLOOKUP(TableHandbook[[#This Row],[UDC]],TableSTRUPSCIM[],7,FALSE),"")</f>
        <v/>
      </c>
      <c r="BI37" s="200" t="str">
        <f>IFERROR(VLOOKUP(TableHandbook[[#This Row],[UDC]],TableSTRUPSYCB[],7,FALSE),"")</f>
        <v/>
      </c>
      <c r="BJ37" s="200" t="str">
        <f>IFERROR(VLOOKUP(TableHandbook[[#This Row],[UDC]],TableSTRUPSYCM[],7,FALSE),"")</f>
        <v/>
      </c>
      <c r="BK37" s="200" t="str">
        <f>IFERROR(VLOOKUP(TableHandbook[[#This Row],[UDC]],TableSTRUSOSCM[],7,FALSE),"")</f>
        <v/>
      </c>
      <c r="BL37" s="200" t="str">
        <f>IFERROR(VLOOKUP(TableHandbook[[#This Row],[UDC]],TableSTRUVARTB[],7,FALSE),"")</f>
        <v/>
      </c>
      <c r="BM37" s="200" t="str">
        <f>IFERROR(VLOOKUP(TableHandbook[[#This Row],[UDC]],TableSTRUVARTM[],7,FALSE),"")</f>
        <v/>
      </c>
    </row>
    <row r="38" spans="1:65" x14ac:dyDescent="0.25">
      <c r="A38" s="262" t="s">
        <v>387</v>
      </c>
      <c r="B38" s="12">
        <v>1</v>
      </c>
      <c r="C38" s="11"/>
      <c r="D38" s="11" t="s">
        <v>578</v>
      </c>
      <c r="E38" s="12">
        <v>25</v>
      </c>
      <c r="F38" s="131" t="s">
        <v>357</v>
      </c>
      <c r="G38" s="126" t="str">
        <f>IFERROR(IF(VLOOKUP(TableHandbook[[#This Row],[UDC]],TableAvailabilities[],2,FALSE)&gt;0,"Y",""),"")</f>
        <v/>
      </c>
      <c r="H38" s="102" t="str">
        <f>IFERROR(IF(VLOOKUP(TableHandbook[[#This Row],[UDC]],TableAvailabilities[],3,FALSE)&gt;0,"Y",""),"")</f>
        <v/>
      </c>
      <c r="I38" s="127" t="str">
        <f>IFERROR(IF(VLOOKUP(TableHandbook[[#This Row],[UDC]],TableAvailabilities[],4,FALSE)&gt;0,"Y",""),"")</f>
        <v/>
      </c>
      <c r="J38" s="128" t="str">
        <f>IFERROR(IF(VLOOKUP(TableHandbook[[#This Row],[UDC]],TableAvailabilities[],5,FALSE)&gt;0,"Y",""),"")</f>
        <v>Y</v>
      </c>
      <c r="K38" s="128" t="str">
        <f>IFERROR(IF(VLOOKUP(TableHandbook[[#This Row],[UDC]],TableAvailabilities[],6,FALSE)&gt;0,"Y",""),"")</f>
        <v/>
      </c>
      <c r="L38" s="127" t="str">
        <f>IFERROR(IF(VLOOKUP(TableHandbook[[#This Row],[UDC]],TableAvailabilities[],7,FALSE)&gt;0,"Y",""),"")</f>
        <v/>
      </c>
      <c r="M38" s="207"/>
      <c r="N38" s="204" t="str">
        <f>IFERROR(VLOOKUP(TableHandbook[[#This Row],[UDC]],TableBEDUC[],7,FALSE),"")</f>
        <v/>
      </c>
      <c r="O38" s="193" t="str">
        <f>IFERROR(VLOOKUP(TableHandbook[[#This Row],[UDC]],TableBEDEC[],7,FALSE),"")</f>
        <v/>
      </c>
      <c r="P38" s="193" t="str">
        <f>IFERROR(VLOOKUP(TableHandbook[[#This Row],[UDC]],TableBEDPR[],7,FALSE),"")</f>
        <v/>
      </c>
      <c r="Q38" s="193" t="str">
        <f>IFERROR(VLOOKUP(TableHandbook[[#This Row],[UDC]],TableSTRUCATHL[],7,FALSE),"")</f>
        <v/>
      </c>
      <c r="R38" s="193" t="str">
        <f>IFERROR(VLOOKUP(TableHandbook[[#This Row],[UDC]],TableSTRUENGLL[],7,FALSE),"")</f>
        <v/>
      </c>
      <c r="S38" s="193" t="str">
        <f>IFERROR(VLOOKUP(TableHandbook[[#This Row],[UDC]],TableSTRUINTBC[],7,FALSE),"")</f>
        <v/>
      </c>
      <c r="T38" s="193" t="str">
        <f>IFERROR(VLOOKUP(TableHandbook[[#This Row],[UDC]],TableSTRUISTEM[],7,FALSE),"")</f>
        <v/>
      </c>
      <c r="U38" s="193" t="str">
        <f>IFERROR(VLOOKUP(TableHandbook[[#This Row],[UDC]],TableSTRULITNU[],7,FALSE),"")</f>
        <v/>
      </c>
      <c r="V38" s="193" t="str">
        <f>IFERROR(VLOOKUP(TableHandbook[[#This Row],[UDC]],TableSTRUTECHS[],7,FALSE),"")</f>
        <v/>
      </c>
      <c r="W38" s="193" t="str">
        <f>IFERROR(VLOOKUP(TableHandbook[[#This Row],[UDC]],TableBEDSC[],7,FALSE),"")</f>
        <v/>
      </c>
      <c r="X38" s="193" t="str">
        <f>IFERROR(VLOOKUP(TableHandbook[[#This Row],[UDC]],TableMJRUARTDR[],7,FALSE),"")</f>
        <v/>
      </c>
      <c r="Y38" s="193" t="str">
        <f>IFERROR(VLOOKUP(TableHandbook[[#This Row],[UDC]],TableMJRUARTME[],7,FALSE),"")</f>
        <v/>
      </c>
      <c r="Z38" s="193" t="str">
        <f>IFERROR(VLOOKUP(TableHandbook[[#This Row],[UDC]],TableMJRUARTVA[],7,FALSE),"")</f>
        <v/>
      </c>
      <c r="AA38" s="193" t="str">
        <f>IFERROR(VLOOKUP(TableHandbook[[#This Row],[UDC]],TableMJRUENGLT[],7,FALSE),"")</f>
        <v/>
      </c>
      <c r="AB38" s="193" t="str">
        <f>IFERROR(VLOOKUP(TableHandbook[[#This Row],[UDC]],TableMJRUHLTPE[],7,FALSE),"")</f>
        <v/>
      </c>
      <c r="AC38" s="193" t="str">
        <f>IFERROR(VLOOKUP(TableHandbook[[#This Row],[UDC]],TableMJRUHUSEC[],7,FALSE),"")</f>
        <v/>
      </c>
      <c r="AD38" s="193" t="str">
        <f>IFERROR(VLOOKUP(TableHandbook[[#This Row],[UDC]],TableMJRUHUSGE[],7,FALSE),"")</f>
        <v/>
      </c>
      <c r="AE38" s="193" t="str">
        <f>IFERROR(VLOOKUP(TableHandbook[[#This Row],[UDC]],TableMJRUHUSHI[],7,FALSE),"")</f>
        <v/>
      </c>
      <c r="AF38" s="193" t="str">
        <f>IFERROR(VLOOKUP(TableHandbook[[#This Row],[UDC]],TableMJRUHUSPL[],7,FALSE),"")</f>
        <v/>
      </c>
      <c r="AG38" s="193" t="str">
        <f>IFERROR(VLOOKUP(TableHandbook[[#This Row],[UDC]],TableMJRUMATHT[],7,FALSE),"")</f>
        <v/>
      </c>
      <c r="AH38" s="193" t="str">
        <f>IFERROR(VLOOKUP(TableHandbook[[#This Row],[UDC]],TableMJRUSCIBI[],7,FALSE),"")</f>
        <v/>
      </c>
      <c r="AI38" s="193" t="str">
        <f>IFERROR(VLOOKUP(TableHandbook[[#This Row],[UDC]],TableMJRUSCICH[],7,FALSE),"")</f>
        <v>Core</v>
      </c>
      <c r="AJ38" s="193" t="str">
        <f>IFERROR(VLOOKUP(TableHandbook[[#This Row],[UDC]],TableMJRUSCIHB[],7,FALSE),"")</f>
        <v/>
      </c>
      <c r="AK38" s="193" t="str">
        <f>IFERROR(VLOOKUP(TableHandbook[[#This Row],[UDC]],TableMJRUSCIPH[],7,FALSE),"")</f>
        <v/>
      </c>
      <c r="AL38" s="193" t="str">
        <f>IFERROR(VLOOKUP(TableHandbook[[#This Row],[UDC]],TableMJRUSCIPS[],7,FALSE),"")</f>
        <v/>
      </c>
      <c r="AM38" s="202"/>
      <c r="AN38" s="200" t="str">
        <f>IFERROR(VLOOKUP(TableHandbook[[#This Row],[UDC]],TableSTRUBIOLB[],7,FALSE),"")</f>
        <v/>
      </c>
      <c r="AO38" s="200" t="str">
        <f>IFERROR(VLOOKUP(TableHandbook[[#This Row],[UDC]],TableSTRUBSCIM[],7,FALSE),"")</f>
        <v/>
      </c>
      <c r="AP38" s="200" t="str">
        <f>IFERROR(VLOOKUP(TableHandbook[[#This Row],[UDC]],TableSTRUCHEMB[],7,FALSE),"")</f>
        <v/>
      </c>
      <c r="AQ38" s="200" t="str">
        <f>IFERROR(VLOOKUP(TableHandbook[[#This Row],[UDC]],TableSTRUECOB1[],7,FALSE),"")</f>
        <v/>
      </c>
      <c r="AR38" s="200" t="str">
        <f>IFERROR(VLOOKUP(TableHandbook[[#This Row],[UDC]],TableSTRUEDART[],7,FALSE),"")</f>
        <v/>
      </c>
      <c r="AS38" s="200" t="str">
        <f>IFERROR(VLOOKUP(TableHandbook[[#This Row],[UDC]],TableSTRUEDENG[],7,FALSE),"")</f>
        <v/>
      </c>
      <c r="AT38" s="200" t="str">
        <f>IFERROR(VLOOKUP(TableHandbook[[#This Row],[UDC]],TableSTRUEDHAS[],7,FALSE),"")</f>
        <v/>
      </c>
      <c r="AU38" s="200" t="str">
        <f>IFERROR(VLOOKUP(TableHandbook[[#This Row],[UDC]],TableSTRUEDMAT[],7,FALSE),"")</f>
        <v/>
      </c>
      <c r="AV38" s="200" t="str">
        <f>IFERROR(VLOOKUP(TableHandbook[[#This Row],[UDC]],TableSTRUEDSCI[],7,FALSE),"")</f>
        <v/>
      </c>
      <c r="AW38" s="200" t="str">
        <f>IFERROR(VLOOKUP(TableHandbook[[#This Row],[UDC]],TableSTRUENGLB[],7,FALSE),"")</f>
        <v/>
      </c>
      <c r="AX38" s="200" t="str">
        <f>IFERROR(VLOOKUP(TableHandbook[[#This Row],[UDC]],TableSTRUENGLM[],7,FALSE),"")</f>
        <v/>
      </c>
      <c r="AY38" s="200" t="str">
        <f>IFERROR(VLOOKUP(TableHandbook[[#This Row],[UDC]],TableSTRUGEOB1[],7,FALSE),"")</f>
        <v/>
      </c>
      <c r="AZ38" s="200" t="str">
        <f>IFERROR(VLOOKUP(TableHandbook[[#This Row],[UDC]],TableSTRUHISB1[],7,FALSE),"")</f>
        <v/>
      </c>
      <c r="BA38" s="200" t="str">
        <f>IFERROR(VLOOKUP(TableHandbook[[#This Row],[UDC]],TableSTRUHUMAM[],7,FALSE),"")</f>
        <v/>
      </c>
      <c r="BB38" s="200" t="str">
        <f>IFERROR(VLOOKUP(TableHandbook[[#This Row],[UDC]],TableSTRUHUMBB[],7,FALSE),"")</f>
        <v/>
      </c>
      <c r="BC38" s="200" t="str">
        <f>IFERROR(VLOOKUP(TableHandbook[[#This Row],[UDC]],TableSTRUMATHB[],7,FALSE),"")</f>
        <v/>
      </c>
      <c r="BD38" s="200" t="str">
        <f>IFERROR(VLOOKUP(TableHandbook[[#This Row],[UDC]],TableSTRUMATHM[],7,FALSE),"")</f>
        <v/>
      </c>
      <c r="BE38" s="200" t="str">
        <f>IFERROR(VLOOKUP(TableHandbook[[#This Row],[UDC]],TableSTRUPARTB[],7,FALSE),"")</f>
        <v/>
      </c>
      <c r="BF38" s="200" t="str">
        <f>IFERROR(VLOOKUP(TableHandbook[[#This Row],[UDC]],TableSTRUPARTM[],7,FALSE),"")</f>
        <v/>
      </c>
      <c r="BG38" s="200" t="str">
        <f>IFERROR(VLOOKUP(TableHandbook[[#This Row],[UDC]],TableSTRUPOLB1[],7,FALSE),"")</f>
        <v/>
      </c>
      <c r="BH38" s="200" t="str">
        <f>IFERROR(VLOOKUP(TableHandbook[[#This Row],[UDC]],TableSTRUPSCIM[],7,FALSE),"")</f>
        <v/>
      </c>
      <c r="BI38" s="200" t="str">
        <f>IFERROR(VLOOKUP(TableHandbook[[#This Row],[UDC]],TableSTRUPSYCB[],7,FALSE),"")</f>
        <v/>
      </c>
      <c r="BJ38" s="200" t="str">
        <f>IFERROR(VLOOKUP(TableHandbook[[#This Row],[UDC]],TableSTRUPSYCM[],7,FALSE),"")</f>
        <v/>
      </c>
      <c r="BK38" s="200" t="str">
        <f>IFERROR(VLOOKUP(TableHandbook[[#This Row],[UDC]],TableSTRUSOSCM[],7,FALSE),"")</f>
        <v/>
      </c>
      <c r="BL38" s="200" t="str">
        <f>IFERROR(VLOOKUP(TableHandbook[[#This Row],[UDC]],TableSTRUVARTB[],7,FALSE),"")</f>
        <v/>
      </c>
      <c r="BM38" s="200" t="str">
        <f>IFERROR(VLOOKUP(TableHandbook[[#This Row],[UDC]],TableSTRUVARTM[],7,FALSE),"")</f>
        <v/>
      </c>
    </row>
    <row r="39" spans="1:65" x14ac:dyDescent="0.25">
      <c r="A39" s="262" t="s">
        <v>404</v>
      </c>
      <c r="B39" s="12">
        <v>1</v>
      </c>
      <c r="C39" s="11"/>
      <c r="D39" s="11" t="s">
        <v>579</v>
      </c>
      <c r="E39" s="12">
        <v>25</v>
      </c>
      <c r="F39" s="131" t="s">
        <v>580</v>
      </c>
      <c r="G39" s="126" t="str">
        <f>IFERROR(IF(VLOOKUP(TableHandbook[[#This Row],[UDC]],TableAvailabilities[],2,FALSE)&gt;0,"Y",""),"")</f>
        <v>Y</v>
      </c>
      <c r="H39" s="102" t="str">
        <f>IFERROR(IF(VLOOKUP(TableHandbook[[#This Row],[UDC]],TableAvailabilities[],3,FALSE)&gt;0,"Y",""),"")</f>
        <v/>
      </c>
      <c r="I39" s="127" t="str">
        <f>IFERROR(IF(VLOOKUP(TableHandbook[[#This Row],[UDC]],TableAvailabilities[],4,FALSE)&gt;0,"Y",""),"")</f>
        <v/>
      </c>
      <c r="J39" s="128" t="str">
        <f>IFERROR(IF(VLOOKUP(TableHandbook[[#This Row],[UDC]],TableAvailabilities[],5,FALSE)&gt;0,"Y",""),"")</f>
        <v/>
      </c>
      <c r="K39" s="128" t="str">
        <f>IFERROR(IF(VLOOKUP(TableHandbook[[#This Row],[UDC]],TableAvailabilities[],6,FALSE)&gt;0,"Y",""),"")</f>
        <v/>
      </c>
      <c r="L39" s="127" t="str">
        <f>IFERROR(IF(VLOOKUP(TableHandbook[[#This Row],[UDC]],TableAvailabilities[],7,FALSE)&gt;0,"Y",""),"")</f>
        <v/>
      </c>
      <c r="M39" s="207"/>
      <c r="N39" s="204" t="str">
        <f>IFERROR(VLOOKUP(TableHandbook[[#This Row],[UDC]],TableBEDUC[],7,FALSE),"")</f>
        <v/>
      </c>
      <c r="O39" s="193" t="str">
        <f>IFERROR(VLOOKUP(TableHandbook[[#This Row],[UDC]],TableBEDEC[],7,FALSE),"")</f>
        <v/>
      </c>
      <c r="P39" s="193" t="str">
        <f>IFERROR(VLOOKUP(TableHandbook[[#This Row],[UDC]],TableBEDPR[],7,FALSE),"")</f>
        <v/>
      </c>
      <c r="Q39" s="193" t="str">
        <f>IFERROR(VLOOKUP(TableHandbook[[#This Row],[UDC]],TableSTRUCATHL[],7,FALSE),"")</f>
        <v/>
      </c>
      <c r="R39" s="193" t="str">
        <f>IFERROR(VLOOKUP(TableHandbook[[#This Row],[UDC]],TableSTRUENGLL[],7,FALSE),"")</f>
        <v/>
      </c>
      <c r="S39" s="193" t="str">
        <f>IFERROR(VLOOKUP(TableHandbook[[#This Row],[UDC]],TableSTRUINTBC[],7,FALSE),"")</f>
        <v/>
      </c>
      <c r="T39" s="193" t="str">
        <f>IFERROR(VLOOKUP(TableHandbook[[#This Row],[UDC]],TableSTRUISTEM[],7,FALSE),"")</f>
        <v/>
      </c>
      <c r="U39" s="193" t="str">
        <f>IFERROR(VLOOKUP(TableHandbook[[#This Row],[UDC]],TableSTRULITNU[],7,FALSE),"")</f>
        <v/>
      </c>
      <c r="V39" s="193" t="str">
        <f>IFERROR(VLOOKUP(TableHandbook[[#This Row],[UDC]],TableSTRUTECHS[],7,FALSE),"")</f>
        <v/>
      </c>
      <c r="W39" s="193" t="str">
        <f>IFERROR(VLOOKUP(TableHandbook[[#This Row],[UDC]],TableBEDSC[],7,FALSE),"")</f>
        <v/>
      </c>
      <c r="X39" s="193" t="str">
        <f>IFERROR(VLOOKUP(TableHandbook[[#This Row],[UDC]],TableMJRUARTDR[],7,FALSE),"")</f>
        <v/>
      </c>
      <c r="Y39" s="193" t="str">
        <f>IFERROR(VLOOKUP(TableHandbook[[#This Row],[UDC]],TableMJRUARTME[],7,FALSE),"")</f>
        <v/>
      </c>
      <c r="Z39" s="193" t="str">
        <f>IFERROR(VLOOKUP(TableHandbook[[#This Row],[UDC]],TableMJRUARTVA[],7,FALSE),"")</f>
        <v/>
      </c>
      <c r="AA39" s="193" t="str">
        <f>IFERROR(VLOOKUP(TableHandbook[[#This Row],[UDC]],TableMJRUENGLT[],7,FALSE),"")</f>
        <v/>
      </c>
      <c r="AB39" s="193" t="str">
        <f>IFERROR(VLOOKUP(TableHandbook[[#This Row],[UDC]],TableMJRUHLTPE[],7,FALSE),"")</f>
        <v/>
      </c>
      <c r="AC39" s="193" t="str">
        <f>IFERROR(VLOOKUP(TableHandbook[[#This Row],[UDC]],TableMJRUHUSEC[],7,FALSE),"")</f>
        <v/>
      </c>
      <c r="AD39" s="193" t="str">
        <f>IFERROR(VLOOKUP(TableHandbook[[#This Row],[UDC]],TableMJRUHUSGE[],7,FALSE),"")</f>
        <v/>
      </c>
      <c r="AE39" s="193" t="str">
        <f>IFERROR(VLOOKUP(TableHandbook[[#This Row],[UDC]],TableMJRUHUSHI[],7,FALSE),"")</f>
        <v/>
      </c>
      <c r="AF39" s="193" t="str">
        <f>IFERROR(VLOOKUP(TableHandbook[[#This Row],[UDC]],TableMJRUHUSPL[],7,FALSE),"")</f>
        <v/>
      </c>
      <c r="AG39" s="193" t="str">
        <f>IFERROR(VLOOKUP(TableHandbook[[#This Row],[UDC]],TableMJRUMATHT[],7,FALSE),"")</f>
        <v/>
      </c>
      <c r="AH39" s="193" t="str">
        <f>IFERROR(VLOOKUP(TableHandbook[[#This Row],[UDC]],TableMJRUSCIBI[],7,FALSE),"")</f>
        <v/>
      </c>
      <c r="AI39" s="193" t="str">
        <f>IFERROR(VLOOKUP(TableHandbook[[#This Row],[UDC]],TableMJRUSCICH[],7,FALSE),"")</f>
        <v>Core</v>
      </c>
      <c r="AJ39" s="193" t="str">
        <f>IFERROR(VLOOKUP(TableHandbook[[#This Row],[UDC]],TableMJRUSCIHB[],7,FALSE),"")</f>
        <v/>
      </c>
      <c r="AK39" s="193" t="str">
        <f>IFERROR(VLOOKUP(TableHandbook[[#This Row],[UDC]],TableMJRUSCIPH[],7,FALSE),"")</f>
        <v/>
      </c>
      <c r="AL39" s="193" t="str">
        <f>IFERROR(VLOOKUP(TableHandbook[[#This Row],[UDC]],TableMJRUSCIPS[],7,FALSE),"")</f>
        <v/>
      </c>
      <c r="AM39" s="202"/>
      <c r="AN39" s="200" t="str">
        <f>IFERROR(VLOOKUP(TableHandbook[[#This Row],[UDC]],TableSTRUBIOLB[],7,FALSE),"")</f>
        <v/>
      </c>
      <c r="AO39" s="200" t="str">
        <f>IFERROR(VLOOKUP(TableHandbook[[#This Row],[UDC]],TableSTRUBSCIM[],7,FALSE),"")</f>
        <v/>
      </c>
      <c r="AP39" s="200" t="str">
        <f>IFERROR(VLOOKUP(TableHandbook[[#This Row],[UDC]],TableSTRUCHEMB[],7,FALSE),"")</f>
        <v/>
      </c>
      <c r="AQ39" s="200" t="str">
        <f>IFERROR(VLOOKUP(TableHandbook[[#This Row],[UDC]],TableSTRUECOB1[],7,FALSE),"")</f>
        <v/>
      </c>
      <c r="AR39" s="200" t="str">
        <f>IFERROR(VLOOKUP(TableHandbook[[#This Row],[UDC]],TableSTRUEDART[],7,FALSE),"")</f>
        <v/>
      </c>
      <c r="AS39" s="200" t="str">
        <f>IFERROR(VLOOKUP(TableHandbook[[#This Row],[UDC]],TableSTRUEDENG[],7,FALSE),"")</f>
        <v/>
      </c>
      <c r="AT39" s="200" t="str">
        <f>IFERROR(VLOOKUP(TableHandbook[[#This Row],[UDC]],TableSTRUEDHAS[],7,FALSE),"")</f>
        <v/>
      </c>
      <c r="AU39" s="200" t="str">
        <f>IFERROR(VLOOKUP(TableHandbook[[#This Row],[UDC]],TableSTRUEDMAT[],7,FALSE),"")</f>
        <v/>
      </c>
      <c r="AV39" s="200" t="str">
        <f>IFERROR(VLOOKUP(TableHandbook[[#This Row],[UDC]],TableSTRUEDSCI[],7,FALSE),"")</f>
        <v/>
      </c>
      <c r="AW39" s="200" t="str">
        <f>IFERROR(VLOOKUP(TableHandbook[[#This Row],[UDC]],TableSTRUENGLB[],7,FALSE),"")</f>
        <v/>
      </c>
      <c r="AX39" s="200" t="str">
        <f>IFERROR(VLOOKUP(TableHandbook[[#This Row],[UDC]],TableSTRUENGLM[],7,FALSE),"")</f>
        <v/>
      </c>
      <c r="AY39" s="200" t="str">
        <f>IFERROR(VLOOKUP(TableHandbook[[#This Row],[UDC]],TableSTRUGEOB1[],7,FALSE),"")</f>
        <v/>
      </c>
      <c r="AZ39" s="200" t="str">
        <f>IFERROR(VLOOKUP(TableHandbook[[#This Row],[UDC]],TableSTRUHISB1[],7,FALSE),"")</f>
        <v/>
      </c>
      <c r="BA39" s="200" t="str">
        <f>IFERROR(VLOOKUP(TableHandbook[[#This Row],[UDC]],TableSTRUHUMAM[],7,FALSE),"")</f>
        <v/>
      </c>
      <c r="BB39" s="200" t="str">
        <f>IFERROR(VLOOKUP(TableHandbook[[#This Row],[UDC]],TableSTRUHUMBB[],7,FALSE),"")</f>
        <v/>
      </c>
      <c r="BC39" s="200" t="str">
        <f>IFERROR(VLOOKUP(TableHandbook[[#This Row],[UDC]],TableSTRUMATHB[],7,FALSE),"")</f>
        <v/>
      </c>
      <c r="BD39" s="200" t="str">
        <f>IFERROR(VLOOKUP(TableHandbook[[#This Row],[UDC]],TableSTRUMATHM[],7,FALSE),"")</f>
        <v/>
      </c>
      <c r="BE39" s="200" t="str">
        <f>IFERROR(VLOOKUP(TableHandbook[[#This Row],[UDC]],TableSTRUPARTB[],7,FALSE),"")</f>
        <v/>
      </c>
      <c r="BF39" s="200" t="str">
        <f>IFERROR(VLOOKUP(TableHandbook[[#This Row],[UDC]],TableSTRUPARTM[],7,FALSE),"")</f>
        <v/>
      </c>
      <c r="BG39" s="200" t="str">
        <f>IFERROR(VLOOKUP(TableHandbook[[#This Row],[UDC]],TableSTRUPOLB1[],7,FALSE),"")</f>
        <v/>
      </c>
      <c r="BH39" s="200" t="str">
        <f>IFERROR(VLOOKUP(TableHandbook[[#This Row],[UDC]],TableSTRUPSCIM[],7,FALSE),"")</f>
        <v/>
      </c>
      <c r="BI39" s="200" t="str">
        <f>IFERROR(VLOOKUP(TableHandbook[[#This Row],[UDC]],TableSTRUPSYCB[],7,FALSE),"")</f>
        <v/>
      </c>
      <c r="BJ39" s="200" t="str">
        <f>IFERROR(VLOOKUP(TableHandbook[[#This Row],[UDC]],TableSTRUPSYCM[],7,FALSE),"")</f>
        <v/>
      </c>
      <c r="BK39" s="200" t="str">
        <f>IFERROR(VLOOKUP(TableHandbook[[#This Row],[UDC]],TableSTRUSOSCM[],7,FALSE),"")</f>
        <v/>
      </c>
      <c r="BL39" s="200" t="str">
        <f>IFERROR(VLOOKUP(TableHandbook[[#This Row],[UDC]],TableSTRUVARTB[],7,FALSE),"")</f>
        <v/>
      </c>
      <c r="BM39" s="200" t="str">
        <f>IFERROR(VLOOKUP(TableHandbook[[#This Row],[UDC]],TableSTRUVARTM[],7,FALSE),"")</f>
        <v/>
      </c>
    </row>
    <row r="40" spans="1:65" x14ac:dyDescent="0.25">
      <c r="A40" s="261" t="s">
        <v>475</v>
      </c>
      <c r="B40" s="12">
        <v>2</v>
      </c>
      <c r="C40" s="11"/>
      <c r="D40" s="11" t="s">
        <v>581</v>
      </c>
      <c r="E40" s="12">
        <v>25</v>
      </c>
      <c r="F40" s="131" t="s">
        <v>544</v>
      </c>
      <c r="G40" s="126" t="str">
        <f>IFERROR(IF(VLOOKUP(TableHandbook[[#This Row],[UDC]],TableAvailabilities[],2,FALSE)&gt;0,"Y",""),"")</f>
        <v>Y</v>
      </c>
      <c r="H40" s="102" t="str">
        <f>IFERROR(IF(VLOOKUP(TableHandbook[[#This Row],[UDC]],TableAvailabilities[],3,FALSE)&gt;0,"Y",""),"")</f>
        <v>Y</v>
      </c>
      <c r="I40" s="127" t="str">
        <f>IFERROR(IF(VLOOKUP(TableHandbook[[#This Row],[UDC]],TableAvailabilities[],4,FALSE)&gt;0,"Y",""),"")</f>
        <v/>
      </c>
      <c r="J40" s="128" t="str">
        <f>IFERROR(IF(VLOOKUP(TableHandbook[[#This Row],[UDC]],TableAvailabilities[],5,FALSE)&gt;0,"Y",""),"")</f>
        <v>Y</v>
      </c>
      <c r="K40" s="128" t="str">
        <f>IFERROR(IF(VLOOKUP(TableHandbook[[#This Row],[UDC]],TableAvailabilities[],6,FALSE)&gt;0,"Y",""),"")</f>
        <v>Y</v>
      </c>
      <c r="L40" s="127" t="str">
        <f>IFERROR(IF(VLOOKUP(TableHandbook[[#This Row],[UDC]],TableAvailabilities[],7,FALSE)&gt;0,"Y",""),"")</f>
        <v/>
      </c>
      <c r="M40" s="207"/>
      <c r="N40" s="204" t="str">
        <f>IFERROR(VLOOKUP(TableHandbook[[#This Row],[UDC]],TableBEDUC[],7,FALSE),"")</f>
        <v/>
      </c>
      <c r="O40" s="193" t="str">
        <f>IFERROR(VLOOKUP(TableHandbook[[#This Row],[UDC]],TableBEDEC[],7,FALSE),"")</f>
        <v/>
      </c>
      <c r="P40" s="193" t="str">
        <f>IFERROR(VLOOKUP(TableHandbook[[#This Row],[UDC]],TableBEDPR[],7,FALSE),"")</f>
        <v/>
      </c>
      <c r="Q40" s="193" t="str">
        <f>IFERROR(VLOOKUP(TableHandbook[[#This Row],[UDC]],TableSTRUCATHL[],7,FALSE),"")</f>
        <v/>
      </c>
      <c r="R40" s="193" t="str">
        <f>IFERROR(VLOOKUP(TableHandbook[[#This Row],[UDC]],TableSTRUENGLL[],7,FALSE),"")</f>
        <v/>
      </c>
      <c r="S40" s="193" t="str">
        <f>IFERROR(VLOOKUP(TableHandbook[[#This Row],[UDC]],TableSTRUINTBC[],7,FALSE),"")</f>
        <v/>
      </c>
      <c r="T40" s="193" t="str">
        <f>IFERROR(VLOOKUP(TableHandbook[[#This Row],[UDC]],TableSTRUISTEM[],7,FALSE),"")</f>
        <v/>
      </c>
      <c r="U40" s="193" t="str">
        <f>IFERROR(VLOOKUP(TableHandbook[[#This Row],[UDC]],TableSTRULITNU[],7,FALSE),"")</f>
        <v/>
      </c>
      <c r="V40" s="193" t="str">
        <f>IFERROR(VLOOKUP(TableHandbook[[#This Row],[UDC]],TableSTRUTECHS[],7,FALSE),"")</f>
        <v/>
      </c>
      <c r="W40" s="193" t="str">
        <f>IFERROR(VLOOKUP(TableHandbook[[#This Row],[UDC]],TableBEDSC[],7,FALSE),"")</f>
        <v/>
      </c>
      <c r="X40" s="193" t="str">
        <f>IFERROR(VLOOKUP(TableHandbook[[#This Row],[UDC]],TableMJRUARTDR[],7,FALSE),"")</f>
        <v/>
      </c>
      <c r="Y40" s="193" t="str">
        <f>IFERROR(VLOOKUP(TableHandbook[[#This Row],[UDC]],TableMJRUARTME[],7,FALSE),"")</f>
        <v/>
      </c>
      <c r="Z40" s="193" t="str">
        <f>IFERROR(VLOOKUP(TableHandbook[[#This Row],[UDC]],TableMJRUARTVA[],7,FALSE),"")</f>
        <v/>
      </c>
      <c r="AA40" s="193" t="str">
        <f>IFERROR(VLOOKUP(TableHandbook[[#This Row],[UDC]],TableMJRUENGLT[],7,FALSE),"")</f>
        <v/>
      </c>
      <c r="AB40" s="193" t="str">
        <f>IFERROR(VLOOKUP(TableHandbook[[#This Row],[UDC]],TableMJRUHLTPE[],7,FALSE),"")</f>
        <v/>
      </c>
      <c r="AC40" s="193" t="str">
        <f>IFERROR(VLOOKUP(TableHandbook[[#This Row],[UDC]],TableMJRUHUSEC[],7,FALSE),"")</f>
        <v/>
      </c>
      <c r="AD40" s="193" t="str">
        <f>IFERROR(VLOOKUP(TableHandbook[[#This Row],[UDC]],TableMJRUHUSGE[],7,FALSE),"")</f>
        <v/>
      </c>
      <c r="AE40" s="193" t="str">
        <f>IFERROR(VLOOKUP(TableHandbook[[#This Row],[UDC]],TableMJRUHUSHI[],7,FALSE),"")</f>
        <v/>
      </c>
      <c r="AF40" s="193" t="str">
        <f>IFERROR(VLOOKUP(TableHandbook[[#This Row],[UDC]],TableMJRUHUSPL[],7,FALSE),"")</f>
        <v/>
      </c>
      <c r="AG40" s="193" t="str">
        <f>IFERROR(VLOOKUP(TableHandbook[[#This Row],[UDC]],TableMJRUMATHT[],7,FALSE),"")</f>
        <v/>
      </c>
      <c r="AH40" s="193" t="str">
        <f>IFERROR(VLOOKUP(TableHandbook[[#This Row],[UDC]],TableMJRUSCIBI[],7,FALSE),"")</f>
        <v/>
      </c>
      <c r="AI40" s="193" t="str">
        <f>IFERROR(VLOOKUP(TableHandbook[[#This Row],[UDC]],TableMJRUSCICH[],7,FALSE),"")</f>
        <v/>
      </c>
      <c r="AJ40" s="193" t="str">
        <f>IFERROR(VLOOKUP(TableHandbook[[#This Row],[UDC]],TableMJRUSCIHB[],7,FALSE),"")</f>
        <v/>
      </c>
      <c r="AK40" s="193" t="str">
        <f>IFERROR(VLOOKUP(TableHandbook[[#This Row],[UDC]],TableMJRUSCIPH[],7,FALSE),"")</f>
        <v/>
      </c>
      <c r="AL40" s="193" t="str">
        <f>IFERROR(VLOOKUP(TableHandbook[[#This Row],[UDC]],TableMJRUSCIPS[],7,FALSE),"")</f>
        <v/>
      </c>
      <c r="AM40" s="202"/>
      <c r="AN40" s="200" t="str">
        <f>IFERROR(VLOOKUP(TableHandbook[[#This Row],[UDC]],TableSTRUBIOLB[],7,FALSE),"")</f>
        <v/>
      </c>
      <c r="AO40" s="200" t="str">
        <f>IFERROR(VLOOKUP(TableHandbook[[#This Row],[UDC]],TableSTRUBSCIM[],7,FALSE),"")</f>
        <v/>
      </c>
      <c r="AP40" s="200" t="str">
        <f>IFERROR(VLOOKUP(TableHandbook[[#This Row],[UDC]],TableSTRUCHEMB[],7,FALSE),"")</f>
        <v/>
      </c>
      <c r="AQ40" s="200" t="str">
        <f>IFERROR(VLOOKUP(TableHandbook[[#This Row],[UDC]],TableSTRUECOB1[],7,FALSE),"")</f>
        <v/>
      </c>
      <c r="AR40" s="200" t="str">
        <f>IFERROR(VLOOKUP(TableHandbook[[#This Row],[UDC]],TableSTRUEDART[],7,FALSE),"")</f>
        <v/>
      </c>
      <c r="AS40" s="200" t="str">
        <f>IFERROR(VLOOKUP(TableHandbook[[#This Row],[UDC]],TableSTRUEDENG[],7,FALSE),"")</f>
        <v/>
      </c>
      <c r="AT40" s="200" t="str">
        <f>IFERROR(VLOOKUP(TableHandbook[[#This Row],[UDC]],TableSTRUEDHAS[],7,FALSE),"")</f>
        <v/>
      </c>
      <c r="AU40" s="200" t="str">
        <f>IFERROR(VLOOKUP(TableHandbook[[#This Row],[UDC]],TableSTRUEDMAT[],7,FALSE),"")</f>
        <v/>
      </c>
      <c r="AV40" s="200" t="str">
        <f>IFERROR(VLOOKUP(TableHandbook[[#This Row],[UDC]],TableSTRUEDSCI[],7,FALSE),"")</f>
        <v/>
      </c>
      <c r="AW40" s="200" t="str">
        <f>IFERROR(VLOOKUP(TableHandbook[[#This Row],[UDC]],TableSTRUENGLB[],7,FALSE),"")</f>
        <v>Core</v>
      </c>
      <c r="AX40" s="200" t="str">
        <f>IFERROR(VLOOKUP(TableHandbook[[#This Row],[UDC]],TableSTRUENGLM[],7,FALSE),"")</f>
        <v/>
      </c>
      <c r="AY40" s="200" t="str">
        <f>IFERROR(VLOOKUP(TableHandbook[[#This Row],[UDC]],TableSTRUGEOB1[],7,FALSE),"")</f>
        <v/>
      </c>
      <c r="AZ40" s="200" t="str">
        <f>IFERROR(VLOOKUP(TableHandbook[[#This Row],[UDC]],TableSTRUHISB1[],7,FALSE),"")</f>
        <v/>
      </c>
      <c r="BA40" s="200" t="str">
        <f>IFERROR(VLOOKUP(TableHandbook[[#This Row],[UDC]],TableSTRUHUMAM[],7,FALSE),"")</f>
        <v/>
      </c>
      <c r="BB40" s="200" t="str">
        <f>IFERROR(VLOOKUP(TableHandbook[[#This Row],[UDC]],TableSTRUHUMBB[],7,FALSE),"")</f>
        <v/>
      </c>
      <c r="BC40" s="200" t="str">
        <f>IFERROR(VLOOKUP(TableHandbook[[#This Row],[UDC]],TableSTRUMATHB[],7,FALSE),"")</f>
        <v/>
      </c>
      <c r="BD40" s="200" t="str">
        <f>IFERROR(VLOOKUP(TableHandbook[[#This Row],[UDC]],TableSTRUMATHM[],7,FALSE),"")</f>
        <v/>
      </c>
      <c r="BE40" s="200" t="str">
        <f>IFERROR(VLOOKUP(TableHandbook[[#This Row],[UDC]],TableSTRUPARTB[],7,FALSE),"")</f>
        <v/>
      </c>
      <c r="BF40" s="200" t="str">
        <f>IFERROR(VLOOKUP(TableHandbook[[#This Row],[UDC]],TableSTRUPARTM[],7,FALSE),"")</f>
        <v/>
      </c>
      <c r="BG40" s="200" t="str">
        <f>IFERROR(VLOOKUP(TableHandbook[[#This Row],[UDC]],TableSTRUPOLB1[],7,FALSE),"")</f>
        <v/>
      </c>
      <c r="BH40" s="200" t="str">
        <f>IFERROR(VLOOKUP(TableHandbook[[#This Row],[UDC]],TableSTRUPSCIM[],7,FALSE),"")</f>
        <v/>
      </c>
      <c r="BI40" s="200" t="str">
        <f>IFERROR(VLOOKUP(TableHandbook[[#This Row],[UDC]],TableSTRUPSYCB[],7,FALSE),"")</f>
        <v/>
      </c>
      <c r="BJ40" s="200" t="str">
        <f>IFERROR(VLOOKUP(TableHandbook[[#This Row],[UDC]],TableSTRUPSYCM[],7,FALSE),"")</f>
        <v/>
      </c>
      <c r="BK40" s="200" t="str">
        <f>IFERROR(VLOOKUP(TableHandbook[[#This Row],[UDC]],TableSTRUSOSCM[],7,FALSE),"")</f>
        <v/>
      </c>
      <c r="BL40" s="200" t="str">
        <f>IFERROR(VLOOKUP(TableHandbook[[#This Row],[UDC]],TableSTRUVARTB[],7,FALSE),"")</f>
        <v/>
      </c>
      <c r="BM40" s="200" t="str">
        <f>IFERROR(VLOOKUP(TableHandbook[[#This Row],[UDC]],TableSTRUVARTM[],7,FALSE),"")</f>
        <v/>
      </c>
    </row>
    <row r="41" spans="1:65" x14ac:dyDescent="0.25">
      <c r="A41" s="9" t="s">
        <v>582</v>
      </c>
      <c r="B41" s="283">
        <v>1</v>
      </c>
      <c r="C41" s="11"/>
      <c r="D41" s="9" t="s">
        <v>583</v>
      </c>
      <c r="E41" s="12">
        <v>25</v>
      </c>
      <c r="F41" s="131" t="s">
        <v>544</v>
      </c>
      <c r="G41" s="126" t="str">
        <f>IFERROR(IF(VLOOKUP(TableHandbook[[#This Row],[UDC]],TableAvailabilities[],2,FALSE)&gt;0,"Y",""),"")</f>
        <v/>
      </c>
      <c r="H41" s="127" t="str">
        <f>IFERROR(IF(VLOOKUP(TableHandbook[[#This Row],[UDC]],TableAvailabilities[],3,FALSE)&gt;0,"Y",""),"")</f>
        <v/>
      </c>
      <c r="I41" s="127" t="str">
        <f>IFERROR(IF(VLOOKUP(TableHandbook[[#This Row],[UDC]],TableAvailabilities[],4,FALSE)&gt;0,"Y",""),"")</f>
        <v/>
      </c>
      <c r="J41" s="128" t="str">
        <f>IFERROR(IF(VLOOKUP(TableHandbook[[#This Row],[UDC]],TableAvailabilities[],5,FALSE)&gt;0,"Y",""),"")</f>
        <v/>
      </c>
      <c r="K41" s="128" t="str">
        <f>IFERROR(IF(VLOOKUP(TableHandbook[[#This Row],[UDC]],TableAvailabilities[],6,FALSE)&gt;0,"Y",""),"")</f>
        <v/>
      </c>
      <c r="L41" s="127" t="str">
        <f>IFERROR(IF(VLOOKUP(TableHandbook[[#This Row],[UDC]],TableAvailabilities[],7,FALSE)&gt;0,"Y",""),"")</f>
        <v/>
      </c>
      <c r="M41" s="208" t="s">
        <v>584</v>
      </c>
      <c r="N41" s="204" t="str">
        <f>IFERROR(VLOOKUP(TableHandbook[[#This Row],[UDC]],TableBEDUC[],7,FALSE),"")</f>
        <v/>
      </c>
      <c r="O41" s="193" t="str">
        <f>IFERROR(VLOOKUP(TableHandbook[[#This Row],[UDC]],TableBEDEC[],7,FALSE),"")</f>
        <v/>
      </c>
      <c r="P41" s="193" t="str">
        <f>IFERROR(VLOOKUP(TableHandbook[[#This Row],[UDC]],TableBEDPR[],7,FALSE),"")</f>
        <v/>
      </c>
      <c r="Q41" s="193" t="str">
        <f>IFERROR(VLOOKUP(TableHandbook[[#This Row],[UDC]],TableSTRUCATHL[],7,FALSE),"")</f>
        <v/>
      </c>
      <c r="R41" s="193" t="str">
        <f>IFERROR(VLOOKUP(TableHandbook[[#This Row],[UDC]],TableSTRUENGLL[],7,FALSE),"")</f>
        <v/>
      </c>
      <c r="S41" s="193" t="str">
        <f>IFERROR(VLOOKUP(TableHandbook[[#This Row],[UDC]],TableSTRUINTBC[],7,FALSE),"")</f>
        <v/>
      </c>
      <c r="T41" s="193" t="str">
        <f>IFERROR(VLOOKUP(TableHandbook[[#This Row],[UDC]],TableSTRUISTEM[],7,FALSE),"")</f>
        <v/>
      </c>
      <c r="U41" s="193" t="str">
        <f>IFERROR(VLOOKUP(TableHandbook[[#This Row],[UDC]],TableSTRULITNU[],7,FALSE),"")</f>
        <v/>
      </c>
      <c r="V41" s="193" t="str">
        <f>IFERROR(VLOOKUP(TableHandbook[[#This Row],[UDC]],TableSTRUTECHS[],7,FALSE),"")</f>
        <v/>
      </c>
      <c r="W41" s="193" t="str">
        <f>IFERROR(VLOOKUP(TableHandbook[[#This Row],[UDC]],TableBEDSC[],7,FALSE),"")</f>
        <v/>
      </c>
      <c r="X41" s="193" t="str">
        <f>IFERROR(VLOOKUP(TableHandbook[[#This Row],[UDC]],TableMJRUARTDR[],7,FALSE),"")</f>
        <v/>
      </c>
      <c r="Y41" s="193" t="str">
        <f>IFERROR(VLOOKUP(TableHandbook[[#This Row],[UDC]],TableMJRUARTME[],7,FALSE),"")</f>
        <v/>
      </c>
      <c r="Z41" s="193" t="str">
        <f>IFERROR(VLOOKUP(TableHandbook[[#This Row],[UDC]],TableMJRUARTVA[],7,FALSE),"")</f>
        <v/>
      </c>
      <c r="AA41" s="193" t="str">
        <f>IFERROR(VLOOKUP(TableHandbook[[#This Row],[UDC]],TableMJRUENGLT[],7,FALSE),"")</f>
        <v/>
      </c>
      <c r="AB41" s="193" t="str">
        <f>IFERROR(VLOOKUP(TableHandbook[[#This Row],[UDC]],TableMJRUHLTPE[],7,FALSE),"")</f>
        <v/>
      </c>
      <c r="AC41" s="193" t="str">
        <f>IFERROR(VLOOKUP(TableHandbook[[#This Row],[UDC]],TableMJRUHUSEC[],7,FALSE),"")</f>
        <v/>
      </c>
      <c r="AD41" s="193" t="str">
        <f>IFERROR(VLOOKUP(TableHandbook[[#This Row],[UDC]],TableMJRUHUSGE[],7,FALSE),"")</f>
        <v/>
      </c>
      <c r="AE41" s="193" t="str">
        <f>IFERROR(VLOOKUP(TableHandbook[[#This Row],[UDC]],TableMJRUHUSHI[],7,FALSE),"")</f>
        <v/>
      </c>
      <c r="AF41" s="193" t="str">
        <f>IFERROR(VLOOKUP(TableHandbook[[#This Row],[UDC]],TableMJRUHUSPL[],7,FALSE),"")</f>
        <v/>
      </c>
      <c r="AG41" s="193" t="str">
        <f>IFERROR(VLOOKUP(TableHandbook[[#This Row],[UDC]],TableMJRUMATHT[],7,FALSE),"")</f>
        <v/>
      </c>
      <c r="AH41" s="193" t="str">
        <f>IFERROR(VLOOKUP(TableHandbook[[#This Row],[UDC]],TableMJRUSCIBI[],7,FALSE),"")</f>
        <v/>
      </c>
      <c r="AI41" s="193" t="str">
        <f>IFERROR(VLOOKUP(TableHandbook[[#This Row],[UDC]],TableMJRUSCICH[],7,FALSE),"")</f>
        <v/>
      </c>
      <c r="AJ41" s="193" t="str">
        <f>IFERROR(VLOOKUP(TableHandbook[[#This Row],[UDC]],TableMJRUSCIHB[],7,FALSE),"")</f>
        <v/>
      </c>
      <c r="AK41" s="193" t="str">
        <f>IFERROR(VLOOKUP(TableHandbook[[#This Row],[UDC]],TableMJRUSCIPH[],7,FALSE),"")</f>
        <v/>
      </c>
      <c r="AL41" s="193" t="str">
        <f>IFERROR(VLOOKUP(TableHandbook[[#This Row],[UDC]],TableMJRUSCIPS[],7,FALSE),"")</f>
        <v/>
      </c>
      <c r="AM41" s="202"/>
      <c r="AN41" s="200" t="str">
        <f>IFERROR(VLOOKUP(TableHandbook[[#This Row],[UDC]],TableSTRUBIOLB[],7,FALSE),"")</f>
        <v/>
      </c>
      <c r="AO41" s="200" t="str">
        <f>IFERROR(VLOOKUP(TableHandbook[[#This Row],[UDC]],TableSTRUBSCIM[],7,FALSE),"")</f>
        <v/>
      </c>
      <c r="AP41" s="200" t="str">
        <f>IFERROR(VLOOKUP(TableHandbook[[#This Row],[UDC]],TableSTRUCHEMB[],7,FALSE),"")</f>
        <v/>
      </c>
      <c r="AQ41" s="200" t="str">
        <f>IFERROR(VLOOKUP(TableHandbook[[#This Row],[UDC]],TableSTRUECOB1[],7,FALSE),"")</f>
        <v/>
      </c>
      <c r="AR41" s="200" t="str">
        <f>IFERROR(VLOOKUP(TableHandbook[[#This Row],[UDC]],TableSTRUEDART[],7,FALSE),"")</f>
        <v/>
      </c>
      <c r="AS41" s="200" t="str">
        <f>IFERROR(VLOOKUP(TableHandbook[[#This Row],[UDC]],TableSTRUEDENG[],7,FALSE),"")</f>
        <v/>
      </c>
      <c r="AT41" s="200" t="str">
        <f>IFERROR(VLOOKUP(TableHandbook[[#This Row],[UDC]],TableSTRUEDHAS[],7,FALSE),"")</f>
        <v/>
      </c>
      <c r="AU41" s="200" t="str">
        <f>IFERROR(VLOOKUP(TableHandbook[[#This Row],[UDC]],TableSTRUEDMAT[],7,FALSE),"")</f>
        <v/>
      </c>
      <c r="AV41" s="200" t="str">
        <f>IFERROR(VLOOKUP(TableHandbook[[#This Row],[UDC]],TableSTRUEDSCI[],7,FALSE),"")</f>
        <v/>
      </c>
      <c r="AW41" s="200" t="str">
        <f>IFERROR(VLOOKUP(TableHandbook[[#This Row],[UDC]],TableSTRUENGLB[],7,FALSE),"")</f>
        <v/>
      </c>
      <c r="AX41" s="200" t="str">
        <f>IFERROR(VLOOKUP(TableHandbook[[#This Row],[UDC]],TableSTRUENGLM[],7,FALSE),"")</f>
        <v/>
      </c>
      <c r="AY41" s="200" t="str">
        <f>IFERROR(VLOOKUP(TableHandbook[[#This Row],[UDC]],TableSTRUGEOB1[],7,FALSE),"")</f>
        <v/>
      </c>
      <c r="AZ41" s="200" t="str">
        <f>IFERROR(VLOOKUP(TableHandbook[[#This Row],[UDC]],TableSTRUHISB1[],7,FALSE),"")</f>
        <v/>
      </c>
      <c r="BA41" s="200" t="str">
        <f>IFERROR(VLOOKUP(TableHandbook[[#This Row],[UDC]],TableSTRUHUMAM[],7,FALSE),"")</f>
        <v/>
      </c>
      <c r="BB41" s="200" t="str">
        <f>IFERROR(VLOOKUP(TableHandbook[[#This Row],[UDC]],TableSTRUHUMBB[],7,FALSE),"")</f>
        <v/>
      </c>
      <c r="BC41" s="200" t="str">
        <f>IFERROR(VLOOKUP(TableHandbook[[#This Row],[UDC]],TableSTRUMATHB[],7,FALSE),"")</f>
        <v/>
      </c>
      <c r="BD41" s="200" t="str">
        <f>IFERROR(VLOOKUP(TableHandbook[[#This Row],[UDC]],TableSTRUMATHM[],7,FALSE),"")</f>
        <v/>
      </c>
      <c r="BE41" s="200" t="str">
        <f>IFERROR(VLOOKUP(TableHandbook[[#This Row],[UDC]],TableSTRUPARTB[],7,FALSE),"")</f>
        <v/>
      </c>
      <c r="BF41" s="200" t="str">
        <f>IFERROR(VLOOKUP(TableHandbook[[#This Row],[UDC]],TableSTRUPARTM[],7,FALSE),"")</f>
        <v/>
      </c>
      <c r="BG41" s="200" t="str">
        <f>IFERROR(VLOOKUP(TableHandbook[[#This Row],[UDC]],TableSTRUPOLB1[],7,FALSE),"")</f>
        <v/>
      </c>
      <c r="BH41" s="200" t="str">
        <f>IFERROR(VLOOKUP(TableHandbook[[#This Row],[UDC]],TableSTRUPSCIM[],7,FALSE),"")</f>
        <v/>
      </c>
      <c r="BI41" s="200" t="str">
        <f>IFERROR(VLOOKUP(TableHandbook[[#This Row],[UDC]],TableSTRUPSYCB[],7,FALSE),"")</f>
        <v/>
      </c>
      <c r="BJ41" s="200" t="str">
        <f>IFERROR(VLOOKUP(TableHandbook[[#This Row],[UDC]],TableSTRUPSYCM[],7,FALSE),"")</f>
        <v/>
      </c>
      <c r="BK41" s="200" t="str">
        <f>IFERROR(VLOOKUP(TableHandbook[[#This Row],[UDC]],TableSTRUSOSCM[],7,FALSE),"")</f>
        <v/>
      </c>
      <c r="BL41" s="200" t="str">
        <f>IFERROR(VLOOKUP(TableHandbook[[#This Row],[UDC]],TableSTRUVARTB[],7,FALSE),"")</f>
        <v/>
      </c>
      <c r="BM41" s="200" t="str">
        <f>IFERROR(VLOOKUP(TableHandbook[[#This Row],[UDC]],TableSTRUVARTM[],7,FALSE),"")</f>
        <v/>
      </c>
    </row>
    <row r="42" spans="1:65" x14ac:dyDescent="0.25">
      <c r="A42" s="9" t="s">
        <v>150</v>
      </c>
      <c r="B42" s="283">
        <v>2</v>
      </c>
      <c r="C42" s="11"/>
      <c r="D42" s="9" t="s">
        <v>585</v>
      </c>
      <c r="E42" s="12">
        <v>25</v>
      </c>
      <c r="F42" s="131" t="s">
        <v>544</v>
      </c>
      <c r="G42" s="126" t="str">
        <f>IFERROR(IF(VLOOKUP(TableHandbook[[#This Row],[UDC]],TableAvailabilities[],2,FALSE)&gt;0,"Y",""),"")</f>
        <v>Y</v>
      </c>
      <c r="H42" s="127" t="str">
        <f>IFERROR(IF(VLOOKUP(TableHandbook[[#This Row],[UDC]],TableAvailabilities[],3,FALSE)&gt;0,"Y",""),"")</f>
        <v>Y</v>
      </c>
      <c r="I42" s="127" t="str">
        <f>IFERROR(IF(VLOOKUP(TableHandbook[[#This Row],[UDC]],TableAvailabilities[],4,FALSE)&gt;0,"Y",""),"")</f>
        <v>Y</v>
      </c>
      <c r="J42" s="128" t="str">
        <f>IFERROR(IF(VLOOKUP(TableHandbook[[#This Row],[UDC]],TableAvailabilities[],5,FALSE)&gt;0,"Y",""),"")</f>
        <v/>
      </c>
      <c r="K42" s="128" t="str">
        <f>IFERROR(IF(VLOOKUP(TableHandbook[[#This Row],[UDC]],TableAvailabilities[],6,FALSE)&gt;0,"Y",""),"")</f>
        <v/>
      </c>
      <c r="L42" s="127" t="str">
        <f>IFERROR(IF(VLOOKUP(TableHandbook[[#This Row],[UDC]],TableAvailabilities[],7,FALSE)&gt;0,"Y",""),"")</f>
        <v/>
      </c>
      <c r="M42" s="208" t="s">
        <v>586</v>
      </c>
      <c r="N42" s="204" t="str">
        <f>IFERROR(VLOOKUP(TableHandbook[[#This Row],[UDC]],TableBEDUC[],7,FALSE),"")</f>
        <v>Option</v>
      </c>
      <c r="O42" s="193" t="str">
        <f>IFERROR(VLOOKUP(TableHandbook[[#This Row],[UDC]],TableBEDEC[],7,FALSE),"")</f>
        <v>Option</v>
      </c>
      <c r="P42" s="193" t="str">
        <f>IFERROR(VLOOKUP(TableHandbook[[#This Row],[UDC]],TableBEDPR[],7,FALSE),"")</f>
        <v/>
      </c>
      <c r="Q42" s="193" t="str">
        <f>IFERROR(VLOOKUP(TableHandbook[[#This Row],[UDC]],TableSTRUCATHL[],7,FALSE),"")</f>
        <v>Core</v>
      </c>
      <c r="R42" s="193" t="str">
        <f>IFERROR(VLOOKUP(TableHandbook[[#This Row],[UDC]],TableSTRUENGLL[],7,FALSE),"")</f>
        <v/>
      </c>
      <c r="S42" s="193" t="str">
        <f>IFERROR(VLOOKUP(TableHandbook[[#This Row],[UDC]],TableSTRUINTBC[],7,FALSE),"")</f>
        <v/>
      </c>
      <c r="T42" s="193" t="str">
        <f>IFERROR(VLOOKUP(TableHandbook[[#This Row],[UDC]],TableSTRUISTEM[],7,FALSE),"")</f>
        <v/>
      </c>
      <c r="U42" s="193" t="str">
        <f>IFERROR(VLOOKUP(TableHandbook[[#This Row],[UDC]],TableSTRULITNU[],7,FALSE),"")</f>
        <v/>
      </c>
      <c r="V42" s="193" t="str">
        <f>IFERROR(VLOOKUP(TableHandbook[[#This Row],[UDC]],TableSTRUTECHS[],7,FALSE),"")</f>
        <v/>
      </c>
      <c r="W42" s="193" t="str">
        <f>IFERROR(VLOOKUP(TableHandbook[[#This Row],[UDC]],TableBEDSC[],7,FALSE),"")</f>
        <v/>
      </c>
      <c r="X42" s="193" t="str">
        <f>IFERROR(VLOOKUP(TableHandbook[[#This Row],[UDC]],TableMJRUARTDR[],7,FALSE),"")</f>
        <v/>
      </c>
      <c r="Y42" s="193" t="str">
        <f>IFERROR(VLOOKUP(TableHandbook[[#This Row],[UDC]],TableMJRUARTME[],7,FALSE),"")</f>
        <v/>
      </c>
      <c r="Z42" s="193" t="str">
        <f>IFERROR(VLOOKUP(TableHandbook[[#This Row],[UDC]],TableMJRUARTVA[],7,FALSE),"")</f>
        <v/>
      </c>
      <c r="AA42" s="193" t="str">
        <f>IFERROR(VLOOKUP(TableHandbook[[#This Row],[UDC]],TableMJRUENGLT[],7,FALSE),"")</f>
        <v/>
      </c>
      <c r="AB42" s="193" t="str">
        <f>IFERROR(VLOOKUP(TableHandbook[[#This Row],[UDC]],TableMJRUHLTPE[],7,FALSE),"")</f>
        <v/>
      </c>
      <c r="AC42" s="193" t="str">
        <f>IFERROR(VLOOKUP(TableHandbook[[#This Row],[UDC]],TableMJRUHUSEC[],7,FALSE),"")</f>
        <v/>
      </c>
      <c r="AD42" s="193" t="str">
        <f>IFERROR(VLOOKUP(TableHandbook[[#This Row],[UDC]],TableMJRUHUSGE[],7,FALSE),"")</f>
        <v/>
      </c>
      <c r="AE42" s="193" t="str">
        <f>IFERROR(VLOOKUP(TableHandbook[[#This Row],[UDC]],TableMJRUHUSHI[],7,FALSE),"")</f>
        <v/>
      </c>
      <c r="AF42" s="193" t="str">
        <f>IFERROR(VLOOKUP(TableHandbook[[#This Row],[UDC]],TableMJRUHUSPL[],7,FALSE),"")</f>
        <v/>
      </c>
      <c r="AG42" s="193" t="str">
        <f>IFERROR(VLOOKUP(TableHandbook[[#This Row],[UDC]],TableMJRUMATHT[],7,FALSE),"")</f>
        <v/>
      </c>
      <c r="AH42" s="193" t="str">
        <f>IFERROR(VLOOKUP(TableHandbook[[#This Row],[UDC]],TableMJRUSCIBI[],7,FALSE),"")</f>
        <v/>
      </c>
      <c r="AI42" s="193" t="str">
        <f>IFERROR(VLOOKUP(TableHandbook[[#This Row],[UDC]],TableMJRUSCICH[],7,FALSE),"")</f>
        <v/>
      </c>
      <c r="AJ42" s="193" t="str">
        <f>IFERROR(VLOOKUP(TableHandbook[[#This Row],[UDC]],TableMJRUSCIHB[],7,FALSE),"")</f>
        <v/>
      </c>
      <c r="AK42" s="193" t="str">
        <f>IFERROR(VLOOKUP(TableHandbook[[#This Row],[UDC]],TableMJRUSCIPH[],7,FALSE),"")</f>
        <v/>
      </c>
      <c r="AL42" s="193" t="str">
        <f>IFERROR(VLOOKUP(TableHandbook[[#This Row],[UDC]],TableMJRUSCIPS[],7,FALSE),"")</f>
        <v/>
      </c>
      <c r="AM42" s="202"/>
      <c r="AN42" s="200" t="str">
        <f>IFERROR(VLOOKUP(TableHandbook[[#This Row],[UDC]],TableSTRUBIOLB[],7,FALSE),"")</f>
        <v>Option</v>
      </c>
      <c r="AO42" s="200" t="str">
        <f>IFERROR(VLOOKUP(TableHandbook[[#This Row],[UDC]],TableSTRUBSCIM[],7,FALSE),"")</f>
        <v/>
      </c>
      <c r="AP42" s="200" t="str">
        <f>IFERROR(VLOOKUP(TableHandbook[[#This Row],[UDC]],TableSTRUCHEMB[],7,FALSE),"")</f>
        <v>Option</v>
      </c>
      <c r="AQ42" s="200" t="str">
        <f>IFERROR(VLOOKUP(TableHandbook[[#This Row],[UDC]],TableSTRUECOB1[],7,FALSE),"")</f>
        <v>Option</v>
      </c>
      <c r="AR42" s="200" t="str">
        <f>IFERROR(VLOOKUP(TableHandbook[[#This Row],[UDC]],TableSTRUEDART[],7,FALSE),"")</f>
        <v>Option</v>
      </c>
      <c r="AS42" s="200" t="str">
        <f>IFERROR(VLOOKUP(TableHandbook[[#This Row],[UDC]],TableSTRUEDENG[],7,FALSE),"")</f>
        <v>Option</v>
      </c>
      <c r="AT42" s="200" t="str">
        <f>IFERROR(VLOOKUP(TableHandbook[[#This Row],[UDC]],TableSTRUEDHAS[],7,FALSE),"")</f>
        <v>Option</v>
      </c>
      <c r="AU42" s="200" t="str">
        <f>IFERROR(VLOOKUP(TableHandbook[[#This Row],[UDC]],TableSTRUEDMAT[],7,FALSE),"")</f>
        <v>Option</v>
      </c>
      <c r="AV42" s="200" t="str">
        <f>IFERROR(VLOOKUP(TableHandbook[[#This Row],[UDC]],TableSTRUEDSCI[],7,FALSE),"")</f>
        <v>Option</v>
      </c>
      <c r="AW42" s="200" t="str">
        <f>IFERROR(VLOOKUP(TableHandbook[[#This Row],[UDC]],TableSTRUENGLB[],7,FALSE),"")</f>
        <v>Option</v>
      </c>
      <c r="AX42" s="200" t="str">
        <f>IFERROR(VLOOKUP(TableHandbook[[#This Row],[UDC]],TableSTRUENGLM[],7,FALSE),"")</f>
        <v/>
      </c>
      <c r="AY42" s="200" t="str">
        <f>IFERROR(VLOOKUP(TableHandbook[[#This Row],[UDC]],TableSTRUGEOB1[],7,FALSE),"")</f>
        <v>Option</v>
      </c>
      <c r="AZ42" s="200" t="str">
        <f>IFERROR(VLOOKUP(TableHandbook[[#This Row],[UDC]],TableSTRUHISB1[],7,FALSE),"")</f>
        <v>Option</v>
      </c>
      <c r="BA42" s="200" t="str">
        <f>IFERROR(VLOOKUP(TableHandbook[[#This Row],[UDC]],TableSTRUHUMAM[],7,FALSE),"")</f>
        <v/>
      </c>
      <c r="BB42" s="200" t="str">
        <f>IFERROR(VLOOKUP(TableHandbook[[#This Row],[UDC]],TableSTRUHUMBB[],7,FALSE),"")</f>
        <v>Option</v>
      </c>
      <c r="BC42" s="200" t="str">
        <f>IFERROR(VLOOKUP(TableHandbook[[#This Row],[UDC]],TableSTRUMATHB[],7,FALSE),"")</f>
        <v>Option</v>
      </c>
      <c r="BD42" s="200" t="str">
        <f>IFERROR(VLOOKUP(TableHandbook[[#This Row],[UDC]],TableSTRUMATHM[],7,FALSE),"")</f>
        <v/>
      </c>
      <c r="BE42" s="200" t="str">
        <f>IFERROR(VLOOKUP(TableHandbook[[#This Row],[UDC]],TableSTRUPARTB[],7,FALSE),"")</f>
        <v>Option</v>
      </c>
      <c r="BF42" s="200" t="str">
        <f>IFERROR(VLOOKUP(TableHandbook[[#This Row],[UDC]],TableSTRUPARTM[],7,FALSE),"")</f>
        <v/>
      </c>
      <c r="BG42" s="200" t="str">
        <f>IFERROR(VLOOKUP(TableHandbook[[#This Row],[UDC]],TableSTRUPOLB1[],7,FALSE),"")</f>
        <v>Option</v>
      </c>
      <c r="BH42" s="200" t="str">
        <f>IFERROR(VLOOKUP(TableHandbook[[#This Row],[UDC]],TableSTRUPSCIM[],7,FALSE),"")</f>
        <v/>
      </c>
      <c r="BI42" s="200" t="str">
        <f>IFERROR(VLOOKUP(TableHandbook[[#This Row],[UDC]],TableSTRUPSYCB[],7,FALSE),"")</f>
        <v>Option</v>
      </c>
      <c r="BJ42" s="200" t="str">
        <f>IFERROR(VLOOKUP(TableHandbook[[#This Row],[UDC]],TableSTRUPSYCM[],7,FALSE),"")</f>
        <v/>
      </c>
      <c r="BK42" s="200" t="str">
        <f>IFERROR(VLOOKUP(TableHandbook[[#This Row],[UDC]],TableSTRUSOSCM[],7,FALSE),"")</f>
        <v/>
      </c>
      <c r="BL42" s="200" t="str">
        <f>IFERROR(VLOOKUP(TableHandbook[[#This Row],[UDC]],TableSTRUVARTB[],7,FALSE),"")</f>
        <v>Option</v>
      </c>
      <c r="BM42" s="200" t="str">
        <f>IFERROR(VLOOKUP(TableHandbook[[#This Row],[UDC]],TableSTRUVARTM[],7,FALSE),"")</f>
        <v/>
      </c>
    </row>
    <row r="43" spans="1:65" x14ac:dyDescent="0.25">
      <c r="A43" s="11" t="s">
        <v>587</v>
      </c>
      <c r="B43" s="12">
        <v>1</v>
      </c>
      <c r="C43" s="11"/>
      <c r="D43" s="11" t="s">
        <v>588</v>
      </c>
      <c r="E43" s="12">
        <v>25</v>
      </c>
      <c r="F43" s="131" t="s">
        <v>544</v>
      </c>
      <c r="G43" s="126" t="str">
        <f>IFERROR(IF(VLOOKUP(TableHandbook[[#This Row],[UDC]],TableAvailabilities[],2,FALSE)&gt;0,"Y",""),"")</f>
        <v/>
      </c>
      <c r="H43" s="127" t="str">
        <f>IFERROR(IF(VLOOKUP(TableHandbook[[#This Row],[UDC]],TableAvailabilities[],3,FALSE)&gt;0,"Y",""),"")</f>
        <v/>
      </c>
      <c r="I43" s="127" t="str">
        <f>IFERROR(IF(VLOOKUP(TableHandbook[[#This Row],[UDC]],TableAvailabilities[],4,FALSE)&gt;0,"Y",""),"")</f>
        <v/>
      </c>
      <c r="J43" s="128" t="str">
        <f>IFERROR(IF(VLOOKUP(TableHandbook[[#This Row],[UDC]],TableAvailabilities[],5,FALSE)&gt;0,"Y",""),"")</f>
        <v/>
      </c>
      <c r="K43" s="128" t="str">
        <f>IFERROR(IF(VLOOKUP(TableHandbook[[#This Row],[UDC]],TableAvailabilities[],6,FALSE)&gt;0,"Y",""),"")</f>
        <v/>
      </c>
      <c r="L43" s="127" t="str">
        <f>IFERROR(IF(VLOOKUP(TableHandbook[[#This Row],[UDC]],TableAvailabilities[],7,FALSE)&gt;0,"Y",""),"")</f>
        <v/>
      </c>
      <c r="M43" s="207" t="s">
        <v>589</v>
      </c>
      <c r="N43" s="204" t="str">
        <f>IFERROR(VLOOKUP(TableHandbook[[#This Row],[UDC]],TableBEDUC[],7,FALSE),"")</f>
        <v/>
      </c>
      <c r="O43" s="193" t="str">
        <f>IFERROR(VLOOKUP(TableHandbook[[#This Row],[UDC]],TableBEDEC[],7,FALSE),"")</f>
        <v/>
      </c>
      <c r="P43" s="193" t="str">
        <f>IFERROR(VLOOKUP(TableHandbook[[#This Row],[UDC]],TableBEDPR[],7,FALSE),"")</f>
        <v/>
      </c>
      <c r="Q43" s="193" t="str">
        <f>IFERROR(VLOOKUP(TableHandbook[[#This Row],[UDC]],TableSTRUCATHL[],7,FALSE),"")</f>
        <v/>
      </c>
      <c r="R43" s="193" t="str">
        <f>IFERROR(VLOOKUP(TableHandbook[[#This Row],[UDC]],TableSTRUENGLL[],7,FALSE),"")</f>
        <v/>
      </c>
      <c r="S43" s="193" t="str">
        <f>IFERROR(VLOOKUP(TableHandbook[[#This Row],[UDC]],TableSTRUINTBC[],7,FALSE),"")</f>
        <v/>
      </c>
      <c r="T43" s="193" t="str">
        <f>IFERROR(VLOOKUP(TableHandbook[[#This Row],[UDC]],TableSTRUISTEM[],7,FALSE),"")</f>
        <v/>
      </c>
      <c r="U43" s="193" t="str">
        <f>IFERROR(VLOOKUP(TableHandbook[[#This Row],[UDC]],TableSTRULITNU[],7,FALSE),"")</f>
        <v/>
      </c>
      <c r="V43" s="193" t="str">
        <f>IFERROR(VLOOKUP(TableHandbook[[#This Row],[UDC]],TableSTRUTECHS[],7,FALSE),"")</f>
        <v/>
      </c>
      <c r="W43" s="193" t="str">
        <f>IFERROR(VLOOKUP(TableHandbook[[#This Row],[UDC]],TableBEDSC[],7,FALSE),"")</f>
        <v/>
      </c>
      <c r="X43" s="193" t="str">
        <f>IFERROR(VLOOKUP(TableHandbook[[#This Row],[UDC]],TableMJRUARTDR[],7,FALSE),"")</f>
        <v/>
      </c>
      <c r="Y43" s="193" t="str">
        <f>IFERROR(VLOOKUP(TableHandbook[[#This Row],[UDC]],TableMJRUARTME[],7,FALSE),"")</f>
        <v/>
      </c>
      <c r="Z43" s="193" t="str">
        <f>IFERROR(VLOOKUP(TableHandbook[[#This Row],[UDC]],TableMJRUARTVA[],7,FALSE),"")</f>
        <v/>
      </c>
      <c r="AA43" s="193" t="str">
        <f>IFERROR(VLOOKUP(TableHandbook[[#This Row],[UDC]],TableMJRUENGLT[],7,FALSE),"")</f>
        <v/>
      </c>
      <c r="AB43" s="193" t="str">
        <f>IFERROR(VLOOKUP(TableHandbook[[#This Row],[UDC]],TableMJRUHLTPE[],7,FALSE),"")</f>
        <v/>
      </c>
      <c r="AC43" s="193" t="str">
        <f>IFERROR(VLOOKUP(TableHandbook[[#This Row],[UDC]],TableMJRUHUSEC[],7,FALSE),"")</f>
        <v/>
      </c>
      <c r="AD43" s="193" t="str">
        <f>IFERROR(VLOOKUP(TableHandbook[[#This Row],[UDC]],TableMJRUHUSGE[],7,FALSE),"")</f>
        <v/>
      </c>
      <c r="AE43" s="193" t="str">
        <f>IFERROR(VLOOKUP(TableHandbook[[#This Row],[UDC]],TableMJRUHUSHI[],7,FALSE),"")</f>
        <v/>
      </c>
      <c r="AF43" s="193" t="str">
        <f>IFERROR(VLOOKUP(TableHandbook[[#This Row],[UDC]],TableMJRUHUSPL[],7,FALSE),"")</f>
        <v/>
      </c>
      <c r="AG43" s="193" t="str">
        <f>IFERROR(VLOOKUP(TableHandbook[[#This Row],[UDC]],TableMJRUMATHT[],7,FALSE),"")</f>
        <v/>
      </c>
      <c r="AH43" s="193" t="str">
        <f>IFERROR(VLOOKUP(TableHandbook[[#This Row],[UDC]],TableMJRUSCIBI[],7,FALSE),"")</f>
        <v/>
      </c>
      <c r="AI43" s="193" t="str">
        <f>IFERROR(VLOOKUP(TableHandbook[[#This Row],[UDC]],TableMJRUSCICH[],7,FALSE),"")</f>
        <v/>
      </c>
      <c r="AJ43" s="193" t="str">
        <f>IFERROR(VLOOKUP(TableHandbook[[#This Row],[UDC]],TableMJRUSCIHB[],7,FALSE),"")</f>
        <v/>
      </c>
      <c r="AK43" s="193" t="str">
        <f>IFERROR(VLOOKUP(TableHandbook[[#This Row],[UDC]],TableMJRUSCIPH[],7,FALSE),"")</f>
        <v/>
      </c>
      <c r="AL43" s="193" t="str">
        <f>IFERROR(VLOOKUP(TableHandbook[[#This Row],[UDC]],TableMJRUSCIPS[],7,FALSE),"")</f>
        <v/>
      </c>
      <c r="AM43" s="202"/>
      <c r="AN43" s="200" t="str">
        <f>IFERROR(VLOOKUP(TableHandbook[[#This Row],[UDC]],TableSTRUBIOLB[],7,FALSE),"")</f>
        <v/>
      </c>
      <c r="AO43" s="200" t="str">
        <f>IFERROR(VLOOKUP(TableHandbook[[#This Row],[UDC]],TableSTRUBSCIM[],7,FALSE),"")</f>
        <v/>
      </c>
      <c r="AP43" s="200" t="str">
        <f>IFERROR(VLOOKUP(TableHandbook[[#This Row],[UDC]],TableSTRUCHEMB[],7,FALSE),"")</f>
        <v/>
      </c>
      <c r="AQ43" s="200" t="str">
        <f>IFERROR(VLOOKUP(TableHandbook[[#This Row],[UDC]],TableSTRUECOB1[],7,FALSE),"")</f>
        <v/>
      </c>
      <c r="AR43" s="200" t="str">
        <f>IFERROR(VLOOKUP(TableHandbook[[#This Row],[UDC]],TableSTRUEDART[],7,FALSE),"")</f>
        <v/>
      </c>
      <c r="AS43" s="200" t="str">
        <f>IFERROR(VLOOKUP(TableHandbook[[#This Row],[UDC]],TableSTRUEDENG[],7,FALSE),"")</f>
        <v/>
      </c>
      <c r="AT43" s="200" t="str">
        <f>IFERROR(VLOOKUP(TableHandbook[[#This Row],[UDC]],TableSTRUEDHAS[],7,FALSE),"")</f>
        <v/>
      </c>
      <c r="AU43" s="200" t="str">
        <f>IFERROR(VLOOKUP(TableHandbook[[#This Row],[UDC]],TableSTRUEDMAT[],7,FALSE),"")</f>
        <v/>
      </c>
      <c r="AV43" s="200" t="str">
        <f>IFERROR(VLOOKUP(TableHandbook[[#This Row],[UDC]],TableSTRUEDSCI[],7,FALSE),"")</f>
        <v/>
      </c>
      <c r="AW43" s="200" t="str">
        <f>IFERROR(VLOOKUP(TableHandbook[[#This Row],[UDC]],TableSTRUENGLB[],7,FALSE),"")</f>
        <v/>
      </c>
      <c r="AX43" s="200" t="str">
        <f>IFERROR(VLOOKUP(TableHandbook[[#This Row],[UDC]],TableSTRUENGLM[],7,FALSE),"")</f>
        <v/>
      </c>
      <c r="AY43" s="200" t="str">
        <f>IFERROR(VLOOKUP(TableHandbook[[#This Row],[UDC]],TableSTRUGEOB1[],7,FALSE),"")</f>
        <v/>
      </c>
      <c r="AZ43" s="200" t="str">
        <f>IFERROR(VLOOKUP(TableHandbook[[#This Row],[UDC]],TableSTRUHISB1[],7,FALSE),"")</f>
        <v/>
      </c>
      <c r="BA43" s="200" t="str">
        <f>IFERROR(VLOOKUP(TableHandbook[[#This Row],[UDC]],TableSTRUHUMAM[],7,FALSE),"")</f>
        <v/>
      </c>
      <c r="BB43" s="200" t="str">
        <f>IFERROR(VLOOKUP(TableHandbook[[#This Row],[UDC]],TableSTRUHUMBB[],7,FALSE),"")</f>
        <v/>
      </c>
      <c r="BC43" s="200" t="str">
        <f>IFERROR(VLOOKUP(TableHandbook[[#This Row],[UDC]],TableSTRUMATHB[],7,FALSE),"")</f>
        <v/>
      </c>
      <c r="BD43" s="200" t="str">
        <f>IFERROR(VLOOKUP(TableHandbook[[#This Row],[UDC]],TableSTRUMATHM[],7,FALSE),"")</f>
        <v/>
      </c>
      <c r="BE43" s="200" t="str">
        <f>IFERROR(VLOOKUP(TableHandbook[[#This Row],[UDC]],TableSTRUPARTB[],7,FALSE),"")</f>
        <v/>
      </c>
      <c r="BF43" s="200" t="str">
        <f>IFERROR(VLOOKUP(TableHandbook[[#This Row],[UDC]],TableSTRUPARTM[],7,FALSE),"")</f>
        <v/>
      </c>
      <c r="BG43" s="200" t="str">
        <f>IFERROR(VLOOKUP(TableHandbook[[#This Row],[UDC]],TableSTRUPOLB1[],7,FALSE),"")</f>
        <v/>
      </c>
      <c r="BH43" s="200" t="str">
        <f>IFERROR(VLOOKUP(TableHandbook[[#This Row],[UDC]],TableSTRUPSCIM[],7,FALSE),"")</f>
        <v/>
      </c>
      <c r="BI43" s="200" t="str">
        <f>IFERROR(VLOOKUP(TableHandbook[[#This Row],[UDC]],TableSTRUPSYCB[],7,FALSE),"")</f>
        <v/>
      </c>
      <c r="BJ43" s="200" t="str">
        <f>IFERROR(VLOOKUP(TableHandbook[[#This Row],[UDC]],TableSTRUPSYCM[],7,FALSE),"")</f>
        <v/>
      </c>
      <c r="BK43" s="200" t="str">
        <f>IFERROR(VLOOKUP(TableHandbook[[#This Row],[UDC]],TableSTRUSOSCM[],7,FALSE),"")</f>
        <v/>
      </c>
      <c r="BL43" s="200" t="str">
        <f>IFERROR(VLOOKUP(TableHandbook[[#This Row],[UDC]],TableSTRUVARTB[],7,FALSE),"")</f>
        <v/>
      </c>
      <c r="BM43" s="200" t="str">
        <f>IFERROR(VLOOKUP(TableHandbook[[#This Row],[UDC]],TableSTRUVARTM[],7,FALSE),"")</f>
        <v/>
      </c>
    </row>
    <row r="44" spans="1:65" x14ac:dyDescent="0.25">
      <c r="A44" s="11" t="s">
        <v>590</v>
      </c>
      <c r="B44" s="12">
        <v>2</v>
      </c>
      <c r="C44" s="11"/>
      <c r="D44" s="11" t="s">
        <v>591</v>
      </c>
      <c r="E44" s="12">
        <v>25</v>
      </c>
      <c r="F44" s="131" t="s">
        <v>544</v>
      </c>
      <c r="G44" s="126" t="str">
        <f>IFERROR(IF(VLOOKUP(TableHandbook[[#This Row],[UDC]],TableAvailabilities[],2,FALSE)&gt;0,"Y",""),"")</f>
        <v/>
      </c>
      <c r="H44" s="127" t="str">
        <f>IFERROR(IF(VLOOKUP(TableHandbook[[#This Row],[UDC]],TableAvailabilities[],3,FALSE)&gt;0,"Y",""),"")</f>
        <v/>
      </c>
      <c r="I44" s="127" t="str">
        <f>IFERROR(IF(VLOOKUP(TableHandbook[[#This Row],[UDC]],TableAvailabilities[],4,FALSE)&gt;0,"Y",""),"")</f>
        <v/>
      </c>
      <c r="J44" s="128" t="str">
        <f>IFERROR(IF(VLOOKUP(TableHandbook[[#This Row],[UDC]],TableAvailabilities[],5,FALSE)&gt;0,"Y",""),"")</f>
        <v/>
      </c>
      <c r="K44" s="128" t="str">
        <f>IFERROR(IF(VLOOKUP(TableHandbook[[#This Row],[UDC]],TableAvailabilities[],6,FALSE)&gt;0,"Y",""),"")</f>
        <v/>
      </c>
      <c r="L44" s="127" t="str">
        <f>IFERROR(IF(VLOOKUP(TableHandbook[[#This Row],[UDC]],TableAvailabilities[],7,FALSE)&gt;0,"Y",""),"")</f>
        <v/>
      </c>
      <c r="M44" s="208" t="s">
        <v>584</v>
      </c>
      <c r="N44" s="204" t="str">
        <f>IFERROR(VLOOKUP(TableHandbook[[#This Row],[UDC]],TableBEDUC[],7,FALSE),"")</f>
        <v/>
      </c>
      <c r="O44" s="193" t="str">
        <f>IFERROR(VLOOKUP(TableHandbook[[#This Row],[UDC]],TableBEDEC[],7,FALSE),"")</f>
        <v/>
      </c>
      <c r="P44" s="193" t="str">
        <f>IFERROR(VLOOKUP(TableHandbook[[#This Row],[UDC]],TableBEDPR[],7,FALSE),"")</f>
        <v/>
      </c>
      <c r="Q44" s="193" t="str">
        <f>IFERROR(VLOOKUP(TableHandbook[[#This Row],[UDC]],TableSTRUCATHL[],7,FALSE),"")</f>
        <v/>
      </c>
      <c r="R44" s="193" t="str">
        <f>IFERROR(VLOOKUP(TableHandbook[[#This Row],[UDC]],TableSTRUENGLL[],7,FALSE),"")</f>
        <v/>
      </c>
      <c r="S44" s="193" t="str">
        <f>IFERROR(VLOOKUP(TableHandbook[[#This Row],[UDC]],TableSTRUINTBC[],7,FALSE),"")</f>
        <v/>
      </c>
      <c r="T44" s="193" t="str">
        <f>IFERROR(VLOOKUP(TableHandbook[[#This Row],[UDC]],TableSTRUISTEM[],7,FALSE),"")</f>
        <v/>
      </c>
      <c r="U44" s="193" t="str">
        <f>IFERROR(VLOOKUP(TableHandbook[[#This Row],[UDC]],TableSTRULITNU[],7,FALSE),"")</f>
        <v/>
      </c>
      <c r="V44" s="193" t="str">
        <f>IFERROR(VLOOKUP(TableHandbook[[#This Row],[UDC]],TableSTRUTECHS[],7,FALSE),"")</f>
        <v/>
      </c>
      <c r="W44" s="193" t="str">
        <f>IFERROR(VLOOKUP(TableHandbook[[#This Row],[UDC]],TableBEDSC[],7,FALSE),"")</f>
        <v/>
      </c>
      <c r="X44" s="193" t="str">
        <f>IFERROR(VLOOKUP(TableHandbook[[#This Row],[UDC]],TableMJRUARTDR[],7,FALSE),"")</f>
        <v/>
      </c>
      <c r="Y44" s="193" t="str">
        <f>IFERROR(VLOOKUP(TableHandbook[[#This Row],[UDC]],TableMJRUARTME[],7,FALSE),"")</f>
        <v/>
      </c>
      <c r="Z44" s="193" t="str">
        <f>IFERROR(VLOOKUP(TableHandbook[[#This Row],[UDC]],TableMJRUARTVA[],7,FALSE),"")</f>
        <v/>
      </c>
      <c r="AA44" s="193" t="str">
        <f>IFERROR(VLOOKUP(TableHandbook[[#This Row],[UDC]],TableMJRUENGLT[],7,FALSE),"")</f>
        <v/>
      </c>
      <c r="AB44" s="193" t="str">
        <f>IFERROR(VLOOKUP(TableHandbook[[#This Row],[UDC]],TableMJRUHLTPE[],7,FALSE),"")</f>
        <v/>
      </c>
      <c r="AC44" s="193" t="str">
        <f>IFERROR(VLOOKUP(TableHandbook[[#This Row],[UDC]],TableMJRUHUSEC[],7,FALSE),"")</f>
        <v/>
      </c>
      <c r="AD44" s="193" t="str">
        <f>IFERROR(VLOOKUP(TableHandbook[[#This Row],[UDC]],TableMJRUHUSGE[],7,FALSE),"")</f>
        <v/>
      </c>
      <c r="AE44" s="193" t="str">
        <f>IFERROR(VLOOKUP(TableHandbook[[#This Row],[UDC]],TableMJRUHUSHI[],7,FALSE),"")</f>
        <v/>
      </c>
      <c r="AF44" s="193" t="str">
        <f>IFERROR(VLOOKUP(TableHandbook[[#This Row],[UDC]],TableMJRUHUSPL[],7,FALSE),"")</f>
        <v/>
      </c>
      <c r="AG44" s="193" t="str">
        <f>IFERROR(VLOOKUP(TableHandbook[[#This Row],[UDC]],TableMJRUMATHT[],7,FALSE),"")</f>
        <v/>
      </c>
      <c r="AH44" s="193" t="str">
        <f>IFERROR(VLOOKUP(TableHandbook[[#This Row],[UDC]],TableMJRUSCIBI[],7,FALSE),"")</f>
        <v/>
      </c>
      <c r="AI44" s="193" t="str">
        <f>IFERROR(VLOOKUP(TableHandbook[[#This Row],[UDC]],TableMJRUSCICH[],7,FALSE),"")</f>
        <v/>
      </c>
      <c r="AJ44" s="193" t="str">
        <f>IFERROR(VLOOKUP(TableHandbook[[#This Row],[UDC]],TableMJRUSCIHB[],7,FALSE),"")</f>
        <v/>
      </c>
      <c r="AK44" s="193" t="str">
        <f>IFERROR(VLOOKUP(TableHandbook[[#This Row],[UDC]],TableMJRUSCIPH[],7,FALSE),"")</f>
        <v/>
      </c>
      <c r="AL44" s="193" t="str">
        <f>IFERROR(VLOOKUP(TableHandbook[[#This Row],[UDC]],TableMJRUSCIPS[],7,FALSE),"")</f>
        <v/>
      </c>
      <c r="AM44" s="202"/>
      <c r="AN44" s="200" t="str">
        <f>IFERROR(VLOOKUP(TableHandbook[[#This Row],[UDC]],TableSTRUBIOLB[],7,FALSE),"")</f>
        <v/>
      </c>
      <c r="AO44" s="200" t="str">
        <f>IFERROR(VLOOKUP(TableHandbook[[#This Row],[UDC]],TableSTRUBSCIM[],7,FALSE),"")</f>
        <v/>
      </c>
      <c r="AP44" s="200" t="str">
        <f>IFERROR(VLOOKUP(TableHandbook[[#This Row],[UDC]],TableSTRUCHEMB[],7,FALSE),"")</f>
        <v/>
      </c>
      <c r="AQ44" s="200" t="str">
        <f>IFERROR(VLOOKUP(TableHandbook[[#This Row],[UDC]],TableSTRUECOB1[],7,FALSE),"")</f>
        <v/>
      </c>
      <c r="AR44" s="200" t="str">
        <f>IFERROR(VLOOKUP(TableHandbook[[#This Row],[UDC]],TableSTRUEDART[],7,FALSE),"")</f>
        <v/>
      </c>
      <c r="AS44" s="200" t="str">
        <f>IFERROR(VLOOKUP(TableHandbook[[#This Row],[UDC]],TableSTRUEDENG[],7,FALSE),"")</f>
        <v/>
      </c>
      <c r="AT44" s="200" t="str">
        <f>IFERROR(VLOOKUP(TableHandbook[[#This Row],[UDC]],TableSTRUEDHAS[],7,FALSE),"")</f>
        <v/>
      </c>
      <c r="AU44" s="200" t="str">
        <f>IFERROR(VLOOKUP(TableHandbook[[#This Row],[UDC]],TableSTRUEDMAT[],7,FALSE),"")</f>
        <v/>
      </c>
      <c r="AV44" s="200" t="str">
        <f>IFERROR(VLOOKUP(TableHandbook[[#This Row],[UDC]],TableSTRUEDSCI[],7,FALSE),"")</f>
        <v/>
      </c>
      <c r="AW44" s="200" t="str">
        <f>IFERROR(VLOOKUP(TableHandbook[[#This Row],[UDC]],TableSTRUENGLB[],7,FALSE),"")</f>
        <v/>
      </c>
      <c r="AX44" s="200" t="str">
        <f>IFERROR(VLOOKUP(TableHandbook[[#This Row],[UDC]],TableSTRUENGLM[],7,FALSE),"")</f>
        <v/>
      </c>
      <c r="AY44" s="200" t="str">
        <f>IFERROR(VLOOKUP(TableHandbook[[#This Row],[UDC]],TableSTRUGEOB1[],7,FALSE),"")</f>
        <v/>
      </c>
      <c r="AZ44" s="200" t="str">
        <f>IFERROR(VLOOKUP(TableHandbook[[#This Row],[UDC]],TableSTRUHISB1[],7,FALSE),"")</f>
        <v/>
      </c>
      <c r="BA44" s="200" t="str">
        <f>IFERROR(VLOOKUP(TableHandbook[[#This Row],[UDC]],TableSTRUHUMAM[],7,FALSE),"")</f>
        <v/>
      </c>
      <c r="BB44" s="200" t="str">
        <f>IFERROR(VLOOKUP(TableHandbook[[#This Row],[UDC]],TableSTRUHUMBB[],7,FALSE),"")</f>
        <v/>
      </c>
      <c r="BC44" s="200" t="str">
        <f>IFERROR(VLOOKUP(TableHandbook[[#This Row],[UDC]],TableSTRUMATHB[],7,FALSE),"")</f>
        <v/>
      </c>
      <c r="BD44" s="200" t="str">
        <f>IFERROR(VLOOKUP(TableHandbook[[#This Row],[UDC]],TableSTRUMATHM[],7,FALSE),"")</f>
        <v/>
      </c>
      <c r="BE44" s="200" t="str">
        <f>IFERROR(VLOOKUP(TableHandbook[[#This Row],[UDC]],TableSTRUPARTB[],7,FALSE),"")</f>
        <v/>
      </c>
      <c r="BF44" s="200" t="str">
        <f>IFERROR(VLOOKUP(TableHandbook[[#This Row],[UDC]],TableSTRUPARTM[],7,FALSE),"")</f>
        <v/>
      </c>
      <c r="BG44" s="200" t="str">
        <f>IFERROR(VLOOKUP(TableHandbook[[#This Row],[UDC]],TableSTRUPOLB1[],7,FALSE),"")</f>
        <v/>
      </c>
      <c r="BH44" s="200" t="str">
        <f>IFERROR(VLOOKUP(TableHandbook[[#This Row],[UDC]],TableSTRUPSCIM[],7,FALSE),"")</f>
        <v/>
      </c>
      <c r="BI44" s="200" t="str">
        <f>IFERROR(VLOOKUP(TableHandbook[[#This Row],[UDC]],TableSTRUPSYCB[],7,FALSE),"")</f>
        <v/>
      </c>
      <c r="BJ44" s="200" t="str">
        <f>IFERROR(VLOOKUP(TableHandbook[[#This Row],[UDC]],TableSTRUPSYCM[],7,FALSE),"")</f>
        <v/>
      </c>
      <c r="BK44" s="200" t="str">
        <f>IFERROR(VLOOKUP(TableHandbook[[#This Row],[UDC]],TableSTRUSOSCM[],7,FALSE),"")</f>
        <v/>
      </c>
      <c r="BL44" s="200" t="str">
        <f>IFERROR(VLOOKUP(TableHandbook[[#This Row],[UDC]],TableSTRUVARTB[],7,FALSE),"")</f>
        <v/>
      </c>
      <c r="BM44" s="200" t="str">
        <f>IFERROR(VLOOKUP(TableHandbook[[#This Row],[UDC]],TableSTRUVARTM[],7,FALSE),"")</f>
        <v/>
      </c>
    </row>
    <row r="45" spans="1:65" x14ac:dyDescent="0.25">
      <c r="A45" s="11" t="s">
        <v>152</v>
      </c>
      <c r="B45" s="12">
        <v>1</v>
      </c>
      <c r="C45" s="11"/>
      <c r="D45" s="11" t="s">
        <v>592</v>
      </c>
      <c r="E45" s="12">
        <v>25</v>
      </c>
      <c r="F45" s="131" t="s">
        <v>544</v>
      </c>
      <c r="G45" s="126" t="str">
        <f>IFERROR(IF(VLOOKUP(TableHandbook[[#This Row],[UDC]],TableAvailabilities[],2,FALSE)&gt;0,"Y",""),"")</f>
        <v/>
      </c>
      <c r="H45" s="127" t="str">
        <f>IFERROR(IF(VLOOKUP(TableHandbook[[#This Row],[UDC]],TableAvailabilities[],3,FALSE)&gt;0,"Y",""),"")</f>
        <v/>
      </c>
      <c r="I45" s="127" t="str">
        <f>IFERROR(IF(VLOOKUP(TableHandbook[[#This Row],[UDC]],TableAvailabilities[],4,FALSE)&gt;0,"Y",""),"")</f>
        <v/>
      </c>
      <c r="J45" s="128" t="str">
        <f>IFERROR(IF(VLOOKUP(TableHandbook[[#This Row],[UDC]],TableAvailabilities[],5,FALSE)&gt;0,"Y",""),"")</f>
        <v>Y</v>
      </c>
      <c r="K45" s="128" t="str">
        <f>IFERROR(IF(VLOOKUP(TableHandbook[[#This Row],[UDC]],TableAvailabilities[],6,FALSE)&gt;0,"Y",""),"")</f>
        <v>Y</v>
      </c>
      <c r="L45" s="127" t="str">
        <f>IFERROR(IF(VLOOKUP(TableHandbook[[#This Row],[UDC]],TableAvailabilities[],7,FALSE)&gt;0,"Y",""),"")</f>
        <v>Y</v>
      </c>
      <c r="M45" s="208" t="s">
        <v>565</v>
      </c>
      <c r="N45" s="204" t="str">
        <f>IFERROR(VLOOKUP(TableHandbook[[#This Row],[UDC]],TableBEDUC[],7,FALSE),"")</f>
        <v>Option</v>
      </c>
      <c r="O45" s="193" t="str">
        <f>IFERROR(VLOOKUP(TableHandbook[[#This Row],[UDC]],TableBEDEC[],7,FALSE),"")</f>
        <v/>
      </c>
      <c r="P45" s="193" t="str">
        <f>IFERROR(VLOOKUP(TableHandbook[[#This Row],[UDC]],TableBEDPR[],7,FALSE),"")</f>
        <v/>
      </c>
      <c r="Q45" s="193" t="str">
        <f>IFERROR(VLOOKUP(TableHandbook[[#This Row],[UDC]],TableSTRUCATHL[],7,FALSE),"")</f>
        <v>Core</v>
      </c>
      <c r="R45" s="193" t="str">
        <f>IFERROR(VLOOKUP(TableHandbook[[#This Row],[UDC]],TableSTRUENGLL[],7,FALSE),"")</f>
        <v/>
      </c>
      <c r="S45" s="193" t="str">
        <f>IFERROR(VLOOKUP(TableHandbook[[#This Row],[UDC]],TableSTRUINTBC[],7,FALSE),"")</f>
        <v/>
      </c>
      <c r="T45" s="193" t="str">
        <f>IFERROR(VLOOKUP(TableHandbook[[#This Row],[UDC]],TableSTRUISTEM[],7,FALSE),"")</f>
        <v/>
      </c>
      <c r="U45" s="193" t="str">
        <f>IFERROR(VLOOKUP(TableHandbook[[#This Row],[UDC]],TableSTRULITNU[],7,FALSE),"")</f>
        <v/>
      </c>
      <c r="V45" s="193" t="str">
        <f>IFERROR(VLOOKUP(TableHandbook[[#This Row],[UDC]],TableSTRUTECHS[],7,FALSE),"")</f>
        <v/>
      </c>
      <c r="W45" s="193" t="str">
        <f>IFERROR(VLOOKUP(TableHandbook[[#This Row],[UDC]],TableBEDSC[],7,FALSE),"")</f>
        <v/>
      </c>
      <c r="X45" s="193" t="str">
        <f>IFERROR(VLOOKUP(TableHandbook[[#This Row],[UDC]],TableMJRUARTDR[],7,FALSE),"")</f>
        <v/>
      </c>
      <c r="Y45" s="193" t="str">
        <f>IFERROR(VLOOKUP(TableHandbook[[#This Row],[UDC]],TableMJRUARTME[],7,FALSE),"")</f>
        <v/>
      </c>
      <c r="Z45" s="193" t="str">
        <f>IFERROR(VLOOKUP(TableHandbook[[#This Row],[UDC]],TableMJRUARTVA[],7,FALSE),"")</f>
        <v/>
      </c>
      <c r="AA45" s="193" t="str">
        <f>IFERROR(VLOOKUP(TableHandbook[[#This Row],[UDC]],TableMJRUENGLT[],7,FALSE),"")</f>
        <v/>
      </c>
      <c r="AB45" s="193" t="str">
        <f>IFERROR(VLOOKUP(TableHandbook[[#This Row],[UDC]],TableMJRUHLTPE[],7,FALSE),"")</f>
        <v/>
      </c>
      <c r="AC45" s="193" t="str">
        <f>IFERROR(VLOOKUP(TableHandbook[[#This Row],[UDC]],TableMJRUHUSEC[],7,FALSE),"")</f>
        <v/>
      </c>
      <c r="AD45" s="193" t="str">
        <f>IFERROR(VLOOKUP(TableHandbook[[#This Row],[UDC]],TableMJRUHUSGE[],7,FALSE),"")</f>
        <v/>
      </c>
      <c r="AE45" s="193" t="str">
        <f>IFERROR(VLOOKUP(TableHandbook[[#This Row],[UDC]],TableMJRUHUSHI[],7,FALSE),"")</f>
        <v/>
      </c>
      <c r="AF45" s="193" t="str">
        <f>IFERROR(VLOOKUP(TableHandbook[[#This Row],[UDC]],TableMJRUHUSPL[],7,FALSE),"")</f>
        <v/>
      </c>
      <c r="AG45" s="193" t="str">
        <f>IFERROR(VLOOKUP(TableHandbook[[#This Row],[UDC]],TableMJRUMATHT[],7,FALSE),"")</f>
        <v/>
      </c>
      <c r="AH45" s="193" t="str">
        <f>IFERROR(VLOOKUP(TableHandbook[[#This Row],[UDC]],TableMJRUSCIBI[],7,FALSE),"")</f>
        <v/>
      </c>
      <c r="AI45" s="193" t="str">
        <f>IFERROR(VLOOKUP(TableHandbook[[#This Row],[UDC]],TableMJRUSCICH[],7,FALSE),"")</f>
        <v/>
      </c>
      <c r="AJ45" s="193" t="str">
        <f>IFERROR(VLOOKUP(TableHandbook[[#This Row],[UDC]],TableMJRUSCIHB[],7,FALSE),"")</f>
        <v/>
      </c>
      <c r="AK45" s="193" t="str">
        <f>IFERROR(VLOOKUP(TableHandbook[[#This Row],[UDC]],TableMJRUSCIPH[],7,FALSE),"")</f>
        <v/>
      </c>
      <c r="AL45" s="193" t="str">
        <f>IFERROR(VLOOKUP(TableHandbook[[#This Row],[UDC]],TableMJRUSCIPS[],7,FALSE),"")</f>
        <v/>
      </c>
      <c r="AM45" s="202"/>
      <c r="AN45" s="200" t="str">
        <f>IFERROR(VLOOKUP(TableHandbook[[#This Row],[UDC]],TableSTRUBIOLB[],7,FALSE),"")</f>
        <v>Option</v>
      </c>
      <c r="AO45" s="200" t="str">
        <f>IFERROR(VLOOKUP(TableHandbook[[#This Row],[UDC]],TableSTRUBSCIM[],7,FALSE),"")</f>
        <v/>
      </c>
      <c r="AP45" s="200" t="str">
        <f>IFERROR(VLOOKUP(TableHandbook[[#This Row],[UDC]],TableSTRUCHEMB[],7,FALSE),"")</f>
        <v>Option</v>
      </c>
      <c r="AQ45" s="200" t="str">
        <f>IFERROR(VLOOKUP(TableHandbook[[#This Row],[UDC]],TableSTRUECOB1[],7,FALSE),"")</f>
        <v>Option</v>
      </c>
      <c r="AR45" s="200" t="str">
        <f>IFERROR(VLOOKUP(TableHandbook[[#This Row],[UDC]],TableSTRUEDART[],7,FALSE),"")</f>
        <v>Option</v>
      </c>
      <c r="AS45" s="200" t="str">
        <f>IFERROR(VLOOKUP(TableHandbook[[#This Row],[UDC]],TableSTRUEDENG[],7,FALSE),"")</f>
        <v>Option</v>
      </c>
      <c r="AT45" s="200" t="str">
        <f>IFERROR(VLOOKUP(TableHandbook[[#This Row],[UDC]],TableSTRUEDHAS[],7,FALSE),"")</f>
        <v>Option</v>
      </c>
      <c r="AU45" s="200" t="str">
        <f>IFERROR(VLOOKUP(TableHandbook[[#This Row],[UDC]],TableSTRUEDMAT[],7,FALSE),"")</f>
        <v>Option</v>
      </c>
      <c r="AV45" s="200" t="str">
        <f>IFERROR(VLOOKUP(TableHandbook[[#This Row],[UDC]],TableSTRUEDSCI[],7,FALSE),"")</f>
        <v>Option</v>
      </c>
      <c r="AW45" s="200" t="str">
        <f>IFERROR(VLOOKUP(TableHandbook[[#This Row],[UDC]],TableSTRUENGLB[],7,FALSE),"")</f>
        <v>Option</v>
      </c>
      <c r="AX45" s="200" t="str">
        <f>IFERROR(VLOOKUP(TableHandbook[[#This Row],[UDC]],TableSTRUENGLM[],7,FALSE),"")</f>
        <v/>
      </c>
      <c r="AY45" s="200" t="str">
        <f>IFERROR(VLOOKUP(TableHandbook[[#This Row],[UDC]],TableSTRUGEOB1[],7,FALSE),"")</f>
        <v>Option</v>
      </c>
      <c r="AZ45" s="200" t="str">
        <f>IFERROR(VLOOKUP(TableHandbook[[#This Row],[UDC]],TableSTRUHISB1[],7,FALSE),"")</f>
        <v>Option</v>
      </c>
      <c r="BA45" s="200" t="str">
        <f>IFERROR(VLOOKUP(TableHandbook[[#This Row],[UDC]],TableSTRUHUMAM[],7,FALSE),"")</f>
        <v/>
      </c>
      <c r="BB45" s="200" t="str">
        <f>IFERROR(VLOOKUP(TableHandbook[[#This Row],[UDC]],TableSTRUHUMBB[],7,FALSE),"")</f>
        <v>Option</v>
      </c>
      <c r="BC45" s="200" t="str">
        <f>IFERROR(VLOOKUP(TableHandbook[[#This Row],[UDC]],TableSTRUMATHB[],7,FALSE),"")</f>
        <v>Option</v>
      </c>
      <c r="BD45" s="200" t="str">
        <f>IFERROR(VLOOKUP(TableHandbook[[#This Row],[UDC]],TableSTRUMATHM[],7,FALSE),"")</f>
        <v/>
      </c>
      <c r="BE45" s="200" t="str">
        <f>IFERROR(VLOOKUP(TableHandbook[[#This Row],[UDC]],TableSTRUPARTB[],7,FALSE),"")</f>
        <v>Option</v>
      </c>
      <c r="BF45" s="200" t="str">
        <f>IFERROR(VLOOKUP(TableHandbook[[#This Row],[UDC]],TableSTRUPARTM[],7,FALSE),"")</f>
        <v/>
      </c>
      <c r="BG45" s="200" t="str">
        <f>IFERROR(VLOOKUP(TableHandbook[[#This Row],[UDC]],TableSTRUPOLB1[],7,FALSE),"")</f>
        <v>Option</v>
      </c>
      <c r="BH45" s="200" t="str">
        <f>IFERROR(VLOOKUP(TableHandbook[[#This Row],[UDC]],TableSTRUPSCIM[],7,FALSE),"")</f>
        <v/>
      </c>
      <c r="BI45" s="200" t="str">
        <f>IFERROR(VLOOKUP(TableHandbook[[#This Row],[UDC]],TableSTRUPSYCB[],7,FALSE),"")</f>
        <v>Option</v>
      </c>
      <c r="BJ45" s="200" t="str">
        <f>IFERROR(VLOOKUP(TableHandbook[[#This Row],[UDC]],TableSTRUPSYCM[],7,FALSE),"")</f>
        <v/>
      </c>
      <c r="BK45" s="200" t="str">
        <f>IFERROR(VLOOKUP(TableHandbook[[#This Row],[UDC]],TableSTRUSOSCM[],7,FALSE),"")</f>
        <v/>
      </c>
      <c r="BL45" s="200" t="str">
        <f>IFERROR(VLOOKUP(TableHandbook[[#This Row],[UDC]],TableSTRUVARTB[],7,FALSE),"")</f>
        <v>Option</v>
      </c>
      <c r="BM45" s="200" t="str">
        <f>IFERROR(VLOOKUP(TableHandbook[[#This Row],[UDC]],TableSTRUVARTM[],7,FALSE),"")</f>
        <v/>
      </c>
    </row>
    <row r="46" spans="1:65" x14ac:dyDescent="0.25">
      <c r="A46" s="11" t="s">
        <v>154</v>
      </c>
      <c r="B46" s="12">
        <v>1</v>
      </c>
      <c r="C46" s="11"/>
      <c r="D46" s="11" t="s">
        <v>593</v>
      </c>
      <c r="E46" s="12">
        <v>25</v>
      </c>
      <c r="F46" s="131" t="s">
        <v>544</v>
      </c>
      <c r="G46" s="126" t="str">
        <f>IFERROR(IF(VLOOKUP(TableHandbook[[#This Row],[UDC]],TableAvailabilities[],2,FALSE)&gt;0,"Y",""),"")</f>
        <v>Y</v>
      </c>
      <c r="H46" s="127" t="str">
        <f>IFERROR(IF(VLOOKUP(TableHandbook[[#This Row],[UDC]],TableAvailabilities[],3,FALSE)&gt;0,"Y",""),"")</f>
        <v>Y</v>
      </c>
      <c r="I46" s="127" t="str">
        <f>IFERROR(IF(VLOOKUP(TableHandbook[[#This Row],[UDC]],TableAvailabilities[],4,FALSE)&gt;0,"Y",""),"")</f>
        <v>Y</v>
      </c>
      <c r="J46" s="128" t="str">
        <f>IFERROR(IF(VLOOKUP(TableHandbook[[#This Row],[UDC]],TableAvailabilities[],5,FALSE)&gt;0,"Y",""),"")</f>
        <v/>
      </c>
      <c r="K46" s="128" t="str">
        <f>IFERROR(IF(VLOOKUP(TableHandbook[[#This Row],[UDC]],TableAvailabilities[],6,FALSE)&gt;0,"Y",""),"")</f>
        <v/>
      </c>
      <c r="L46" s="127" t="str">
        <f>IFERROR(IF(VLOOKUP(TableHandbook[[#This Row],[UDC]],TableAvailabilities[],7,FALSE)&gt;0,"Y",""),"")</f>
        <v/>
      </c>
      <c r="M46" s="208" t="s">
        <v>565</v>
      </c>
      <c r="N46" s="204" t="str">
        <f>IFERROR(VLOOKUP(TableHandbook[[#This Row],[UDC]],TableBEDUC[],7,FALSE),"")</f>
        <v>Option</v>
      </c>
      <c r="O46" s="193" t="str">
        <f>IFERROR(VLOOKUP(TableHandbook[[#This Row],[UDC]],TableBEDEC[],7,FALSE),"")</f>
        <v/>
      </c>
      <c r="P46" s="193" t="str">
        <f>IFERROR(VLOOKUP(TableHandbook[[#This Row],[UDC]],TableBEDPR[],7,FALSE),"")</f>
        <v/>
      </c>
      <c r="Q46" s="193" t="str">
        <f>IFERROR(VLOOKUP(TableHandbook[[#This Row],[UDC]],TableSTRUCATHL[],7,FALSE),"")</f>
        <v>Core</v>
      </c>
      <c r="R46" s="193" t="str">
        <f>IFERROR(VLOOKUP(TableHandbook[[#This Row],[UDC]],TableSTRUENGLL[],7,FALSE),"")</f>
        <v/>
      </c>
      <c r="S46" s="193" t="str">
        <f>IFERROR(VLOOKUP(TableHandbook[[#This Row],[UDC]],TableSTRUINTBC[],7,FALSE),"")</f>
        <v/>
      </c>
      <c r="T46" s="193" t="str">
        <f>IFERROR(VLOOKUP(TableHandbook[[#This Row],[UDC]],TableSTRUISTEM[],7,FALSE),"")</f>
        <v/>
      </c>
      <c r="U46" s="193" t="str">
        <f>IFERROR(VLOOKUP(TableHandbook[[#This Row],[UDC]],TableSTRULITNU[],7,FALSE),"")</f>
        <v/>
      </c>
      <c r="V46" s="193" t="str">
        <f>IFERROR(VLOOKUP(TableHandbook[[#This Row],[UDC]],TableSTRUTECHS[],7,FALSE),"")</f>
        <v/>
      </c>
      <c r="W46" s="193" t="str">
        <f>IFERROR(VLOOKUP(TableHandbook[[#This Row],[UDC]],TableBEDSC[],7,FALSE),"")</f>
        <v/>
      </c>
      <c r="X46" s="193" t="str">
        <f>IFERROR(VLOOKUP(TableHandbook[[#This Row],[UDC]],TableMJRUARTDR[],7,FALSE),"")</f>
        <v/>
      </c>
      <c r="Y46" s="193" t="str">
        <f>IFERROR(VLOOKUP(TableHandbook[[#This Row],[UDC]],TableMJRUARTME[],7,FALSE),"")</f>
        <v/>
      </c>
      <c r="Z46" s="193" t="str">
        <f>IFERROR(VLOOKUP(TableHandbook[[#This Row],[UDC]],TableMJRUARTVA[],7,FALSE),"")</f>
        <v/>
      </c>
      <c r="AA46" s="193" t="str">
        <f>IFERROR(VLOOKUP(TableHandbook[[#This Row],[UDC]],TableMJRUENGLT[],7,FALSE),"")</f>
        <v/>
      </c>
      <c r="AB46" s="193" t="str">
        <f>IFERROR(VLOOKUP(TableHandbook[[#This Row],[UDC]],TableMJRUHLTPE[],7,FALSE),"")</f>
        <v/>
      </c>
      <c r="AC46" s="193" t="str">
        <f>IFERROR(VLOOKUP(TableHandbook[[#This Row],[UDC]],TableMJRUHUSEC[],7,FALSE),"")</f>
        <v/>
      </c>
      <c r="AD46" s="193" t="str">
        <f>IFERROR(VLOOKUP(TableHandbook[[#This Row],[UDC]],TableMJRUHUSGE[],7,FALSE),"")</f>
        <v/>
      </c>
      <c r="AE46" s="193" t="str">
        <f>IFERROR(VLOOKUP(TableHandbook[[#This Row],[UDC]],TableMJRUHUSHI[],7,FALSE),"")</f>
        <v/>
      </c>
      <c r="AF46" s="193" t="str">
        <f>IFERROR(VLOOKUP(TableHandbook[[#This Row],[UDC]],TableMJRUHUSPL[],7,FALSE),"")</f>
        <v/>
      </c>
      <c r="AG46" s="193" t="str">
        <f>IFERROR(VLOOKUP(TableHandbook[[#This Row],[UDC]],TableMJRUMATHT[],7,FALSE),"")</f>
        <v/>
      </c>
      <c r="AH46" s="193" t="str">
        <f>IFERROR(VLOOKUP(TableHandbook[[#This Row],[UDC]],TableMJRUSCIBI[],7,FALSE),"")</f>
        <v/>
      </c>
      <c r="AI46" s="193" t="str">
        <f>IFERROR(VLOOKUP(TableHandbook[[#This Row],[UDC]],TableMJRUSCICH[],7,FALSE),"")</f>
        <v/>
      </c>
      <c r="AJ46" s="193" t="str">
        <f>IFERROR(VLOOKUP(TableHandbook[[#This Row],[UDC]],TableMJRUSCIHB[],7,FALSE),"")</f>
        <v/>
      </c>
      <c r="AK46" s="193" t="str">
        <f>IFERROR(VLOOKUP(TableHandbook[[#This Row],[UDC]],TableMJRUSCIPH[],7,FALSE),"")</f>
        <v/>
      </c>
      <c r="AL46" s="193" t="str">
        <f>IFERROR(VLOOKUP(TableHandbook[[#This Row],[UDC]],TableMJRUSCIPS[],7,FALSE),"")</f>
        <v/>
      </c>
      <c r="AM46" s="202"/>
      <c r="AN46" s="200" t="str">
        <f>IFERROR(VLOOKUP(TableHandbook[[#This Row],[UDC]],TableSTRUBIOLB[],7,FALSE),"")</f>
        <v>Option</v>
      </c>
      <c r="AO46" s="200" t="str">
        <f>IFERROR(VLOOKUP(TableHandbook[[#This Row],[UDC]],TableSTRUBSCIM[],7,FALSE),"")</f>
        <v/>
      </c>
      <c r="AP46" s="200" t="str">
        <f>IFERROR(VLOOKUP(TableHandbook[[#This Row],[UDC]],TableSTRUCHEMB[],7,FALSE),"")</f>
        <v>Option</v>
      </c>
      <c r="AQ46" s="200" t="str">
        <f>IFERROR(VLOOKUP(TableHandbook[[#This Row],[UDC]],TableSTRUECOB1[],7,FALSE),"")</f>
        <v>Option</v>
      </c>
      <c r="AR46" s="200" t="str">
        <f>IFERROR(VLOOKUP(TableHandbook[[#This Row],[UDC]],TableSTRUEDART[],7,FALSE),"")</f>
        <v>Option</v>
      </c>
      <c r="AS46" s="200" t="str">
        <f>IFERROR(VLOOKUP(TableHandbook[[#This Row],[UDC]],TableSTRUEDENG[],7,FALSE),"")</f>
        <v>Option</v>
      </c>
      <c r="AT46" s="200" t="str">
        <f>IFERROR(VLOOKUP(TableHandbook[[#This Row],[UDC]],TableSTRUEDHAS[],7,FALSE),"")</f>
        <v>Option</v>
      </c>
      <c r="AU46" s="200" t="str">
        <f>IFERROR(VLOOKUP(TableHandbook[[#This Row],[UDC]],TableSTRUEDMAT[],7,FALSE),"")</f>
        <v>Option</v>
      </c>
      <c r="AV46" s="200" t="str">
        <f>IFERROR(VLOOKUP(TableHandbook[[#This Row],[UDC]],TableSTRUEDSCI[],7,FALSE),"")</f>
        <v>Option</v>
      </c>
      <c r="AW46" s="200" t="str">
        <f>IFERROR(VLOOKUP(TableHandbook[[#This Row],[UDC]],TableSTRUENGLB[],7,FALSE),"")</f>
        <v>Option</v>
      </c>
      <c r="AX46" s="200" t="str">
        <f>IFERROR(VLOOKUP(TableHandbook[[#This Row],[UDC]],TableSTRUENGLM[],7,FALSE),"")</f>
        <v/>
      </c>
      <c r="AY46" s="200" t="str">
        <f>IFERROR(VLOOKUP(TableHandbook[[#This Row],[UDC]],TableSTRUGEOB1[],7,FALSE),"")</f>
        <v>Option</v>
      </c>
      <c r="AZ46" s="200" t="str">
        <f>IFERROR(VLOOKUP(TableHandbook[[#This Row],[UDC]],TableSTRUHISB1[],7,FALSE),"")</f>
        <v>Option</v>
      </c>
      <c r="BA46" s="200" t="str">
        <f>IFERROR(VLOOKUP(TableHandbook[[#This Row],[UDC]],TableSTRUHUMAM[],7,FALSE),"")</f>
        <v/>
      </c>
      <c r="BB46" s="200" t="str">
        <f>IFERROR(VLOOKUP(TableHandbook[[#This Row],[UDC]],TableSTRUHUMBB[],7,FALSE),"")</f>
        <v>Option</v>
      </c>
      <c r="BC46" s="200" t="str">
        <f>IFERROR(VLOOKUP(TableHandbook[[#This Row],[UDC]],TableSTRUMATHB[],7,FALSE),"")</f>
        <v>Option</v>
      </c>
      <c r="BD46" s="200" t="str">
        <f>IFERROR(VLOOKUP(TableHandbook[[#This Row],[UDC]],TableSTRUMATHM[],7,FALSE),"")</f>
        <v/>
      </c>
      <c r="BE46" s="200" t="str">
        <f>IFERROR(VLOOKUP(TableHandbook[[#This Row],[UDC]],TableSTRUPARTB[],7,FALSE),"")</f>
        <v>Option</v>
      </c>
      <c r="BF46" s="200" t="str">
        <f>IFERROR(VLOOKUP(TableHandbook[[#This Row],[UDC]],TableSTRUPARTM[],7,FALSE),"")</f>
        <v/>
      </c>
      <c r="BG46" s="200" t="str">
        <f>IFERROR(VLOOKUP(TableHandbook[[#This Row],[UDC]],TableSTRUPOLB1[],7,FALSE),"")</f>
        <v>Option</v>
      </c>
      <c r="BH46" s="200" t="str">
        <f>IFERROR(VLOOKUP(TableHandbook[[#This Row],[UDC]],TableSTRUPSCIM[],7,FALSE),"")</f>
        <v/>
      </c>
      <c r="BI46" s="200" t="str">
        <f>IFERROR(VLOOKUP(TableHandbook[[#This Row],[UDC]],TableSTRUPSYCB[],7,FALSE),"")</f>
        <v>Option</v>
      </c>
      <c r="BJ46" s="200" t="str">
        <f>IFERROR(VLOOKUP(TableHandbook[[#This Row],[UDC]],TableSTRUPSYCM[],7,FALSE),"")</f>
        <v/>
      </c>
      <c r="BK46" s="200" t="str">
        <f>IFERROR(VLOOKUP(TableHandbook[[#This Row],[UDC]],TableSTRUSOSCM[],7,FALSE),"")</f>
        <v/>
      </c>
      <c r="BL46" s="200" t="str">
        <f>IFERROR(VLOOKUP(TableHandbook[[#This Row],[UDC]],TableSTRUVARTB[],7,FALSE),"")</f>
        <v>Option</v>
      </c>
      <c r="BM46" s="200" t="str">
        <f>IFERROR(VLOOKUP(TableHandbook[[#This Row],[UDC]],TableSTRUVARTM[],7,FALSE),"")</f>
        <v/>
      </c>
    </row>
    <row r="47" spans="1:65" x14ac:dyDescent="0.25">
      <c r="A47" s="262" t="s">
        <v>303</v>
      </c>
      <c r="B47" s="12">
        <v>2</v>
      </c>
      <c r="C47" s="11"/>
      <c r="D47" s="11" t="s">
        <v>594</v>
      </c>
      <c r="E47" s="12">
        <v>25</v>
      </c>
      <c r="F47" s="131" t="s">
        <v>544</v>
      </c>
      <c r="G47" s="126" t="str">
        <f>IFERROR(IF(VLOOKUP(TableHandbook[[#This Row],[UDC]],TableAvailabilities[],2,FALSE)&gt;0,"Y",""),"")</f>
        <v/>
      </c>
      <c r="H47" s="127" t="str">
        <f>IFERROR(IF(VLOOKUP(TableHandbook[[#This Row],[UDC]],TableAvailabilities[],3,FALSE)&gt;0,"Y",""),"")</f>
        <v/>
      </c>
      <c r="I47" s="127" t="str">
        <f>IFERROR(IF(VLOOKUP(TableHandbook[[#This Row],[UDC]],TableAvailabilities[],4,FALSE)&gt;0,"Y",""),"")</f>
        <v/>
      </c>
      <c r="J47" s="128" t="str">
        <f>IFERROR(IF(VLOOKUP(TableHandbook[[#This Row],[UDC]],TableAvailabilities[],5,FALSE)&gt;0,"Y",""),"")</f>
        <v>Y</v>
      </c>
      <c r="K47" s="128" t="str">
        <f>IFERROR(IF(VLOOKUP(TableHandbook[[#This Row],[UDC]],TableAvailabilities[],6,FALSE)&gt;0,"Y",""),"")</f>
        <v>Y</v>
      </c>
      <c r="L47" s="127" t="str">
        <f>IFERROR(IF(VLOOKUP(TableHandbook[[#This Row],[UDC]],TableAvailabilities[],7,FALSE)&gt;0,"Y",""),"")</f>
        <v/>
      </c>
      <c r="M47" s="207"/>
      <c r="N47" s="204" t="str">
        <f>IFERROR(VLOOKUP(TableHandbook[[#This Row],[UDC]],TableBEDUC[],7,FALSE),"")</f>
        <v/>
      </c>
      <c r="O47" s="193" t="str">
        <f>IFERROR(VLOOKUP(TableHandbook[[#This Row],[UDC]],TableBEDEC[],7,FALSE),"")</f>
        <v/>
      </c>
      <c r="P47" s="193" t="str">
        <f>IFERROR(VLOOKUP(TableHandbook[[#This Row],[UDC]],TableBEDPR[],7,FALSE),"")</f>
        <v/>
      </c>
      <c r="Q47" s="193" t="str">
        <f>IFERROR(VLOOKUP(TableHandbook[[#This Row],[UDC]],TableSTRUCATHL[],7,FALSE),"")</f>
        <v/>
      </c>
      <c r="R47" s="193" t="str">
        <f>IFERROR(VLOOKUP(TableHandbook[[#This Row],[UDC]],TableSTRUENGLL[],7,FALSE),"")</f>
        <v/>
      </c>
      <c r="S47" s="193" t="str">
        <f>IFERROR(VLOOKUP(TableHandbook[[#This Row],[UDC]],TableSTRUINTBC[],7,FALSE),"")</f>
        <v/>
      </c>
      <c r="T47" s="193" t="str">
        <f>IFERROR(VLOOKUP(TableHandbook[[#This Row],[UDC]],TableSTRUISTEM[],7,FALSE),"")</f>
        <v/>
      </c>
      <c r="U47" s="193" t="str">
        <f>IFERROR(VLOOKUP(TableHandbook[[#This Row],[UDC]],TableSTRULITNU[],7,FALSE),"")</f>
        <v/>
      </c>
      <c r="V47" s="193" t="str">
        <f>IFERROR(VLOOKUP(TableHandbook[[#This Row],[UDC]],TableSTRUTECHS[],7,FALSE),"")</f>
        <v/>
      </c>
      <c r="W47" s="193" t="str">
        <f>IFERROR(VLOOKUP(TableHandbook[[#This Row],[UDC]],TableBEDSC[],7,FALSE),"")</f>
        <v/>
      </c>
      <c r="X47" s="193" t="str">
        <f>IFERROR(VLOOKUP(TableHandbook[[#This Row],[UDC]],TableMJRUARTDR[],7,FALSE),"")</f>
        <v/>
      </c>
      <c r="Y47" s="193" t="str">
        <f>IFERROR(VLOOKUP(TableHandbook[[#This Row],[UDC]],TableMJRUARTME[],7,FALSE),"")</f>
        <v/>
      </c>
      <c r="Z47" s="193" t="str">
        <f>IFERROR(VLOOKUP(TableHandbook[[#This Row],[UDC]],TableMJRUARTVA[],7,FALSE),"")</f>
        <v/>
      </c>
      <c r="AA47" s="193" t="str">
        <f>IFERROR(VLOOKUP(TableHandbook[[#This Row],[UDC]],TableMJRUENGLT[],7,FALSE),"")</f>
        <v>Core</v>
      </c>
      <c r="AB47" s="193" t="str">
        <f>IFERROR(VLOOKUP(TableHandbook[[#This Row],[UDC]],TableMJRUHLTPE[],7,FALSE),"")</f>
        <v/>
      </c>
      <c r="AC47" s="193" t="str">
        <f>IFERROR(VLOOKUP(TableHandbook[[#This Row],[UDC]],TableMJRUHUSEC[],7,FALSE),"")</f>
        <v/>
      </c>
      <c r="AD47" s="193" t="str">
        <f>IFERROR(VLOOKUP(TableHandbook[[#This Row],[UDC]],TableMJRUHUSGE[],7,FALSE),"")</f>
        <v/>
      </c>
      <c r="AE47" s="193" t="str">
        <f>IFERROR(VLOOKUP(TableHandbook[[#This Row],[UDC]],TableMJRUHUSHI[],7,FALSE),"")</f>
        <v/>
      </c>
      <c r="AF47" s="193" t="str">
        <f>IFERROR(VLOOKUP(TableHandbook[[#This Row],[UDC]],TableMJRUHUSPL[],7,FALSE),"")</f>
        <v/>
      </c>
      <c r="AG47" s="193" t="str">
        <f>IFERROR(VLOOKUP(TableHandbook[[#This Row],[UDC]],TableMJRUMATHT[],7,FALSE),"")</f>
        <v/>
      </c>
      <c r="AH47" s="193" t="str">
        <f>IFERROR(VLOOKUP(TableHandbook[[#This Row],[UDC]],TableMJRUSCIBI[],7,FALSE),"")</f>
        <v/>
      </c>
      <c r="AI47" s="193" t="str">
        <f>IFERROR(VLOOKUP(TableHandbook[[#This Row],[UDC]],TableMJRUSCICH[],7,FALSE),"")</f>
        <v/>
      </c>
      <c r="AJ47" s="193" t="str">
        <f>IFERROR(VLOOKUP(TableHandbook[[#This Row],[UDC]],TableMJRUSCIHB[],7,FALSE),"")</f>
        <v/>
      </c>
      <c r="AK47" s="193" t="str">
        <f>IFERROR(VLOOKUP(TableHandbook[[#This Row],[UDC]],TableMJRUSCIPH[],7,FALSE),"")</f>
        <v/>
      </c>
      <c r="AL47" s="193" t="str">
        <f>IFERROR(VLOOKUP(TableHandbook[[#This Row],[UDC]],TableMJRUSCIPS[],7,FALSE),"")</f>
        <v/>
      </c>
      <c r="AM47" s="202"/>
      <c r="AN47" s="200" t="str">
        <f>IFERROR(VLOOKUP(TableHandbook[[#This Row],[UDC]],TableSTRUBIOLB[],7,FALSE),"")</f>
        <v/>
      </c>
      <c r="AO47" s="200" t="str">
        <f>IFERROR(VLOOKUP(TableHandbook[[#This Row],[UDC]],TableSTRUBSCIM[],7,FALSE),"")</f>
        <v/>
      </c>
      <c r="AP47" s="200" t="str">
        <f>IFERROR(VLOOKUP(TableHandbook[[#This Row],[UDC]],TableSTRUCHEMB[],7,FALSE),"")</f>
        <v/>
      </c>
      <c r="AQ47" s="200" t="str">
        <f>IFERROR(VLOOKUP(TableHandbook[[#This Row],[UDC]],TableSTRUECOB1[],7,FALSE),"")</f>
        <v/>
      </c>
      <c r="AR47" s="200" t="str">
        <f>IFERROR(VLOOKUP(TableHandbook[[#This Row],[UDC]],TableSTRUEDART[],7,FALSE),"")</f>
        <v/>
      </c>
      <c r="AS47" s="200" t="str">
        <f>IFERROR(VLOOKUP(TableHandbook[[#This Row],[UDC]],TableSTRUEDENG[],7,FALSE),"")</f>
        <v/>
      </c>
      <c r="AT47" s="200" t="str">
        <f>IFERROR(VLOOKUP(TableHandbook[[#This Row],[UDC]],TableSTRUEDHAS[],7,FALSE),"")</f>
        <v/>
      </c>
      <c r="AU47" s="200" t="str">
        <f>IFERROR(VLOOKUP(TableHandbook[[#This Row],[UDC]],TableSTRUEDMAT[],7,FALSE),"")</f>
        <v/>
      </c>
      <c r="AV47" s="200" t="str">
        <f>IFERROR(VLOOKUP(TableHandbook[[#This Row],[UDC]],TableSTRUEDSCI[],7,FALSE),"")</f>
        <v/>
      </c>
      <c r="AW47" s="200" t="str">
        <f>IFERROR(VLOOKUP(TableHandbook[[#This Row],[UDC]],TableSTRUENGLB[],7,FALSE),"")</f>
        <v/>
      </c>
      <c r="AX47" s="200" t="str">
        <f>IFERROR(VLOOKUP(TableHandbook[[#This Row],[UDC]],TableSTRUENGLM[],7,FALSE),"")</f>
        <v>Core</v>
      </c>
      <c r="AY47" s="200" t="str">
        <f>IFERROR(VLOOKUP(TableHandbook[[#This Row],[UDC]],TableSTRUGEOB1[],7,FALSE),"")</f>
        <v/>
      </c>
      <c r="AZ47" s="200" t="str">
        <f>IFERROR(VLOOKUP(TableHandbook[[#This Row],[UDC]],TableSTRUHISB1[],7,FALSE),"")</f>
        <v/>
      </c>
      <c r="BA47" s="200" t="str">
        <f>IFERROR(VLOOKUP(TableHandbook[[#This Row],[UDC]],TableSTRUHUMAM[],7,FALSE),"")</f>
        <v/>
      </c>
      <c r="BB47" s="200" t="str">
        <f>IFERROR(VLOOKUP(TableHandbook[[#This Row],[UDC]],TableSTRUHUMBB[],7,FALSE),"")</f>
        <v/>
      </c>
      <c r="BC47" s="200" t="str">
        <f>IFERROR(VLOOKUP(TableHandbook[[#This Row],[UDC]],TableSTRUMATHB[],7,FALSE),"")</f>
        <v/>
      </c>
      <c r="BD47" s="200" t="str">
        <f>IFERROR(VLOOKUP(TableHandbook[[#This Row],[UDC]],TableSTRUMATHM[],7,FALSE),"")</f>
        <v/>
      </c>
      <c r="BE47" s="200" t="str">
        <f>IFERROR(VLOOKUP(TableHandbook[[#This Row],[UDC]],TableSTRUPARTB[],7,FALSE),"")</f>
        <v/>
      </c>
      <c r="BF47" s="200" t="str">
        <f>IFERROR(VLOOKUP(TableHandbook[[#This Row],[UDC]],TableSTRUPARTM[],7,FALSE),"")</f>
        <v/>
      </c>
      <c r="BG47" s="200" t="str">
        <f>IFERROR(VLOOKUP(TableHandbook[[#This Row],[UDC]],TableSTRUPOLB1[],7,FALSE),"")</f>
        <v/>
      </c>
      <c r="BH47" s="200" t="str">
        <f>IFERROR(VLOOKUP(TableHandbook[[#This Row],[UDC]],TableSTRUPSCIM[],7,FALSE),"")</f>
        <v/>
      </c>
      <c r="BI47" s="200" t="str">
        <f>IFERROR(VLOOKUP(TableHandbook[[#This Row],[UDC]],TableSTRUPSYCB[],7,FALSE),"")</f>
        <v/>
      </c>
      <c r="BJ47" s="200" t="str">
        <f>IFERROR(VLOOKUP(TableHandbook[[#This Row],[UDC]],TableSTRUPSYCM[],7,FALSE),"")</f>
        <v/>
      </c>
      <c r="BK47" s="200" t="str">
        <f>IFERROR(VLOOKUP(TableHandbook[[#This Row],[UDC]],TableSTRUSOSCM[],7,FALSE),"")</f>
        <v/>
      </c>
      <c r="BL47" s="200" t="str">
        <f>IFERROR(VLOOKUP(TableHandbook[[#This Row],[UDC]],TableSTRUVARTB[],7,FALSE),"")</f>
        <v/>
      </c>
      <c r="BM47" s="200" t="str">
        <f>IFERROR(VLOOKUP(TableHandbook[[#This Row],[UDC]],TableSTRUVARTM[],7,FALSE),"")</f>
        <v/>
      </c>
    </row>
    <row r="48" spans="1:65" x14ac:dyDescent="0.25">
      <c r="A48" s="261" t="s">
        <v>479</v>
      </c>
      <c r="B48" s="12">
        <v>1</v>
      </c>
      <c r="C48" s="11"/>
      <c r="D48" s="11" t="s">
        <v>595</v>
      </c>
      <c r="E48" s="12">
        <v>25</v>
      </c>
      <c r="F48" s="131" t="s">
        <v>544</v>
      </c>
      <c r="G48" s="126" t="str">
        <f>IFERROR(IF(VLOOKUP(TableHandbook[[#This Row],[UDC]],TableAvailabilities[],2,FALSE)&gt;0,"Y",""),"")</f>
        <v>Y</v>
      </c>
      <c r="H48" s="127" t="str">
        <f>IFERROR(IF(VLOOKUP(TableHandbook[[#This Row],[UDC]],TableAvailabilities[],3,FALSE)&gt;0,"Y",""),"")</f>
        <v/>
      </c>
      <c r="I48" s="127" t="str">
        <f>IFERROR(IF(VLOOKUP(TableHandbook[[#This Row],[UDC]],TableAvailabilities[],4,FALSE)&gt;0,"Y",""),"")</f>
        <v/>
      </c>
      <c r="J48" s="128" t="str">
        <f>IFERROR(IF(VLOOKUP(TableHandbook[[#This Row],[UDC]],TableAvailabilities[],5,FALSE)&gt;0,"Y",""),"")</f>
        <v/>
      </c>
      <c r="K48" s="128" t="str">
        <f>IFERROR(IF(VLOOKUP(TableHandbook[[#This Row],[UDC]],TableAvailabilities[],6,FALSE)&gt;0,"Y",""),"")</f>
        <v/>
      </c>
      <c r="L48" s="127" t="str">
        <f>IFERROR(IF(VLOOKUP(TableHandbook[[#This Row],[UDC]],TableAvailabilities[],7,FALSE)&gt;0,"Y",""),"")</f>
        <v/>
      </c>
      <c r="M48" s="207"/>
      <c r="N48" s="204" t="str">
        <f>IFERROR(VLOOKUP(TableHandbook[[#This Row],[UDC]],TableBEDUC[],7,FALSE),"")</f>
        <v/>
      </c>
      <c r="O48" s="193" t="str">
        <f>IFERROR(VLOOKUP(TableHandbook[[#This Row],[UDC]],TableBEDEC[],7,FALSE),"")</f>
        <v/>
      </c>
      <c r="P48" s="193" t="str">
        <f>IFERROR(VLOOKUP(TableHandbook[[#This Row],[UDC]],TableBEDPR[],7,FALSE),"")</f>
        <v/>
      </c>
      <c r="Q48" s="193" t="str">
        <f>IFERROR(VLOOKUP(TableHandbook[[#This Row],[UDC]],TableSTRUCATHL[],7,FALSE),"")</f>
        <v/>
      </c>
      <c r="R48" s="193" t="str">
        <f>IFERROR(VLOOKUP(TableHandbook[[#This Row],[UDC]],TableSTRUENGLL[],7,FALSE),"")</f>
        <v/>
      </c>
      <c r="S48" s="193" t="str">
        <f>IFERROR(VLOOKUP(TableHandbook[[#This Row],[UDC]],TableSTRUINTBC[],7,FALSE),"")</f>
        <v/>
      </c>
      <c r="T48" s="193" t="str">
        <f>IFERROR(VLOOKUP(TableHandbook[[#This Row],[UDC]],TableSTRUISTEM[],7,FALSE),"")</f>
        <v/>
      </c>
      <c r="U48" s="193" t="str">
        <f>IFERROR(VLOOKUP(TableHandbook[[#This Row],[UDC]],TableSTRULITNU[],7,FALSE),"")</f>
        <v/>
      </c>
      <c r="V48" s="193" t="str">
        <f>IFERROR(VLOOKUP(TableHandbook[[#This Row],[UDC]],TableSTRUTECHS[],7,FALSE),"")</f>
        <v/>
      </c>
      <c r="W48" s="193" t="str">
        <f>IFERROR(VLOOKUP(TableHandbook[[#This Row],[UDC]],TableBEDSC[],7,FALSE),"")</f>
        <v/>
      </c>
      <c r="X48" s="193" t="str">
        <f>IFERROR(VLOOKUP(TableHandbook[[#This Row],[UDC]],TableMJRUARTDR[],7,FALSE),"")</f>
        <v/>
      </c>
      <c r="Y48" s="193" t="str">
        <f>IFERROR(VLOOKUP(TableHandbook[[#This Row],[UDC]],TableMJRUARTME[],7,FALSE),"")</f>
        <v/>
      </c>
      <c r="Z48" s="193" t="str">
        <f>IFERROR(VLOOKUP(TableHandbook[[#This Row],[UDC]],TableMJRUARTVA[],7,FALSE),"")</f>
        <v/>
      </c>
      <c r="AA48" s="193" t="str">
        <f>IFERROR(VLOOKUP(TableHandbook[[#This Row],[UDC]],TableMJRUENGLT[],7,FALSE),"")</f>
        <v/>
      </c>
      <c r="AB48" s="193" t="str">
        <f>IFERROR(VLOOKUP(TableHandbook[[#This Row],[UDC]],TableMJRUHLTPE[],7,FALSE),"")</f>
        <v/>
      </c>
      <c r="AC48" s="193" t="str">
        <f>IFERROR(VLOOKUP(TableHandbook[[#This Row],[UDC]],TableMJRUHUSEC[],7,FALSE),"")</f>
        <v/>
      </c>
      <c r="AD48" s="193" t="str">
        <f>IFERROR(VLOOKUP(TableHandbook[[#This Row],[UDC]],TableMJRUHUSGE[],7,FALSE),"")</f>
        <v/>
      </c>
      <c r="AE48" s="193" t="str">
        <f>IFERROR(VLOOKUP(TableHandbook[[#This Row],[UDC]],TableMJRUHUSHI[],7,FALSE),"")</f>
        <v/>
      </c>
      <c r="AF48" s="193" t="str">
        <f>IFERROR(VLOOKUP(TableHandbook[[#This Row],[UDC]],TableMJRUHUSPL[],7,FALSE),"")</f>
        <v/>
      </c>
      <c r="AG48" s="193" t="str">
        <f>IFERROR(VLOOKUP(TableHandbook[[#This Row],[UDC]],TableMJRUMATHT[],7,FALSE),"")</f>
        <v/>
      </c>
      <c r="AH48" s="193" t="str">
        <f>IFERROR(VLOOKUP(TableHandbook[[#This Row],[UDC]],TableMJRUSCIBI[],7,FALSE),"")</f>
        <v/>
      </c>
      <c r="AI48" s="193" t="str">
        <f>IFERROR(VLOOKUP(TableHandbook[[#This Row],[UDC]],TableMJRUSCICH[],7,FALSE),"")</f>
        <v/>
      </c>
      <c r="AJ48" s="193" t="str">
        <f>IFERROR(VLOOKUP(TableHandbook[[#This Row],[UDC]],TableMJRUSCIHB[],7,FALSE),"")</f>
        <v/>
      </c>
      <c r="AK48" s="193" t="str">
        <f>IFERROR(VLOOKUP(TableHandbook[[#This Row],[UDC]],TableMJRUSCIPH[],7,FALSE),"")</f>
        <v/>
      </c>
      <c r="AL48" s="193" t="str">
        <f>IFERROR(VLOOKUP(TableHandbook[[#This Row],[UDC]],TableMJRUSCIPS[],7,FALSE),"")</f>
        <v/>
      </c>
      <c r="AM48" s="202"/>
      <c r="AN48" s="200" t="str">
        <f>IFERROR(VLOOKUP(TableHandbook[[#This Row],[UDC]],TableSTRUBIOLB[],7,FALSE),"")</f>
        <v/>
      </c>
      <c r="AO48" s="200" t="str">
        <f>IFERROR(VLOOKUP(TableHandbook[[#This Row],[UDC]],TableSTRUBSCIM[],7,FALSE),"")</f>
        <v/>
      </c>
      <c r="AP48" s="200" t="str">
        <f>IFERROR(VLOOKUP(TableHandbook[[#This Row],[UDC]],TableSTRUCHEMB[],7,FALSE),"")</f>
        <v/>
      </c>
      <c r="AQ48" s="200" t="str">
        <f>IFERROR(VLOOKUP(TableHandbook[[#This Row],[UDC]],TableSTRUECOB1[],7,FALSE),"")</f>
        <v/>
      </c>
      <c r="AR48" s="200" t="str">
        <f>IFERROR(VLOOKUP(TableHandbook[[#This Row],[UDC]],TableSTRUEDART[],7,FALSE),"")</f>
        <v/>
      </c>
      <c r="AS48" s="200" t="str">
        <f>IFERROR(VLOOKUP(TableHandbook[[#This Row],[UDC]],TableSTRUEDENG[],7,FALSE),"")</f>
        <v/>
      </c>
      <c r="AT48" s="200" t="str">
        <f>IFERROR(VLOOKUP(TableHandbook[[#This Row],[UDC]],TableSTRUEDHAS[],7,FALSE),"")</f>
        <v/>
      </c>
      <c r="AU48" s="200" t="str">
        <f>IFERROR(VLOOKUP(TableHandbook[[#This Row],[UDC]],TableSTRUEDMAT[],7,FALSE),"")</f>
        <v/>
      </c>
      <c r="AV48" s="200" t="str">
        <f>IFERROR(VLOOKUP(TableHandbook[[#This Row],[UDC]],TableSTRUEDSCI[],7,FALSE),"")</f>
        <v/>
      </c>
      <c r="AW48" s="200" t="str">
        <f>IFERROR(VLOOKUP(TableHandbook[[#This Row],[UDC]],TableSTRUENGLB[],7,FALSE),"")</f>
        <v>Core</v>
      </c>
      <c r="AX48" s="200" t="str">
        <f>IFERROR(VLOOKUP(TableHandbook[[#This Row],[UDC]],TableSTRUENGLM[],7,FALSE),"")</f>
        <v/>
      </c>
      <c r="AY48" s="200" t="str">
        <f>IFERROR(VLOOKUP(TableHandbook[[#This Row],[UDC]],TableSTRUGEOB1[],7,FALSE),"")</f>
        <v/>
      </c>
      <c r="AZ48" s="200" t="str">
        <f>IFERROR(VLOOKUP(TableHandbook[[#This Row],[UDC]],TableSTRUHISB1[],7,FALSE),"")</f>
        <v/>
      </c>
      <c r="BA48" s="200" t="str">
        <f>IFERROR(VLOOKUP(TableHandbook[[#This Row],[UDC]],TableSTRUHUMAM[],7,FALSE),"")</f>
        <v/>
      </c>
      <c r="BB48" s="200" t="str">
        <f>IFERROR(VLOOKUP(TableHandbook[[#This Row],[UDC]],TableSTRUHUMBB[],7,FALSE),"")</f>
        <v/>
      </c>
      <c r="BC48" s="200" t="str">
        <f>IFERROR(VLOOKUP(TableHandbook[[#This Row],[UDC]],TableSTRUMATHB[],7,FALSE),"")</f>
        <v/>
      </c>
      <c r="BD48" s="200" t="str">
        <f>IFERROR(VLOOKUP(TableHandbook[[#This Row],[UDC]],TableSTRUMATHM[],7,FALSE),"")</f>
        <v/>
      </c>
      <c r="BE48" s="200" t="str">
        <f>IFERROR(VLOOKUP(TableHandbook[[#This Row],[UDC]],TableSTRUPARTB[],7,FALSE),"")</f>
        <v/>
      </c>
      <c r="BF48" s="200" t="str">
        <f>IFERROR(VLOOKUP(TableHandbook[[#This Row],[UDC]],TableSTRUPARTM[],7,FALSE),"")</f>
        <v/>
      </c>
      <c r="BG48" s="200" t="str">
        <f>IFERROR(VLOOKUP(TableHandbook[[#This Row],[UDC]],TableSTRUPOLB1[],7,FALSE),"")</f>
        <v/>
      </c>
      <c r="BH48" s="200" t="str">
        <f>IFERROR(VLOOKUP(TableHandbook[[#This Row],[UDC]],TableSTRUPSCIM[],7,FALSE),"")</f>
        <v/>
      </c>
      <c r="BI48" s="200" t="str">
        <f>IFERROR(VLOOKUP(TableHandbook[[#This Row],[UDC]],TableSTRUPSYCB[],7,FALSE),"")</f>
        <v/>
      </c>
      <c r="BJ48" s="200" t="str">
        <f>IFERROR(VLOOKUP(TableHandbook[[#This Row],[UDC]],TableSTRUPSYCM[],7,FALSE),"")</f>
        <v/>
      </c>
      <c r="BK48" s="200" t="str">
        <f>IFERROR(VLOOKUP(TableHandbook[[#This Row],[UDC]],TableSTRUSOSCM[],7,FALSE),"")</f>
        <v/>
      </c>
      <c r="BL48" s="200" t="str">
        <f>IFERROR(VLOOKUP(TableHandbook[[#This Row],[UDC]],TableSTRUVARTB[],7,FALSE),"")</f>
        <v/>
      </c>
      <c r="BM48" s="200" t="str">
        <f>IFERROR(VLOOKUP(TableHandbook[[#This Row],[UDC]],TableSTRUVARTM[],7,FALSE),"")</f>
        <v/>
      </c>
    </row>
    <row r="49" spans="1:65" x14ac:dyDescent="0.25">
      <c r="A49" s="261" t="s">
        <v>489</v>
      </c>
      <c r="B49" s="12">
        <v>1</v>
      </c>
      <c r="C49" s="11"/>
      <c r="D49" s="11" t="s">
        <v>596</v>
      </c>
      <c r="E49" s="12">
        <v>25</v>
      </c>
      <c r="F49" s="131" t="s">
        <v>544</v>
      </c>
      <c r="G49" s="126" t="str">
        <f>IFERROR(IF(VLOOKUP(TableHandbook[[#This Row],[UDC]],TableAvailabilities[],2,FALSE)&gt;0,"Y",""),"")</f>
        <v/>
      </c>
      <c r="H49" s="127" t="str">
        <f>IFERROR(IF(VLOOKUP(TableHandbook[[#This Row],[UDC]],TableAvailabilities[],3,FALSE)&gt;0,"Y",""),"")</f>
        <v/>
      </c>
      <c r="I49" s="127" t="str">
        <f>IFERROR(IF(VLOOKUP(TableHandbook[[#This Row],[UDC]],TableAvailabilities[],4,FALSE)&gt;0,"Y",""),"")</f>
        <v/>
      </c>
      <c r="J49" s="128" t="str">
        <f>IFERROR(IF(VLOOKUP(TableHandbook[[#This Row],[UDC]],TableAvailabilities[],5,FALSE)&gt;0,"Y",""),"")</f>
        <v>Y</v>
      </c>
      <c r="K49" s="128" t="str">
        <f>IFERROR(IF(VLOOKUP(TableHandbook[[#This Row],[UDC]],TableAvailabilities[],6,FALSE)&gt;0,"Y",""),"")</f>
        <v/>
      </c>
      <c r="L49" s="127" t="str">
        <f>IFERROR(IF(VLOOKUP(TableHandbook[[#This Row],[UDC]],TableAvailabilities[],7,FALSE)&gt;0,"Y",""),"")</f>
        <v/>
      </c>
      <c r="M49" s="207"/>
      <c r="N49" s="204" t="str">
        <f>IFERROR(VLOOKUP(TableHandbook[[#This Row],[UDC]],TableBEDUC[],7,FALSE),"")</f>
        <v/>
      </c>
      <c r="O49" s="193" t="str">
        <f>IFERROR(VLOOKUP(TableHandbook[[#This Row],[UDC]],TableBEDEC[],7,FALSE),"")</f>
        <v/>
      </c>
      <c r="P49" s="193" t="str">
        <f>IFERROR(VLOOKUP(TableHandbook[[#This Row],[UDC]],TableBEDPR[],7,FALSE),"")</f>
        <v/>
      </c>
      <c r="Q49" s="193" t="str">
        <f>IFERROR(VLOOKUP(TableHandbook[[#This Row],[UDC]],TableSTRUCATHL[],7,FALSE),"")</f>
        <v/>
      </c>
      <c r="R49" s="193" t="str">
        <f>IFERROR(VLOOKUP(TableHandbook[[#This Row],[UDC]],TableSTRUENGLL[],7,FALSE),"")</f>
        <v/>
      </c>
      <c r="S49" s="193" t="str">
        <f>IFERROR(VLOOKUP(TableHandbook[[#This Row],[UDC]],TableSTRUINTBC[],7,FALSE),"")</f>
        <v/>
      </c>
      <c r="T49" s="193" t="str">
        <f>IFERROR(VLOOKUP(TableHandbook[[#This Row],[UDC]],TableSTRUISTEM[],7,FALSE),"")</f>
        <v/>
      </c>
      <c r="U49" s="193" t="str">
        <f>IFERROR(VLOOKUP(TableHandbook[[#This Row],[UDC]],TableSTRULITNU[],7,FALSE),"")</f>
        <v/>
      </c>
      <c r="V49" s="193" t="str">
        <f>IFERROR(VLOOKUP(TableHandbook[[#This Row],[UDC]],TableSTRUTECHS[],7,FALSE),"")</f>
        <v/>
      </c>
      <c r="W49" s="193" t="str">
        <f>IFERROR(VLOOKUP(TableHandbook[[#This Row],[UDC]],TableBEDSC[],7,FALSE),"")</f>
        <v/>
      </c>
      <c r="X49" s="193" t="str">
        <f>IFERROR(VLOOKUP(TableHandbook[[#This Row],[UDC]],TableMJRUARTDR[],7,FALSE),"")</f>
        <v/>
      </c>
      <c r="Y49" s="193" t="str">
        <f>IFERROR(VLOOKUP(TableHandbook[[#This Row],[UDC]],TableMJRUARTME[],7,FALSE),"")</f>
        <v/>
      </c>
      <c r="Z49" s="193" t="str">
        <f>IFERROR(VLOOKUP(TableHandbook[[#This Row],[UDC]],TableMJRUARTVA[],7,FALSE),"")</f>
        <v/>
      </c>
      <c r="AA49" s="193" t="str">
        <f>IFERROR(VLOOKUP(TableHandbook[[#This Row],[UDC]],TableMJRUENGLT[],7,FALSE),"")</f>
        <v/>
      </c>
      <c r="AB49" s="193" t="str">
        <f>IFERROR(VLOOKUP(TableHandbook[[#This Row],[UDC]],TableMJRUHLTPE[],7,FALSE),"")</f>
        <v/>
      </c>
      <c r="AC49" s="193" t="str">
        <f>IFERROR(VLOOKUP(TableHandbook[[#This Row],[UDC]],TableMJRUHUSEC[],7,FALSE),"")</f>
        <v/>
      </c>
      <c r="AD49" s="193" t="str">
        <f>IFERROR(VLOOKUP(TableHandbook[[#This Row],[UDC]],TableMJRUHUSGE[],7,FALSE),"")</f>
        <v/>
      </c>
      <c r="AE49" s="193" t="str">
        <f>IFERROR(VLOOKUP(TableHandbook[[#This Row],[UDC]],TableMJRUHUSHI[],7,FALSE),"")</f>
        <v/>
      </c>
      <c r="AF49" s="193" t="str">
        <f>IFERROR(VLOOKUP(TableHandbook[[#This Row],[UDC]],TableMJRUHUSPL[],7,FALSE),"")</f>
        <v/>
      </c>
      <c r="AG49" s="193" t="str">
        <f>IFERROR(VLOOKUP(TableHandbook[[#This Row],[UDC]],TableMJRUMATHT[],7,FALSE),"")</f>
        <v/>
      </c>
      <c r="AH49" s="193" t="str">
        <f>IFERROR(VLOOKUP(TableHandbook[[#This Row],[UDC]],TableMJRUSCIBI[],7,FALSE),"")</f>
        <v/>
      </c>
      <c r="AI49" s="193" t="str">
        <f>IFERROR(VLOOKUP(TableHandbook[[#This Row],[UDC]],TableMJRUSCICH[],7,FALSE),"")</f>
        <v/>
      </c>
      <c r="AJ49" s="193" t="str">
        <f>IFERROR(VLOOKUP(TableHandbook[[#This Row],[UDC]],TableMJRUSCIHB[],7,FALSE),"")</f>
        <v/>
      </c>
      <c r="AK49" s="193" t="str">
        <f>IFERROR(VLOOKUP(TableHandbook[[#This Row],[UDC]],TableMJRUSCIPH[],7,FALSE),"")</f>
        <v/>
      </c>
      <c r="AL49" s="193" t="str">
        <f>IFERROR(VLOOKUP(TableHandbook[[#This Row],[UDC]],TableMJRUSCIPS[],7,FALSE),"")</f>
        <v/>
      </c>
      <c r="AM49" s="202"/>
      <c r="AN49" s="200" t="str">
        <f>IFERROR(VLOOKUP(TableHandbook[[#This Row],[UDC]],TableSTRUBIOLB[],7,FALSE),"")</f>
        <v/>
      </c>
      <c r="AO49" s="200" t="str">
        <f>IFERROR(VLOOKUP(TableHandbook[[#This Row],[UDC]],TableSTRUBSCIM[],7,FALSE),"")</f>
        <v/>
      </c>
      <c r="AP49" s="200" t="str">
        <f>IFERROR(VLOOKUP(TableHandbook[[#This Row],[UDC]],TableSTRUCHEMB[],7,FALSE),"")</f>
        <v/>
      </c>
      <c r="AQ49" s="200" t="str">
        <f>IFERROR(VLOOKUP(TableHandbook[[#This Row],[UDC]],TableSTRUECOB1[],7,FALSE),"")</f>
        <v/>
      </c>
      <c r="AR49" s="200" t="str">
        <f>IFERROR(VLOOKUP(TableHandbook[[#This Row],[UDC]],TableSTRUEDART[],7,FALSE),"")</f>
        <v/>
      </c>
      <c r="AS49" s="200" t="str">
        <f>IFERROR(VLOOKUP(TableHandbook[[#This Row],[UDC]],TableSTRUEDENG[],7,FALSE),"")</f>
        <v/>
      </c>
      <c r="AT49" s="200" t="str">
        <f>IFERROR(VLOOKUP(TableHandbook[[#This Row],[UDC]],TableSTRUEDHAS[],7,FALSE),"")</f>
        <v/>
      </c>
      <c r="AU49" s="200" t="str">
        <f>IFERROR(VLOOKUP(TableHandbook[[#This Row],[UDC]],TableSTRUEDMAT[],7,FALSE),"")</f>
        <v/>
      </c>
      <c r="AV49" s="200" t="str">
        <f>IFERROR(VLOOKUP(TableHandbook[[#This Row],[UDC]],TableSTRUEDSCI[],7,FALSE),"")</f>
        <v/>
      </c>
      <c r="AW49" s="200" t="str">
        <f>IFERROR(VLOOKUP(TableHandbook[[#This Row],[UDC]],TableSTRUENGLB[],7,FALSE),"")</f>
        <v>Core</v>
      </c>
      <c r="AX49" s="200" t="str">
        <f>IFERROR(VLOOKUP(TableHandbook[[#This Row],[UDC]],TableSTRUENGLM[],7,FALSE),"")</f>
        <v/>
      </c>
      <c r="AY49" s="200" t="str">
        <f>IFERROR(VLOOKUP(TableHandbook[[#This Row],[UDC]],TableSTRUGEOB1[],7,FALSE),"")</f>
        <v/>
      </c>
      <c r="AZ49" s="200" t="str">
        <f>IFERROR(VLOOKUP(TableHandbook[[#This Row],[UDC]],TableSTRUHISB1[],7,FALSE),"")</f>
        <v/>
      </c>
      <c r="BA49" s="200" t="str">
        <f>IFERROR(VLOOKUP(TableHandbook[[#This Row],[UDC]],TableSTRUHUMAM[],7,FALSE),"")</f>
        <v/>
      </c>
      <c r="BB49" s="200" t="str">
        <f>IFERROR(VLOOKUP(TableHandbook[[#This Row],[UDC]],TableSTRUHUMBB[],7,FALSE),"")</f>
        <v/>
      </c>
      <c r="BC49" s="200" t="str">
        <f>IFERROR(VLOOKUP(TableHandbook[[#This Row],[UDC]],TableSTRUMATHB[],7,FALSE),"")</f>
        <v/>
      </c>
      <c r="BD49" s="200" t="str">
        <f>IFERROR(VLOOKUP(TableHandbook[[#This Row],[UDC]],TableSTRUMATHM[],7,FALSE),"")</f>
        <v/>
      </c>
      <c r="BE49" s="200" t="str">
        <f>IFERROR(VLOOKUP(TableHandbook[[#This Row],[UDC]],TableSTRUPARTB[],7,FALSE),"")</f>
        <v/>
      </c>
      <c r="BF49" s="200" t="str">
        <f>IFERROR(VLOOKUP(TableHandbook[[#This Row],[UDC]],TableSTRUPARTM[],7,FALSE),"")</f>
        <v/>
      </c>
      <c r="BG49" s="200" t="str">
        <f>IFERROR(VLOOKUP(TableHandbook[[#This Row],[UDC]],TableSTRUPOLB1[],7,FALSE),"")</f>
        <v/>
      </c>
      <c r="BH49" s="200" t="str">
        <f>IFERROR(VLOOKUP(TableHandbook[[#This Row],[UDC]],TableSTRUPSCIM[],7,FALSE),"")</f>
        <v/>
      </c>
      <c r="BI49" s="200" t="str">
        <f>IFERROR(VLOOKUP(TableHandbook[[#This Row],[UDC]],TableSTRUPSYCB[],7,FALSE),"")</f>
        <v/>
      </c>
      <c r="BJ49" s="200" t="str">
        <f>IFERROR(VLOOKUP(TableHandbook[[#This Row],[UDC]],TableSTRUPSYCM[],7,FALSE),"")</f>
        <v/>
      </c>
      <c r="BK49" s="200" t="str">
        <f>IFERROR(VLOOKUP(TableHandbook[[#This Row],[UDC]],TableSTRUSOSCM[],7,FALSE),"")</f>
        <v/>
      </c>
      <c r="BL49" s="200" t="str">
        <f>IFERROR(VLOOKUP(TableHandbook[[#This Row],[UDC]],TableSTRUVARTB[],7,FALSE),"")</f>
        <v/>
      </c>
      <c r="BM49" s="200" t="str">
        <f>IFERROR(VLOOKUP(TableHandbook[[#This Row],[UDC]],TableSTRUVARTM[],7,FALSE),"")</f>
        <v/>
      </c>
    </row>
    <row r="50" spans="1:65" x14ac:dyDescent="0.25">
      <c r="A50" s="262" t="s">
        <v>415</v>
      </c>
      <c r="B50" s="12">
        <v>1</v>
      </c>
      <c r="C50" s="11"/>
      <c r="D50" s="11" t="s">
        <v>597</v>
      </c>
      <c r="E50" s="12">
        <v>25</v>
      </c>
      <c r="F50" s="131" t="s">
        <v>598</v>
      </c>
      <c r="G50" s="126" t="str">
        <f>IFERROR(IF(VLOOKUP(TableHandbook[[#This Row],[UDC]],TableAvailabilities[],2,FALSE)&gt;0,"Y",""),"")</f>
        <v>Y</v>
      </c>
      <c r="H50" s="127" t="str">
        <f>IFERROR(IF(VLOOKUP(TableHandbook[[#This Row],[UDC]],TableAvailabilities[],3,FALSE)&gt;0,"Y",""),"")</f>
        <v/>
      </c>
      <c r="I50" s="127" t="str">
        <f>IFERROR(IF(VLOOKUP(TableHandbook[[#This Row],[UDC]],TableAvailabilities[],4,FALSE)&gt;0,"Y",""),"")</f>
        <v/>
      </c>
      <c r="J50" s="128" t="str">
        <f>IFERROR(IF(VLOOKUP(TableHandbook[[#This Row],[UDC]],TableAvailabilities[],5,FALSE)&gt;0,"Y",""),"")</f>
        <v/>
      </c>
      <c r="K50" s="128" t="str">
        <f>IFERROR(IF(VLOOKUP(TableHandbook[[#This Row],[UDC]],TableAvailabilities[],6,FALSE)&gt;0,"Y",""),"")</f>
        <v/>
      </c>
      <c r="L50" s="127" t="str">
        <f>IFERROR(IF(VLOOKUP(TableHandbook[[#This Row],[UDC]],TableAvailabilities[],7,FALSE)&gt;0,"Y",""),"")</f>
        <v/>
      </c>
      <c r="M50" s="207"/>
      <c r="N50" s="204" t="str">
        <f>IFERROR(VLOOKUP(TableHandbook[[#This Row],[UDC]],TableBEDUC[],7,FALSE),"")</f>
        <v/>
      </c>
      <c r="O50" s="193" t="str">
        <f>IFERROR(VLOOKUP(TableHandbook[[#This Row],[UDC]],TableBEDEC[],7,FALSE),"")</f>
        <v/>
      </c>
      <c r="P50" s="193" t="str">
        <f>IFERROR(VLOOKUP(TableHandbook[[#This Row],[UDC]],TableBEDPR[],7,FALSE),"")</f>
        <v/>
      </c>
      <c r="Q50" s="193" t="str">
        <f>IFERROR(VLOOKUP(TableHandbook[[#This Row],[UDC]],TableSTRUCATHL[],7,FALSE),"")</f>
        <v/>
      </c>
      <c r="R50" s="193" t="str">
        <f>IFERROR(VLOOKUP(TableHandbook[[#This Row],[UDC]],TableSTRUENGLL[],7,FALSE),"")</f>
        <v/>
      </c>
      <c r="S50" s="193" t="str">
        <f>IFERROR(VLOOKUP(TableHandbook[[#This Row],[UDC]],TableSTRUINTBC[],7,FALSE),"")</f>
        <v/>
      </c>
      <c r="T50" s="193" t="str">
        <f>IFERROR(VLOOKUP(TableHandbook[[#This Row],[UDC]],TableSTRUISTEM[],7,FALSE),"")</f>
        <v/>
      </c>
      <c r="U50" s="193" t="str">
        <f>IFERROR(VLOOKUP(TableHandbook[[#This Row],[UDC]],TableSTRULITNU[],7,FALSE),"")</f>
        <v/>
      </c>
      <c r="V50" s="193" t="str">
        <f>IFERROR(VLOOKUP(TableHandbook[[#This Row],[UDC]],TableSTRUTECHS[],7,FALSE),"")</f>
        <v/>
      </c>
      <c r="W50" s="193" t="str">
        <f>IFERROR(VLOOKUP(TableHandbook[[#This Row],[UDC]],TableBEDSC[],7,FALSE),"")</f>
        <v/>
      </c>
      <c r="X50" s="193" t="str">
        <f>IFERROR(VLOOKUP(TableHandbook[[#This Row],[UDC]],TableMJRUARTDR[],7,FALSE),"")</f>
        <v/>
      </c>
      <c r="Y50" s="193" t="str">
        <f>IFERROR(VLOOKUP(TableHandbook[[#This Row],[UDC]],TableMJRUARTME[],7,FALSE),"")</f>
        <v/>
      </c>
      <c r="Z50" s="193" t="str">
        <f>IFERROR(VLOOKUP(TableHandbook[[#This Row],[UDC]],TableMJRUARTVA[],7,FALSE),"")</f>
        <v/>
      </c>
      <c r="AA50" s="193" t="str">
        <f>IFERROR(VLOOKUP(TableHandbook[[#This Row],[UDC]],TableMJRUENGLT[],7,FALSE),"")</f>
        <v/>
      </c>
      <c r="AB50" s="193" t="str">
        <f>IFERROR(VLOOKUP(TableHandbook[[#This Row],[UDC]],TableMJRUHLTPE[],7,FALSE),"")</f>
        <v/>
      </c>
      <c r="AC50" s="193" t="str">
        <f>IFERROR(VLOOKUP(TableHandbook[[#This Row],[UDC]],TableMJRUHUSEC[],7,FALSE),"")</f>
        <v/>
      </c>
      <c r="AD50" s="193" t="str">
        <f>IFERROR(VLOOKUP(TableHandbook[[#This Row],[UDC]],TableMJRUHUSGE[],7,FALSE),"")</f>
        <v/>
      </c>
      <c r="AE50" s="193" t="str">
        <f>IFERROR(VLOOKUP(TableHandbook[[#This Row],[UDC]],TableMJRUHUSHI[],7,FALSE),"")</f>
        <v/>
      </c>
      <c r="AF50" s="193" t="str">
        <f>IFERROR(VLOOKUP(TableHandbook[[#This Row],[UDC]],TableMJRUHUSPL[],7,FALSE),"")</f>
        <v/>
      </c>
      <c r="AG50" s="193" t="str">
        <f>IFERROR(VLOOKUP(TableHandbook[[#This Row],[UDC]],TableMJRUMATHT[],7,FALSE),"")</f>
        <v/>
      </c>
      <c r="AH50" s="193" t="str">
        <f>IFERROR(VLOOKUP(TableHandbook[[#This Row],[UDC]],TableMJRUSCIBI[],7,FALSE),"")</f>
        <v>AltCore</v>
      </c>
      <c r="AI50" s="193" t="str">
        <f>IFERROR(VLOOKUP(TableHandbook[[#This Row],[UDC]],TableMJRUSCICH[],7,FALSE),"")</f>
        <v/>
      </c>
      <c r="AJ50" s="193" t="str">
        <f>IFERROR(VLOOKUP(TableHandbook[[#This Row],[UDC]],TableMJRUSCIHB[],7,FALSE),"")</f>
        <v/>
      </c>
      <c r="AK50" s="193" t="str">
        <f>IFERROR(VLOOKUP(TableHandbook[[#This Row],[UDC]],TableMJRUSCIPH[],7,FALSE),"")</f>
        <v/>
      </c>
      <c r="AL50" s="193" t="str">
        <f>IFERROR(VLOOKUP(TableHandbook[[#This Row],[UDC]],TableMJRUSCIPS[],7,FALSE),"")</f>
        <v/>
      </c>
      <c r="AM50" s="202"/>
      <c r="AN50" s="200" t="str">
        <f>IFERROR(VLOOKUP(TableHandbook[[#This Row],[UDC]],TableSTRUBIOLB[],7,FALSE),"")</f>
        <v/>
      </c>
      <c r="AO50" s="200" t="str">
        <f>IFERROR(VLOOKUP(TableHandbook[[#This Row],[UDC]],TableSTRUBSCIM[],7,FALSE),"")</f>
        <v>AltCore</v>
      </c>
      <c r="AP50" s="200" t="str">
        <f>IFERROR(VLOOKUP(TableHandbook[[#This Row],[UDC]],TableSTRUCHEMB[],7,FALSE),"")</f>
        <v/>
      </c>
      <c r="AQ50" s="200" t="str">
        <f>IFERROR(VLOOKUP(TableHandbook[[#This Row],[UDC]],TableSTRUECOB1[],7,FALSE),"")</f>
        <v/>
      </c>
      <c r="AR50" s="200" t="str">
        <f>IFERROR(VLOOKUP(TableHandbook[[#This Row],[UDC]],TableSTRUEDART[],7,FALSE),"")</f>
        <v/>
      </c>
      <c r="AS50" s="200" t="str">
        <f>IFERROR(VLOOKUP(TableHandbook[[#This Row],[UDC]],TableSTRUEDENG[],7,FALSE),"")</f>
        <v/>
      </c>
      <c r="AT50" s="200" t="str">
        <f>IFERROR(VLOOKUP(TableHandbook[[#This Row],[UDC]],TableSTRUEDHAS[],7,FALSE),"")</f>
        <v/>
      </c>
      <c r="AU50" s="200" t="str">
        <f>IFERROR(VLOOKUP(TableHandbook[[#This Row],[UDC]],TableSTRUEDMAT[],7,FALSE),"")</f>
        <v/>
      </c>
      <c r="AV50" s="200" t="str">
        <f>IFERROR(VLOOKUP(TableHandbook[[#This Row],[UDC]],TableSTRUEDSCI[],7,FALSE),"")</f>
        <v/>
      </c>
      <c r="AW50" s="200" t="str">
        <f>IFERROR(VLOOKUP(TableHandbook[[#This Row],[UDC]],TableSTRUENGLB[],7,FALSE),"")</f>
        <v/>
      </c>
      <c r="AX50" s="200" t="str">
        <f>IFERROR(VLOOKUP(TableHandbook[[#This Row],[UDC]],TableSTRUENGLM[],7,FALSE),"")</f>
        <v/>
      </c>
      <c r="AY50" s="200" t="str">
        <f>IFERROR(VLOOKUP(TableHandbook[[#This Row],[UDC]],TableSTRUGEOB1[],7,FALSE),"")</f>
        <v/>
      </c>
      <c r="AZ50" s="200" t="str">
        <f>IFERROR(VLOOKUP(TableHandbook[[#This Row],[UDC]],TableSTRUHISB1[],7,FALSE),"")</f>
        <v/>
      </c>
      <c r="BA50" s="200" t="str">
        <f>IFERROR(VLOOKUP(TableHandbook[[#This Row],[UDC]],TableSTRUHUMAM[],7,FALSE),"")</f>
        <v/>
      </c>
      <c r="BB50" s="200" t="str">
        <f>IFERROR(VLOOKUP(TableHandbook[[#This Row],[UDC]],TableSTRUHUMBB[],7,FALSE),"")</f>
        <v/>
      </c>
      <c r="BC50" s="200" t="str">
        <f>IFERROR(VLOOKUP(TableHandbook[[#This Row],[UDC]],TableSTRUMATHB[],7,FALSE),"")</f>
        <v/>
      </c>
      <c r="BD50" s="200" t="str">
        <f>IFERROR(VLOOKUP(TableHandbook[[#This Row],[UDC]],TableSTRUMATHM[],7,FALSE),"")</f>
        <v/>
      </c>
      <c r="BE50" s="200" t="str">
        <f>IFERROR(VLOOKUP(TableHandbook[[#This Row],[UDC]],TableSTRUPARTB[],7,FALSE),"")</f>
        <v/>
      </c>
      <c r="BF50" s="200" t="str">
        <f>IFERROR(VLOOKUP(TableHandbook[[#This Row],[UDC]],TableSTRUPARTM[],7,FALSE),"")</f>
        <v/>
      </c>
      <c r="BG50" s="200" t="str">
        <f>IFERROR(VLOOKUP(TableHandbook[[#This Row],[UDC]],TableSTRUPOLB1[],7,FALSE),"")</f>
        <v/>
      </c>
      <c r="BH50" s="200" t="str">
        <f>IFERROR(VLOOKUP(TableHandbook[[#This Row],[UDC]],TableSTRUPSCIM[],7,FALSE),"")</f>
        <v/>
      </c>
      <c r="BI50" s="200" t="str">
        <f>IFERROR(VLOOKUP(TableHandbook[[#This Row],[UDC]],TableSTRUPSYCB[],7,FALSE),"")</f>
        <v/>
      </c>
      <c r="BJ50" s="200" t="str">
        <f>IFERROR(VLOOKUP(TableHandbook[[#This Row],[UDC]],TableSTRUPSYCM[],7,FALSE),"")</f>
        <v/>
      </c>
      <c r="BK50" s="200" t="str">
        <f>IFERROR(VLOOKUP(TableHandbook[[#This Row],[UDC]],TableSTRUSOSCM[],7,FALSE),"")</f>
        <v/>
      </c>
      <c r="BL50" s="200" t="str">
        <f>IFERROR(VLOOKUP(TableHandbook[[#This Row],[UDC]],TableSTRUVARTB[],7,FALSE),"")</f>
        <v/>
      </c>
      <c r="BM50" s="200" t="str">
        <f>IFERROR(VLOOKUP(TableHandbook[[#This Row],[UDC]],TableSTRUVARTM[],7,FALSE),"")</f>
        <v/>
      </c>
    </row>
    <row r="51" spans="1:65" x14ac:dyDescent="0.25">
      <c r="A51" s="262" t="s">
        <v>304</v>
      </c>
      <c r="B51" s="12">
        <v>1</v>
      </c>
      <c r="C51" s="11"/>
      <c r="D51" s="11" t="s">
        <v>599</v>
      </c>
      <c r="E51" s="12">
        <v>25</v>
      </c>
      <c r="F51" s="131" t="s">
        <v>544</v>
      </c>
      <c r="G51" s="126" t="str">
        <f>IFERROR(IF(VLOOKUP(TableHandbook[[#This Row],[UDC]],TableAvailabilities[],2,FALSE)&gt;0,"Y",""),"")</f>
        <v>Y</v>
      </c>
      <c r="H51" s="127" t="str">
        <f>IFERROR(IF(VLOOKUP(TableHandbook[[#This Row],[UDC]],TableAvailabilities[],3,FALSE)&gt;0,"Y",""),"")</f>
        <v>Y</v>
      </c>
      <c r="I51" s="127" t="str">
        <f>IFERROR(IF(VLOOKUP(TableHandbook[[#This Row],[UDC]],TableAvailabilities[],4,FALSE)&gt;0,"Y",""),"")</f>
        <v>Y</v>
      </c>
      <c r="J51" s="128" t="str">
        <f>IFERROR(IF(VLOOKUP(TableHandbook[[#This Row],[UDC]],TableAvailabilities[],5,FALSE)&gt;0,"Y",""),"")</f>
        <v>Y</v>
      </c>
      <c r="K51" s="128" t="str">
        <f>IFERROR(IF(VLOOKUP(TableHandbook[[#This Row],[UDC]],TableAvailabilities[],6,FALSE)&gt;0,"Y",""),"")</f>
        <v>Y</v>
      </c>
      <c r="L51" s="127" t="str">
        <f>IFERROR(IF(VLOOKUP(TableHandbook[[#This Row],[UDC]],TableAvailabilities[],7,FALSE)&gt;0,"Y",""),"")</f>
        <v>Y</v>
      </c>
      <c r="M51" s="207"/>
      <c r="N51" s="204" t="str">
        <f>IFERROR(VLOOKUP(TableHandbook[[#This Row],[UDC]],TableBEDUC[],7,FALSE),"")</f>
        <v/>
      </c>
      <c r="O51" s="193" t="str">
        <f>IFERROR(VLOOKUP(TableHandbook[[#This Row],[UDC]],TableBEDEC[],7,FALSE),"")</f>
        <v/>
      </c>
      <c r="P51" s="193" t="str">
        <f>IFERROR(VLOOKUP(TableHandbook[[#This Row],[UDC]],TableBEDPR[],7,FALSE),"")</f>
        <v/>
      </c>
      <c r="Q51" s="193" t="str">
        <f>IFERROR(VLOOKUP(TableHandbook[[#This Row],[UDC]],TableSTRUCATHL[],7,FALSE),"")</f>
        <v/>
      </c>
      <c r="R51" s="193" t="str">
        <f>IFERROR(VLOOKUP(TableHandbook[[#This Row],[UDC]],TableSTRUENGLL[],7,FALSE),"")</f>
        <v/>
      </c>
      <c r="S51" s="193" t="str">
        <f>IFERROR(VLOOKUP(TableHandbook[[#This Row],[UDC]],TableSTRUINTBC[],7,FALSE),"")</f>
        <v/>
      </c>
      <c r="T51" s="193" t="str">
        <f>IFERROR(VLOOKUP(TableHandbook[[#This Row],[UDC]],TableSTRUISTEM[],7,FALSE),"")</f>
        <v/>
      </c>
      <c r="U51" s="193" t="str">
        <f>IFERROR(VLOOKUP(TableHandbook[[#This Row],[UDC]],TableSTRULITNU[],7,FALSE),"")</f>
        <v/>
      </c>
      <c r="V51" s="193" t="str">
        <f>IFERROR(VLOOKUP(TableHandbook[[#This Row],[UDC]],TableSTRUTECHS[],7,FALSE),"")</f>
        <v/>
      </c>
      <c r="W51" s="193" t="str">
        <f>IFERROR(VLOOKUP(TableHandbook[[#This Row],[UDC]],TableBEDSC[],7,FALSE),"")</f>
        <v/>
      </c>
      <c r="X51" s="193" t="str">
        <f>IFERROR(VLOOKUP(TableHandbook[[#This Row],[UDC]],TableMJRUARTDR[],7,FALSE),"")</f>
        <v/>
      </c>
      <c r="Y51" s="193" t="str">
        <f>IFERROR(VLOOKUP(TableHandbook[[#This Row],[UDC]],TableMJRUARTME[],7,FALSE),"")</f>
        <v/>
      </c>
      <c r="Z51" s="193" t="str">
        <f>IFERROR(VLOOKUP(TableHandbook[[#This Row],[UDC]],TableMJRUARTVA[],7,FALSE),"")</f>
        <v/>
      </c>
      <c r="AA51" s="193" t="str">
        <f>IFERROR(VLOOKUP(TableHandbook[[#This Row],[UDC]],TableMJRUENGLT[],7,FALSE),"")</f>
        <v/>
      </c>
      <c r="AB51" s="193" t="str">
        <f>IFERROR(VLOOKUP(TableHandbook[[#This Row],[UDC]],TableMJRUHLTPE[],7,FALSE),"")</f>
        <v/>
      </c>
      <c r="AC51" s="193" t="str">
        <f>IFERROR(VLOOKUP(TableHandbook[[#This Row],[UDC]],TableMJRUHUSEC[],7,FALSE),"")</f>
        <v>Core</v>
      </c>
      <c r="AD51" s="193" t="str">
        <f>IFERROR(VLOOKUP(TableHandbook[[#This Row],[UDC]],TableMJRUHUSGE[],7,FALSE),"")</f>
        <v/>
      </c>
      <c r="AE51" s="193" t="str">
        <f>IFERROR(VLOOKUP(TableHandbook[[#This Row],[UDC]],TableMJRUHUSHI[],7,FALSE),"")</f>
        <v/>
      </c>
      <c r="AF51" s="193" t="str">
        <f>IFERROR(VLOOKUP(TableHandbook[[#This Row],[UDC]],TableMJRUHUSPL[],7,FALSE),"")</f>
        <v/>
      </c>
      <c r="AG51" s="193" t="str">
        <f>IFERROR(VLOOKUP(TableHandbook[[#This Row],[UDC]],TableMJRUMATHT[],7,FALSE),"")</f>
        <v/>
      </c>
      <c r="AH51" s="193" t="str">
        <f>IFERROR(VLOOKUP(TableHandbook[[#This Row],[UDC]],TableMJRUSCIBI[],7,FALSE),"")</f>
        <v/>
      </c>
      <c r="AI51" s="193" t="str">
        <f>IFERROR(VLOOKUP(TableHandbook[[#This Row],[UDC]],TableMJRUSCICH[],7,FALSE),"")</f>
        <v/>
      </c>
      <c r="AJ51" s="193" t="str">
        <f>IFERROR(VLOOKUP(TableHandbook[[#This Row],[UDC]],TableMJRUSCIHB[],7,FALSE),"")</f>
        <v/>
      </c>
      <c r="AK51" s="193" t="str">
        <f>IFERROR(VLOOKUP(TableHandbook[[#This Row],[UDC]],TableMJRUSCIPH[],7,FALSE),"")</f>
        <v/>
      </c>
      <c r="AL51" s="193" t="str">
        <f>IFERROR(VLOOKUP(TableHandbook[[#This Row],[UDC]],TableMJRUSCIPS[],7,FALSE),"")</f>
        <v/>
      </c>
      <c r="AM51" s="202"/>
      <c r="AN51" s="200" t="str">
        <f>IFERROR(VLOOKUP(TableHandbook[[#This Row],[UDC]],TableSTRUBIOLB[],7,FALSE),"")</f>
        <v/>
      </c>
      <c r="AO51" s="200" t="str">
        <f>IFERROR(VLOOKUP(TableHandbook[[#This Row],[UDC]],TableSTRUBSCIM[],7,FALSE),"")</f>
        <v/>
      </c>
      <c r="AP51" s="200" t="str">
        <f>IFERROR(VLOOKUP(TableHandbook[[#This Row],[UDC]],TableSTRUCHEMB[],7,FALSE),"")</f>
        <v/>
      </c>
      <c r="AQ51" s="200" t="str">
        <f>IFERROR(VLOOKUP(TableHandbook[[#This Row],[UDC]],TableSTRUECOB1[],7,FALSE),"")</f>
        <v/>
      </c>
      <c r="AR51" s="200" t="str">
        <f>IFERROR(VLOOKUP(TableHandbook[[#This Row],[UDC]],TableSTRUEDART[],7,FALSE),"")</f>
        <v/>
      </c>
      <c r="AS51" s="200" t="str">
        <f>IFERROR(VLOOKUP(TableHandbook[[#This Row],[UDC]],TableSTRUEDENG[],7,FALSE),"")</f>
        <v/>
      </c>
      <c r="AT51" s="200" t="str">
        <f>IFERROR(VLOOKUP(TableHandbook[[#This Row],[UDC]],TableSTRUEDHAS[],7,FALSE),"")</f>
        <v/>
      </c>
      <c r="AU51" s="200" t="str">
        <f>IFERROR(VLOOKUP(TableHandbook[[#This Row],[UDC]],TableSTRUEDMAT[],7,FALSE),"")</f>
        <v/>
      </c>
      <c r="AV51" s="200" t="str">
        <f>IFERROR(VLOOKUP(TableHandbook[[#This Row],[UDC]],TableSTRUEDSCI[],7,FALSE),"")</f>
        <v/>
      </c>
      <c r="AW51" s="200" t="str">
        <f>IFERROR(VLOOKUP(TableHandbook[[#This Row],[UDC]],TableSTRUENGLB[],7,FALSE),"")</f>
        <v/>
      </c>
      <c r="AX51" s="200" t="str">
        <f>IFERROR(VLOOKUP(TableHandbook[[#This Row],[UDC]],TableSTRUENGLM[],7,FALSE),"")</f>
        <v/>
      </c>
      <c r="AY51" s="200" t="str">
        <f>IFERROR(VLOOKUP(TableHandbook[[#This Row],[UDC]],TableSTRUGEOB1[],7,FALSE),"")</f>
        <v>Core</v>
      </c>
      <c r="AZ51" s="200" t="str">
        <f>IFERROR(VLOOKUP(TableHandbook[[#This Row],[UDC]],TableSTRUHISB1[],7,FALSE),"")</f>
        <v>Core</v>
      </c>
      <c r="BA51" s="200" t="str">
        <f>IFERROR(VLOOKUP(TableHandbook[[#This Row],[UDC]],TableSTRUHUMAM[],7,FALSE),"")</f>
        <v/>
      </c>
      <c r="BB51" s="200" t="str">
        <f>IFERROR(VLOOKUP(TableHandbook[[#This Row],[UDC]],TableSTRUHUMBB[],7,FALSE),"")</f>
        <v/>
      </c>
      <c r="BC51" s="200" t="str">
        <f>IFERROR(VLOOKUP(TableHandbook[[#This Row],[UDC]],TableSTRUMATHB[],7,FALSE),"")</f>
        <v/>
      </c>
      <c r="BD51" s="200" t="str">
        <f>IFERROR(VLOOKUP(TableHandbook[[#This Row],[UDC]],TableSTRUMATHM[],7,FALSE),"")</f>
        <v/>
      </c>
      <c r="BE51" s="200" t="str">
        <f>IFERROR(VLOOKUP(TableHandbook[[#This Row],[UDC]],TableSTRUPARTB[],7,FALSE),"")</f>
        <v/>
      </c>
      <c r="BF51" s="200" t="str">
        <f>IFERROR(VLOOKUP(TableHandbook[[#This Row],[UDC]],TableSTRUPARTM[],7,FALSE),"")</f>
        <v/>
      </c>
      <c r="BG51" s="200" t="str">
        <f>IFERROR(VLOOKUP(TableHandbook[[#This Row],[UDC]],TableSTRUPOLB1[],7,FALSE),"")</f>
        <v>Core</v>
      </c>
      <c r="BH51" s="200" t="str">
        <f>IFERROR(VLOOKUP(TableHandbook[[#This Row],[UDC]],TableSTRUPSCIM[],7,FALSE),"")</f>
        <v/>
      </c>
      <c r="BI51" s="200" t="str">
        <f>IFERROR(VLOOKUP(TableHandbook[[#This Row],[UDC]],TableSTRUPSYCB[],7,FALSE),"")</f>
        <v/>
      </c>
      <c r="BJ51" s="200" t="str">
        <f>IFERROR(VLOOKUP(TableHandbook[[#This Row],[UDC]],TableSTRUPSYCM[],7,FALSE),"")</f>
        <v/>
      </c>
      <c r="BK51" s="200" t="str">
        <f>IFERROR(VLOOKUP(TableHandbook[[#This Row],[UDC]],TableSTRUSOSCM[],7,FALSE),"")</f>
        <v>Core</v>
      </c>
      <c r="BL51" s="200" t="str">
        <f>IFERROR(VLOOKUP(TableHandbook[[#This Row],[UDC]],TableSTRUVARTB[],7,FALSE),"")</f>
        <v/>
      </c>
      <c r="BM51" s="200" t="str">
        <f>IFERROR(VLOOKUP(TableHandbook[[#This Row],[UDC]],TableSTRUVARTM[],7,FALSE),"")</f>
        <v/>
      </c>
    </row>
    <row r="52" spans="1:65" x14ac:dyDescent="0.25">
      <c r="A52" s="262" t="s">
        <v>352</v>
      </c>
      <c r="B52" s="12">
        <v>1</v>
      </c>
      <c r="C52" s="11"/>
      <c r="D52" s="11" t="s">
        <v>600</v>
      </c>
      <c r="E52" s="12">
        <v>25</v>
      </c>
      <c r="F52" s="131" t="s">
        <v>544</v>
      </c>
      <c r="G52" s="126" t="str">
        <f>IFERROR(IF(VLOOKUP(TableHandbook[[#This Row],[UDC]],TableAvailabilities[],2,FALSE)&gt;0,"Y",""),"")</f>
        <v/>
      </c>
      <c r="H52" s="127" t="str">
        <f>IFERROR(IF(VLOOKUP(TableHandbook[[#This Row],[UDC]],TableAvailabilities[],3,FALSE)&gt;0,"Y",""),"")</f>
        <v/>
      </c>
      <c r="I52" s="127" t="str">
        <f>IFERROR(IF(VLOOKUP(TableHandbook[[#This Row],[UDC]],TableAvailabilities[],4,FALSE)&gt;0,"Y",""),"")</f>
        <v/>
      </c>
      <c r="J52" s="128" t="str">
        <f>IFERROR(IF(VLOOKUP(TableHandbook[[#This Row],[UDC]],TableAvailabilities[],5,FALSE)&gt;0,"Y",""),"")</f>
        <v>Y</v>
      </c>
      <c r="K52" s="128" t="str">
        <f>IFERROR(IF(VLOOKUP(TableHandbook[[#This Row],[UDC]],TableAvailabilities[],6,FALSE)&gt;0,"Y",""),"")</f>
        <v>Y</v>
      </c>
      <c r="L52" s="127" t="str">
        <f>IFERROR(IF(VLOOKUP(TableHandbook[[#This Row],[UDC]],TableAvailabilities[],7,FALSE)&gt;0,"Y",""),"")</f>
        <v/>
      </c>
      <c r="M52" s="207"/>
      <c r="N52" s="204" t="str">
        <f>IFERROR(VLOOKUP(TableHandbook[[#This Row],[UDC]],TableBEDUC[],7,FALSE),"")</f>
        <v/>
      </c>
      <c r="O52" s="193" t="str">
        <f>IFERROR(VLOOKUP(TableHandbook[[#This Row],[UDC]],TableBEDEC[],7,FALSE),"")</f>
        <v/>
      </c>
      <c r="P52" s="193" t="str">
        <f>IFERROR(VLOOKUP(TableHandbook[[#This Row],[UDC]],TableBEDPR[],7,FALSE),"")</f>
        <v/>
      </c>
      <c r="Q52" s="193" t="str">
        <f>IFERROR(VLOOKUP(TableHandbook[[#This Row],[UDC]],TableSTRUCATHL[],7,FALSE),"")</f>
        <v/>
      </c>
      <c r="R52" s="193" t="str">
        <f>IFERROR(VLOOKUP(TableHandbook[[#This Row],[UDC]],TableSTRUENGLL[],7,FALSE),"")</f>
        <v/>
      </c>
      <c r="S52" s="193" t="str">
        <f>IFERROR(VLOOKUP(TableHandbook[[#This Row],[UDC]],TableSTRUINTBC[],7,FALSE),"")</f>
        <v/>
      </c>
      <c r="T52" s="193" t="str">
        <f>IFERROR(VLOOKUP(TableHandbook[[#This Row],[UDC]],TableSTRUISTEM[],7,FALSE),"")</f>
        <v/>
      </c>
      <c r="U52" s="193" t="str">
        <f>IFERROR(VLOOKUP(TableHandbook[[#This Row],[UDC]],TableSTRULITNU[],7,FALSE),"")</f>
        <v/>
      </c>
      <c r="V52" s="193" t="str">
        <f>IFERROR(VLOOKUP(TableHandbook[[#This Row],[UDC]],TableSTRUTECHS[],7,FALSE),"")</f>
        <v/>
      </c>
      <c r="W52" s="193" t="str">
        <f>IFERROR(VLOOKUP(TableHandbook[[#This Row],[UDC]],TableBEDSC[],7,FALSE),"")</f>
        <v/>
      </c>
      <c r="X52" s="193" t="str">
        <f>IFERROR(VLOOKUP(TableHandbook[[#This Row],[UDC]],TableMJRUARTDR[],7,FALSE),"")</f>
        <v/>
      </c>
      <c r="Y52" s="193" t="str">
        <f>IFERROR(VLOOKUP(TableHandbook[[#This Row],[UDC]],TableMJRUARTME[],7,FALSE),"")</f>
        <v/>
      </c>
      <c r="Z52" s="193" t="str">
        <f>IFERROR(VLOOKUP(TableHandbook[[#This Row],[UDC]],TableMJRUARTVA[],7,FALSE),"")</f>
        <v/>
      </c>
      <c r="AA52" s="193" t="str">
        <f>IFERROR(VLOOKUP(TableHandbook[[#This Row],[UDC]],TableMJRUENGLT[],7,FALSE),"")</f>
        <v/>
      </c>
      <c r="AB52" s="193" t="str">
        <f>IFERROR(VLOOKUP(TableHandbook[[#This Row],[UDC]],TableMJRUHLTPE[],7,FALSE),"")</f>
        <v/>
      </c>
      <c r="AC52" s="193" t="str">
        <f>IFERROR(VLOOKUP(TableHandbook[[#This Row],[UDC]],TableMJRUHUSEC[],7,FALSE),"")</f>
        <v>Core</v>
      </c>
      <c r="AD52" s="193" t="str">
        <f>IFERROR(VLOOKUP(TableHandbook[[#This Row],[UDC]],TableMJRUHUSGE[],7,FALSE),"")</f>
        <v/>
      </c>
      <c r="AE52" s="193" t="str">
        <f>IFERROR(VLOOKUP(TableHandbook[[#This Row],[UDC]],TableMJRUHUSHI[],7,FALSE),"")</f>
        <v/>
      </c>
      <c r="AF52" s="193" t="str">
        <f>IFERROR(VLOOKUP(TableHandbook[[#This Row],[UDC]],TableMJRUHUSPL[],7,FALSE),"")</f>
        <v/>
      </c>
      <c r="AG52" s="193" t="str">
        <f>IFERROR(VLOOKUP(TableHandbook[[#This Row],[UDC]],TableMJRUMATHT[],7,FALSE),"")</f>
        <v/>
      </c>
      <c r="AH52" s="193" t="str">
        <f>IFERROR(VLOOKUP(TableHandbook[[#This Row],[UDC]],TableMJRUSCIBI[],7,FALSE),"")</f>
        <v/>
      </c>
      <c r="AI52" s="193" t="str">
        <f>IFERROR(VLOOKUP(TableHandbook[[#This Row],[UDC]],TableMJRUSCICH[],7,FALSE),"")</f>
        <v/>
      </c>
      <c r="AJ52" s="193" t="str">
        <f>IFERROR(VLOOKUP(TableHandbook[[#This Row],[UDC]],TableMJRUSCIHB[],7,FALSE),"")</f>
        <v/>
      </c>
      <c r="AK52" s="193" t="str">
        <f>IFERROR(VLOOKUP(TableHandbook[[#This Row],[UDC]],TableMJRUSCIPH[],7,FALSE),"")</f>
        <v/>
      </c>
      <c r="AL52" s="193" t="str">
        <f>IFERROR(VLOOKUP(TableHandbook[[#This Row],[UDC]],TableMJRUSCIPS[],7,FALSE),"")</f>
        <v/>
      </c>
      <c r="AM52" s="202"/>
      <c r="AN52" s="200" t="str">
        <f>IFERROR(VLOOKUP(TableHandbook[[#This Row],[UDC]],TableSTRUBIOLB[],7,FALSE),"")</f>
        <v/>
      </c>
      <c r="AO52" s="200" t="str">
        <f>IFERROR(VLOOKUP(TableHandbook[[#This Row],[UDC]],TableSTRUBSCIM[],7,FALSE),"")</f>
        <v/>
      </c>
      <c r="AP52" s="200" t="str">
        <f>IFERROR(VLOOKUP(TableHandbook[[#This Row],[UDC]],TableSTRUCHEMB[],7,FALSE),"")</f>
        <v/>
      </c>
      <c r="AQ52" s="200" t="str">
        <f>IFERROR(VLOOKUP(TableHandbook[[#This Row],[UDC]],TableSTRUECOB1[],7,FALSE),"")</f>
        <v/>
      </c>
      <c r="AR52" s="200" t="str">
        <f>IFERROR(VLOOKUP(TableHandbook[[#This Row],[UDC]],TableSTRUEDART[],7,FALSE),"")</f>
        <v/>
      </c>
      <c r="AS52" s="200" t="str">
        <f>IFERROR(VLOOKUP(TableHandbook[[#This Row],[UDC]],TableSTRUEDENG[],7,FALSE),"")</f>
        <v/>
      </c>
      <c r="AT52" s="200" t="str">
        <f>IFERROR(VLOOKUP(TableHandbook[[#This Row],[UDC]],TableSTRUEDHAS[],7,FALSE),"")</f>
        <v/>
      </c>
      <c r="AU52" s="200" t="str">
        <f>IFERROR(VLOOKUP(TableHandbook[[#This Row],[UDC]],TableSTRUEDMAT[],7,FALSE),"")</f>
        <v/>
      </c>
      <c r="AV52" s="200" t="str">
        <f>IFERROR(VLOOKUP(TableHandbook[[#This Row],[UDC]],TableSTRUEDSCI[],7,FALSE),"")</f>
        <v/>
      </c>
      <c r="AW52" s="200" t="str">
        <f>IFERROR(VLOOKUP(TableHandbook[[#This Row],[UDC]],TableSTRUENGLB[],7,FALSE),"")</f>
        <v/>
      </c>
      <c r="AX52" s="200" t="str">
        <f>IFERROR(VLOOKUP(TableHandbook[[#This Row],[UDC]],TableSTRUENGLM[],7,FALSE),"")</f>
        <v/>
      </c>
      <c r="AY52" s="200" t="str">
        <f>IFERROR(VLOOKUP(TableHandbook[[#This Row],[UDC]],TableSTRUGEOB1[],7,FALSE),"")</f>
        <v/>
      </c>
      <c r="AZ52" s="200" t="str">
        <f>IFERROR(VLOOKUP(TableHandbook[[#This Row],[UDC]],TableSTRUHISB1[],7,FALSE),"")</f>
        <v/>
      </c>
      <c r="BA52" s="200" t="str">
        <f>IFERROR(VLOOKUP(TableHandbook[[#This Row],[UDC]],TableSTRUHUMAM[],7,FALSE),"")</f>
        <v/>
      </c>
      <c r="BB52" s="200" t="str">
        <f>IFERROR(VLOOKUP(TableHandbook[[#This Row],[UDC]],TableSTRUHUMBB[],7,FALSE),"")</f>
        <v/>
      </c>
      <c r="BC52" s="200" t="str">
        <f>IFERROR(VLOOKUP(TableHandbook[[#This Row],[UDC]],TableSTRUMATHB[],7,FALSE),"")</f>
        <v/>
      </c>
      <c r="BD52" s="200" t="str">
        <f>IFERROR(VLOOKUP(TableHandbook[[#This Row],[UDC]],TableSTRUMATHM[],7,FALSE),"")</f>
        <v/>
      </c>
      <c r="BE52" s="200" t="str">
        <f>IFERROR(VLOOKUP(TableHandbook[[#This Row],[UDC]],TableSTRUPARTB[],7,FALSE),"")</f>
        <v/>
      </c>
      <c r="BF52" s="200" t="str">
        <f>IFERROR(VLOOKUP(TableHandbook[[#This Row],[UDC]],TableSTRUPARTM[],7,FALSE),"")</f>
        <v/>
      </c>
      <c r="BG52" s="200" t="str">
        <f>IFERROR(VLOOKUP(TableHandbook[[#This Row],[UDC]],TableSTRUPOLB1[],7,FALSE),"")</f>
        <v/>
      </c>
      <c r="BH52" s="200" t="str">
        <f>IFERROR(VLOOKUP(TableHandbook[[#This Row],[UDC]],TableSTRUPSCIM[],7,FALSE),"")</f>
        <v/>
      </c>
      <c r="BI52" s="200" t="str">
        <f>IFERROR(VLOOKUP(TableHandbook[[#This Row],[UDC]],TableSTRUPSYCB[],7,FALSE),"")</f>
        <v/>
      </c>
      <c r="BJ52" s="200" t="str">
        <f>IFERROR(VLOOKUP(TableHandbook[[#This Row],[UDC]],TableSTRUPSYCM[],7,FALSE),"")</f>
        <v/>
      </c>
      <c r="BK52" s="200" t="str">
        <f>IFERROR(VLOOKUP(TableHandbook[[#This Row],[UDC]],TableSTRUSOSCM[],7,FALSE),"")</f>
        <v/>
      </c>
      <c r="BL52" s="200" t="str">
        <f>IFERROR(VLOOKUP(TableHandbook[[#This Row],[UDC]],TableSTRUVARTB[],7,FALSE),"")</f>
        <v/>
      </c>
      <c r="BM52" s="200" t="str">
        <f>IFERROR(VLOOKUP(TableHandbook[[#This Row],[UDC]],TableSTRUVARTM[],7,FALSE),"")</f>
        <v/>
      </c>
    </row>
    <row r="53" spans="1:65" x14ac:dyDescent="0.25">
      <c r="A53" s="262" t="s">
        <v>330</v>
      </c>
      <c r="B53" s="12">
        <v>1</v>
      </c>
      <c r="C53" s="11"/>
      <c r="D53" s="11" t="s">
        <v>601</v>
      </c>
      <c r="E53" s="12">
        <v>25</v>
      </c>
      <c r="F53" s="131" t="s">
        <v>544</v>
      </c>
      <c r="G53" s="126" t="str">
        <f>IFERROR(IF(VLOOKUP(TableHandbook[[#This Row],[UDC]],TableAvailabilities[],2,FALSE)&gt;0,"Y",""),"")</f>
        <v>Y</v>
      </c>
      <c r="H53" s="127" t="str">
        <f>IFERROR(IF(VLOOKUP(TableHandbook[[#This Row],[UDC]],TableAvailabilities[],3,FALSE)&gt;0,"Y",""),"")</f>
        <v>Y</v>
      </c>
      <c r="I53" s="127" t="str">
        <f>IFERROR(IF(VLOOKUP(TableHandbook[[#This Row],[UDC]],TableAvailabilities[],4,FALSE)&gt;0,"Y",""),"")</f>
        <v/>
      </c>
      <c r="J53" s="128" t="str">
        <f>IFERROR(IF(VLOOKUP(TableHandbook[[#This Row],[UDC]],TableAvailabilities[],5,FALSE)&gt;0,"Y",""),"")</f>
        <v/>
      </c>
      <c r="K53" s="128" t="str">
        <f>IFERROR(IF(VLOOKUP(TableHandbook[[#This Row],[UDC]],TableAvailabilities[],6,FALSE)&gt;0,"Y",""),"")</f>
        <v/>
      </c>
      <c r="L53" s="127" t="str">
        <f>IFERROR(IF(VLOOKUP(TableHandbook[[#This Row],[UDC]],TableAvailabilities[],7,FALSE)&gt;0,"Y",""),"")</f>
        <v/>
      </c>
      <c r="M53" s="207"/>
      <c r="N53" s="204" t="str">
        <f>IFERROR(VLOOKUP(TableHandbook[[#This Row],[UDC]],TableBEDUC[],7,FALSE),"")</f>
        <v/>
      </c>
      <c r="O53" s="193" t="str">
        <f>IFERROR(VLOOKUP(TableHandbook[[#This Row],[UDC]],TableBEDEC[],7,FALSE),"")</f>
        <v/>
      </c>
      <c r="P53" s="193" t="str">
        <f>IFERROR(VLOOKUP(TableHandbook[[#This Row],[UDC]],TableBEDPR[],7,FALSE),"")</f>
        <v/>
      </c>
      <c r="Q53" s="193" t="str">
        <f>IFERROR(VLOOKUP(TableHandbook[[#This Row],[UDC]],TableSTRUCATHL[],7,FALSE),"")</f>
        <v/>
      </c>
      <c r="R53" s="193" t="str">
        <f>IFERROR(VLOOKUP(TableHandbook[[#This Row],[UDC]],TableSTRUENGLL[],7,FALSE),"")</f>
        <v/>
      </c>
      <c r="S53" s="193" t="str">
        <f>IFERROR(VLOOKUP(TableHandbook[[#This Row],[UDC]],TableSTRUINTBC[],7,FALSE),"")</f>
        <v/>
      </c>
      <c r="T53" s="193" t="str">
        <f>IFERROR(VLOOKUP(TableHandbook[[#This Row],[UDC]],TableSTRUISTEM[],7,FALSE),"")</f>
        <v/>
      </c>
      <c r="U53" s="193" t="str">
        <f>IFERROR(VLOOKUP(TableHandbook[[#This Row],[UDC]],TableSTRULITNU[],7,FALSE),"")</f>
        <v/>
      </c>
      <c r="V53" s="193" t="str">
        <f>IFERROR(VLOOKUP(TableHandbook[[#This Row],[UDC]],TableSTRUTECHS[],7,FALSE),"")</f>
        <v/>
      </c>
      <c r="W53" s="193" t="str">
        <f>IFERROR(VLOOKUP(TableHandbook[[#This Row],[UDC]],TableBEDSC[],7,FALSE),"")</f>
        <v/>
      </c>
      <c r="X53" s="193" t="str">
        <f>IFERROR(VLOOKUP(TableHandbook[[#This Row],[UDC]],TableMJRUARTDR[],7,FALSE),"")</f>
        <v/>
      </c>
      <c r="Y53" s="193" t="str">
        <f>IFERROR(VLOOKUP(TableHandbook[[#This Row],[UDC]],TableMJRUARTME[],7,FALSE),"")</f>
        <v/>
      </c>
      <c r="Z53" s="193" t="str">
        <f>IFERROR(VLOOKUP(TableHandbook[[#This Row],[UDC]],TableMJRUARTVA[],7,FALSE),"")</f>
        <v/>
      </c>
      <c r="AA53" s="193" t="str">
        <f>IFERROR(VLOOKUP(TableHandbook[[#This Row],[UDC]],TableMJRUENGLT[],7,FALSE),"")</f>
        <v/>
      </c>
      <c r="AB53" s="193" t="str">
        <f>IFERROR(VLOOKUP(TableHandbook[[#This Row],[UDC]],TableMJRUHLTPE[],7,FALSE),"")</f>
        <v/>
      </c>
      <c r="AC53" s="193" t="str">
        <f>IFERROR(VLOOKUP(TableHandbook[[#This Row],[UDC]],TableMJRUHUSEC[],7,FALSE),"")</f>
        <v>Core</v>
      </c>
      <c r="AD53" s="193" t="str">
        <f>IFERROR(VLOOKUP(TableHandbook[[#This Row],[UDC]],TableMJRUHUSGE[],7,FALSE),"")</f>
        <v/>
      </c>
      <c r="AE53" s="193" t="str">
        <f>IFERROR(VLOOKUP(TableHandbook[[#This Row],[UDC]],TableMJRUHUSHI[],7,FALSE),"")</f>
        <v/>
      </c>
      <c r="AF53" s="193" t="str">
        <f>IFERROR(VLOOKUP(TableHandbook[[#This Row],[UDC]],TableMJRUHUSPL[],7,FALSE),"")</f>
        <v/>
      </c>
      <c r="AG53" s="193" t="str">
        <f>IFERROR(VLOOKUP(TableHandbook[[#This Row],[UDC]],TableMJRUMATHT[],7,FALSE),"")</f>
        <v/>
      </c>
      <c r="AH53" s="193" t="str">
        <f>IFERROR(VLOOKUP(TableHandbook[[#This Row],[UDC]],TableMJRUSCIBI[],7,FALSE),"")</f>
        <v/>
      </c>
      <c r="AI53" s="193" t="str">
        <f>IFERROR(VLOOKUP(TableHandbook[[#This Row],[UDC]],TableMJRUSCICH[],7,FALSE),"")</f>
        <v/>
      </c>
      <c r="AJ53" s="193" t="str">
        <f>IFERROR(VLOOKUP(TableHandbook[[#This Row],[UDC]],TableMJRUSCIHB[],7,FALSE),"")</f>
        <v/>
      </c>
      <c r="AK53" s="193" t="str">
        <f>IFERROR(VLOOKUP(TableHandbook[[#This Row],[UDC]],TableMJRUSCIPH[],7,FALSE),"")</f>
        <v/>
      </c>
      <c r="AL53" s="193" t="str">
        <f>IFERROR(VLOOKUP(TableHandbook[[#This Row],[UDC]],TableMJRUSCIPS[],7,FALSE),"")</f>
        <v/>
      </c>
      <c r="AM53" s="202"/>
      <c r="AN53" s="200" t="str">
        <f>IFERROR(VLOOKUP(TableHandbook[[#This Row],[UDC]],TableSTRUBIOLB[],7,FALSE),"")</f>
        <v/>
      </c>
      <c r="AO53" s="200" t="str">
        <f>IFERROR(VLOOKUP(TableHandbook[[#This Row],[UDC]],TableSTRUBSCIM[],7,FALSE),"")</f>
        <v/>
      </c>
      <c r="AP53" s="200" t="str">
        <f>IFERROR(VLOOKUP(TableHandbook[[#This Row],[UDC]],TableSTRUCHEMB[],7,FALSE),"")</f>
        <v/>
      </c>
      <c r="AQ53" s="200" t="str">
        <f>IFERROR(VLOOKUP(TableHandbook[[#This Row],[UDC]],TableSTRUECOB1[],7,FALSE),"")</f>
        <v/>
      </c>
      <c r="AR53" s="200" t="str">
        <f>IFERROR(VLOOKUP(TableHandbook[[#This Row],[UDC]],TableSTRUEDART[],7,FALSE),"")</f>
        <v/>
      </c>
      <c r="AS53" s="200" t="str">
        <f>IFERROR(VLOOKUP(TableHandbook[[#This Row],[UDC]],TableSTRUEDENG[],7,FALSE),"")</f>
        <v/>
      </c>
      <c r="AT53" s="200" t="str">
        <f>IFERROR(VLOOKUP(TableHandbook[[#This Row],[UDC]],TableSTRUEDHAS[],7,FALSE),"")</f>
        <v/>
      </c>
      <c r="AU53" s="200" t="str">
        <f>IFERROR(VLOOKUP(TableHandbook[[#This Row],[UDC]],TableSTRUEDMAT[],7,FALSE),"")</f>
        <v/>
      </c>
      <c r="AV53" s="200" t="str">
        <f>IFERROR(VLOOKUP(TableHandbook[[#This Row],[UDC]],TableSTRUEDSCI[],7,FALSE),"")</f>
        <v/>
      </c>
      <c r="AW53" s="200" t="str">
        <f>IFERROR(VLOOKUP(TableHandbook[[#This Row],[UDC]],TableSTRUENGLB[],7,FALSE),"")</f>
        <v/>
      </c>
      <c r="AX53" s="200" t="str">
        <f>IFERROR(VLOOKUP(TableHandbook[[#This Row],[UDC]],TableSTRUENGLM[],7,FALSE),"")</f>
        <v/>
      </c>
      <c r="AY53" s="200" t="str">
        <f>IFERROR(VLOOKUP(TableHandbook[[#This Row],[UDC]],TableSTRUGEOB1[],7,FALSE),"")</f>
        <v/>
      </c>
      <c r="AZ53" s="200" t="str">
        <f>IFERROR(VLOOKUP(TableHandbook[[#This Row],[UDC]],TableSTRUHISB1[],7,FALSE),"")</f>
        <v/>
      </c>
      <c r="BA53" s="200" t="str">
        <f>IFERROR(VLOOKUP(TableHandbook[[#This Row],[UDC]],TableSTRUHUMAM[],7,FALSE),"")</f>
        <v/>
      </c>
      <c r="BB53" s="200" t="str">
        <f>IFERROR(VLOOKUP(TableHandbook[[#This Row],[UDC]],TableSTRUHUMBB[],7,FALSE),"")</f>
        <v/>
      </c>
      <c r="BC53" s="200" t="str">
        <f>IFERROR(VLOOKUP(TableHandbook[[#This Row],[UDC]],TableSTRUMATHB[],7,FALSE),"")</f>
        <v/>
      </c>
      <c r="BD53" s="200" t="str">
        <f>IFERROR(VLOOKUP(TableHandbook[[#This Row],[UDC]],TableSTRUMATHM[],7,FALSE),"")</f>
        <v/>
      </c>
      <c r="BE53" s="200" t="str">
        <f>IFERROR(VLOOKUP(TableHandbook[[#This Row],[UDC]],TableSTRUPARTB[],7,FALSE),"")</f>
        <v/>
      </c>
      <c r="BF53" s="200" t="str">
        <f>IFERROR(VLOOKUP(TableHandbook[[#This Row],[UDC]],TableSTRUPARTM[],7,FALSE),"")</f>
        <v/>
      </c>
      <c r="BG53" s="200" t="str">
        <f>IFERROR(VLOOKUP(TableHandbook[[#This Row],[UDC]],TableSTRUPOLB1[],7,FALSE),"")</f>
        <v/>
      </c>
      <c r="BH53" s="200" t="str">
        <f>IFERROR(VLOOKUP(TableHandbook[[#This Row],[UDC]],TableSTRUPSCIM[],7,FALSE),"")</f>
        <v/>
      </c>
      <c r="BI53" s="200" t="str">
        <f>IFERROR(VLOOKUP(TableHandbook[[#This Row],[UDC]],TableSTRUPSYCB[],7,FALSE),"")</f>
        <v/>
      </c>
      <c r="BJ53" s="200" t="str">
        <f>IFERROR(VLOOKUP(TableHandbook[[#This Row],[UDC]],TableSTRUPSYCM[],7,FALSE),"")</f>
        <v/>
      </c>
      <c r="BK53" s="200" t="str">
        <f>IFERROR(VLOOKUP(TableHandbook[[#This Row],[UDC]],TableSTRUSOSCM[],7,FALSE),"")</f>
        <v/>
      </c>
      <c r="BL53" s="200" t="str">
        <f>IFERROR(VLOOKUP(TableHandbook[[#This Row],[UDC]],TableSTRUVARTB[],7,FALSE),"")</f>
        <v/>
      </c>
      <c r="BM53" s="200" t="str">
        <f>IFERROR(VLOOKUP(TableHandbook[[#This Row],[UDC]],TableSTRUVARTM[],7,FALSE),"")</f>
        <v/>
      </c>
    </row>
    <row r="54" spans="1:65" x14ac:dyDescent="0.25">
      <c r="A54" s="262" t="s">
        <v>368</v>
      </c>
      <c r="B54" s="12">
        <v>1</v>
      </c>
      <c r="C54" s="11"/>
      <c r="D54" s="11" t="s">
        <v>602</v>
      </c>
      <c r="E54" s="12">
        <v>25</v>
      </c>
      <c r="F54" s="131" t="s">
        <v>603</v>
      </c>
      <c r="G54" s="126" t="str">
        <f>IFERROR(IF(VLOOKUP(TableHandbook[[#This Row],[UDC]],TableAvailabilities[],2,FALSE)&gt;0,"Y",""),"")</f>
        <v>Y</v>
      </c>
      <c r="H54" s="127" t="str">
        <f>IFERROR(IF(VLOOKUP(TableHandbook[[#This Row],[UDC]],TableAvailabilities[],3,FALSE)&gt;0,"Y",""),"")</f>
        <v/>
      </c>
      <c r="I54" s="127" t="str">
        <f>IFERROR(IF(VLOOKUP(TableHandbook[[#This Row],[UDC]],TableAvailabilities[],4,FALSE)&gt;0,"Y",""),"")</f>
        <v/>
      </c>
      <c r="J54" s="128" t="str">
        <f>IFERROR(IF(VLOOKUP(TableHandbook[[#This Row],[UDC]],TableAvailabilities[],5,FALSE)&gt;0,"Y",""),"")</f>
        <v/>
      </c>
      <c r="K54" s="128" t="str">
        <f>IFERROR(IF(VLOOKUP(TableHandbook[[#This Row],[UDC]],TableAvailabilities[],6,FALSE)&gt;0,"Y",""),"")</f>
        <v/>
      </c>
      <c r="L54" s="127" t="str">
        <f>IFERROR(IF(VLOOKUP(TableHandbook[[#This Row],[UDC]],TableAvailabilities[],7,FALSE)&gt;0,"Y",""),"")</f>
        <v/>
      </c>
      <c r="M54" s="207"/>
      <c r="N54" s="204" t="str">
        <f>IFERROR(VLOOKUP(TableHandbook[[#This Row],[UDC]],TableBEDUC[],7,FALSE),"")</f>
        <v/>
      </c>
      <c r="O54" s="193" t="str">
        <f>IFERROR(VLOOKUP(TableHandbook[[#This Row],[UDC]],TableBEDEC[],7,FALSE),"")</f>
        <v/>
      </c>
      <c r="P54" s="193" t="str">
        <f>IFERROR(VLOOKUP(TableHandbook[[#This Row],[UDC]],TableBEDPR[],7,FALSE),"")</f>
        <v/>
      </c>
      <c r="Q54" s="193" t="str">
        <f>IFERROR(VLOOKUP(TableHandbook[[#This Row],[UDC]],TableSTRUCATHL[],7,FALSE),"")</f>
        <v/>
      </c>
      <c r="R54" s="193" t="str">
        <f>IFERROR(VLOOKUP(TableHandbook[[#This Row],[UDC]],TableSTRUENGLL[],7,FALSE),"")</f>
        <v/>
      </c>
      <c r="S54" s="193" t="str">
        <f>IFERROR(VLOOKUP(TableHandbook[[#This Row],[UDC]],TableSTRUINTBC[],7,FALSE),"")</f>
        <v/>
      </c>
      <c r="T54" s="193" t="str">
        <f>IFERROR(VLOOKUP(TableHandbook[[#This Row],[UDC]],TableSTRUISTEM[],7,FALSE),"")</f>
        <v/>
      </c>
      <c r="U54" s="193" t="str">
        <f>IFERROR(VLOOKUP(TableHandbook[[#This Row],[UDC]],TableSTRULITNU[],7,FALSE),"")</f>
        <v/>
      </c>
      <c r="V54" s="193" t="str">
        <f>IFERROR(VLOOKUP(TableHandbook[[#This Row],[UDC]],TableSTRUTECHS[],7,FALSE),"")</f>
        <v/>
      </c>
      <c r="W54" s="193" t="str">
        <f>IFERROR(VLOOKUP(TableHandbook[[#This Row],[UDC]],TableBEDSC[],7,FALSE),"")</f>
        <v/>
      </c>
      <c r="X54" s="193" t="str">
        <f>IFERROR(VLOOKUP(TableHandbook[[#This Row],[UDC]],TableMJRUARTDR[],7,FALSE),"")</f>
        <v/>
      </c>
      <c r="Y54" s="193" t="str">
        <f>IFERROR(VLOOKUP(TableHandbook[[#This Row],[UDC]],TableMJRUARTME[],7,FALSE),"")</f>
        <v/>
      </c>
      <c r="Z54" s="193" t="str">
        <f>IFERROR(VLOOKUP(TableHandbook[[#This Row],[UDC]],TableMJRUARTVA[],7,FALSE),"")</f>
        <v/>
      </c>
      <c r="AA54" s="193" t="str">
        <f>IFERROR(VLOOKUP(TableHandbook[[#This Row],[UDC]],TableMJRUENGLT[],7,FALSE),"")</f>
        <v/>
      </c>
      <c r="AB54" s="193" t="str">
        <f>IFERROR(VLOOKUP(TableHandbook[[#This Row],[UDC]],TableMJRUHLTPE[],7,FALSE),"")</f>
        <v/>
      </c>
      <c r="AC54" s="193" t="str">
        <f>IFERROR(VLOOKUP(TableHandbook[[#This Row],[UDC]],TableMJRUHUSEC[],7,FALSE),"")</f>
        <v>Core</v>
      </c>
      <c r="AD54" s="193" t="str">
        <f>IFERROR(VLOOKUP(TableHandbook[[#This Row],[UDC]],TableMJRUHUSGE[],7,FALSE),"")</f>
        <v/>
      </c>
      <c r="AE54" s="193" t="str">
        <f>IFERROR(VLOOKUP(TableHandbook[[#This Row],[UDC]],TableMJRUHUSHI[],7,FALSE),"")</f>
        <v/>
      </c>
      <c r="AF54" s="193" t="str">
        <f>IFERROR(VLOOKUP(TableHandbook[[#This Row],[UDC]],TableMJRUHUSPL[],7,FALSE),"")</f>
        <v/>
      </c>
      <c r="AG54" s="193" t="str">
        <f>IFERROR(VLOOKUP(TableHandbook[[#This Row],[UDC]],TableMJRUMATHT[],7,FALSE),"")</f>
        <v/>
      </c>
      <c r="AH54" s="193" t="str">
        <f>IFERROR(VLOOKUP(TableHandbook[[#This Row],[UDC]],TableMJRUSCIBI[],7,FALSE),"")</f>
        <v/>
      </c>
      <c r="AI54" s="193" t="str">
        <f>IFERROR(VLOOKUP(TableHandbook[[#This Row],[UDC]],TableMJRUSCICH[],7,FALSE),"")</f>
        <v/>
      </c>
      <c r="AJ54" s="193" t="str">
        <f>IFERROR(VLOOKUP(TableHandbook[[#This Row],[UDC]],TableMJRUSCIHB[],7,FALSE),"")</f>
        <v/>
      </c>
      <c r="AK54" s="193" t="str">
        <f>IFERROR(VLOOKUP(TableHandbook[[#This Row],[UDC]],TableMJRUSCIPH[],7,FALSE),"")</f>
        <v/>
      </c>
      <c r="AL54" s="193" t="str">
        <f>IFERROR(VLOOKUP(TableHandbook[[#This Row],[UDC]],TableMJRUSCIPS[],7,FALSE),"")</f>
        <v/>
      </c>
      <c r="AM54" s="202"/>
      <c r="AN54" s="200" t="str">
        <f>IFERROR(VLOOKUP(TableHandbook[[#This Row],[UDC]],TableSTRUBIOLB[],7,FALSE),"")</f>
        <v/>
      </c>
      <c r="AO54" s="200" t="str">
        <f>IFERROR(VLOOKUP(TableHandbook[[#This Row],[UDC]],TableSTRUBSCIM[],7,FALSE),"")</f>
        <v/>
      </c>
      <c r="AP54" s="200" t="str">
        <f>IFERROR(VLOOKUP(TableHandbook[[#This Row],[UDC]],TableSTRUCHEMB[],7,FALSE),"")</f>
        <v/>
      </c>
      <c r="AQ54" s="200" t="str">
        <f>IFERROR(VLOOKUP(TableHandbook[[#This Row],[UDC]],TableSTRUECOB1[],7,FALSE),"")</f>
        <v/>
      </c>
      <c r="AR54" s="200" t="str">
        <f>IFERROR(VLOOKUP(TableHandbook[[#This Row],[UDC]],TableSTRUEDART[],7,FALSE),"")</f>
        <v/>
      </c>
      <c r="AS54" s="200" t="str">
        <f>IFERROR(VLOOKUP(TableHandbook[[#This Row],[UDC]],TableSTRUEDENG[],7,FALSE),"")</f>
        <v/>
      </c>
      <c r="AT54" s="200" t="str">
        <f>IFERROR(VLOOKUP(TableHandbook[[#This Row],[UDC]],TableSTRUEDHAS[],7,FALSE),"")</f>
        <v/>
      </c>
      <c r="AU54" s="200" t="str">
        <f>IFERROR(VLOOKUP(TableHandbook[[#This Row],[UDC]],TableSTRUEDMAT[],7,FALSE),"")</f>
        <v/>
      </c>
      <c r="AV54" s="200" t="str">
        <f>IFERROR(VLOOKUP(TableHandbook[[#This Row],[UDC]],TableSTRUEDSCI[],7,FALSE),"")</f>
        <v/>
      </c>
      <c r="AW54" s="200" t="str">
        <f>IFERROR(VLOOKUP(TableHandbook[[#This Row],[UDC]],TableSTRUENGLB[],7,FALSE),"")</f>
        <v/>
      </c>
      <c r="AX54" s="200" t="str">
        <f>IFERROR(VLOOKUP(TableHandbook[[#This Row],[UDC]],TableSTRUENGLM[],7,FALSE),"")</f>
        <v/>
      </c>
      <c r="AY54" s="200" t="str">
        <f>IFERROR(VLOOKUP(TableHandbook[[#This Row],[UDC]],TableSTRUGEOB1[],7,FALSE),"")</f>
        <v/>
      </c>
      <c r="AZ54" s="200" t="str">
        <f>IFERROR(VLOOKUP(TableHandbook[[#This Row],[UDC]],TableSTRUHISB1[],7,FALSE),"")</f>
        <v/>
      </c>
      <c r="BA54" s="200" t="str">
        <f>IFERROR(VLOOKUP(TableHandbook[[#This Row],[UDC]],TableSTRUHUMAM[],7,FALSE),"")</f>
        <v/>
      </c>
      <c r="BB54" s="200" t="str">
        <f>IFERROR(VLOOKUP(TableHandbook[[#This Row],[UDC]],TableSTRUHUMBB[],7,FALSE),"")</f>
        <v/>
      </c>
      <c r="BC54" s="200" t="str">
        <f>IFERROR(VLOOKUP(TableHandbook[[#This Row],[UDC]],TableSTRUMATHB[],7,FALSE),"")</f>
        <v/>
      </c>
      <c r="BD54" s="200" t="str">
        <f>IFERROR(VLOOKUP(TableHandbook[[#This Row],[UDC]],TableSTRUMATHM[],7,FALSE),"")</f>
        <v/>
      </c>
      <c r="BE54" s="200" t="str">
        <f>IFERROR(VLOOKUP(TableHandbook[[#This Row],[UDC]],TableSTRUPARTB[],7,FALSE),"")</f>
        <v/>
      </c>
      <c r="BF54" s="200" t="str">
        <f>IFERROR(VLOOKUP(TableHandbook[[#This Row],[UDC]],TableSTRUPARTM[],7,FALSE),"")</f>
        <v/>
      </c>
      <c r="BG54" s="200" t="str">
        <f>IFERROR(VLOOKUP(TableHandbook[[#This Row],[UDC]],TableSTRUPOLB1[],7,FALSE),"")</f>
        <v/>
      </c>
      <c r="BH54" s="200" t="str">
        <f>IFERROR(VLOOKUP(TableHandbook[[#This Row],[UDC]],TableSTRUPSCIM[],7,FALSE),"")</f>
        <v/>
      </c>
      <c r="BI54" s="200" t="str">
        <f>IFERROR(VLOOKUP(TableHandbook[[#This Row],[UDC]],TableSTRUPSYCB[],7,FALSE),"")</f>
        <v/>
      </c>
      <c r="BJ54" s="200" t="str">
        <f>IFERROR(VLOOKUP(TableHandbook[[#This Row],[UDC]],TableSTRUPSYCM[],7,FALSE),"")</f>
        <v/>
      </c>
      <c r="BK54" s="200" t="str">
        <f>IFERROR(VLOOKUP(TableHandbook[[#This Row],[UDC]],TableSTRUSOSCM[],7,FALSE),"")</f>
        <v/>
      </c>
      <c r="BL54" s="200" t="str">
        <f>IFERROR(VLOOKUP(TableHandbook[[#This Row],[UDC]],TableSTRUVARTB[],7,FALSE),"")</f>
        <v/>
      </c>
      <c r="BM54" s="200" t="str">
        <f>IFERROR(VLOOKUP(TableHandbook[[#This Row],[UDC]],TableSTRUVARTM[],7,FALSE),"")</f>
        <v/>
      </c>
    </row>
    <row r="55" spans="1:65" x14ac:dyDescent="0.25">
      <c r="A55" s="262" t="s">
        <v>382</v>
      </c>
      <c r="B55" s="12">
        <v>1</v>
      </c>
      <c r="C55" s="11"/>
      <c r="D55" s="11" t="s">
        <v>604</v>
      </c>
      <c r="E55" s="12">
        <v>25</v>
      </c>
      <c r="F55" s="131" t="s">
        <v>352</v>
      </c>
      <c r="G55" s="126" t="str">
        <f>IFERROR(IF(VLOOKUP(TableHandbook[[#This Row],[UDC]],TableAvailabilities[],2,FALSE)&gt;0,"Y",""),"")</f>
        <v/>
      </c>
      <c r="H55" s="127" t="str">
        <f>IFERROR(IF(VLOOKUP(TableHandbook[[#This Row],[UDC]],TableAvailabilities[],3,FALSE)&gt;0,"Y",""),"")</f>
        <v/>
      </c>
      <c r="I55" s="127" t="str">
        <f>IFERROR(IF(VLOOKUP(TableHandbook[[#This Row],[UDC]],TableAvailabilities[],4,FALSE)&gt;0,"Y",""),"")</f>
        <v/>
      </c>
      <c r="J55" s="128" t="str">
        <f>IFERROR(IF(VLOOKUP(TableHandbook[[#This Row],[UDC]],TableAvailabilities[],5,FALSE)&gt;0,"Y",""),"")</f>
        <v>Y</v>
      </c>
      <c r="K55" s="128" t="str">
        <f>IFERROR(IF(VLOOKUP(TableHandbook[[#This Row],[UDC]],TableAvailabilities[],6,FALSE)&gt;0,"Y",""),"")</f>
        <v/>
      </c>
      <c r="L55" s="127" t="str">
        <f>IFERROR(IF(VLOOKUP(TableHandbook[[#This Row],[UDC]],TableAvailabilities[],7,FALSE)&gt;0,"Y",""),"")</f>
        <v/>
      </c>
      <c r="M55" s="207"/>
      <c r="N55" s="204" t="str">
        <f>IFERROR(VLOOKUP(TableHandbook[[#This Row],[UDC]],TableBEDUC[],7,FALSE),"")</f>
        <v/>
      </c>
      <c r="O55" s="193" t="str">
        <f>IFERROR(VLOOKUP(TableHandbook[[#This Row],[UDC]],TableBEDEC[],7,FALSE),"")</f>
        <v/>
      </c>
      <c r="P55" s="193" t="str">
        <f>IFERROR(VLOOKUP(TableHandbook[[#This Row],[UDC]],TableBEDPR[],7,FALSE),"")</f>
        <v/>
      </c>
      <c r="Q55" s="193" t="str">
        <f>IFERROR(VLOOKUP(TableHandbook[[#This Row],[UDC]],TableSTRUCATHL[],7,FALSE),"")</f>
        <v/>
      </c>
      <c r="R55" s="193" t="str">
        <f>IFERROR(VLOOKUP(TableHandbook[[#This Row],[UDC]],TableSTRUENGLL[],7,FALSE),"")</f>
        <v/>
      </c>
      <c r="S55" s="193" t="str">
        <f>IFERROR(VLOOKUP(TableHandbook[[#This Row],[UDC]],TableSTRUINTBC[],7,FALSE),"")</f>
        <v/>
      </c>
      <c r="T55" s="193" t="str">
        <f>IFERROR(VLOOKUP(TableHandbook[[#This Row],[UDC]],TableSTRUISTEM[],7,FALSE),"")</f>
        <v/>
      </c>
      <c r="U55" s="193" t="str">
        <f>IFERROR(VLOOKUP(TableHandbook[[#This Row],[UDC]],TableSTRULITNU[],7,FALSE),"")</f>
        <v/>
      </c>
      <c r="V55" s="193" t="str">
        <f>IFERROR(VLOOKUP(TableHandbook[[#This Row],[UDC]],TableSTRUTECHS[],7,FALSE),"")</f>
        <v/>
      </c>
      <c r="W55" s="193" t="str">
        <f>IFERROR(VLOOKUP(TableHandbook[[#This Row],[UDC]],TableBEDSC[],7,FALSE),"")</f>
        <v/>
      </c>
      <c r="X55" s="193" t="str">
        <f>IFERROR(VLOOKUP(TableHandbook[[#This Row],[UDC]],TableMJRUARTDR[],7,FALSE),"")</f>
        <v/>
      </c>
      <c r="Y55" s="193" t="str">
        <f>IFERROR(VLOOKUP(TableHandbook[[#This Row],[UDC]],TableMJRUARTME[],7,FALSE),"")</f>
        <v/>
      </c>
      <c r="Z55" s="193" t="str">
        <f>IFERROR(VLOOKUP(TableHandbook[[#This Row],[UDC]],TableMJRUARTVA[],7,FALSE),"")</f>
        <v/>
      </c>
      <c r="AA55" s="193" t="str">
        <f>IFERROR(VLOOKUP(TableHandbook[[#This Row],[UDC]],TableMJRUENGLT[],7,FALSE),"")</f>
        <v/>
      </c>
      <c r="AB55" s="193" t="str">
        <f>IFERROR(VLOOKUP(TableHandbook[[#This Row],[UDC]],TableMJRUHLTPE[],7,FALSE),"")</f>
        <v/>
      </c>
      <c r="AC55" s="193" t="str">
        <f>IFERROR(VLOOKUP(TableHandbook[[#This Row],[UDC]],TableMJRUHUSEC[],7,FALSE),"")</f>
        <v>Core</v>
      </c>
      <c r="AD55" s="193" t="str">
        <f>IFERROR(VLOOKUP(TableHandbook[[#This Row],[UDC]],TableMJRUHUSGE[],7,FALSE),"")</f>
        <v/>
      </c>
      <c r="AE55" s="193" t="str">
        <f>IFERROR(VLOOKUP(TableHandbook[[#This Row],[UDC]],TableMJRUHUSHI[],7,FALSE),"")</f>
        <v/>
      </c>
      <c r="AF55" s="193" t="str">
        <f>IFERROR(VLOOKUP(TableHandbook[[#This Row],[UDC]],TableMJRUHUSPL[],7,FALSE),"")</f>
        <v/>
      </c>
      <c r="AG55" s="193" t="str">
        <f>IFERROR(VLOOKUP(TableHandbook[[#This Row],[UDC]],TableMJRUMATHT[],7,FALSE),"")</f>
        <v/>
      </c>
      <c r="AH55" s="193" t="str">
        <f>IFERROR(VLOOKUP(TableHandbook[[#This Row],[UDC]],TableMJRUSCIBI[],7,FALSE),"")</f>
        <v/>
      </c>
      <c r="AI55" s="193" t="str">
        <f>IFERROR(VLOOKUP(TableHandbook[[#This Row],[UDC]],TableMJRUSCICH[],7,FALSE),"")</f>
        <v/>
      </c>
      <c r="AJ55" s="193" t="str">
        <f>IFERROR(VLOOKUP(TableHandbook[[#This Row],[UDC]],TableMJRUSCIHB[],7,FALSE),"")</f>
        <v/>
      </c>
      <c r="AK55" s="193" t="str">
        <f>IFERROR(VLOOKUP(TableHandbook[[#This Row],[UDC]],TableMJRUSCIPH[],7,FALSE),"")</f>
        <v/>
      </c>
      <c r="AL55" s="193" t="str">
        <f>IFERROR(VLOOKUP(TableHandbook[[#This Row],[UDC]],TableMJRUSCIPS[],7,FALSE),"")</f>
        <v/>
      </c>
      <c r="AM55" s="202"/>
      <c r="AN55" s="200" t="str">
        <f>IFERROR(VLOOKUP(TableHandbook[[#This Row],[UDC]],TableSTRUBIOLB[],7,FALSE),"")</f>
        <v/>
      </c>
      <c r="AO55" s="200" t="str">
        <f>IFERROR(VLOOKUP(TableHandbook[[#This Row],[UDC]],TableSTRUBSCIM[],7,FALSE),"")</f>
        <v/>
      </c>
      <c r="AP55" s="200" t="str">
        <f>IFERROR(VLOOKUP(TableHandbook[[#This Row],[UDC]],TableSTRUCHEMB[],7,FALSE),"")</f>
        <v/>
      </c>
      <c r="AQ55" s="200" t="str">
        <f>IFERROR(VLOOKUP(TableHandbook[[#This Row],[UDC]],TableSTRUECOB1[],7,FALSE),"")</f>
        <v/>
      </c>
      <c r="AR55" s="200" t="str">
        <f>IFERROR(VLOOKUP(TableHandbook[[#This Row],[UDC]],TableSTRUEDART[],7,FALSE),"")</f>
        <v/>
      </c>
      <c r="AS55" s="200" t="str">
        <f>IFERROR(VLOOKUP(TableHandbook[[#This Row],[UDC]],TableSTRUEDENG[],7,FALSE),"")</f>
        <v/>
      </c>
      <c r="AT55" s="200" t="str">
        <f>IFERROR(VLOOKUP(TableHandbook[[#This Row],[UDC]],TableSTRUEDHAS[],7,FALSE),"")</f>
        <v/>
      </c>
      <c r="AU55" s="200" t="str">
        <f>IFERROR(VLOOKUP(TableHandbook[[#This Row],[UDC]],TableSTRUEDMAT[],7,FALSE),"")</f>
        <v/>
      </c>
      <c r="AV55" s="200" t="str">
        <f>IFERROR(VLOOKUP(TableHandbook[[#This Row],[UDC]],TableSTRUEDSCI[],7,FALSE),"")</f>
        <v/>
      </c>
      <c r="AW55" s="200" t="str">
        <f>IFERROR(VLOOKUP(TableHandbook[[#This Row],[UDC]],TableSTRUENGLB[],7,FALSE),"")</f>
        <v/>
      </c>
      <c r="AX55" s="200" t="str">
        <f>IFERROR(VLOOKUP(TableHandbook[[#This Row],[UDC]],TableSTRUENGLM[],7,FALSE),"")</f>
        <v/>
      </c>
      <c r="AY55" s="200" t="str">
        <f>IFERROR(VLOOKUP(TableHandbook[[#This Row],[UDC]],TableSTRUGEOB1[],7,FALSE),"")</f>
        <v/>
      </c>
      <c r="AZ55" s="200" t="str">
        <f>IFERROR(VLOOKUP(TableHandbook[[#This Row],[UDC]],TableSTRUHISB1[],7,FALSE),"")</f>
        <v/>
      </c>
      <c r="BA55" s="200" t="str">
        <f>IFERROR(VLOOKUP(TableHandbook[[#This Row],[UDC]],TableSTRUHUMAM[],7,FALSE),"")</f>
        <v/>
      </c>
      <c r="BB55" s="200" t="str">
        <f>IFERROR(VLOOKUP(TableHandbook[[#This Row],[UDC]],TableSTRUHUMBB[],7,FALSE),"")</f>
        <v/>
      </c>
      <c r="BC55" s="200" t="str">
        <f>IFERROR(VLOOKUP(TableHandbook[[#This Row],[UDC]],TableSTRUMATHB[],7,FALSE),"")</f>
        <v/>
      </c>
      <c r="BD55" s="200" t="str">
        <f>IFERROR(VLOOKUP(TableHandbook[[#This Row],[UDC]],TableSTRUMATHM[],7,FALSE),"")</f>
        <v/>
      </c>
      <c r="BE55" s="200" t="str">
        <f>IFERROR(VLOOKUP(TableHandbook[[#This Row],[UDC]],TableSTRUPARTB[],7,FALSE),"")</f>
        <v/>
      </c>
      <c r="BF55" s="200" t="str">
        <f>IFERROR(VLOOKUP(TableHandbook[[#This Row],[UDC]],TableSTRUPARTM[],7,FALSE),"")</f>
        <v/>
      </c>
      <c r="BG55" s="200" t="str">
        <f>IFERROR(VLOOKUP(TableHandbook[[#This Row],[UDC]],TableSTRUPOLB1[],7,FALSE),"")</f>
        <v/>
      </c>
      <c r="BH55" s="200" t="str">
        <f>IFERROR(VLOOKUP(TableHandbook[[#This Row],[UDC]],TableSTRUPSCIM[],7,FALSE),"")</f>
        <v/>
      </c>
      <c r="BI55" s="200" t="str">
        <f>IFERROR(VLOOKUP(TableHandbook[[#This Row],[UDC]],TableSTRUPSYCB[],7,FALSE),"")</f>
        <v/>
      </c>
      <c r="BJ55" s="200" t="str">
        <f>IFERROR(VLOOKUP(TableHandbook[[#This Row],[UDC]],TableSTRUPSYCM[],7,FALSE),"")</f>
        <v/>
      </c>
      <c r="BK55" s="200" t="str">
        <f>IFERROR(VLOOKUP(TableHandbook[[#This Row],[UDC]],TableSTRUSOSCM[],7,FALSE),"")</f>
        <v/>
      </c>
      <c r="BL55" s="200" t="str">
        <f>IFERROR(VLOOKUP(TableHandbook[[#This Row],[UDC]],TableSTRUVARTB[],7,FALSE),"")</f>
        <v/>
      </c>
      <c r="BM55" s="200" t="str">
        <f>IFERROR(VLOOKUP(TableHandbook[[#This Row],[UDC]],TableSTRUVARTM[],7,FALSE),"")</f>
        <v/>
      </c>
    </row>
    <row r="56" spans="1:65" x14ac:dyDescent="0.25">
      <c r="A56" s="262" t="s">
        <v>398</v>
      </c>
      <c r="B56" s="12">
        <v>1</v>
      </c>
      <c r="C56" s="11"/>
      <c r="D56" s="11" t="s">
        <v>605</v>
      </c>
      <c r="E56" s="12">
        <v>25</v>
      </c>
      <c r="F56" s="131" t="s">
        <v>603</v>
      </c>
      <c r="G56" s="126" t="str">
        <f>IFERROR(IF(VLOOKUP(TableHandbook[[#This Row],[UDC]],TableAvailabilities[],2,FALSE)&gt;0,"Y",""),"")</f>
        <v/>
      </c>
      <c r="H56" s="127" t="str">
        <f>IFERROR(IF(VLOOKUP(TableHandbook[[#This Row],[UDC]],TableAvailabilities[],3,FALSE)&gt;0,"Y",""),"")</f>
        <v/>
      </c>
      <c r="I56" s="127" t="str">
        <f>IFERROR(IF(VLOOKUP(TableHandbook[[#This Row],[UDC]],TableAvailabilities[],4,FALSE)&gt;0,"Y",""),"")</f>
        <v/>
      </c>
      <c r="J56" s="128" t="str">
        <f>IFERROR(IF(VLOOKUP(TableHandbook[[#This Row],[UDC]],TableAvailabilities[],5,FALSE)&gt;0,"Y",""),"")</f>
        <v>Y</v>
      </c>
      <c r="K56" s="128" t="str">
        <f>IFERROR(IF(VLOOKUP(TableHandbook[[#This Row],[UDC]],TableAvailabilities[],6,FALSE)&gt;0,"Y",""),"")</f>
        <v/>
      </c>
      <c r="L56" s="127" t="str">
        <f>IFERROR(IF(VLOOKUP(TableHandbook[[#This Row],[UDC]],TableAvailabilities[],7,FALSE)&gt;0,"Y",""),"")</f>
        <v/>
      </c>
      <c r="M56" s="207"/>
      <c r="N56" s="204" t="str">
        <f>IFERROR(VLOOKUP(TableHandbook[[#This Row],[UDC]],TableBEDUC[],7,FALSE),"")</f>
        <v/>
      </c>
      <c r="O56" s="193" t="str">
        <f>IFERROR(VLOOKUP(TableHandbook[[#This Row],[UDC]],TableBEDEC[],7,FALSE),"")</f>
        <v/>
      </c>
      <c r="P56" s="193" t="str">
        <f>IFERROR(VLOOKUP(TableHandbook[[#This Row],[UDC]],TableBEDPR[],7,FALSE),"")</f>
        <v/>
      </c>
      <c r="Q56" s="193" t="str">
        <f>IFERROR(VLOOKUP(TableHandbook[[#This Row],[UDC]],TableSTRUCATHL[],7,FALSE),"")</f>
        <v/>
      </c>
      <c r="R56" s="193" t="str">
        <f>IFERROR(VLOOKUP(TableHandbook[[#This Row],[UDC]],TableSTRUENGLL[],7,FALSE),"")</f>
        <v/>
      </c>
      <c r="S56" s="193" t="str">
        <f>IFERROR(VLOOKUP(TableHandbook[[#This Row],[UDC]],TableSTRUINTBC[],7,FALSE),"")</f>
        <v/>
      </c>
      <c r="T56" s="193" t="str">
        <f>IFERROR(VLOOKUP(TableHandbook[[#This Row],[UDC]],TableSTRUISTEM[],7,FALSE),"")</f>
        <v/>
      </c>
      <c r="U56" s="193" t="str">
        <f>IFERROR(VLOOKUP(TableHandbook[[#This Row],[UDC]],TableSTRULITNU[],7,FALSE),"")</f>
        <v/>
      </c>
      <c r="V56" s="193" t="str">
        <f>IFERROR(VLOOKUP(TableHandbook[[#This Row],[UDC]],TableSTRUTECHS[],7,FALSE),"")</f>
        <v/>
      </c>
      <c r="W56" s="193" t="str">
        <f>IFERROR(VLOOKUP(TableHandbook[[#This Row],[UDC]],TableBEDSC[],7,FALSE),"")</f>
        <v/>
      </c>
      <c r="X56" s="193" t="str">
        <f>IFERROR(VLOOKUP(TableHandbook[[#This Row],[UDC]],TableMJRUARTDR[],7,FALSE),"")</f>
        <v/>
      </c>
      <c r="Y56" s="193" t="str">
        <f>IFERROR(VLOOKUP(TableHandbook[[#This Row],[UDC]],TableMJRUARTME[],7,FALSE),"")</f>
        <v/>
      </c>
      <c r="Z56" s="193" t="str">
        <f>IFERROR(VLOOKUP(TableHandbook[[#This Row],[UDC]],TableMJRUARTVA[],7,FALSE),"")</f>
        <v/>
      </c>
      <c r="AA56" s="193" t="str">
        <f>IFERROR(VLOOKUP(TableHandbook[[#This Row],[UDC]],TableMJRUENGLT[],7,FALSE),"")</f>
        <v/>
      </c>
      <c r="AB56" s="193" t="str">
        <f>IFERROR(VLOOKUP(TableHandbook[[#This Row],[UDC]],TableMJRUHLTPE[],7,FALSE),"")</f>
        <v/>
      </c>
      <c r="AC56" s="193" t="str">
        <f>IFERROR(VLOOKUP(TableHandbook[[#This Row],[UDC]],TableMJRUHUSEC[],7,FALSE),"")</f>
        <v>Core</v>
      </c>
      <c r="AD56" s="193" t="str">
        <f>IFERROR(VLOOKUP(TableHandbook[[#This Row],[UDC]],TableMJRUHUSGE[],7,FALSE),"")</f>
        <v/>
      </c>
      <c r="AE56" s="193" t="str">
        <f>IFERROR(VLOOKUP(TableHandbook[[#This Row],[UDC]],TableMJRUHUSHI[],7,FALSE),"")</f>
        <v/>
      </c>
      <c r="AF56" s="193" t="str">
        <f>IFERROR(VLOOKUP(TableHandbook[[#This Row],[UDC]],TableMJRUHUSPL[],7,FALSE),"")</f>
        <v/>
      </c>
      <c r="AG56" s="193" t="str">
        <f>IFERROR(VLOOKUP(TableHandbook[[#This Row],[UDC]],TableMJRUMATHT[],7,FALSE),"")</f>
        <v/>
      </c>
      <c r="AH56" s="193" t="str">
        <f>IFERROR(VLOOKUP(TableHandbook[[#This Row],[UDC]],TableMJRUSCIBI[],7,FALSE),"")</f>
        <v/>
      </c>
      <c r="AI56" s="193" t="str">
        <f>IFERROR(VLOOKUP(TableHandbook[[#This Row],[UDC]],TableMJRUSCICH[],7,FALSE),"")</f>
        <v/>
      </c>
      <c r="AJ56" s="193" t="str">
        <f>IFERROR(VLOOKUP(TableHandbook[[#This Row],[UDC]],TableMJRUSCIHB[],7,FALSE),"")</f>
        <v/>
      </c>
      <c r="AK56" s="193" t="str">
        <f>IFERROR(VLOOKUP(TableHandbook[[#This Row],[UDC]],TableMJRUSCIPH[],7,FALSE),"")</f>
        <v/>
      </c>
      <c r="AL56" s="193" t="str">
        <f>IFERROR(VLOOKUP(TableHandbook[[#This Row],[UDC]],TableMJRUSCIPS[],7,FALSE),"")</f>
        <v/>
      </c>
      <c r="AM56" s="202"/>
      <c r="AN56" s="200" t="str">
        <f>IFERROR(VLOOKUP(TableHandbook[[#This Row],[UDC]],TableSTRUBIOLB[],7,FALSE),"")</f>
        <v/>
      </c>
      <c r="AO56" s="200" t="str">
        <f>IFERROR(VLOOKUP(TableHandbook[[#This Row],[UDC]],TableSTRUBSCIM[],7,FALSE),"")</f>
        <v/>
      </c>
      <c r="AP56" s="200" t="str">
        <f>IFERROR(VLOOKUP(TableHandbook[[#This Row],[UDC]],TableSTRUCHEMB[],7,FALSE),"")</f>
        <v/>
      </c>
      <c r="AQ56" s="200" t="str">
        <f>IFERROR(VLOOKUP(TableHandbook[[#This Row],[UDC]],TableSTRUECOB1[],7,FALSE),"")</f>
        <v/>
      </c>
      <c r="AR56" s="200" t="str">
        <f>IFERROR(VLOOKUP(TableHandbook[[#This Row],[UDC]],TableSTRUEDART[],7,FALSE),"")</f>
        <v/>
      </c>
      <c r="AS56" s="200" t="str">
        <f>IFERROR(VLOOKUP(TableHandbook[[#This Row],[UDC]],TableSTRUEDENG[],7,FALSE),"")</f>
        <v/>
      </c>
      <c r="AT56" s="200" t="str">
        <f>IFERROR(VLOOKUP(TableHandbook[[#This Row],[UDC]],TableSTRUEDHAS[],7,FALSE),"")</f>
        <v/>
      </c>
      <c r="AU56" s="200" t="str">
        <f>IFERROR(VLOOKUP(TableHandbook[[#This Row],[UDC]],TableSTRUEDMAT[],7,FALSE),"")</f>
        <v/>
      </c>
      <c r="AV56" s="200" t="str">
        <f>IFERROR(VLOOKUP(TableHandbook[[#This Row],[UDC]],TableSTRUEDSCI[],7,FALSE),"")</f>
        <v/>
      </c>
      <c r="AW56" s="200" t="str">
        <f>IFERROR(VLOOKUP(TableHandbook[[#This Row],[UDC]],TableSTRUENGLB[],7,FALSE),"")</f>
        <v/>
      </c>
      <c r="AX56" s="200" t="str">
        <f>IFERROR(VLOOKUP(TableHandbook[[#This Row],[UDC]],TableSTRUENGLM[],7,FALSE),"")</f>
        <v/>
      </c>
      <c r="AY56" s="200" t="str">
        <f>IFERROR(VLOOKUP(TableHandbook[[#This Row],[UDC]],TableSTRUGEOB1[],7,FALSE),"")</f>
        <v/>
      </c>
      <c r="AZ56" s="200" t="str">
        <f>IFERROR(VLOOKUP(TableHandbook[[#This Row],[UDC]],TableSTRUHISB1[],7,FALSE),"")</f>
        <v/>
      </c>
      <c r="BA56" s="200" t="str">
        <f>IFERROR(VLOOKUP(TableHandbook[[#This Row],[UDC]],TableSTRUHUMAM[],7,FALSE),"")</f>
        <v/>
      </c>
      <c r="BB56" s="200" t="str">
        <f>IFERROR(VLOOKUP(TableHandbook[[#This Row],[UDC]],TableSTRUHUMBB[],7,FALSE),"")</f>
        <v/>
      </c>
      <c r="BC56" s="200" t="str">
        <f>IFERROR(VLOOKUP(TableHandbook[[#This Row],[UDC]],TableSTRUMATHB[],7,FALSE),"")</f>
        <v/>
      </c>
      <c r="BD56" s="200" t="str">
        <f>IFERROR(VLOOKUP(TableHandbook[[#This Row],[UDC]],TableSTRUMATHM[],7,FALSE),"")</f>
        <v/>
      </c>
      <c r="BE56" s="200" t="str">
        <f>IFERROR(VLOOKUP(TableHandbook[[#This Row],[UDC]],TableSTRUPARTB[],7,FALSE),"")</f>
        <v/>
      </c>
      <c r="BF56" s="200" t="str">
        <f>IFERROR(VLOOKUP(TableHandbook[[#This Row],[UDC]],TableSTRUPARTM[],7,FALSE),"")</f>
        <v/>
      </c>
      <c r="BG56" s="200" t="str">
        <f>IFERROR(VLOOKUP(TableHandbook[[#This Row],[UDC]],TableSTRUPOLB1[],7,FALSE),"")</f>
        <v/>
      </c>
      <c r="BH56" s="200" t="str">
        <f>IFERROR(VLOOKUP(TableHandbook[[#This Row],[UDC]],TableSTRUPSCIM[],7,FALSE),"")</f>
        <v/>
      </c>
      <c r="BI56" s="200" t="str">
        <f>IFERROR(VLOOKUP(TableHandbook[[#This Row],[UDC]],TableSTRUPSYCB[],7,FALSE),"")</f>
        <v/>
      </c>
      <c r="BJ56" s="200" t="str">
        <f>IFERROR(VLOOKUP(TableHandbook[[#This Row],[UDC]],TableSTRUPSYCM[],7,FALSE),"")</f>
        <v/>
      </c>
      <c r="BK56" s="200" t="str">
        <f>IFERROR(VLOOKUP(TableHandbook[[#This Row],[UDC]],TableSTRUSOSCM[],7,FALSE),"")</f>
        <v/>
      </c>
      <c r="BL56" s="200" t="str">
        <f>IFERROR(VLOOKUP(TableHandbook[[#This Row],[UDC]],TableSTRUVARTB[],7,FALSE),"")</f>
        <v/>
      </c>
      <c r="BM56" s="200" t="str">
        <f>IFERROR(VLOOKUP(TableHandbook[[#This Row],[UDC]],TableSTRUVARTM[],7,FALSE),"")</f>
        <v/>
      </c>
    </row>
    <row r="57" spans="1:65" x14ac:dyDescent="0.25">
      <c r="A57" s="11" t="s">
        <v>89</v>
      </c>
      <c r="B57" s="12">
        <v>2</v>
      </c>
      <c r="C57" s="11"/>
      <c r="D57" s="11" t="s">
        <v>606</v>
      </c>
      <c r="E57" s="12">
        <v>25</v>
      </c>
      <c r="F57" s="131" t="s">
        <v>607</v>
      </c>
      <c r="G57" s="126" t="str">
        <f>IFERROR(IF(VLOOKUP(TableHandbook[[#This Row],[UDC]],TableAvailabilities[],2,FALSE)&gt;0,"Y",""),"")</f>
        <v/>
      </c>
      <c r="H57" s="127" t="str">
        <f>IFERROR(IF(VLOOKUP(TableHandbook[[#This Row],[UDC]],TableAvailabilities[],3,FALSE)&gt;0,"Y",""),"")</f>
        <v/>
      </c>
      <c r="I57" s="127" t="str">
        <f>IFERROR(IF(VLOOKUP(TableHandbook[[#This Row],[UDC]],TableAvailabilities[],4,FALSE)&gt;0,"Y",""),"")</f>
        <v/>
      </c>
      <c r="J57" s="128" t="str">
        <f>IFERROR(IF(VLOOKUP(TableHandbook[[#This Row],[UDC]],TableAvailabilities[],5,FALSE)&gt;0,"Y",""),"")</f>
        <v>Y</v>
      </c>
      <c r="K57" s="128" t="str">
        <f>IFERROR(IF(VLOOKUP(TableHandbook[[#This Row],[UDC]],TableAvailabilities[],6,FALSE)&gt;0,"Y",""),"")</f>
        <v>Y</v>
      </c>
      <c r="L57" s="127" t="str">
        <f>IFERROR(IF(VLOOKUP(TableHandbook[[#This Row],[UDC]],TableAvailabilities[],7,FALSE)&gt;0,"Y",""),"")</f>
        <v>Y</v>
      </c>
      <c r="M57" s="207"/>
      <c r="N57" s="204" t="str">
        <f>IFERROR(VLOOKUP(TableHandbook[[#This Row],[UDC]],TableBEDUC[],7,FALSE),"")</f>
        <v/>
      </c>
      <c r="O57" s="193" t="str">
        <f>IFERROR(VLOOKUP(TableHandbook[[#This Row],[UDC]],TableBEDEC[],7,FALSE),"")</f>
        <v>Core</v>
      </c>
      <c r="P57" s="193" t="str">
        <f>IFERROR(VLOOKUP(TableHandbook[[#This Row],[UDC]],TableBEDPR[],7,FALSE),"")</f>
        <v/>
      </c>
      <c r="Q57" s="193" t="str">
        <f>IFERROR(VLOOKUP(TableHandbook[[#This Row],[UDC]],TableSTRUCATHL[],7,FALSE),"")</f>
        <v/>
      </c>
      <c r="R57" s="193" t="str">
        <f>IFERROR(VLOOKUP(TableHandbook[[#This Row],[UDC]],TableSTRUENGLL[],7,FALSE),"")</f>
        <v/>
      </c>
      <c r="S57" s="193" t="str">
        <f>IFERROR(VLOOKUP(TableHandbook[[#This Row],[UDC]],TableSTRUINTBC[],7,FALSE),"")</f>
        <v/>
      </c>
      <c r="T57" s="193" t="str">
        <f>IFERROR(VLOOKUP(TableHandbook[[#This Row],[UDC]],TableSTRUISTEM[],7,FALSE),"")</f>
        <v/>
      </c>
      <c r="U57" s="193" t="str">
        <f>IFERROR(VLOOKUP(TableHandbook[[#This Row],[UDC]],TableSTRULITNU[],7,FALSE),"")</f>
        <v/>
      </c>
      <c r="V57" s="193" t="str">
        <f>IFERROR(VLOOKUP(TableHandbook[[#This Row],[UDC]],TableSTRUTECHS[],7,FALSE),"")</f>
        <v/>
      </c>
      <c r="W57" s="193" t="str">
        <f>IFERROR(VLOOKUP(TableHandbook[[#This Row],[UDC]],TableBEDSC[],7,FALSE),"")</f>
        <v/>
      </c>
      <c r="X57" s="193" t="str">
        <f>IFERROR(VLOOKUP(TableHandbook[[#This Row],[UDC]],TableMJRUARTDR[],7,FALSE),"")</f>
        <v/>
      </c>
      <c r="Y57" s="193" t="str">
        <f>IFERROR(VLOOKUP(TableHandbook[[#This Row],[UDC]],TableMJRUARTME[],7,FALSE),"")</f>
        <v/>
      </c>
      <c r="Z57" s="193" t="str">
        <f>IFERROR(VLOOKUP(TableHandbook[[#This Row],[UDC]],TableMJRUARTVA[],7,FALSE),"")</f>
        <v/>
      </c>
      <c r="AA57" s="193" t="str">
        <f>IFERROR(VLOOKUP(TableHandbook[[#This Row],[UDC]],TableMJRUENGLT[],7,FALSE),"")</f>
        <v/>
      </c>
      <c r="AB57" s="193" t="str">
        <f>IFERROR(VLOOKUP(TableHandbook[[#This Row],[UDC]],TableMJRUHLTPE[],7,FALSE),"")</f>
        <v/>
      </c>
      <c r="AC57" s="193" t="str">
        <f>IFERROR(VLOOKUP(TableHandbook[[#This Row],[UDC]],TableMJRUHUSEC[],7,FALSE),"")</f>
        <v/>
      </c>
      <c r="AD57" s="193" t="str">
        <f>IFERROR(VLOOKUP(TableHandbook[[#This Row],[UDC]],TableMJRUHUSGE[],7,FALSE),"")</f>
        <v/>
      </c>
      <c r="AE57" s="193" t="str">
        <f>IFERROR(VLOOKUP(TableHandbook[[#This Row],[UDC]],TableMJRUHUSHI[],7,FALSE),"")</f>
        <v/>
      </c>
      <c r="AF57" s="193" t="str">
        <f>IFERROR(VLOOKUP(TableHandbook[[#This Row],[UDC]],TableMJRUHUSPL[],7,FALSE),"")</f>
        <v/>
      </c>
      <c r="AG57" s="193" t="str">
        <f>IFERROR(VLOOKUP(TableHandbook[[#This Row],[UDC]],TableMJRUMATHT[],7,FALSE),"")</f>
        <v/>
      </c>
      <c r="AH57" s="193" t="str">
        <f>IFERROR(VLOOKUP(TableHandbook[[#This Row],[UDC]],TableMJRUSCIBI[],7,FALSE),"")</f>
        <v/>
      </c>
      <c r="AI57" s="193" t="str">
        <f>IFERROR(VLOOKUP(TableHandbook[[#This Row],[UDC]],TableMJRUSCICH[],7,FALSE),"")</f>
        <v/>
      </c>
      <c r="AJ57" s="193" t="str">
        <f>IFERROR(VLOOKUP(TableHandbook[[#This Row],[UDC]],TableMJRUSCIHB[],7,FALSE),"")</f>
        <v/>
      </c>
      <c r="AK57" s="193" t="str">
        <f>IFERROR(VLOOKUP(TableHandbook[[#This Row],[UDC]],TableMJRUSCIPH[],7,FALSE),"")</f>
        <v/>
      </c>
      <c r="AL57" s="193" t="str">
        <f>IFERROR(VLOOKUP(TableHandbook[[#This Row],[UDC]],TableMJRUSCIPS[],7,FALSE),"")</f>
        <v/>
      </c>
      <c r="AM57" s="202"/>
      <c r="AN57" s="200" t="str">
        <f>IFERROR(VLOOKUP(TableHandbook[[#This Row],[UDC]],TableSTRUBIOLB[],7,FALSE),"")</f>
        <v/>
      </c>
      <c r="AO57" s="200" t="str">
        <f>IFERROR(VLOOKUP(TableHandbook[[#This Row],[UDC]],TableSTRUBSCIM[],7,FALSE),"")</f>
        <v/>
      </c>
      <c r="AP57" s="200" t="str">
        <f>IFERROR(VLOOKUP(TableHandbook[[#This Row],[UDC]],TableSTRUCHEMB[],7,FALSE),"")</f>
        <v/>
      </c>
      <c r="AQ57" s="200" t="str">
        <f>IFERROR(VLOOKUP(TableHandbook[[#This Row],[UDC]],TableSTRUECOB1[],7,FALSE),"")</f>
        <v/>
      </c>
      <c r="AR57" s="200" t="str">
        <f>IFERROR(VLOOKUP(TableHandbook[[#This Row],[UDC]],TableSTRUEDART[],7,FALSE),"")</f>
        <v/>
      </c>
      <c r="AS57" s="200" t="str">
        <f>IFERROR(VLOOKUP(TableHandbook[[#This Row],[UDC]],TableSTRUEDENG[],7,FALSE),"")</f>
        <v/>
      </c>
      <c r="AT57" s="200" t="str">
        <f>IFERROR(VLOOKUP(TableHandbook[[#This Row],[UDC]],TableSTRUEDHAS[],7,FALSE),"")</f>
        <v/>
      </c>
      <c r="AU57" s="200" t="str">
        <f>IFERROR(VLOOKUP(TableHandbook[[#This Row],[UDC]],TableSTRUEDMAT[],7,FALSE),"")</f>
        <v/>
      </c>
      <c r="AV57" s="200" t="str">
        <f>IFERROR(VLOOKUP(TableHandbook[[#This Row],[UDC]],TableSTRUEDSCI[],7,FALSE),"")</f>
        <v/>
      </c>
      <c r="AW57" s="200" t="str">
        <f>IFERROR(VLOOKUP(TableHandbook[[#This Row],[UDC]],TableSTRUENGLB[],7,FALSE),"")</f>
        <v/>
      </c>
      <c r="AX57" s="200" t="str">
        <f>IFERROR(VLOOKUP(TableHandbook[[#This Row],[UDC]],TableSTRUENGLM[],7,FALSE),"")</f>
        <v/>
      </c>
      <c r="AY57" s="200" t="str">
        <f>IFERROR(VLOOKUP(TableHandbook[[#This Row],[UDC]],TableSTRUGEOB1[],7,FALSE),"")</f>
        <v/>
      </c>
      <c r="AZ57" s="200" t="str">
        <f>IFERROR(VLOOKUP(TableHandbook[[#This Row],[UDC]],TableSTRUHISB1[],7,FALSE),"")</f>
        <v/>
      </c>
      <c r="BA57" s="200" t="str">
        <f>IFERROR(VLOOKUP(TableHandbook[[#This Row],[UDC]],TableSTRUHUMAM[],7,FALSE),"")</f>
        <v/>
      </c>
      <c r="BB57" s="200" t="str">
        <f>IFERROR(VLOOKUP(TableHandbook[[#This Row],[UDC]],TableSTRUHUMBB[],7,FALSE),"")</f>
        <v/>
      </c>
      <c r="BC57" s="200" t="str">
        <f>IFERROR(VLOOKUP(TableHandbook[[#This Row],[UDC]],TableSTRUMATHB[],7,FALSE),"")</f>
        <v/>
      </c>
      <c r="BD57" s="200" t="str">
        <f>IFERROR(VLOOKUP(TableHandbook[[#This Row],[UDC]],TableSTRUMATHM[],7,FALSE),"")</f>
        <v/>
      </c>
      <c r="BE57" s="200" t="str">
        <f>IFERROR(VLOOKUP(TableHandbook[[#This Row],[UDC]],TableSTRUPARTB[],7,FALSE),"")</f>
        <v/>
      </c>
      <c r="BF57" s="200" t="str">
        <f>IFERROR(VLOOKUP(TableHandbook[[#This Row],[UDC]],TableSTRUPARTM[],7,FALSE),"")</f>
        <v/>
      </c>
      <c r="BG57" s="200" t="str">
        <f>IFERROR(VLOOKUP(TableHandbook[[#This Row],[UDC]],TableSTRUPOLB1[],7,FALSE),"")</f>
        <v/>
      </c>
      <c r="BH57" s="200" t="str">
        <f>IFERROR(VLOOKUP(TableHandbook[[#This Row],[UDC]],TableSTRUPSCIM[],7,FALSE),"")</f>
        <v/>
      </c>
      <c r="BI57" s="200" t="str">
        <f>IFERROR(VLOOKUP(TableHandbook[[#This Row],[UDC]],TableSTRUPSYCB[],7,FALSE),"")</f>
        <v/>
      </c>
      <c r="BJ57" s="200" t="str">
        <f>IFERROR(VLOOKUP(TableHandbook[[#This Row],[UDC]],TableSTRUPSYCM[],7,FALSE),"")</f>
        <v/>
      </c>
      <c r="BK57" s="200" t="str">
        <f>IFERROR(VLOOKUP(TableHandbook[[#This Row],[UDC]],TableSTRUSOSCM[],7,FALSE),"")</f>
        <v/>
      </c>
      <c r="BL57" s="200" t="str">
        <f>IFERROR(VLOOKUP(TableHandbook[[#This Row],[UDC]],TableSTRUVARTB[],7,FALSE),"")</f>
        <v/>
      </c>
      <c r="BM57" s="200" t="str">
        <f>IFERROR(VLOOKUP(TableHandbook[[#This Row],[UDC]],TableSTRUVARTM[],7,FALSE),"")</f>
        <v/>
      </c>
    </row>
    <row r="58" spans="1:65" ht="26.25" x14ac:dyDescent="0.25">
      <c r="A58" s="11" t="s">
        <v>103</v>
      </c>
      <c r="B58" s="12">
        <v>1</v>
      </c>
      <c r="C58" s="11"/>
      <c r="D58" s="11" t="s">
        <v>608</v>
      </c>
      <c r="E58" s="12">
        <v>25</v>
      </c>
      <c r="F58" s="131" t="s">
        <v>609</v>
      </c>
      <c r="G58" s="126" t="str">
        <f>IFERROR(IF(VLOOKUP(TableHandbook[[#This Row],[UDC]],TableAvailabilities[],2,FALSE)&gt;0,"Y",""),"")</f>
        <v>Y</v>
      </c>
      <c r="H58" s="127" t="str">
        <f>IFERROR(IF(VLOOKUP(TableHandbook[[#This Row],[UDC]],TableAvailabilities[],3,FALSE)&gt;0,"Y",""),"")</f>
        <v>Y</v>
      </c>
      <c r="I58" s="127" t="str">
        <f>IFERROR(IF(VLOOKUP(TableHandbook[[#This Row],[UDC]],TableAvailabilities[],4,FALSE)&gt;0,"Y",""),"")</f>
        <v>Y</v>
      </c>
      <c r="J58" s="128" t="str">
        <f>IFERROR(IF(VLOOKUP(TableHandbook[[#This Row],[UDC]],TableAvailabilities[],5,FALSE)&gt;0,"Y",""),"")</f>
        <v/>
      </c>
      <c r="K58" s="128" t="str">
        <f>IFERROR(IF(VLOOKUP(TableHandbook[[#This Row],[UDC]],TableAvailabilities[],6,FALSE)&gt;0,"Y",""),"")</f>
        <v/>
      </c>
      <c r="L58" s="127" t="str">
        <f>IFERROR(IF(VLOOKUP(TableHandbook[[#This Row],[UDC]],TableAvailabilities[],7,FALSE)&gt;0,"Y",""),"")</f>
        <v/>
      </c>
      <c r="M58" s="207"/>
      <c r="N58" s="204" t="str">
        <f>IFERROR(VLOOKUP(TableHandbook[[#This Row],[UDC]],TableBEDUC[],7,FALSE),"")</f>
        <v/>
      </c>
      <c r="O58" s="193" t="str">
        <f>IFERROR(VLOOKUP(TableHandbook[[#This Row],[UDC]],TableBEDEC[],7,FALSE),"")</f>
        <v>Core</v>
      </c>
      <c r="P58" s="193" t="str">
        <f>IFERROR(VLOOKUP(TableHandbook[[#This Row],[UDC]],TableBEDPR[],7,FALSE),"")</f>
        <v/>
      </c>
      <c r="Q58" s="193" t="str">
        <f>IFERROR(VLOOKUP(TableHandbook[[#This Row],[UDC]],TableSTRUCATHL[],7,FALSE),"")</f>
        <v/>
      </c>
      <c r="R58" s="193" t="str">
        <f>IFERROR(VLOOKUP(TableHandbook[[#This Row],[UDC]],TableSTRUENGLL[],7,FALSE),"")</f>
        <v/>
      </c>
      <c r="S58" s="193" t="str">
        <f>IFERROR(VLOOKUP(TableHandbook[[#This Row],[UDC]],TableSTRUINTBC[],7,FALSE),"")</f>
        <v/>
      </c>
      <c r="T58" s="193" t="str">
        <f>IFERROR(VLOOKUP(TableHandbook[[#This Row],[UDC]],TableSTRUISTEM[],7,FALSE),"")</f>
        <v/>
      </c>
      <c r="U58" s="193" t="str">
        <f>IFERROR(VLOOKUP(TableHandbook[[#This Row],[UDC]],TableSTRULITNU[],7,FALSE),"")</f>
        <v/>
      </c>
      <c r="V58" s="193" t="str">
        <f>IFERROR(VLOOKUP(TableHandbook[[#This Row],[UDC]],TableSTRUTECHS[],7,FALSE),"")</f>
        <v/>
      </c>
      <c r="W58" s="193" t="str">
        <f>IFERROR(VLOOKUP(TableHandbook[[#This Row],[UDC]],TableBEDSC[],7,FALSE),"")</f>
        <v/>
      </c>
      <c r="X58" s="193" t="str">
        <f>IFERROR(VLOOKUP(TableHandbook[[#This Row],[UDC]],TableMJRUARTDR[],7,FALSE),"")</f>
        <v/>
      </c>
      <c r="Y58" s="193" t="str">
        <f>IFERROR(VLOOKUP(TableHandbook[[#This Row],[UDC]],TableMJRUARTME[],7,FALSE),"")</f>
        <v/>
      </c>
      <c r="Z58" s="193" t="str">
        <f>IFERROR(VLOOKUP(TableHandbook[[#This Row],[UDC]],TableMJRUARTVA[],7,FALSE),"")</f>
        <v/>
      </c>
      <c r="AA58" s="193" t="str">
        <f>IFERROR(VLOOKUP(TableHandbook[[#This Row],[UDC]],TableMJRUENGLT[],7,FALSE),"")</f>
        <v/>
      </c>
      <c r="AB58" s="193" t="str">
        <f>IFERROR(VLOOKUP(TableHandbook[[#This Row],[UDC]],TableMJRUHLTPE[],7,FALSE),"")</f>
        <v/>
      </c>
      <c r="AC58" s="193" t="str">
        <f>IFERROR(VLOOKUP(TableHandbook[[#This Row],[UDC]],TableMJRUHUSEC[],7,FALSE),"")</f>
        <v/>
      </c>
      <c r="AD58" s="193" t="str">
        <f>IFERROR(VLOOKUP(TableHandbook[[#This Row],[UDC]],TableMJRUHUSGE[],7,FALSE),"")</f>
        <v/>
      </c>
      <c r="AE58" s="193" t="str">
        <f>IFERROR(VLOOKUP(TableHandbook[[#This Row],[UDC]],TableMJRUHUSHI[],7,FALSE),"")</f>
        <v/>
      </c>
      <c r="AF58" s="193" t="str">
        <f>IFERROR(VLOOKUP(TableHandbook[[#This Row],[UDC]],TableMJRUHUSPL[],7,FALSE),"")</f>
        <v/>
      </c>
      <c r="AG58" s="193" t="str">
        <f>IFERROR(VLOOKUP(TableHandbook[[#This Row],[UDC]],TableMJRUMATHT[],7,FALSE),"")</f>
        <v/>
      </c>
      <c r="AH58" s="193" t="str">
        <f>IFERROR(VLOOKUP(TableHandbook[[#This Row],[UDC]],TableMJRUSCIBI[],7,FALSE),"")</f>
        <v/>
      </c>
      <c r="AI58" s="193" t="str">
        <f>IFERROR(VLOOKUP(TableHandbook[[#This Row],[UDC]],TableMJRUSCICH[],7,FALSE),"")</f>
        <v/>
      </c>
      <c r="AJ58" s="193" t="str">
        <f>IFERROR(VLOOKUP(TableHandbook[[#This Row],[UDC]],TableMJRUSCIHB[],7,FALSE),"")</f>
        <v/>
      </c>
      <c r="AK58" s="193" t="str">
        <f>IFERROR(VLOOKUP(TableHandbook[[#This Row],[UDC]],TableMJRUSCIPH[],7,FALSE),"")</f>
        <v/>
      </c>
      <c r="AL58" s="193" t="str">
        <f>IFERROR(VLOOKUP(TableHandbook[[#This Row],[UDC]],TableMJRUSCIPS[],7,FALSE),"")</f>
        <v/>
      </c>
      <c r="AM58" s="202"/>
      <c r="AN58" s="200" t="str">
        <f>IFERROR(VLOOKUP(TableHandbook[[#This Row],[UDC]],TableSTRUBIOLB[],7,FALSE),"")</f>
        <v/>
      </c>
      <c r="AO58" s="200" t="str">
        <f>IFERROR(VLOOKUP(TableHandbook[[#This Row],[UDC]],TableSTRUBSCIM[],7,FALSE),"")</f>
        <v/>
      </c>
      <c r="AP58" s="200" t="str">
        <f>IFERROR(VLOOKUP(TableHandbook[[#This Row],[UDC]],TableSTRUCHEMB[],7,FALSE),"")</f>
        <v/>
      </c>
      <c r="AQ58" s="200" t="str">
        <f>IFERROR(VLOOKUP(TableHandbook[[#This Row],[UDC]],TableSTRUECOB1[],7,FALSE),"")</f>
        <v/>
      </c>
      <c r="AR58" s="200" t="str">
        <f>IFERROR(VLOOKUP(TableHandbook[[#This Row],[UDC]],TableSTRUEDART[],7,FALSE),"")</f>
        <v/>
      </c>
      <c r="AS58" s="200" t="str">
        <f>IFERROR(VLOOKUP(TableHandbook[[#This Row],[UDC]],TableSTRUEDENG[],7,FALSE),"")</f>
        <v/>
      </c>
      <c r="AT58" s="200" t="str">
        <f>IFERROR(VLOOKUP(TableHandbook[[#This Row],[UDC]],TableSTRUEDHAS[],7,FALSE),"")</f>
        <v/>
      </c>
      <c r="AU58" s="200" t="str">
        <f>IFERROR(VLOOKUP(TableHandbook[[#This Row],[UDC]],TableSTRUEDMAT[],7,FALSE),"")</f>
        <v/>
      </c>
      <c r="AV58" s="200" t="str">
        <f>IFERROR(VLOOKUP(TableHandbook[[#This Row],[UDC]],TableSTRUEDSCI[],7,FALSE),"")</f>
        <v/>
      </c>
      <c r="AW58" s="200" t="str">
        <f>IFERROR(VLOOKUP(TableHandbook[[#This Row],[UDC]],TableSTRUENGLB[],7,FALSE),"")</f>
        <v/>
      </c>
      <c r="AX58" s="200" t="str">
        <f>IFERROR(VLOOKUP(TableHandbook[[#This Row],[UDC]],TableSTRUENGLM[],7,FALSE),"")</f>
        <v/>
      </c>
      <c r="AY58" s="200" t="str">
        <f>IFERROR(VLOOKUP(TableHandbook[[#This Row],[UDC]],TableSTRUGEOB1[],7,FALSE),"")</f>
        <v/>
      </c>
      <c r="AZ58" s="200" t="str">
        <f>IFERROR(VLOOKUP(TableHandbook[[#This Row],[UDC]],TableSTRUHISB1[],7,FALSE),"")</f>
        <v/>
      </c>
      <c r="BA58" s="200" t="str">
        <f>IFERROR(VLOOKUP(TableHandbook[[#This Row],[UDC]],TableSTRUHUMAM[],7,FALSE),"")</f>
        <v/>
      </c>
      <c r="BB58" s="200" t="str">
        <f>IFERROR(VLOOKUP(TableHandbook[[#This Row],[UDC]],TableSTRUHUMBB[],7,FALSE),"")</f>
        <v/>
      </c>
      <c r="BC58" s="200" t="str">
        <f>IFERROR(VLOOKUP(TableHandbook[[#This Row],[UDC]],TableSTRUMATHB[],7,FALSE),"")</f>
        <v/>
      </c>
      <c r="BD58" s="200" t="str">
        <f>IFERROR(VLOOKUP(TableHandbook[[#This Row],[UDC]],TableSTRUMATHM[],7,FALSE),"")</f>
        <v/>
      </c>
      <c r="BE58" s="200" t="str">
        <f>IFERROR(VLOOKUP(TableHandbook[[#This Row],[UDC]],TableSTRUPARTB[],7,FALSE),"")</f>
        <v/>
      </c>
      <c r="BF58" s="200" t="str">
        <f>IFERROR(VLOOKUP(TableHandbook[[#This Row],[UDC]],TableSTRUPARTM[],7,FALSE),"")</f>
        <v/>
      </c>
      <c r="BG58" s="200" t="str">
        <f>IFERROR(VLOOKUP(TableHandbook[[#This Row],[UDC]],TableSTRUPOLB1[],7,FALSE),"")</f>
        <v/>
      </c>
      <c r="BH58" s="200" t="str">
        <f>IFERROR(VLOOKUP(TableHandbook[[#This Row],[UDC]],TableSTRUPSCIM[],7,FALSE),"")</f>
        <v/>
      </c>
      <c r="BI58" s="200" t="str">
        <f>IFERROR(VLOOKUP(TableHandbook[[#This Row],[UDC]],TableSTRUPSYCB[],7,FALSE),"")</f>
        <v/>
      </c>
      <c r="BJ58" s="200" t="str">
        <f>IFERROR(VLOOKUP(TableHandbook[[#This Row],[UDC]],TableSTRUPSYCM[],7,FALSE),"")</f>
        <v/>
      </c>
      <c r="BK58" s="200" t="str">
        <f>IFERROR(VLOOKUP(TableHandbook[[#This Row],[UDC]],TableSTRUSOSCM[],7,FALSE),"")</f>
        <v/>
      </c>
      <c r="BL58" s="200" t="str">
        <f>IFERROR(VLOOKUP(TableHandbook[[#This Row],[UDC]],TableSTRUVARTB[],7,FALSE),"")</f>
        <v/>
      </c>
      <c r="BM58" s="200" t="str">
        <f>IFERROR(VLOOKUP(TableHandbook[[#This Row],[UDC]],TableSTRUVARTM[],7,FALSE),"")</f>
        <v/>
      </c>
    </row>
    <row r="59" spans="1:65" x14ac:dyDescent="0.25">
      <c r="A59" s="11" t="s">
        <v>94</v>
      </c>
      <c r="B59" s="12">
        <v>1</v>
      </c>
      <c r="C59" s="11"/>
      <c r="D59" s="11" t="s">
        <v>610</v>
      </c>
      <c r="E59" s="12">
        <v>25</v>
      </c>
      <c r="F59" s="131" t="s">
        <v>607</v>
      </c>
      <c r="G59" s="126" t="str">
        <f>IFERROR(IF(VLOOKUP(TableHandbook[[#This Row],[UDC]],TableAvailabilities[],2,FALSE)&gt;0,"Y",""),"")</f>
        <v/>
      </c>
      <c r="H59" s="127" t="str">
        <f>IFERROR(IF(VLOOKUP(TableHandbook[[#This Row],[UDC]],TableAvailabilities[],3,FALSE)&gt;0,"Y",""),"")</f>
        <v/>
      </c>
      <c r="I59" s="127" t="str">
        <f>IFERROR(IF(VLOOKUP(TableHandbook[[#This Row],[UDC]],TableAvailabilities[],4,FALSE)&gt;0,"Y",""),"")</f>
        <v/>
      </c>
      <c r="J59" s="128" t="str">
        <f>IFERROR(IF(VLOOKUP(TableHandbook[[#This Row],[UDC]],TableAvailabilities[],5,FALSE)&gt;0,"Y",""),"")</f>
        <v>Y</v>
      </c>
      <c r="K59" s="128" t="str">
        <f>IFERROR(IF(VLOOKUP(TableHandbook[[#This Row],[UDC]],TableAvailabilities[],6,FALSE)&gt;0,"Y",""),"")</f>
        <v>Y</v>
      </c>
      <c r="L59" s="127" t="str">
        <f>IFERROR(IF(VLOOKUP(TableHandbook[[#This Row],[UDC]],TableAvailabilities[],7,FALSE)&gt;0,"Y",""),"")</f>
        <v>Y</v>
      </c>
      <c r="M59" s="207"/>
      <c r="N59" s="204" t="str">
        <f>IFERROR(VLOOKUP(TableHandbook[[#This Row],[UDC]],TableBEDUC[],7,FALSE),"")</f>
        <v/>
      </c>
      <c r="O59" s="193" t="str">
        <f>IFERROR(VLOOKUP(TableHandbook[[#This Row],[UDC]],TableBEDEC[],7,FALSE),"")</f>
        <v>Core</v>
      </c>
      <c r="P59" s="193" t="str">
        <f>IFERROR(VLOOKUP(TableHandbook[[#This Row],[UDC]],TableBEDPR[],7,FALSE),"")</f>
        <v/>
      </c>
      <c r="Q59" s="193" t="str">
        <f>IFERROR(VLOOKUP(TableHandbook[[#This Row],[UDC]],TableSTRUCATHL[],7,FALSE),"")</f>
        <v/>
      </c>
      <c r="R59" s="193" t="str">
        <f>IFERROR(VLOOKUP(TableHandbook[[#This Row],[UDC]],TableSTRUENGLL[],7,FALSE),"")</f>
        <v/>
      </c>
      <c r="S59" s="193" t="str">
        <f>IFERROR(VLOOKUP(TableHandbook[[#This Row],[UDC]],TableSTRUINTBC[],7,FALSE),"")</f>
        <v/>
      </c>
      <c r="T59" s="193" t="str">
        <f>IFERROR(VLOOKUP(TableHandbook[[#This Row],[UDC]],TableSTRUISTEM[],7,FALSE),"")</f>
        <v/>
      </c>
      <c r="U59" s="193" t="str">
        <f>IFERROR(VLOOKUP(TableHandbook[[#This Row],[UDC]],TableSTRULITNU[],7,FALSE),"")</f>
        <v/>
      </c>
      <c r="V59" s="193" t="str">
        <f>IFERROR(VLOOKUP(TableHandbook[[#This Row],[UDC]],TableSTRUTECHS[],7,FALSE),"")</f>
        <v/>
      </c>
      <c r="W59" s="193" t="str">
        <f>IFERROR(VLOOKUP(TableHandbook[[#This Row],[UDC]],TableBEDSC[],7,FALSE),"")</f>
        <v/>
      </c>
      <c r="X59" s="193" t="str">
        <f>IFERROR(VLOOKUP(TableHandbook[[#This Row],[UDC]],TableMJRUARTDR[],7,FALSE),"")</f>
        <v/>
      </c>
      <c r="Y59" s="193" t="str">
        <f>IFERROR(VLOOKUP(TableHandbook[[#This Row],[UDC]],TableMJRUARTME[],7,FALSE),"")</f>
        <v/>
      </c>
      <c r="Z59" s="193" t="str">
        <f>IFERROR(VLOOKUP(TableHandbook[[#This Row],[UDC]],TableMJRUARTVA[],7,FALSE),"")</f>
        <v/>
      </c>
      <c r="AA59" s="193" t="str">
        <f>IFERROR(VLOOKUP(TableHandbook[[#This Row],[UDC]],TableMJRUENGLT[],7,FALSE),"")</f>
        <v/>
      </c>
      <c r="AB59" s="193" t="str">
        <f>IFERROR(VLOOKUP(TableHandbook[[#This Row],[UDC]],TableMJRUHLTPE[],7,FALSE),"")</f>
        <v/>
      </c>
      <c r="AC59" s="193" t="str">
        <f>IFERROR(VLOOKUP(TableHandbook[[#This Row],[UDC]],TableMJRUHUSEC[],7,FALSE),"")</f>
        <v/>
      </c>
      <c r="AD59" s="193" t="str">
        <f>IFERROR(VLOOKUP(TableHandbook[[#This Row],[UDC]],TableMJRUHUSGE[],7,FALSE),"")</f>
        <v/>
      </c>
      <c r="AE59" s="193" t="str">
        <f>IFERROR(VLOOKUP(TableHandbook[[#This Row],[UDC]],TableMJRUHUSHI[],7,FALSE),"")</f>
        <v/>
      </c>
      <c r="AF59" s="193" t="str">
        <f>IFERROR(VLOOKUP(TableHandbook[[#This Row],[UDC]],TableMJRUHUSPL[],7,FALSE),"")</f>
        <v/>
      </c>
      <c r="AG59" s="193" t="str">
        <f>IFERROR(VLOOKUP(TableHandbook[[#This Row],[UDC]],TableMJRUMATHT[],7,FALSE),"")</f>
        <v/>
      </c>
      <c r="AH59" s="193" t="str">
        <f>IFERROR(VLOOKUP(TableHandbook[[#This Row],[UDC]],TableMJRUSCIBI[],7,FALSE),"")</f>
        <v/>
      </c>
      <c r="AI59" s="193" t="str">
        <f>IFERROR(VLOOKUP(TableHandbook[[#This Row],[UDC]],TableMJRUSCICH[],7,FALSE),"")</f>
        <v/>
      </c>
      <c r="AJ59" s="193" t="str">
        <f>IFERROR(VLOOKUP(TableHandbook[[#This Row],[UDC]],TableMJRUSCIHB[],7,FALSE),"")</f>
        <v/>
      </c>
      <c r="AK59" s="193" t="str">
        <f>IFERROR(VLOOKUP(TableHandbook[[#This Row],[UDC]],TableMJRUSCIPH[],7,FALSE),"")</f>
        <v/>
      </c>
      <c r="AL59" s="193" t="str">
        <f>IFERROR(VLOOKUP(TableHandbook[[#This Row],[UDC]],TableMJRUSCIPS[],7,FALSE),"")</f>
        <v/>
      </c>
      <c r="AM59" s="202"/>
      <c r="AN59" s="200" t="str">
        <f>IFERROR(VLOOKUP(TableHandbook[[#This Row],[UDC]],TableSTRUBIOLB[],7,FALSE),"")</f>
        <v/>
      </c>
      <c r="AO59" s="200" t="str">
        <f>IFERROR(VLOOKUP(TableHandbook[[#This Row],[UDC]],TableSTRUBSCIM[],7,FALSE),"")</f>
        <v/>
      </c>
      <c r="AP59" s="200" t="str">
        <f>IFERROR(VLOOKUP(TableHandbook[[#This Row],[UDC]],TableSTRUCHEMB[],7,FALSE),"")</f>
        <v/>
      </c>
      <c r="AQ59" s="200" t="str">
        <f>IFERROR(VLOOKUP(TableHandbook[[#This Row],[UDC]],TableSTRUECOB1[],7,FALSE),"")</f>
        <v/>
      </c>
      <c r="AR59" s="200" t="str">
        <f>IFERROR(VLOOKUP(TableHandbook[[#This Row],[UDC]],TableSTRUEDART[],7,FALSE),"")</f>
        <v/>
      </c>
      <c r="AS59" s="200" t="str">
        <f>IFERROR(VLOOKUP(TableHandbook[[#This Row],[UDC]],TableSTRUEDENG[],7,FALSE),"")</f>
        <v/>
      </c>
      <c r="AT59" s="200" t="str">
        <f>IFERROR(VLOOKUP(TableHandbook[[#This Row],[UDC]],TableSTRUEDHAS[],7,FALSE),"")</f>
        <v/>
      </c>
      <c r="AU59" s="200" t="str">
        <f>IFERROR(VLOOKUP(TableHandbook[[#This Row],[UDC]],TableSTRUEDMAT[],7,FALSE),"")</f>
        <v/>
      </c>
      <c r="AV59" s="200" t="str">
        <f>IFERROR(VLOOKUP(TableHandbook[[#This Row],[UDC]],TableSTRUEDSCI[],7,FALSE),"")</f>
        <v/>
      </c>
      <c r="AW59" s="200" t="str">
        <f>IFERROR(VLOOKUP(TableHandbook[[#This Row],[UDC]],TableSTRUENGLB[],7,FALSE),"")</f>
        <v/>
      </c>
      <c r="AX59" s="200" t="str">
        <f>IFERROR(VLOOKUP(TableHandbook[[#This Row],[UDC]],TableSTRUENGLM[],7,FALSE),"")</f>
        <v/>
      </c>
      <c r="AY59" s="200" t="str">
        <f>IFERROR(VLOOKUP(TableHandbook[[#This Row],[UDC]],TableSTRUGEOB1[],7,FALSE),"")</f>
        <v/>
      </c>
      <c r="AZ59" s="200" t="str">
        <f>IFERROR(VLOOKUP(TableHandbook[[#This Row],[UDC]],TableSTRUHISB1[],7,FALSE),"")</f>
        <v/>
      </c>
      <c r="BA59" s="200" t="str">
        <f>IFERROR(VLOOKUP(TableHandbook[[#This Row],[UDC]],TableSTRUHUMAM[],7,FALSE),"")</f>
        <v/>
      </c>
      <c r="BB59" s="200" t="str">
        <f>IFERROR(VLOOKUP(TableHandbook[[#This Row],[UDC]],TableSTRUHUMBB[],7,FALSE),"")</f>
        <v/>
      </c>
      <c r="BC59" s="200" t="str">
        <f>IFERROR(VLOOKUP(TableHandbook[[#This Row],[UDC]],TableSTRUMATHB[],7,FALSE),"")</f>
        <v/>
      </c>
      <c r="BD59" s="200" t="str">
        <f>IFERROR(VLOOKUP(TableHandbook[[#This Row],[UDC]],TableSTRUMATHM[],7,FALSE),"")</f>
        <v/>
      </c>
      <c r="BE59" s="200" t="str">
        <f>IFERROR(VLOOKUP(TableHandbook[[#This Row],[UDC]],TableSTRUPARTB[],7,FALSE),"")</f>
        <v/>
      </c>
      <c r="BF59" s="200" t="str">
        <f>IFERROR(VLOOKUP(TableHandbook[[#This Row],[UDC]],TableSTRUPARTM[],7,FALSE),"")</f>
        <v/>
      </c>
      <c r="BG59" s="200" t="str">
        <f>IFERROR(VLOOKUP(TableHandbook[[#This Row],[UDC]],TableSTRUPOLB1[],7,FALSE),"")</f>
        <v/>
      </c>
      <c r="BH59" s="200" t="str">
        <f>IFERROR(VLOOKUP(TableHandbook[[#This Row],[UDC]],TableSTRUPSCIM[],7,FALSE),"")</f>
        <v/>
      </c>
      <c r="BI59" s="200" t="str">
        <f>IFERROR(VLOOKUP(TableHandbook[[#This Row],[UDC]],TableSTRUPSYCB[],7,FALSE),"")</f>
        <v/>
      </c>
      <c r="BJ59" s="200" t="str">
        <f>IFERROR(VLOOKUP(TableHandbook[[#This Row],[UDC]],TableSTRUPSYCM[],7,FALSE),"")</f>
        <v/>
      </c>
      <c r="BK59" s="200" t="str">
        <f>IFERROR(VLOOKUP(TableHandbook[[#This Row],[UDC]],TableSTRUSOSCM[],7,FALSE),"")</f>
        <v/>
      </c>
      <c r="BL59" s="200" t="str">
        <f>IFERROR(VLOOKUP(TableHandbook[[#This Row],[UDC]],TableSTRUVARTB[],7,FALSE),"")</f>
        <v/>
      </c>
      <c r="BM59" s="200" t="str">
        <f>IFERROR(VLOOKUP(TableHandbook[[#This Row],[UDC]],TableSTRUVARTM[],7,FALSE),"")</f>
        <v/>
      </c>
    </row>
    <row r="60" spans="1:65" x14ac:dyDescent="0.25">
      <c r="A60" s="11" t="s">
        <v>100</v>
      </c>
      <c r="B60" s="12">
        <v>1</v>
      </c>
      <c r="C60" s="11"/>
      <c r="D60" s="11" t="s">
        <v>611</v>
      </c>
      <c r="E60" s="12">
        <v>25</v>
      </c>
      <c r="F60" s="183" t="s">
        <v>612</v>
      </c>
      <c r="G60" s="126" t="str">
        <f>IFERROR(IF(VLOOKUP(TableHandbook[[#This Row],[UDC]],TableAvailabilities[],2,FALSE)&gt;0,"Y",""),"")</f>
        <v/>
      </c>
      <c r="H60" s="127" t="str">
        <f>IFERROR(IF(VLOOKUP(TableHandbook[[#This Row],[UDC]],TableAvailabilities[],3,FALSE)&gt;0,"Y",""),"")</f>
        <v/>
      </c>
      <c r="I60" s="127" t="str">
        <f>IFERROR(IF(VLOOKUP(TableHandbook[[#This Row],[UDC]],TableAvailabilities[],4,FALSE)&gt;0,"Y",""),"")</f>
        <v/>
      </c>
      <c r="J60" s="128" t="str">
        <f>IFERROR(IF(VLOOKUP(TableHandbook[[#This Row],[UDC]],TableAvailabilities[],5,FALSE)&gt;0,"Y",""),"")</f>
        <v>Y</v>
      </c>
      <c r="K60" s="128" t="str">
        <f>IFERROR(IF(VLOOKUP(TableHandbook[[#This Row],[UDC]],TableAvailabilities[],6,FALSE)&gt;0,"Y",""),"")</f>
        <v>Y</v>
      </c>
      <c r="L60" s="127" t="str">
        <f>IFERROR(IF(VLOOKUP(TableHandbook[[#This Row],[UDC]],TableAvailabilities[],7,FALSE)&gt;0,"Y",""),"")</f>
        <v>Y</v>
      </c>
      <c r="M60" s="209" t="s">
        <v>613</v>
      </c>
      <c r="N60" s="204" t="str">
        <f>IFERROR(VLOOKUP(TableHandbook[[#This Row],[UDC]],TableBEDUC[],7,FALSE),"")</f>
        <v/>
      </c>
      <c r="O60" s="193" t="str">
        <f>IFERROR(VLOOKUP(TableHandbook[[#This Row],[UDC]],TableBEDEC[],7,FALSE),"")</f>
        <v>Core</v>
      </c>
      <c r="P60" s="193" t="str">
        <f>IFERROR(VLOOKUP(TableHandbook[[#This Row],[UDC]],TableBEDPR[],7,FALSE),"")</f>
        <v/>
      </c>
      <c r="Q60" s="193" t="str">
        <f>IFERROR(VLOOKUP(TableHandbook[[#This Row],[UDC]],TableSTRUCATHL[],7,FALSE),"")</f>
        <v/>
      </c>
      <c r="R60" s="193" t="str">
        <f>IFERROR(VLOOKUP(TableHandbook[[#This Row],[UDC]],TableSTRUENGLL[],7,FALSE),"")</f>
        <v/>
      </c>
      <c r="S60" s="193" t="str">
        <f>IFERROR(VLOOKUP(TableHandbook[[#This Row],[UDC]],TableSTRUINTBC[],7,FALSE),"")</f>
        <v/>
      </c>
      <c r="T60" s="193" t="str">
        <f>IFERROR(VLOOKUP(TableHandbook[[#This Row],[UDC]],TableSTRUISTEM[],7,FALSE),"")</f>
        <v/>
      </c>
      <c r="U60" s="193" t="str">
        <f>IFERROR(VLOOKUP(TableHandbook[[#This Row],[UDC]],TableSTRULITNU[],7,FALSE),"")</f>
        <v/>
      </c>
      <c r="V60" s="193" t="str">
        <f>IFERROR(VLOOKUP(TableHandbook[[#This Row],[UDC]],TableSTRUTECHS[],7,FALSE),"")</f>
        <v/>
      </c>
      <c r="W60" s="193" t="str">
        <f>IFERROR(VLOOKUP(TableHandbook[[#This Row],[UDC]],TableBEDSC[],7,FALSE),"")</f>
        <v/>
      </c>
      <c r="X60" s="193" t="str">
        <f>IFERROR(VLOOKUP(TableHandbook[[#This Row],[UDC]],TableMJRUARTDR[],7,FALSE),"")</f>
        <v/>
      </c>
      <c r="Y60" s="193" t="str">
        <f>IFERROR(VLOOKUP(TableHandbook[[#This Row],[UDC]],TableMJRUARTME[],7,FALSE),"")</f>
        <v/>
      </c>
      <c r="Z60" s="193" t="str">
        <f>IFERROR(VLOOKUP(TableHandbook[[#This Row],[UDC]],TableMJRUARTVA[],7,FALSE),"")</f>
        <v/>
      </c>
      <c r="AA60" s="193" t="str">
        <f>IFERROR(VLOOKUP(TableHandbook[[#This Row],[UDC]],TableMJRUENGLT[],7,FALSE),"")</f>
        <v/>
      </c>
      <c r="AB60" s="193" t="str">
        <f>IFERROR(VLOOKUP(TableHandbook[[#This Row],[UDC]],TableMJRUHLTPE[],7,FALSE),"")</f>
        <v/>
      </c>
      <c r="AC60" s="193" t="str">
        <f>IFERROR(VLOOKUP(TableHandbook[[#This Row],[UDC]],TableMJRUHUSEC[],7,FALSE),"")</f>
        <v/>
      </c>
      <c r="AD60" s="193" t="str">
        <f>IFERROR(VLOOKUP(TableHandbook[[#This Row],[UDC]],TableMJRUHUSGE[],7,FALSE),"")</f>
        <v/>
      </c>
      <c r="AE60" s="193" t="str">
        <f>IFERROR(VLOOKUP(TableHandbook[[#This Row],[UDC]],TableMJRUHUSHI[],7,FALSE),"")</f>
        <v/>
      </c>
      <c r="AF60" s="193" t="str">
        <f>IFERROR(VLOOKUP(TableHandbook[[#This Row],[UDC]],TableMJRUHUSPL[],7,FALSE),"")</f>
        <v/>
      </c>
      <c r="AG60" s="193" t="str">
        <f>IFERROR(VLOOKUP(TableHandbook[[#This Row],[UDC]],TableMJRUMATHT[],7,FALSE),"")</f>
        <v/>
      </c>
      <c r="AH60" s="193" t="str">
        <f>IFERROR(VLOOKUP(TableHandbook[[#This Row],[UDC]],TableMJRUSCIBI[],7,FALSE),"")</f>
        <v/>
      </c>
      <c r="AI60" s="193" t="str">
        <f>IFERROR(VLOOKUP(TableHandbook[[#This Row],[UDC]],TableMJRUSCICH[],7,FALSE),"")</f>
        <v/>
      </c>
      <c r="AJ60" s="193" t="str">
        <f>IFERROR(VLOOKUP(TableHandbook[[#This Row],[UDC]],TableMJRUSCIHB[],7,FALSE),"")</f>
        <v/>
      </c>
      <c r="AK60" s="193" t="str">
        <f>IFERROR(VLOOKUP(TableHandbook[[#This Row],[UDC]],TableMJRUSCIPH[],7,FALSE),"")</f>
        <v/>
      </c>
      <c r="AL60" s="193" t="str">
        <f>IFERROR(VLOOKUP(TableHandbook[[#This Row],[UDC]],TableMJRUSCIPS[],7,FALSE),"")</f>
        <v/>
      </c>
      <c r="AM60" s="202"/>
      <c r="AN60" s="200" t="str">
        <f>IFERROR(VLOOKUP(TableHandbook[[#This Row],[UDC]],TableSTRUBIOLB[],7,FALSE),"")</f>
        <v/>
      </c>
      <c r="AO60" s="200" t="str">
        <f>IFERROR(VLOOKUP(TableHandbook[[#This Row],[UDC]],TableSTRUBSCIM[],7,FALSE),"")</f>
        <v/>
      </c>
      <c r="AP60" s="200" t="str">
        <f>IFERROR(VLOOKUP(TableHandbook[[#This Row],[UDC]],TableSTRUCHEMB[],7,FALSE),"")</f>
        <v/>
      </c>
      <c r="AQ60" s="200" t="str">
        <f>IFERROR(VLOOKUP(TableHandbook[[#This Row],[UDC]],TableSTRUECOB1[],7,FALSE),"")</f>
        <v/>
      </c>
      <c r="AR60" s="200" t="str">
        <f>IFERROR(VLOOKUP(TableHandbook[[#This Row],[UDC]],TableSTRUEDART[],7,FALSE),"")</f>
        <v/>
      </c>
      <c r="AS60" s="200" t="str">
        <f>IFERROR(VLOOKUP(TableHandbook[[#This Row],[UDC]],TableSTRUEDENG[],7,FALSE),"")</f>
        <v/>
      </c>
      <c r="AT60" s="200" t="str">
        <f>IFERROR(VLOOKUP(TableHandbook[[#This Row],[UDC]],TableSTRUEDHAS[],7,FALSE),"")</f>
        <v/>
      </c>
      <c r="AU60" s="200" t="str">
        <f>IFERROR(VLOOKUP(TableHandbook[[#This Row],[UDC]],TableSTRUEDMAT[],7,FALSE),"")</f>
        <v/>
      </c>
      <c r="AV60" s="200" t="str">
        <f>IFERROR(VLOOKUP(TableHandbook[[#This Row],[UDC]],TableSTRUEDSCI[],7,FALSE),"")</f>
        <v/>
      </c>
      <c r="AW60" s="200" t="str">
        <f>IFERROR(VLOOKUP(TableHandbook[[#This Row],[UDC]],TableSTRUENGLB[],7,FALSE),"")</f>
        <v/>
      </c>
      <c r="AX60" s="200" t="str">
        <f>IFERROR(VLOOKUP(TableHandbook[[#This Row],[UDC]],TableSTRUENGLM[],7,FALSE),"")</f>
        <v/>
      </c>
      <c r="AY60" s="200" t="str">
        <f>IFERROR(VLOOKUP(TableHandbook[[#This Row],[UDC]],TableSTRUGEOB1[],7,FALSE),"")</f>
        <v/>
      </c>
      <c r="AZ60" s="200" t="str">
        <f>IFERROR(VLOOKUP(TableHandbook[[#This Row],[UDC]],TableSTRUHISB1[],7,FALSE),"")</f>
        <v/>
      </c>
      <c r="BA60" s="200" t="str">
        <f>IFERROR(VLOOKUP(TableHandbook[[#This Row],[UDC]],TableSTRUHUMAM[],7,FALSE),"")</f>
        <v/>
      </c>
      <c r="BB60" s="200" t="str">
        <f>IFERROR(VLOOKUP(TableHandbook[[#This Row],[UDC]],TableSTRUHUMBB[],7,FALSE),"")</f>
        <v/>
      </c>
      <c r="BC60" s="200" t="str">
        <f>IFERROR(VLOOKUP(TableHandbook[[#This Row],[UDC]],TableSTRUMATHB[],7,FALSE),"")</f>
        <v/>
      </c>
      <c r="BD60" s="200" t="str">
        <f>IFERROR(VLOOKUP(TableHandbook[[#This Row],[UDC]],TableSTRUMATHM[],7,FALSE),"")</f>
        <v/>
      </c>
      <c r="BE60" s="200" t="str">
        <f>IFERROR(VLOOKUP(TableHandbook[[#This Row],[UDC]],TableSTRUPARTB[],7,FALSE),"")</f>
        <v/>
      </c>
      <c r="BF60" s="200" t="str">
        <f>IFERROR(VLOOKUP(TableHandbook[[#This Row],[UDC]],TableSTRUPARTM[],7,FALSE),"")</f>
        <v/>
      </c>
      <c r="BG60" s="200" t="str">
        <f>IFERROR(VLOOKUP(TableHandbook[[#This Row],[UDC]],TableSTRUPOLB1[],7,FALSE),"")</f>
        <v/>
      </c>
      <c r="BH60" s="200" t="str">
        <f>IFERROR(VLOOKUP(TableHandbook[[#This Row],[UDC]],TableSTRUPSCIM[],7,FALSE),"")</f>
        <v/>
      </c>
      <c r="BI60" s="200" t="str">
        <f>IFERROR(VLOOKUP(TableHandbook[[#This Row],[UDC]],TableSTRUPSYCB[],7,FALSE),"")</f>
        <v/>
      </c>
      <c r="BJ60" s="200" t="str">
        <f>IFERROR(VLOOKUP(TableHandbook[[#This Row],[UDC]],TableSTRUPSYCM[],7,FALSE),"")</f>
        <v/>
      </c>
      <c r="BK60" s="200" t="str">
        <f>IFERROR(VLOOKUP(TableHandbook[[#This Row],[UDC]],TableSTRUSOSCM[],7,FALSE),"")</f>
        <v/>
      </c>
      <c r="BL60" s="200" t="str">
        <f>IFERROR(VLOOKUP(TableHandbook[[#This Row],[UDC]],TableSTRUVARTB[],7,FALSE),"")</f>
        <v/>
      </c>
      <c r="BM60" s="200" t="str">
        <f>IFERROR(VLOOKUP(TableHandbook[[#This Row],[UDC]],TableSTRUVARTM[],7,FALSE),"")</f>
        <v/>
      </c>
    </row>
    <row r="61" spans="1:65" x14ac:dyDescent="0.25">
      <c r="A61" s="11" t="s">
        <v>99</v>
      </c>
      <c r="B61" s="12">
        <v>1</v>
      </c>
      <c r="C61" s="11"/>
      <c r="D61" s="11" t="s">
        <v>614</v>
      </c>
      <c r="E61" s="12">
        <v>25</v>
      </c>
      <c r="F61" s="131" t="s">
        <v>615</v>
      </c>
      <c r="G61" s="126" t="str">
        <f>IFERROR(IF(VLOOKUP(TableHandbook[[#This Row],[UDC]],TableAvailabilities[],2,FALSE)&gt;0,"Y",""),"")</f>
        <v>Y</v>
      </c>
      <c r="H61" s="127" t="str">
        <f>IFERROR(IF(VLOOKUP(TableHandbook[[#This Row],[UDC]],TableAvailabilities[],3,FALSE)&gt;0,"Y",""),"")</f>
        <v>Y</v>
      </c>
      <c r="I61" s="127" t="str">
        <f>IFERROR(IF(VLOOKUP(TableHandbook[[#This Row],[UDC]],TableAvailabilities[],4,FALSE)&gt;0,"Y",""),"")</f>
        <v>Y</v>
      </c>
      <c r="J61" s="128" t="str">
        <f>IFERROR(IF(VLOOKUP(TableHandbook[[#This Row],[UDC]],TableAvailabilities[],5,FALSE)&gt;0,"Y",""),"")</f>
        <v/>
      </c>
      <c r="K61" s="128" t="str">
        <f>IFERROR(IF(VLOOKUP(TableHandbook[[#This Row],[UDC]],TableAvailabilities[],6,FALSE)&gt;0,"Y",""),"")</f>
        <v/>
      </c>
      <c r="L61" s="127" t="str">
        <f>IFERROR(IF(VLOOKUP(TableHandbook[[#This Row],[UDC]],TableAvailabilities[],7,FALSE)&gt;0,"Y",""),"")</f>
        <v/>
      </c>
      <c r="M61" s="207"/>
      <c r="N61" s="204" t="str">
        <f>IFERROR(VLOOKUP(TableHandbook[[#This Row],[UDC]],TableBEDUC[],7,FALSE),"")</f>
        <v/>
      </c>
      <c r="O61" s="193" t="str">
        <f>IFERROR(VLOOKUP(TableHandbook[[#This Row],[UDC]],TableBEDEC[],7,FALSE),"")</f>
        <v>Core</v>
      </c>
      <c r="P61" s="193" t="str">
        <f>IFERROR(VLOOKUP(TableHandbook[[#This Row],[UDC]],TableBEDPR[],7,FALSE),"")</f>
        <v/>
      </c>
      <c r="Q61" s="193" t="str">
        <f>IFERROR(VLOOKUP(TableHandbook[[#This Row],[UDC]],TableSTRUCATHL[],7,FALSE),"")</f>
        <v/>
      </c>
      <c r="R61" s="193" t="str">
        <f>IFERROR(VLOOKUP(TableHandbook[[#This Row],[UDC]],TableSTRUENGLL[],7,FALSE),"")</f>
        <v/>
      </c>
      <c r="S61" s="193" t="str">
        <f>IFERROR(VLOOKUP(TableHandbook[[#This Row],[UDC]],TableSTRUINTBC[],7,FALSE),"")</f>
        <v/>
      </c>
      <c r="T61" s="193" t="str">
        <f>IFERROR(VLOOKUP(TableHandbook[[#This Row],[UDC]],TableSTRUISTEM[],7,FALSE),"")</f>
        <v/>
      </c>
      <c r="U61" s="193" t="str">
        <f>IFERROR(VLOOKUP(TableHandbook[[#This Row],[UDC]],TableSTRULITNU[],7,FALSE),"")</f>
        <v/>
      </c>
      <c r="V61" s="193" t="str">
        <f>IFERROR(VLOOKUP(TableHandbook[[#This Row],[UDC]],TableSTRUTECHS[],7,FALSE),"")</f>
        <v/>
      </c>
      <c r="W61" s="193" t="str">
        <f>IFERROR(VLOOKUP(TableHandbook[[#This Row],[UDC]],TableBEDSC[],7,FALSE),"")</f>
        <v/>
      </c>
      <c r="X61" s="193" t="str">
        <f>IFERROR(VLOOKUP(TableHandbook[[#This Row],[UDC]],TableMJRUARTDR[],7,FALSE),"")</f>
        <v/>
      </c>
      <c r="Y61" s="193" t="str">
        <f>IFERROR(VLOOKUP(TableHandbook[[#This Row],[UDC]],TableMJRUARTME[],7,FALSE),"")</f>
        <v/>
      </c>
      <c r="Z61" s="193" t="str">
        <f>IFERROR(VLOOKUP(TableHandbook[[#This Row],[UDC]],TableMJRUARTVA[],7,FALSE),"")</f>
        <v/>
      </c>
      <c r="AA61" s="193" t="str">
        <f>IFERROR(VLOOKUP(TableHandbook[[#This Row],[UDC]],TableMJRUENGLT[],7,FALSE),"")</f>
        <v/>
      </c>
      <c r="AB61" s="193" t="str">
        <f>IFERROR(VLOOKUP(TableHandbook[[#This Row],[UDC]],TableMJRUHLTPE[],7,FALSE),"")</f>
        <v/>
      </c>
      <c r="AC61" s="193" t="str">
        <f>IFERROR(VLOOKUP(TableHandbook[[#This Row],[UDC]],TableMJRUHUSEC[],7,FALSE),"")</f>
        <v/>
      </c>
      <c r="AD61" s="193" t="str">
        <f>IFERROR(VLOOKUP(TableHandbook[[#This Row],[UDC]],TableMJRUHUSGE[],7,FALSE),"")</f>
        <v/>
      </c>
      <c r="AE61" s="193" t="str">
        <f>IFERROR(VLOOKUP(TableHandbook[[#This Row],[UDC]],TableMJRUHUSHI[],7,FALSE),"")</f>
        <v/>
      </c>
      <c r="AF61" s="193" t="str">
        <f>IFERROR(VLOOKUP(TableHandbook[[#This Row],[UDC]],TableMJRUHUSPL[],7,FALSE),"")</f>
        <v/>
      </c>
      <c r="AG61" s="193" t="str">
        <f>IFERROR(VLOOKUP(TableHandbook[[#This Row],[UDC]],TableMJRUMATHT[],7,FALSE),"")</f>
        <v/>
      </c>
      <c r="AH61" s="193" t="str">
        <f>IFERROR(VLOOKUP(TableHandbook[[#This Row],[UDC]],TableMJRUSCIBI[],7,FALSE),"")</f>
        <v/>
      </c>
      <c r="AI61" s="193" t="str">
        <f>IFERROR(VLOOKUP(TableHandbook[[#This Row],[UDC]],TableMJRUSCICH[],7,FALSE),"")</f>
        <v/>
      </c>
      <c r="AJ61" s="193" t="str">
        <f>IFERROR(VLOOKUP(TableHandbook[[#This Row],[UDC]],TableMJRUSCIHB[],7,FALSE),"")</f>
        <v/>
      </c>
      <c r="AK61" s="193" t="str">
        <f>IFERROR(VLOOKUP(TableHandbook[[#This Row],[UDC]],TableMJRUSCIPH[],7,FALSE),"")</f>
        <v/>
      </c>
      <c r="AL61" s="193" t="str">
        <f>IFERROR(VLOOKUP(TableHandbook[[#This Row],[UDC]],TableMJRUSCIPS[],7,FALSE),"")</f>
        <v/>
      </c>
      <c r="AM61" s="202"/>
      <c r="AN61" s="200" t="str">
        <f>IFERROR(VLOOKUP(TableHandbook[[#This Row],[UDC]],TableSTRUBIOLB[],7,FALSE),"")</f>
        <v/>
      </c>
      <c r="AO61" s="200" t="str">
        <f>IFERROR(VLOOKUP(TableHandbook[[#This Row],[UDC]],TableSTRUBSCIM[],7,FALSE),"")</f>
        <v/>
      </c>
      <c r="AP61" s="200" t="str">
        <f>IFERROR(VLOOKUP(TableHandbook[[#This Row],[UDC]],TableSTRUCHEMB[],7,FALSE),"")</f>
        <v/>
      </c>
      <c r="AQ61" s="200" t="str">
        <f>IFERROR(VLOOKUP(TableHandbook[[#This Row],[UDC]],TableSTRUECOB1[],7,FALSE),"")</f>
        <v/>
      </c>
      <c r="AR61" s="200" t="str">
        <f>IFERROR(VLOOKUP(TableHandbook[[#This Row],[UDC]],TableSTRUEDART[],7,FALSE),"")</f>
        <v/>
      </c>
      <c r="AS61" s="200" t="str">
        <f>IFERROR(VLOOKUP(TableHandbook[[#This Row],[UDC]],TableSTRUEDENG[],7,FALSE),"")</f>
        <v/>
      </c>
      <c r="AT61" s="200" t="str">
        <f>IFERROR(VLOOKUP(TableHandbook[[#This Row],[UDC]],TableSTRUEDHAS[],7,FALSE),"")</f>
        <v/>
      </c>
      <c r="AU61" s="200" t="str">
        <f>IFERROR(VLOOKUP(TableHandbook[[#This Row],[UDC]],TableSTRUEDMAT[],7,FALSE),"")</f>
        <v/>
      </c>
      <c r="AV61" s="200" t="str">
        <f>IFERROR(VLOOKUP(TableHandbook[[#This Row],[UDC]],TableSTRUEDSCI[],7,FALSE),"")</f>
        <v/>
      </c>
      <c r="AW61" s="200" t="str">
        <f>IFERROR(VLOOKUP(TableHandbook[[#This Row],[UDC]],TableSTRUENGLB[],7,FALSE),"")</f>
        <v/>
      </c>
      <c r="AX61" s="200" t="str">
        <f>IFERROR(VLOOKUP(TableHandbook[[#This Row],[UDC]],TableSTRUENGLM[],7,FALSE),"")</f>
        <v/>
      </c>
      <c r="AY61" s="200" t="str">
        <f>IFERROR(VLOOKUP(TableHandbook[[#This Row],[UDC]],TableSTRUGEOB1[],7,FALSE),"")</f>
        <v/>
      </c>
      <c r="AZ61" s="200" t="str">
        <f>IFERROR(VLOOKUP(TableHandbook[[#This Row],[UDC]],TableSTRUHISB1[],7,FALSE),"")</f>
        <v/>
      </c>
      <c r="BA61" s="200" t="str">
        <f>IFERROR(VLOOKUP(TableHandbook[[#This Row],[UDC]],TableSTRUHUMAM[],7,FALSE),"")</f>
        <v/>
      </c>
      <c r="BB61" s="200" t="str">
        <f>IFERROR(VLOOKUP(TableHandbook[[#This Row],[UDC]],TableSTRUHUMBB[],7,FALSE),"")</f>
        <v/>
      </c>
      <c r="BC61" s="200" t="str">
        <f>IFERROR(VLOOKUP(TableHandbook[[#This Row],[UDC]],TableSTRUMATHB[],7,FALSE),"")</f>
        <v/>
      </c>
      <c r="BD61" s="200" t="str">
        <f>IFERROR(VLOOKUP(TableHandbook[[#This Row],[UDC]],TableSTRUMATHM[],7,FALSE),"")</f>
        <v/>
      </c>
      <c r="BE61" s="200" t="str">
        <f>IFERROR(VLOOKUP(TableHandbook[[#This Row],[UDC]],TableSTRUPARTB[],7,FALSE),"")</f>
        <v/>
      </c>
      <c r="BF61" s="200" t="str">
        <f>IFERROR(VLOOKUP(TableHandbook[[#This Row],[UDC]],TableSTRUPARTM[],7,FALSE),"")</f>
        <v/>
      </c>
      <c r="BG61" s="200" t="str">
        <f>IFERROR(VLOOKUP(TableHandbook[[#This Row],[UDC]],TableSTRUPOLB1[],7,FALSE),"")</f>
        <v/>
      </c>
      <c r="BH61" s="200" t="str">
        <f>IFERROR(VLOOKUP(TableHandbook[[#This Row],[UDC]],TableSTRUPSCIM[],7,FALSE),"")</f>
        <v/>
      </c>
      <c r="BI61" s="200" t="str">
        <f>IFERROR(VLOOKUP(TableHandbook[[#This Row],[UDC]],TableSTRUPSYCB[],7,FALSE),"")</f>
        <v/>
      </c>
      <c r="BJ61" s="200" t="str">
        <f>IFERROR(VLOOKUP(TableHandbook[[#This Row],[UDC]],TableSTRUPSYCM[],7,FALSE),"")</f>
        <v/>
      </c>
      <c r="BK61" s="200" t="str">
        <f>IFERROR(VLOOKUP(TableHandbook[[#This Row],[UDC]],TableSTRUSOSCM[],7,FALSE),"")</f>
        <v/>
      </c>
      <c r="BL61" s="200" t="str">
        <f>IFERROR(VLOOKUP(TableHandbook[[#This Row],[UDC]],TableSTRUVARTB[],7,FALSE),"")</f>
        <v/>
      </c>
      <c r="BM61" s="200" t="str">
        <f>IFERROR(VLOOKUP(TableHandbook[[#This Row],[UDC]],TableSTRUVARTM[],7,FALSE),"")</f>
        <v/>
      </c>
    </row>
    <row r="62" spans="1:65" x14ac:dyDescent="0.25">
      <c r="A62" s="11" t="s">
        <v>104</v>
      </c>
      <c r="B62" s="12">
        <v>1</v>
      </c>
      <c r="C62" s="11"/>
      <c r="D62" s="11" t="s">
        <v>616</v>
      </c>
      <c r="E62" s="12">
        <v>25</v>
      </c>
      <c r="F62" s="131" t="s">
        <v>617</v>
      </c>
      <c r="G62" s="126" t="str">
        <f>IFERROR(IF(VLOOKUP(TableHandbook[[#This Row],[UDC]],TableAvailabilities[],2,FALSE)&gt;0,"Y",""),"")</f>
        <v/>
      </c>
      <c r="H62" s="127" t="str">
        <f>IFERROR(IF(VLOOKUP(TableHandbook[[#This Row],[UDC]],TableAvailabilities[],3,FALSE)&gt;0,"Y",""),"")</f>
        <v/>
      </c>
      <c r="I62" s="127" t="str">
        <f>IFERROR(IF(VLOOKUP(TableHandbook[[#This Row],[UDC]],TableAvailabilities[],4,FALSE)&gt;0,"Y",""),"")</f>
        <v/>
      </c>
      <c r="J62" s="128" t="str">
        <f>IFERROR(IF(VLOOKUP(TableHandbook[[#This Row],[UDC]],TableAvailabilities[],5,FALSE)&gt;0,"Y",""),"")</f>
        <v>Y</v>
      </c>
      <c r="K62" s="128" t="str">
        <f>IFERROR(IF(VLOOKUP(TableHandbook[[#This Row],[UDC]],TableAvailabilities[],6,FALSE)&gt;0,"Y",""),"")</f>
        <v>Y</v>
      </c>
      <c r="L62" s="127" t="str">
        <f>IFERROR(IF(VLOOKUP(TableHandbook[[#This Row],[UDC]],TableAvailabilities[],7,FALSE)&gt;0,"Y",""),"")</f>
        <v>Y</v>
      </c>
      <c r="M62" s="207"/>
      <c r="N62" s="204" t="str">
        <f>IFERROR(VLOOKUP(TableHandbook[[#This Row],[UDC]],TableBEDUC[],7,FALSE),"")</f>
        <v/>
      </c>
      <c r="O62" s="193" t="str">
        <f>IFERROR(VLOOKUP(TableHandbook[[#This Row],[UDC]],TableBEDEC[],7,FALSE),"")</f>
        <v>Core</v>
      </c>
      <c r="P62" s="193" t="str">
        <f>IFERROR(VLOOKUP(TableHandbook[[#This Row],[UDC]],TableBEDPR[],7,FALSE),"")</f>
        <v/>
      </c>
      <c r="Q62" s="193" t="str">
        <f>IFERROR(VLOOKUP(TableHandbook[[#This Row],[UDC]],TableSTRUCATHL[],7,FALSE),"")</f>
        <v/>
      </c>
      <c r="R62" s="193" t="str">
        <f>IFERROR(VLOOKUP(TableHandbook[[#This Row],[UDC]],TableSTRUENGLL[],7,FALSE),"")</f>
        <v/>
      </c>
      <c r="S62" s="193" t="str">
        <f>IFERROR(VLOOKUP(TableHandbook[[#This Row],[UDC]],TableSTRUINTBC[],7,FALSE),"")</f>
        <v/>
      </c>
      <c r="T62" s="193" t="str">
        <f>IFERROR(VLOOKUP(TableHandbook[[#This Row],[UDC]],TableSTRUISTEM[],7,FALSE),"")</f>
        <v/>
      </c>
      <c r="U62" s="193" t="str">
        <f>IFERROR(VLOOKUP(TableHandbook[[#This Row],[UDC]],TableSTRULITNU[],7,FALSE),"")</f>
        <v/>
      </c>
      <c r="V62" s="193" t="str">
        <f>IFERROR(VLOOKUP(TableHandbook[[#This Row],[UDC]],TableSTRUTECHS[],7,FALSE),"")</f>
        <v/>
      </c>
      <c r="W62" s="193" t="str">
        <f>IFERROR(VLOOKUP(TableHandbook[[#This Row],[UDC]],TableBEDSC[],7,FALSE),"")</f>
        <v/>
      </c>
      <c r="X62" s="193" t="str">
        <f>IFERROR(VLOOKUP(TableHandbook[[#This Row],[UDC]],TableMJRUARTDR[],7,FALSE),"")</f>
        <v/>
      </c>
      <c r="Y62" s="193" t="str">
        <f>IFERROR(VLOOKUP(TableHandbook[[#This Row],[UDC]],TableMJRUARTME[],7,FALSE),"")</f>
        <v/>
      </c>
      <c r="Z62" s="193" t="str">
        <f>IFERROR(VLOOKUP(TableHandbook[[#This Row],[UDC]],TableMJRUARTVA[],7,FALSE),"")</f>
        <v/>
      </c>
      <c r="AA62" s="193" t="str">
        <f>IFERROR(VLOOKUP(TableHandbook[[#This Row],[UDC]],TableMJRUENGLT[],7,FALSE),"")</f>
        <v/>
      </c>
      <c r="AB62" s="193" t="str">
        <f>IFERROR(VLOOKUP(TableHandbook[[#This Row],[UDC]],TableMJRUHLTPE[],7,FALSE),"")</f>
        <v/>
      </c>
      <c r="AC62" s="193" t="str">
        <f>IFERROR(VLOOKUP(TableHandbook[[#This Row],[UDC]],TableMJRUHUSEC[],7,FALSE),"")</f>
        <v/>
      </c>
      <c r="AD62" s="193" t="str">
        <f>IFERROR(VLOOKUP(TableHandbook[[#This Row],[UDC]],TableMJRUHUSGE[],7,FALSE),"")</f>
        <v/>
      </c>
      <c r="AE62" s="193" t="str">
        <f>IFERROR(VLOOKUP(TableHandbook[[#This Row],[UDC]],TableMJRUHUSHI[],7,FALSE),"")</f>
        <v/>
      </c>
      <c r="AF62" s="193" t="str">
        <f>IFERROR(VLOOKUP(TableHandbook[[#This Row],[UDC]],TableMJRUHUSPL[],7,FALSE),"")</f>
        <v/>
      </c>
      <c r="AG62" s="193" t="str">
        <f>IFERROR(VLOOKUP(TableHandbook[[#This Row],[UDC]],TableMJRUMATHT[],7,FALSE),"")</f>
        <v/>
      </c>
      <c r="AH62" s="193" t="str">
        <f>IFERROR(VLOOKUP(TableHandbook[[#This Row],[UDC]],TableMJRUSCIBI[],7,FALSE),"")</f>
        <v/>
      </c>
      <c r="AI62" s="193" t="str">
        <f>IFERROR(VLOOKUP(TableHandbook[[#This Row],[UDC]],TableMJRUSCICH[],7,FALSE),"")</f>
        <v/>
      </c>
      <c r="AJ62" s="193" t="str">
        <f>IFERROR(VLOOKUP(TableHandbook[[#This Row],[UDC]],TableMJRUSCIHB[],7,FALSE),"")</f>
        <v/>
      </c>
      <c r="AK62" s="193" t="str">
        <f>IFERROR(VLOOKUP(TableHandbook[[#This Row],[UDC]],TableMJRUSCIPH[],7,FALSE),"")</f>
        <v/>
      </c>
      <c r="AL62" s="193" t="str">
        <f>IFERROR(VLOOKUP(TableHandbook[[#This Row],[UDC]],TableMJRUSCIPS[],7,FALSE),"")</f>
        <v/>
      </c>
      <c r="AM62" s="202"/>
      <c r="AN62" s="200" t="str">
        <f>IFERROR(VLOOKUP(TableHandbook[[#This Row],[UDC]],TableSTRUBIOLB[],7,FALSE),"")</f>
        <v/>
      </c>
      <c r="AO62" s="200" t="str">
        <f>IFERROR(VLOOKUP(TableHandbook[[#This Row],[UDC]],TableSTRUBSCIM[],7,FALSE),"")</f>
        <v/>
      </c>
      <c r="AP62" s="200" t="str">
        <f>IFERROR(VLOOKUP(TableHandbook[[#This Row],[UDC]],TableSTRUCHEMB[],7,FALSE),"")</f>
        <v/>
      </c>
      <c r="AQ62" s="200" t="str">
        <f>IFERROR(VLOOKUP(TableHandbook[[#This Row],[UDC]],TableSTRUECOB1[],7,FALSE),"")</f>
        <v/>
      </c>
      <c r="AR62" s="200" t="str">
        <f>IFERROR(VLOOKUP(TableHandbook[[#This Row],[UDC]],TableSTRUEDART[],7,FALSE),"")</f>
        <v/>
      </c>
      <c r="AS62" s="200" t="str">
        <f>IFERROR(VLOOKUP(TableHandbook[[#This Row],[UDC]],TableSTRUEDENG[],7,FALSE),"")</f>
        <v/>
      </c>
      <c r="AT62" s="200" t="str">
        <f>IFERROR(VLOOKUP(TableHandbook[[#This Row],[UDC]],TableSTRUEDHAS[],7,FALSE),"")</f>
        <v/>
      </c>
      <c r="AU62" s="200" t="str">
        <f>IFERROR(VLOOKUP(TableHandbook[[#This Row],[UDC]],TableSTRUEDMAT[],7,FALSE),"")</f>
        <v/>
      </c>
      <c r="AV62" s="200" t="str">
        <f>IFERROR(VLOOKUP(TableHandbook[[#This Row],[UDC]],TableSTRUEDSCI[],7,FALSE),"")</f>
        <v/>
      </c>
      <c r="AW62" s="200" t="str">
        <f>IFERROR(VLOOKUP(TableHandbook[[#This Row],[UDC]],TableSTRUENGLB[],7,FALSE),"")</f>
        <v/>
      </c>
      <c r="AX62" s="200" t="str">
        <f>IFERROR(VLOOKUP(TableHandbook[[#This Row],[UDC]],TableSTRUENGLM[],7,FALSE),"")</f>
        <v/>
      </c>
      <c r="AY62" s="200" t="str">
        <f>IFERROR(VLOOKUP(TableHandbook[[#This Row],[UDC]],TableSTRUGEOB1[],7,FALSE),"")</f>
        <v/>
      </c>
      <c r="AZ62" s="200" t="str">
        <f>IFERROR(VLOOKUP(TableHandbook[[#This Row],[UDC]],TableSTRUHISB1[],7,FALSE),"")</f>
        <v/>
      </c>
      <c r="BA62" s="200" t="str">
        <f>IFERROR(VLOOKUP(TableHandbook[[#This Row],[UDC]],TableSTRUHUMAM[],7,FALSE),"")</f>
        <v/>
      </c>
      <c r="BB62" s="200" t="str">
        <f>IFERROR(VLOOKUP(TableHandbook[[#This Row],[UDC]],TableSTRUHUMBB[],7,FALSE),"")</f>
        <v/>
      </c>
      <c r="BC62" s="200" t="str">
        <f>IFERROR(VLOOKUP(TableHandbook[[#This Row],[UDC]],TableSTRUMATHB[],7,FALSE),"")</f>
        <v/>
      </c>
      <c r="BD62" s="200" t="str">
        <f>IFERROR(VLOOKUP(TableHandbook[[#This Row],[UDC]],TableSTRUMATHM[],7,FALSE),"")</f>
        <v/>
      </c>
      <c r="BE62" s="200" t="str">
        <f>IFERROR(VLOOKUP(TableHandbook[[#This Row],[UDC]],TableSTRUPARTB[],7,FALSE),"")</f>
        <v/>
      </c>
      <c r="BF62" s="200" t="str">
        <f>IFERROR(VLOOKUP(TableHandbook[[#This Row],[UDC]],TableSTRUPARTM[],7,FALSE),"")</f>
        <v/>
      </c>
      <c r="BG62" s="200" t="str">
        <f>IFERROR(VLOOKUP(TableHandbook[[#This Row],[UDC]],TableSTRUPOLB1[],7,FALSE),"")</f>
        <v/>
      </c>
      <c r="BH62" s="200" t="str">
        <f>IFERROR(VLOOKUP(TableHandbook[[#This Row],[UDC]],TableSTRUPSCIM[],7,FALSE),"")</f>
        <v/>
      </c>
      <c r="BI62" s="200" t="str">
        <f>IFERROR(VLOOKUP(TableHandbook[[#This Row],[UDC]],TableSTRUPSYCB[],7,FALSE),"")</f>
        <v/>
      </c>
      <c r="BJ62" s="200" t="str">
        <f>IFERROR(VLOOKUP(TableHandbook[[#This Row],[UDC]],TableSTRUPSYCM[],7,FALSE),"")</f>
        <v/>
      </c>
      <c r="BK62" s="200" t="str">
        <f>IFERROR(VLOOKUP(TableHandbook[[#This Row],[UDC]],TableSTRUSOSCM[],7,FALSE),"")</f>
        <v/>
      </c>
      <c r="BL62" s="200" t="str">
        <f>IFERROR(VLOOKUP(TableHandbook[[#This Row],[UDC]],TableSTRUVARTB[],7,FALSE),"")</f>
        <v/>
      </c>
      <c r="BM62" s="200" t="str">
        <f>IFERROR(VLOOKUP(TableHandbook[[#This Row],[UDC]],TableSTRUVARTM[],7,FALSE),"")</f>
        <v/>
      </c>
    </row>
    <row r="63" spans="1:65" x14ac:dyDescent="0.25">
      <c r="A63" s="11" t="s">
        <v>113</v>
      </c>
      <c r="B63" s="12">
        <v>1</v>
      </c>
      <c r="C63" s="11"/>
      <c r="D63" s="11" t="s">
        <v>618</v>
      </c>
      <c r="E63" s="12">
        <v>25</v>
      </c>
      <c r="F63" s="131" t="s">
        <v>103</v>
      </c>
      <c r="G63" s="126" t="str">
        <f>IFERROR(IF(VLOOKUP(TableHandbook[[#This Row],[UDC]],TableAvailabilities[],2,FALSE)&gt;0,"Y",""),"")</f>
        <v>Y</v>
      </c>
      <c r="H63" s="127" t="str">
        <f>IFERROR(IF(VLOOKUP(TableHandbook[[#This Row],[UDC]],TableAvailabilities[],3,FALSE)&gt;0,"Y",""),"")</f>
        <v>Y</v>
      </c>
      <c r="I63" s="127" t="str">
        <f>IFERROR(IF(VLOOKUP(TableHandbook[[#This Row],[UDC]],TableAvailabilities[],4,FALSE)&gt;0,"Y",""),"")</f>
        <v>Y</v>
      </c>
      <c r="J63" s="128" t="str">
        <f>IFERROR(IF(VLOOKUP(TableHandbook[[#This Row],[UDC]],TableAvailabilities[],5,FALSE)&gt;0,"Y",""),"")</f>
        <v/>
      </c>
      <c r="K63" s="128" t="str">
        <f>IFERROR(IF(VLOOKUP(TableHandbook[[#This Row],[UDC]],TableAvailabilities[],6,FALSE)&gt;0,"Y",""),"")</f>
        <v/>
      </c>
      <c r="L63" s="127" t="str">
        <f>IFERROR(IF(VLOOKUP(TableHandbook[[#This Row],[UDC]],TableAvailabilities[],7,FALSE)&gt;0,"Y",""),"")</f>
        <v/>
      </c>
      <c r="M63" s="207"/>
      <c r="N63" s="204" t="str">
        <f>IFERROR(VLOOKUP(TableHandbook[[#This Row],[UDC]],TableBEDUC[],7,FALSE),"")</f>
        <v/>
      </c>
      <c r="O63" s="193" t="str">
        <f>IFERROR(VLOOKUP(TableHandbook[[#This Row],[UDC]],TableBEDEC[],7,FALSE),"")</f>
        <v>Core</v>
      </c>
      <c r="P63" s="193" t="str">
        <f>IFERROR(VLOOKUP(TableHandbook[[#This Row],[UDC]],TableBEDPR[],7,FALSE),"")</f>
        <v/>
      </c>
      <c r="Q63" s="193" t="str">
        <f>IFERROR(VLOOKUP(TableHandbook[[#This Row],[UDC]],TableSTRUCATHL[],7,FALSE),"")</f>
        <v/>
      </c>
      <c r="R63" s="193" t="str">
        <f>IFERROR(VLOOKUP(TableHandbook[[#This Row],[UDC]],TableSTRUENGLL[],7,FALSE),"")</f>
        <v/>
      </c>
      <c r="S63" s="193" t="str">
        <f>IFERROR(VLOOKUP(TableHandbook[[#This Row],[UDC]],TableSTRUINTBC[],7,FALSE),"")</f>
        <v/>
      </c>
      <c r="T63" s="193" t="str">
        <f>IFERROR(VLOOKUP(TableHandbook[[#This Row],[UDC]],TableSTRUISTEM[],7,FALSE),"")</f>
        <v/>
      </c>
      <c r="U63" s="193" t="str">
        <f>IFERROR(VLOOKUP(TableHandbook[[#This Row],[UDC]],TableSTRULITNU[],7,FALSE),"")</f>
        <v/>
      </c>
      <c r="V63" s="193" t="str">
        <f>IFERROR(VLOOKUP(TableHandbook[[#This Row],[UDC]],TableSTRUTECHS[],7,FALSE),"")</f>
        <v/>
      </c>
      <c r="W63" s="193" t="str">
        <f>IFERROR(VLOOKUP(TableHandbook[[#This Row],[UDC]],TableBEDSC[],7,FALSE),"")</f>
        <v/>
      </c>
      <c r="X63" s="193" t="str">
        <f>IFERROR(VLOOKUP(TableHandbook[[#This Row],[UDC]],TableMJRUARTDR[],7,FALSE),"")</f>
        <v/>
      </c>
      <c r="Y63" s="193" t="str">
        <f>IFERROR(VLOOKUP(TableHandbook[[#This Row],[UDC]],TableMJRUARTME[],7,FALSE),"")</f>
        <v/>
      </c>
      <c r="Z63" s="193" t="str">
        <f>IFERROR(VLOOKUP(TableHandbook[[#This Row],[UDC]],TableMJRUARTVA[],7,FALSE),"")</f>
        <v/>
      </c>
      <c r="AA63" s="193" t="str">
        <f>IFERROR(VLOOKUP(TableHandbook[[#This Row],[UDC]],TableMJRUENGLT[],7,FALSE),"")</f>
        <v/>
      </c>
      <c r="AB63" s="193" t="str">
        <f>IFERROR(VLOOKUP(TableHandbook[[#This Row],[UDC]],TableMJRUHLTPE[],7,FALSE),"")</f>
        <v/>
      </c>
      <c r="AC63" s="193" t="str">
        <f>IFERROR(VLOOKUP(TableHandbook[[#This Row],[UDC]],TableMJRUHUSEC[],7,FALSE),"")</f>
        <v/>
      </c>
      <c r="AD63" s="193" t="str">
        <f>IFERROR(VLOOKUP(TableHandbook[[#This Row],[UDC]],TableMJRUHUSGE[],7,FALSE),"")</f>
        <v/>
      </c>
      <c r="AE63" s="193" t="str">
        <f>IFERROR(VLOOKUP(TableHandbook[[#This Row],[UDC]],TableMJRUHUSHI[],7,FALSE),"")</f>
        <v/>
      </c>
      <c r="AF63" s="193" t="str">
        <f>IFERROR(VLOOKUP(TableHandbook[[#This Row],[UDC]],TableMJRUHUSPL[],7,FALSE),"")</f>
        <v/>
      </c>
      <c r="AG63" s="193" t="str">
        <f>IFERROR(VLOOKUP(TableHandbook[[#This Row],[UDC]],TableMJRUMATHT[],7,FALSE),"")</f>
        <v/>
      </c>
      <c r="AH63" s="193" t="str">
        <f>IFERROR(VLOOKUP(TableHandbook[[#This Row],[UDC]],TableMJRUSCIBI[],7,FALSE),"")</f>
        <v/>
      </c>
      <c r="AI63" s="193" t="str">
        <f>IFERROR(VLOOKUP(TableHandbook[[#This Row],[UDC]],TableMJRUSCICH[],7,FALSE),"")</f>
        <v/>
      </c>
      <c r="AJ63" s="193" t="str">
        <f>IFERROR(VLOOKUP(TableHandbook[[#This Row],[UDC]],TableMJRUSCIHB[],7,FALSE),"")</f>
        <v/>
      </c>
      <c r="AK63" s="193" t="str">
        <f>IFERROR(VLOOKUP(TableHandbook[[#This Row],[UDC]],TableMJRUSCIPH[],7,FALSE),"")</f>
        <v/>
      </c>
      <c r="AL63" s="193" t="str">
        <f>IFERROR(VLOOKUP(TableHandbook[[#This Row],[UDC]],TableMJRUSCIPS[],7,FALSE),"")</f>
        <v/>
      </c>
      <c r="AM63" s="202"/>
      <c r="AN63" s="200" t="str">
        <f>IFERROR(VLOOKUP(TableHandbook[[#This Row],[UDC]],TableSTRUBIOLB[],7,FALSE),"")</f>
        <v/>
      </c>
      <c r="AO63" s="200" t="str">
        <f>IFERROR(VLOOKUP(TableHandbook[[#This Row],[UDC]],TableSTRUBSCIM[],7,FALSE),"")</f>
        <v/>
      </c>
      <c r="AP63" s="200" t="str">
        <f>IFERROR(VLOOKUP(TableHandbook[[#This Row],[UDC]],TableSTRUCHEMB[],7,FALSE),"")</f>
        <v/>
      </c>
      <c r="AQ63" s="200" t="str">
        <f>IFERROR(VLOOKUP(TableHandbook[[#This Row],[UDC]],TableSTRUECOB1[],7,FALSE),"")</f>
        <v/>
      </c>
      <c r="AR63" s="200" t="str">
        <f>IFERROR(VLOOKUP(TableHandbook[[#This Row],[UDC]],TableSTRUEDART[],7,FALSE),"")</f>
        <v/>
      </c>
      <c r="AS63" s="200" t="str">
        <f>IFERROR(VLOOKUP(TableHandbook[[#This Row],[UDC]],TableSTRUEDENG[],7,FALSE),"")</f>
        <v/>
      </c>
      <c r="AT63" s="200" t="str">
        <f>IFERROR(VLOOKUP(TableHandbook[[#This Row],[UDC]],TableSTRUEDHAS[],7,FALSE),"")</f>
        <v/>
      </c>
      <c r="AU63" s="200" t="str">
        <f>IFERROR(VLOOKUP(TableHandbook[[#This Row],[UDC]],TableSTRUEDMAT[],7,FALSE),"")</f>
        <v/>
      </c>
      <c r="AV63" s="200" t="str">
        <f>IFERROR(VLOOKUP(TableHandbook[[#This Row],[UDC]],TableSTRUEDSCI[],7,FALSE),"")</f>
        <v/>
      </c>
      <c r="AW63" s="200" t="str">
        <f>IFERROR(VLOOKUP(TableHandbook[[#This Row],[UDC]],TableSTRUENGLB[],7,FALSE),"")</f>
        <v/>
      </c>
      <c r="AX63" s="200" t="str">
        <f>IFERROR(VLOOKUP(TableHandbook[[#This Row],[UDC]],TableSTRUENGLM[],7,FALSE),"")</f>
        <v/>
      </c>
      <c r="AY63" s="200" t="str">
        <f>IFERROR(VLOOKUP(TableHandbook[[#This Row],[UDC]],TableSTRUGEOB1[],7,FALSE),"")</f>
        <v/>
      </c>
      <c r="AZ63" s="200" t="str">
        <f>IFERROR(VLOOKUP(TableHandbook[[#This Row],[UDC]],TableSTRUHISB1[],7,FALSE),"")</f>
        <v/>
      </c>
      <c r="BA63" s="200" t="str">
        <f>IFERROR(VLOOKUP(TableHandbook[[#This Row],[UDC]],TableSTRUHUMAM[],7,FALSE),"")</f>
        <v/>
      </c>
      <c r="BB63" s="200" t="str">
        <f>IFERROR(VLOOKUP(TableHandbook[[#This Row],[UDC]],TableSTRUHUMBB[],7,FALSE),"")</f>
        <v/>
      </c>
      <c r="BC63" s="200" t="str">
        <f>IFERROR(VLOOKUP(TableHandbook[[#This Row],[UDC]],TableSTRUMATHB[],7,FALSE),"")</f>
        <v/>
      </c>
      <c r="BD63" s="200" t="str">
        <f>IFERROR(VLOOKUP(TableHandbook[[#This Row],[UDC]],TableSTRUMATHM[],7,FALSE),"")</f>
        <v/>
      </c>
      <c r="BE63" s="200" t="str">
        <f>IFERROR(VLOOKUP(TableHandbook[[#This Row],[UDC]],TableSTRUPARTB[],7,FALSE),"")</f>
        <v/>
      </c>
      <c r="BF63" s="200" t="str">
        <f>IFERROR(VLOOKUP(TableHandbook[[#This Row],[UDC]],TableSTRUPARTM[],7,FALSE),"")</f>
        <v/>
      </c>
      <c r="BG63" s="200" t="str">
        <f>IFERROR(VLOOKUP(TableHandbook[[#This Row],[UDC]],TableSTRUPOLB1[],7,FALSE),"")</f>
        <v/>
      </c>
      <c r="BH63" s="200" t="str">
        <f>IFERROR(VLOOKUP(TableHandbook[[#This Row],[UDC]],TableSTRUPSCIM[],7,FALSE),"")</f>
        <v/>
      </c>
      <c r="BI63" s="200" t="str">
        <f>IFERROR(VLOOKUP(TableHandbook[[#This Row],[UDC]],TableSTRUPSYCB[],7,FALSE),"")</f>
        <v/>
      </c>
      <c r="BJ63" s="200" t="str">
        <f>IFERROR(VLOOKUP(TableHandbook[[#This Row],[UDC]],TableSTRUPSYCM[],7,FALSE),"")</f>
        <v/>
      </c>
      <c r="BK63" s="200" t="str">
        <f>IFERROR(VLOOKUP(TableHandbook[[#This Row],[UDC]],TableSTRUSOSCM[],7,FALSE),"")</f>
        <v/>
      </c>
      <c r="BL63" s="200" t="str">
        <f>IFERROR(VLOOKUP(TableHandbook[[#This Row],[UDC]],TableSTRUVARTB[],7,FALSE),"")</f>
        <v/>
      </c>
      <c r="BM63" s="200" t="str">
        <f>IFERROR(VLOOKUP(TableHandbook[[#This Row],[UDC]],TableSTRUVARTM[],7,FALSE),"")</f>
        <v/>
      </c>
    </row>
    <row r="64" spans="1:65" x14ac:dyDescent="0.25">
      <c r="A64" s="11" t="s">
        <v>126</v>
      </c>
      <c r="B64" s="12">
        <v>1</v>
      </c>
      <c r="C64" s="11"/>
      <c r="D64" s="11" t="s">
        <v>619</v>
      </c>
      <c r="E64" s="12">
        <v>25</v>
      </c>
      <c r="F64" s="131" t="s">
        <v>620</v>
      </c>
      <c r="G64" s="126" t="str">
        <f>IFERROR(IF(VLOOKUP(TableHandbook[[#This Row],[UDC]],TableAvailabilities[],2,FALSE)&gt;0,"Y",""),"")</f>
        <v/>
      </c>
      <c r="H64" s="127" t="str">
        <f>IFERROR(IF(VLOOKUP(TableHandbook[[#This Row],[UDC]],TableAvailabilities[],3,FALSE)&gt;0,"Y",""),"")</f>
        <v/>
      </c>
      <c r="I64" s="127" t="str">
        <f>IFERROR(IF(VLOOKUP(TableHandbook[[#This Row],[UDC]],TableAvailabilities[],4,FALSE)&gt;0,"Y",""),"")</f>
        <v/>
      </c>
      <c r="J64" s="128" t="str">
        <f>IFERROR(IF(VLOOKUP(TableHandbook[[#This Row],[UDC]],TableAvailabilities[],5,FALSE)&gt;0,"Y",""),"")</f>
        <v>Y</v>
      </c>
      <c r="K64" s="128" t="str">
        <f>IFERROR(IF(VLOOKUP(TableHandbook[[#This Row],[UDC]],TableAvailabilities[],6,FALSE)&gt;0,"Y",""),"")</f>
        <v>Y</v>
      </c>
      <c r="L64" s="127" t="str">
        <f>IFERROR(IF(VLOOKUP(TableHandbook[[#This Row],[UDC]],TableAvailabilities[],7,FALSE)&gt;0,"Y",""),"")</f>
        <v>Y</v>
      </c>
      <c r="M64" s="207"/>
      <c r="N64" s="204" t="str">
        <f>IFERROR(VLOOKUP(TableHandbook[[#This Row],[UDC]],TableBEDUC[],7,FALSE),"")</f>
        <v/>
      </c>
      <c r="O64" s="193" t="str">
        <f>IFERROR(VLOOKUP(TableHandbook[[#This Row],[UDC]],TableBEDEC[],7,FALSE),"")</f>
        <v>Core</v>
      </c>
      <c r="P64" s="193" t="str">
        <f>IFERROR(VLOOKUP(TableHandbook[[#This Row],[UDC]],TableBEDPR[],7,FALSE),"")</f>
        <v/>
      </c>
      <c r="Q64" s="193" t="str">
        <f>IFERROR(VLOOKUP(TableHandbook[[#This Row],[UDC]],TableSTRUCATHL[],7,FALSE),"")</f>
        <v/>
      </c>
      <c r="R64" s="193" t="str">
        <f>IFERROR(VLOOKUP(TableHandbook[[#This Row],[UDC]],TableSTRUENGLL[],7,FALSE),"")</f>
        <v/>
      </c>
      <c r="S64" s="193" t="str">
        <f>IFERROR(VLOOKUP(TableHandbook[[#This Row],[UDC]],TableSTRUINTBC[],7,FALSE),"")</f>
        <v/>
      </c>
      <c r="T64" s="193" t="str">
        <f>IFERROR(VLOOKUP(TableHandbook[[#This Row],[UDC]],TableSTRUISTEM[],7,FALSE),"")</f>
        <v/>
      </c>
      <c r="U64" s="193" t="str">
        <f>IFERROR(VLOOKUP(TableHandbook[[#This Row],[UDC]],TableSTRULITNU[],7,FALSE),"")</f>
        <v/>
      </c>
      <c r="V64" s="193" t="str">
        <f>IFERROR(VLOOKUP(TableHandbook[[#This Row],[UDC]],TableSTRUTECHS[],7,FALSE),"")</f>
        <v/>
      </c>
      <c r="W64" s="193" t="str">
        <f>IFERROR(VLOOKUP(TableHandbook[[#This Row],[UDC]],TableBEDSC[],7,FALSE),"")</f>
        <v/>
      </c>
      <c r="X64" s="193" t="str">
        <f>IFERROR(VLOOKUP(TableHandbook[[#This Row],[UDC]],TableMJRUARTDR[],7,FALSE),"")</f>
        <v/>
      </c>
      <c r="Y64" s="193" t="str">
        <f>IFERROR(VLOOKUP(TableHandbook[[#This Row],[UDC]],TableMJRUARTME[],7,FALSE),"")</f>
        <v/>
      </c>
      <c r="Z64" s="193" t="str">
        <f>IFERROR(VLOOKUP(TableHandbook[[#This Row],[UDC]],TableMJRUARTVA[],7,FALSE),"")</f>
        <v/>
      </c>
      <c r="AA64" s="193" t="str">
        <f>IFERROR(VLOOKUP(TableHandbook[[#This Row],[UDC]],TableMJRUENGLT[],7,FALSE),"")</f>
        <v/>
      </c>
      <c r="AB64" s="193" t="str">
        <f>IFERROR(VLOOKUP(TableHandbook[[#This Row],[UDC]],TableMJRUHLTPE[],7,FALSE),"")</f>
        <v/>
      </c>
      <c r="AC64" s="193" t="str">
        <f>IFERROR(VLOOKUP(TableHandbook[[#This Row],[UDC]],TableMJRUHUSEC[],7,FALSE),"")</f>
        <v/>
      </c>
      <c r="AD64" s="193" t="str">
        <f>IFERROR(VLOOKUP(TableHandbook[[#This Row],[UDC]],TableMJRUHUSGE[],7,FALSE),"")</f>
        <v/>
      </c>
      <c r="AE64" s="193" t="str">
        <f>IFERROR(VLOOKUP(TableHandbook[[#This Row],[UDC]],TableMJRUHUSHI[],7,FALSE),"")</f>
        <v/>
      </c>
      <c r="AF64" s="193" t="str">
        <f>IFERROR(VLOOKUP(TableHandbook[[#This Row],[UDC]],TableMJRUHUSPL[],7,FALSE),"")</f>
        <v/>
      </c>
      <c r="AG64" s="193" t="str">
        <f>IFERROR(VLOOKUP(TableHandbook[[#This Row],[UDC]],TableMJRUMATHT[],7,FALSE),"")</f>
        <v/>
      </c>
      <c r="AH64" s="193" t="str">
        <f>IFERROR(VLOOKUP(TableHandbook[[#This Row],[UDC]],TableMJRUSCIBI[],7,FALSE),"")</f>
        <v/>
      </c>
      <c r="AI64" s="193" t="str">
        <f>IFERROR(VLOOKUP(TableHandbook[[#This Row],[UDC]],TableMJRUSCICH[],7,FALSE),"")</f>
        <v/>
      </c>
      <c r="AJ64" s="193" t="str">
        <f>IFERROR(VLOOKUP(TableHandbook[[#This Row],[UDC]],TableMJRUSCIHB[],7,FALSE),"")</f>
        <v/>
      </c>
      <c r="AK64" s="193" t="str">
        <f>IFERROR(VLOOKUP(TableHandbook[[#This Row],[UDC]],TableMJRUSCIPH[],7,FALSE),"")</f>
        <v/>
      </c>
      <c r="AL64" s="193" t="str">
        <f>IFERROR(VLOOKUP(TableHandbook[[#This Row],[UDC]],TableMJRUSCIPS[],7,FALSE),"")</f>
        <v/>
      </c>
      <c r="AM64" s="202"/>
      <c r="AN64" s="200" t="str">
        <f>IFERROR(VLOOKUP(TableHandbook[[#This Row],[UDC]],TableSTRUBIOLB[],7,FALSE),"")</f>
        <v/>
      </c>
      <c r="AO64" s="200" t="str">
        <f>IFERROR(VLOOKUP(TableHandbook[[#This Row],[UDC]],TableSTRUBSCIM[],7,FALSE),"")</f>
        <v/>
      </c>
      <c r="AP64" s="200" t="str">
        <f>IFERROR(VLOOKUP(TableHandbook[[#This Row],[UDC]],TableSTRUCHEMB[],7,FALSE),"")</f>
        <v/>
      </c>
      <c r="AQ64" s="200" t="str">
        <f>IFERROR(VLOOKUP(TableHandbook[[#This Row],[UDC]],TableSTRUECOB1[],7,FALSE),"")</f>
        <v/>
      </c>
      <c r="AR64" s="200" t="str">
        <f>IFERROR(VLOOKUP(TableHandbook[[#This Row],[UDC]],TableSTRUEDART[],7,FALSE),"")</f>
        <v/>
      </c>
      <c r="AS64" s="200" t="str">
        <f>IFERROR(VLOOKUP(TableHandbook[[#This Row],[UDC]],TableSTRUEDENG[],7,FALSE),"")</f>
        <v/>
      </c>
      <c r="AT64" s="200" t="str">
        <f>IFERROR(VLOOKUP(TableHandbook[[#This Row],[UDC]],TableSTRUEDHAS[],7,FALSE),"")</f>
        <v/>
      </c>
      <c r="AU64" s="200" t="str">
        <f>IFERROR(VLOOKUP(TableHandbook[[#This Row],[UDC]],TableSTRUEDMAT[],7,FALSE),"")</f>
        <v/>
      </c>
      <c r="AV64" s="200" t="str">
        <f>IFERROR(VLOOKUP(TableHandbook[[#This Row],[UDC]],TableSTRUEDSCI[],7,FALSE),"")</f>
        <v/>
      </c>
      <c r="AW64" s="200" t="str">
        <f>IFERROR(VLOOKUP(TableHandbook[[#This Row],[UDC]],TableSTRUENGLB[],7,FALSE),"")</f>
        <v/>
      </c>
      <c r="AX64" s="200" t="str">
        <f>IFERROR(VLOOKUP(TableHandbook[[#This Row],[UDC]],TableSTRUENGLM[],7,FALSE),"")</f>
        <v/>
      </c>
      <c r="AY64" s="200" t="str">
        <f>IFERROR(VLOOKUP(TableHandbook[[#This Row],[UDC]],TableSTRUGEOB1[],7,FALSE),"")</f>
        <v/>
      </c>
      <c r="AZ64" s="200" t="str">
        <f>IFERROR(VLOOKUP(TableHandbook[[#This Row],[UDC]],TableSTRUHISB1[],7,FALSE),"")</f>
        <v/>
      </c>
      <c r="BA64" s="200" t="str">
        <f>IFERROR(VLOOKUP(TableHandbook[[#This Row],[UDC]],TableSTRUHUMAM[],7,FALSE),"")</f>
        <v/>
      </c>
      <c r="BB64" s="200" t="str">
        <f>IFERROR(VLOOKUP(TableHandbook[[#This Row],[UDC]],TableSTRUHUMBB[],7,FALSE),"")</f>
        <v/>
      </c>
      <c r="BC64" s="200" t="str">
        <f>IFERROR(VLOOKUP(TableHandbook[[#This Row],[UDC]],TableSTRUMATHB[],7,FALSE),"")</f>
        <v/>
      </c>
      <c r="BD64" s="200" t="str">
        <f>IFERROR(VLOOKUP(TableHandbook[[#This Row],[UDC]],TableSTRUMATHM[],7,FALSE),"")</f>
        <v/>
      </c>
      <c r="BE64" s="200" t="str">
        <f>IFERROR(VLOOKUP(TableHandbook[[#This Row],[UDC]],TableSTRUPARTB[],7,FALSE),"")</f>
        <v/>
      </c>
      <c r="BF64" s="200" t="str">
        <f>IFERROR(VLOOKUP(TableHandbook[[#This Row],[UDC]],TableSTRUPARTM[],7,FALSE),"")</f>
        <v/>
      </c>
      <c r="BG64" s="200" t="str">
        <f>IFERROR(VLOOKUP(TableHandbook[[#This Row],[UDC]],TableSTRUPOLB1[],7,FALSE),"")</f>
        <v/>
      </c>
      <c r="BH64" s="200" t="str">
        <f>IFERROR(VLOOKUP(TableHandbook[[#This Row],[UDC]],TableSTRUPSCIM[],7,FALSE),"")</f>
        <v/>
      </c>
      <c r="BI64" s="200" t="str">
        <f>IFERROR(VLOOKUP(TableHandbook[[#This Row],[UDC]],TableSTRUPSYCB[],7,FALSE),"")</f>
        <v/>
      </c>
      <c r="BJ64" s="200" t="str">
        <f>IFERROR(VLOOKUP(TableHandbook[[#This Row],[UDC]],TableSTRUPSYCM[],7,FALSE),"")</f>
        <v/>
      </c>
      <c r="BK64" s="200" t="str">
        <f>IFERROR(VLOOKUP(TableHandbook[[#This Row],[UDC]],TableSTRUSOSCM[],7,FALSE),"")</f>
        <v/>
      </c>
      <c r="BL64" s="200" t="str">
        <f>IFERROR(VLOOKUP(TableHandbook[[#This Row],[UDC]],TableSTRUVARTB[],7,FALSE),"")</f>
        <v/>
      </c>
      <c r="BM64" s="200" t="str">
        <f>IFERROR(VLOOKUP(TableHandbook[[#This Row],[UDC]],TableSTRUVARTM[],7,FALSE),"")</f>
        <v/>
      </c>
    </row>
    <row r="65" spans="1:65" x14ac:dyDescent="0.25">
      <c r="A65" s="11" t="s">
        <v>125</v>
      </c>
      <c r="B65" s="12">
        <v>1</v>
      </c>
      <c r="C65" s="11"/>
      <c r="D65" s="11" t="s">
        <v>621</v>
      </c>
      <c r="E65" s="12">
        <v>25</v>
      </c>
      <c r="F65" s="131" t="s">
        <v>622</v>
      </c>
      <c r="G65" s="126" t="str">
        <f>IFERROR(IF(VLOOKUP(TableHandbook[[#This Row],[UDC]],TableAvailabilities[],2,FALSE)&gt;0,"Y",""),"")</f>
        <v>Y</v>
      </c>
      <c r="H65" s="127" t="str">
        <f>IFERROR(IF(VLOOKUP(TableHandbook[[#This Row],[UDC]],TableAvailabilities[],3,FALSE)&gt;0,"Y",""),"")</f>
        <v>Y</v>
      </c>
      <c r="I65" s="127" t="str">
        <f>IFERROR(IF(VLOOKUP(TableHandbook[[#This Row],[UDC]],TableAvailabilities[],4,FALSE)&gt;0,"Y",""),"")</f>
        <v>Y</v>
      </c>
      <c r="J65" s="128" t="str">
        <f>IFERROR(IF(VLOOKUP(TableHandbook[[#This Row],[UDC]],TableAvailabilities[],5,FALSE)&gt;0,"Y",""),"")</f>
        <v/>
      </c>
      <c r="K65" s="128" t="str">
        <f>IFERROR(IF(VLOOKUP(TableHandbook[[#This Row],[UDC]],TableAvailabilities[],6,FALSE)&gt;0,"Y",""),"")</f>
        <v/>
      </c>
      <c r="L65" s="127" t="str">
        <f>IFERROR(IF(VLOOKUP(TableHandbook[[#This Row],[UDC]],TableAvailabilities[],7,FALSE)&gt;0,"Y",""),"")</f>
        <v/>
      </c>
      <c r="M65" s="207"/>
      <c r="N65" s="204" t="str">
        <f>IFERROR(VLOOKUP(TableHandbook[[#This Row],[UDC]],TableBEDUC[],7,FALSE),"")</f>
        <v/>
      </c>
      <c r="O65" s="193" t="str">
        <f>IFERROR(VLOOKUP(TableHandbook[[#This Row],[UDC]],TableBEDEC[],7,FALSE),"")</f>
        <v>Core</v>
      </c>
      <c r="P65" s="193" t="str">
        <f>IFERROR(VLOOKUP(TableHandbook[[#This Row],[UDC]],TableBEDPR[],7,FALSE),"")</f>
        <v/>
      </c>
      <c r="Q65" s="193" t="str">
        <f>IFERROR(VLOOKUP(TableHandbook[[#This Row],[UDC]],TableSTRUCATHL[],7,FALSE),"")</f>
        <v/>
      </c>
      <c r="R65" s="193" t="str">
        <f>IFERROR(VLOOKUP(TableHandbook[[#This Row],[UDC]],TableSTRUENGLL[],7,FALSE),"")</f>
        <v/>
      </c>
      <c r="S65" s="193" t="str">
        <f>IFERROR(VLOOKUP(TableHandbook[[#This Row],[UDC]],TableSTRUINTBC[],7,FALSE),"")</f>
        <v/>
      </c>
      <c r="T65" s="193" t="str">
        <f>IFERROR(VLOOKUP(TableHandbook[[#This Row],[UDC]],TableSTRUISTEM[],7,FALSE),"")</f>
        <v/>
      </c>
      <c r="U65" s="193" t="str">
        <f>IFERROR(VLOOKUP(TableHandbook[[#This Row],[UDC]],TableSTRULITNU[],7,FALSE),"")</f>
        <v/>
      </c>
      <c r="V65" s="193" t="str">
        <f>IFERROR(VLOOKUP(TableHandbook[[#This Row],[UDC]],TableSTRUTECHS[],7,FALSE),"")</f>
        <v/>
      </c>
      <c r="W65" s="193" t="str">
        <f>IFERROR(VLOOKUP(TableHandbook[[#This Row],[UDC]],TableBEDSC[],7,FALSE),"")</f>
        <v/>
      </c>
      <c r="X65" s="193" t="str">
        <f>IFERROR(VLOOKUP(TableHandbook[[#This Row],[UDC]],TableMJRUARTDR[],7,FALSE),"")</f>
        <v/>
      </c>
      <c r="Y65" s="193" t="str">
        <f>IFERROR(VLOOKUP(TableHandbook[[#This Row],[UDC]],TableMJRUARTME[],7,FALSE),"")</f>
        <v/>
      </c>
      <c r="Z65" s="193" t="str">
        <f>IFERROR(VLOOKUP(TableHandbook[[#This Row],[UDC]],TableMJRUARTVA[],7,FALSE),"")</f>
        <v/>
      </c>
      <c r="AA65" s="193" t="str">
        <f>IFERROR(VLOOKUP(TableHandbook[[#This Row],[UDC]],TableMJRUENGLT[],7,FALSE),"")</f>
        <v/>
      </c>
      <c r="AB65" s="193" t="str">
        <f>IFERROR(VLOOKUP(TableHandbook[[#This Row],[UDC]],TableMJRUHLTPE[],7,FALSE),"")</f>
        <v/>
      </c>
      <c r="AC65" s="193" t="str">
        <f>IFERROR(VLOOKUP(TableHandbook[[#This Row],[UDC]],TableMJRUHUSEC[],7,FALSE),"")</f>
        <v/>
      </c>
      <c r="AD65" s="193" t="str">
        <f>IFERROR(VLOOKUP(TableHandbook[[#This Row],[UDC]],TableMJRUHUSGE[],7,FALSE),"")</f>
        <v/>
      </c>
      <c r="AE65" s="193" t="str">
        <f>IFERROR(VLOOKUP(TableHandbook[[#This Row],[UDC]],TableMJRUHUSHI[],7,FALSE),"")</f>
        <v/>
      </c>
      <c r="AF65" s="193" t="str">
        <f>IFERROR(VLOOKUP(TableHandbook[[#This Row],[UDC]],TableMJRUHUSPL[],7,FALSE),"")</f>
        <v/>
      </c>
      <c r="AG65" s="193" t="str">
        <f>IFERROR(VLOOKUP(TableHandbook[[#This Row],[UDC]],TableMJRUMATHT[],7,FALSE),"")</f>
        <v/>
      </c>
      <c r="AH65" s="193" t="str">
        <f>IFERROR(VLOOKUP(TableHandbook[[#This Row],[UDC]],TableMJRUSCIBI[],7,FALSE),"")</f>
        <v/>
      </c>
      <c r="AI65" s="193" t="str">
        <f>IFERROR(VLOOKUP(TableHandbook[[#This Row],[UDC]],TableMJRUSCICH[],7,FALSE),"")</f>
        <v/>
      </c>
      <c r="AJ65" s="193" t="str">
        <f>IFERROR(VLOOKUP(TableHandbook[[#This Row],[UDC]],TableMJRUSCIHB[],7,FALSE),"")</f>
        <v/>
      </c>
      <c r="AK65" s="193" t="str">
        <f>IFERROR(VLOOKUP(TableHandbook[[#This Row],[UDC]],TableMJRUSCIPH[],7,FALSE),"")</f>
        <v/>
      </c>
      <c r="AL65" s="193" t="str">
        <f>IFERROR(VLOOKUP(TableHandbook[[#This Row],[UDC]],TableMJRUSCIPS[],7,FALSE),"")</f>
        <v/>
      </c>
      <c r="AM65" s="202"/>
      <c r="AN65" s="200" t="str">
        <f>IFERROR(VLOOKUP(TableHandbook[[#This Row],[UDC]],TableSTRUBIOLB[],7,FALSE),"")</f>
        <v/>
      </c>
      <c r="AO65" s="200" t="str">
        <f>IFERROR(VLOOKUP(TableHandbook[[#This Row],[UDC]],TableSTRUBSCIM[],7,FALSE),"")</f>
        <v/>
      </c>
      <c r="AP65" s="200" t="str">
        <f>IFERROR(VLOOKUP(TableHandbook[[#This Row],[UDC]],TableSTRUCHEMB[],7,FALSE),"")</f>
        <v/>
      </c>
      <c r="AQ65" s="200" t="str">
        <f>IFERROR(VLOOKUP(TableHandbook[[#This Row],[UDC]],TableSTRUECOB1[],7,FALSE),"")</f>
        <v/>
      </c>
      <c r="AR65" s="200" t="str">
        <f>IFERROR(VLOOKUP(TableHandbook[[#This Row],[UDC]],TableSTRUEDART[],7,FALSE),"")</f>
        <v/>
      </c>
      <c r="AS65" s="200" t="str">
        <f>IFERROR(VLOOKUP(TableHandbook[[#This Row],[UDC]],TableSTRUEDENG[],7,FALSE),"")</f>
        <v/>
      </c>
      <c r="AT65" s="200" t="str">
        <f>IFERROR(VLOOKUP(TableHandbook[[#This Row],[UDC]],TableSTRUEDHAS[],7,FALSE),"")</f>
        <v/>
      </c>
      <c r="AU65" s="200" t="str">
        <f>IFERROR(VLOOKUP(TableHandbook[[#This Row],[UDC]],TableSTRUEDMAT[],7,FALSE),"")</f>
        <v/>
      </c>
      <c r="AV65" s="200" t="str">
        <f>IFERROR(VLOOKUP(TableHandbook[[#This Row],[UDC]],TableSTRUEDSCI[],7,FALSE),"")</f>
        <v/>
      </c>
      <c r="AW65" s="200" t="str">
        <f>IFERROR(VLOOKUP(TableHandbook[[#This Row],[UDC]],TableSTRUENGLB[],7,FALSE),"")</f>
        <v/>
      </c>
      <c r="AX65" s="200" t="str">
        <f>IFERROR(VLOOKUP(TableHandbook[[#This Row],[UDC]],TableSTRUENGLM[],7,FALSE),"")</f>
        <v/>
      </c>
      <c r="AY65" s="200" t="str">
        <f>IFERROR(VLOOKUP(TableHandbook[[#This Row],[UDC]],TableSTRUGEOB1[],7,FALSE),"")</f>
        <v/>
      </c>
      <c r="AZ65" s="200" t="str">
        <f>IFERROR(VLOOKUP(TableHandbook[[#This Row],[UDC]],TableSTRUHISB1[],7,FALSE),"")</f>
        <v/>
      </c>
      <c r="BA65" s="200" t="str">
        <f>IFERROR(VLOOKUP(TableHandbook[[#This Row],[UDC]],TableSTRUHUMAM[],7,FALSE),"")</f>
        <v/>
      </c>
      <c r="BB65" s="200" t="str">
        <f>IFERROR(VLOOKUP(TableHandbook[[#This Row],[UDC]],TableSTRUHUMBB[],7,FALSE),"")</f>
        <v/>
      </c>
      <c r="BC65" s="200" t="str">
        <f>IFERROR(VLOOKUP(TableHandbook[[#This Row],[UDC]],TableSTRUMATHB[],7,FALSE),"")</f>
        <v/>
      </c>
      <c r="BD65" s="200" t="str">
        <f>IFERROR(VLOOKUP(TableHandbook[[#This Row],[UDC]],TableSTRUMATHM[],7,FALSE),"")</f>
        <v/>
      </c>
      <c r="BE65" s="200" t="str">
        <f>IFERROR(VLOOKUP(TableHandbook[[#This Row],[UDC]],TableSTRUPARTB[],7,FALSE),"")</f>
        <v/>
      </c>
      <c r="BF65" s="200" t="str">
        <f>IFERROR(VLOOKUP(TableHandbook[[#This Row],[UDC]],TableSTRUPARTM[],7,FALSE),"")</f>
        <v/>
      </c>
      <c r="BG65" s="200" t="str">
        <f>IFERROR(VLOOKUP(TableHandbook[[#This Row],[UDC]],TableSTRUPOLB1[],7,FALSE),"")</f>
        <v/>
      </c>
      <c r="BH65" s="200" t="str">
        <f>IFERROR(VLOOKUP(TableHandbook[[#This Row],[UDC]],TableSTRUPSCIM[],7,FALSE),"")</f>
        <v/>
      </c>
      <c r="BI65" s="200" t="str">
        <f>IFERROR(VLOOKUP(TableHandbook[[#This Row],[UDC]],TableSTRUPSYCB[],7,FALSE),"")</f>
        <v/>
      </c>
      <c r="BJ65" s="200" t="str">
        <f>IFERROR(VLOOKUP(TableHandbook[[#This Row],[UDC]],TableSTRUPSYCM[],7,FALSE),"")</f>
        <v/>
      </c>
      <c r="BK65" s="200" t="str">
        <f>IFERROR(VLOOKUP(TableHandbook[[#This Row],[UDC]],TableSTRUSOSCM[],7,FALSE),"")</f>
        <v/>
      </c>
      <c r="BL65" s="200" t="str">
        <f>IFERROR(VLOOKUP(TableHandbook[[#This Row],[UDC]],TableSTRUVARTB[],7,FALSE),"")</f>
        <v/>
      </c>
      <c r="BM65" s="200" t="str">
        <f>IFERROR(VLOOKUP(TableHandbook[[#This Row],[UDC]],TableSTRUVARTM[],7,FALSE),"")</f>
        <v/>
      </c>
    </row>
    <row r="66" spans="1:65" x14ac:dyDescent="0.25">
      <c r="A66" s="11" t="s">
        <v>118</v>
      </c>
      <c r="B66" s="12">
        <v>1</v>
      </c>
      <c r="C66" s="11"/>
      <c r="D66" s="11" t="s">
        <v>623</v>
      </c>
      <c r="E66" s="12">
        <v>25</v>
      </c>
      <c r="F66" s="131" t="s">
        <v>624</v>
      </c>
      <c r="G66" s="126" t="str">
        <f>IFERROR(IF(VLOOKUP(TableHandbook[[#This Row],[UDC]],TableAvailabilities[],2,FALSE)&gt;0,"Y",""),"")</f>
        <v>Y</v>
      </c>
      <c r="H66" s="127" t="str">
        <f>IFERROR(IF(VLOOKUP(TableHandbook[[#This Row],[UDC]],TableAvailabilities[],3,FALSE)&gt;0,"Y",""),"")</f>
        <v>Y</v>
      </c>
      <c r="I66" s="127" t="str">
        <f>IFERROR(IF(VLOOKUP(TableHandbook[[#This Row],[UDC]],TableAvailabilities[],4,FALSE)&gt;0,"Y",""),"")</f>
        <v>Y</v>
      </c>
      <c r="J66" s="128" t="str">
        <f>IFERROR(IF(VLOOKUP(TableHandbook[[#This Row],[UDC]],TableAvailabilities[],5,FALSE)&gt;0,"Y",""),"")</f>
        <v/>
      </c>
      <c r="K66" s="128" t="str">
        <f>IFERROR(IF(VLOOKUP(TableHandbook[[#This Row],[UDC]],TableAvailabilities[],6,FALSE)&gt;0,"Y",""),"")</f>
        <v/>
      </c>
      <c r="L66" s="127" t="str">
        <f>IFERROR(IF(VLOOKUP(TableHandbook[[#This Row],[UDC]],TableAvailabilities[],7,FALSE)&gt;0,"Y",""),"")</f>
        <v/>
      </c>
      <c r="M66" s="207"/>
      <c r="N66" s="204" t="str">
        <f>IFERROR(VLOOKUP(TableHandbook[[#This Row],[UDC]],TableBEDUC[],7,FALSE),"")</f>
        <v/>
      </c>
      <c r="O66" s="193" t="str">
        <f>IFERROR(VLOOKUP(TableHandbook[[#This Row],[UDC]],TableBEDEC[],7,FALSE),"")</f>
        <v>Core</v>
      </c>
      <c r="P66" s="193" t="str">
        <f>IFERROR(VLOOKUP(TableHandbook[[#This Row],[UDC]],TableBEDPR[],7,FALSE),"")</f>
        <v/>
      </c>
      <c r="Q66" s="193" t="str">
        <f>IFERROR(VLOOKUP(TableHandbook[[#This Row],[UDC]],TableSTRUCATHL[],7,FALSE),"")</f>
        <v/>
      </c>
      <c r="R66" s="193" t="str">
        <f>IFERROR(VLOOKUP(TableHandbook[[#This Row],[UDC]],TableSTRUENGLL[],7,FALSE),"")</f>
        <v/>
      </c>
      <c r="S66" s="193" t="str">
        <f>IFERROR(VLOOKUP(TableHandbook[[#This Row],[UDC]],TableSTRUINTBC[],7,FALSE),"")</f>
        <v/>
      </c>
      <c r="T66" s="193" t="str">
        <f>IFERROR(VLOOKUP(TableHandbook[[#This Row],[UDC]],TableSTRUISTEM[],7,FALSE),"")</f>
        <v/>
      </c>
      <c r="U66" s="193" t="str">
        <f>IFERROR(VLOOKUP(TableHandbook[[#This Row],[UDC]],TableSTRULITNU[],7,FALSE),"")</f>
        <v/>
      </c>
      <c r="V66" s="193" t="str">
        <f>IFERROR(VLOOKUP(TableHandbook[[#This Row],[UDC]],TableSTRUTECHS[],7,FALSE),"")</f>
        <v/>
      </c>
      <c r="W66" s="193" t="str">
        <f>IFERROR(VLOOKUP(TableHandbook[[#This Row],[UDC]],TableBEDSC[],7,FALSE),"")</f>
        <v/>
      </c>
      <c r="X66" s="193" t="str">
        <f>IFERROR(VLOOKUP(TableHandbook[[#This Row],[UDC]],TableMJRUARTDR[],7,FALSE),"")</f>
        <v/>
      </c>
      <c r="Y66" s="193" t="str">
        <f>IFERROR(VLOOKUP(TableHandbook[[#This Row],[UDC]],TableMJRUARTME[],7,FALSE),"")</f>
        <v/>
      </c>
      <c r="Z66" s="193" t="str">
        <f>IFERROR(VLOOKUP(TableHandbook[[#This Row],[UDC]],TableMJRUARTVA[],7,FALSE),"")</f>
        <v/>
      </c>
      <c r="AA66" s="193" t="str">
        <f>IFERROR(VLOOKUP(TableHandbook[[#This Row],[UDC]],TableMJRUENGLT[],7,FALSE),"")</f>
        <v/>
      </c>
      <c r="AB66" s="193" t="str">
        <f>IFERROR(VLOOKUP(TableHandbook[[#This Row],[UDC]],TableMJRUHLTPE[],7,FALSE),"")</f>
        <v/>
      </c>
      <c r="AC66" s="193" t="str">
        <f>IFERROR(VLOOKUP(TableHandbook[[#This Row],[UDC]],TableMJRUHUSEC[],7,FALSE),"")</f>
        <v/>
      </c>
      <c r="AD66" s="193" t="str">
        <f>IFERROR(VLOOKUP(TableHandbook[[#This Row],[UDC]],TableMJRUHUSGE[],7,FALSE),"")</f>
        <v/>
      </c>
      <c r="AE66" s="193" t="str">
        <f>IFERROR(VLOOKUP(TableHandbook[[#This Row],[UDC]],TableMJRUHUSHI[],7,FALSE),"")</f>
        <v/>
      </c>
      <c r="AF66" s="193" t="str">
        <f>IFERROR(VLOOKUP(TableHandbook[[#This Row],[UDC]],TableMJRUHUSPL[],7,FALSE),"")</f>
        <v/>
      </c>
      <c r="AG66" s="193" t="str">
        <f>IFERROR(VLOOKUP(TableHandbook[[#This Row],[UDC]],TableMJRUMATHT[],7,FALSE),"")</f>
        <v/>
      </c>
      <c r="AH66" s="193" t="str">
        <f>IFERROR(VLOOKUP(TableHandbook[[#This Row],[UDC]],TableMJRUSCIBI[],7,FALSE),"")</f>
        <v/>
      </c>
      <c r="AI66" s="193" t="str">
        <f>IFERROR(VLOOKUP(TableHandbook[[#This Row],[UDC]],TableMJRUSCICH[],7,FALSE),"")</f>
        <v/>
      </c>
      <c r="AJ66" s="193" t="str">
        <f>IFERROR(VLOOKUP(TableHandbook[[#This Row],[UDC]],TableMJRUSCIHB[],7,FALSE),"")</f>
        <v/>
      </c>
      <c r="AK66" s="193" t="str">
        <f>IFERROR(VLOOKUP(TableHandbook[[#This Row],[UDC]],TableMJRUSCIPH[],7,FALSE),"")</f>
        <v/>
      </c>
      <c r="AL66" s="193" t="str">
        <f>IFERROR(VLOOKUP(TableHandbook[[#This Row],[UDC]],TableMJRUSCIPS[],7,FALSE),"")</f>
        <v/>
      </c>
      <c r="AM66" s="202"/>
      <c r="AN66" s="200" t="str">
        <f>IFERROR(VLOOKUP(TableHandbook[[#This Row],[UDC]],TableSTRUBIOLB[],7,FALSE),"")</f>
        <v/>
      </c>
      <c r="AO66" s="200" t="str">
        <f>IFERROR(VLOOKUP(TableHandbook[[#This Row],[UDC]],TableSTRUBSCIM[],7,FALSE),"")</f>
        <v/>
      </c>
      <c r="AP66" s="200" t="str">
        <f>IFERROR(VLOOKUP(TableHandbook[[#This Row],[UDC]],TableSTRUCHEMB[],7,FALSE),"")</f>
        <v/>
      </c>
      <c r="AQ66" s="200" t="str">
        <f>IFERROR(VLOOKUP(TableHandbook[[#This Row],[UDC]],TableSTRUECOB1[],7,FALSE),"")</f>
        <v/>
      </c>
      <c r="AR66" s="200" t="str">
        <f>IFERROR(VLOOKUP(TableHandbook[[#This Row],[UDC]],TableSTRUEDART[],7,FALSE),"")</f>
        <v/>
      </c>
      <c r="AS66" s="200" t="str">
        <f>IFERROR(VLOOKUP(TableHandbook[[#This Row],[UDC]],TableSTRUEDENG[],7,FALSE),"")</f>
        <v/>
      </c>
      <c r="AT66" s="200" t="str">
        <f>IFERROR(VLOOKUP(TableHandbook[[#This Row],[UDC]],TableSTRUEDHAS[],7,FALSE),"")</f>
        <v/>
      </c>
      <c r="AU66" s="200" t="str">
        <f>IFERROR(VLOOKUP(TableHandbook[[#This Row],[UDC]],TableSTRUEDMAT[],7,FALSE),"")</f>
        <v/>
      </c>
      <c r="AV66" s="200" t="str">
        <f>IFERROR(VLOOKUP(TableHandbook[[#This Row],[UDC]],TableSTRUEDSCI[],7,FALSE),"")</f>
        <v/>
      </c>
      <c r="AW66" s="200" t="str">
        <f>IFERROR(VLOOKUP(TableHandbook[[#This Row],[UDC]],TableSTRUENGLB[],7,FALSE),"")</f>
        <v/>
      </c>
      <c r="AX66" s="200" t="str">
        <f>IFERROR(VLOOKUP(TableHandbook[[#This Row],[UDC]],TableSTRUENGLM[],7,FALSE),"")</f>
        <v/>
      </c>
      <c r="AY66" s="200" t="str">
        <f>IFERROR(VLOOKUP(TableHandbook[[#This Row],[UDC]],TableSTRUGEOB1[],7,FALSE),"")</f>
        <v/>
      </c>
      <c r="AZ66" s="200" t="str">
        <f>IFERROR(VLOOKUP(TableHandbook[[#This Row],[UDC]],TableSTRUHISB1[],7,FALSE),"")</f>
        <v/>
      </c>
      <c r="BA66" s="200" t="str">
        <f>IFERROR(VLOOKUP(TableHandbook[[#This Row],[UDC]],TableSTRUHUMAM[],7,FALSE),"")</f>
        <v/>
      </c>
      <c r="BB66" s="200" t="str">
        <f>IFERROR(VLOOKUP(TableHandbook[[#This Row],[UDC]],TableSTRUHUMBB[],7,FALSE),"")</f>
        <v/>
      </c>
      <c r="BC66" s="200" t="str">
        <f>IFERROR(VLOOKUP(TableHandbook[[#This Row],[UDC]],TableSTRUMATHB[],7,FALSE),"")</f>
        <v/>
      </c>
      <c r="BD66" s="200" t="str">
        <f>IFERROR(VLOOKUP(TableHandbook[[#This Row],[UDC]],TableSTRUMATHM[],7,FALSE),"")</f>
        <v/>
      </c>
      <c r="BE66" s="200" t="str">
        <f>IFERROR(VLOOKUP(TableHandbook[[#This Row],[UDC]],TableSTRUPARTB[],7,FALSE),"")</f>
        <v/>
      </c>
      <c r="BF66" s="200" t="str">
        <f>IFERROR(VLOOKUP(TableHandbook[[#This Row],[UDC]],TableSTRUPARTM[],7,FALSE),"")</f>
        <v/>
      </c>
      <c r="BG66" s="200" t="str">
        <f>IFERROR(VLOOKUP(TableHandbook[[#This Row],[UDC]],TableSTRUPOLB1[],7,FALSE),"")</f>
        <v/>
      </c>
      <c r="BH66" s="200" t="str">
        <f>IFERROR(VLOOKUP(TableHandbook[[#This Row],[UDC]],TableSTRUPSCIM[],7,FALSE),"")</f>
        <v/>
      </c>
      <c r="BI66" s="200" t="str">
        <f>IFERROR(VLOOKUP(TableHandbook[[#This Row],[UDC]],TableSTRUPSYCB[],7,FALSE),"")</f>
        <v/>
      </c>
      <c r="BJ66" s="200" t="str">
        <f>IFERROR(VLOOKUP(TableHandbook[[#This Row],[UDC]],TableSTRUPSYCM[],7,FALSE),"")</f>
        <v/>
      </c>
      <c r="BK66" s="200" t="str">
        <f>IFERROR(VLOOKUP(TableHandbook[[#This Row],[UDC]],TableSTRUSOSCM[],7,FALSE),"")</f>
        <v/>
      </c>
      <c r="BL66" s="200" t="str">
        <f>IFERROR(VLOOKUP(TableHandbook[[#This Row],[UDC]],TableSTRUVARTB[],7,FALSE),"")</f>
        <v/>
      </c>
      <c r="BM66" s="200" t="str">
        <f>IFERROR(VLOOKUP(TableHandbook[[#This Row],[UDC]],TableSTRUVARTM[],7,FALSE),"")</f>
        <v/>
      </c>
    </row>
    <row r="67" spans="1:65" x14ac:dyDescent="0.25">
      <c r="A67" s="11" t="s">
        <v>114</v>
      </c>
      <c r="B67" s="12">
        <v>1</v>
      </c>
      <c r="C67" s="11"/>
      <c r="D67" s="11" t="s">
        <v>625</v>
      </c>
      <c r="E67" s="12">
        <v>25</v>
      </c>
      <c r="F67" s="131" t="s">
        <v>88</v>
      </c>
      <c r="G67" s="126" t="str">
        <f>IFERROR(IF(VLOOKUP(TableHandbook[[#This Row],[UDC]],TableAvailabilities[],2,FALSE)&gt;0,"Y",""),"")</f>
        <v/>
      </c>
      <c r="H67" s="127" t="str">
        <f>IFERROR(IF(VLOOKUP(TableHandbook[[#This Row],[UDC]],TableAvailabilities[],3,FALSE)&gt;0,"Y",""),"")</f>
        <v/>
      </c>
      <c r="I67" s="127" t="str">
        <f>IFERROR(IF(VLOOKUP(TableHandbook[[#This Row],[UDC]],TableAvailabilities[],4,FALSE)&gt;0,"Y",""),"")</f>
        <v/>
      </c>
      <c r="J67" s="128" t="str">
        <f>IFERROR(IF(VLOOKUP(TableHandbook[[#This Row],[UDC]],TableAvailabilities[],5,FALSE)&gt;0,"Y",""),"")</f>
        <v>Y</v>
      </c>
      <c r="K67" s="128" t="str">
        <f>IFERROR(IF(VLOOKUP(TableHandbook[[#This Row],[UDC]],TableAvailabilities[],6,FALSE)&gt;0,"Y",""),"")</f>
        <v>Y</v>
      </c>
      <c r="L67" s="127" t="str">
        <f>IFERROR(IF(VLOOKUP(TableHandbook[[#This Row],[UDC]],TableAvailabilities[],7,FALSE)&gt;0,"Y",""),"")</f>
        <v>Y</v>
      </c>
      <c r="M67" s="207"/>
      <c r="N67" s="204" t="str">
        <f>IFERROR(VLOOKUP(TableHandbook[[#This Row],[UDC]],TableBEDUC[],7,FALSE),"")</f>
        <v/>
      </c>
      <c r="O67" s="193" t="str">
        <f>IFERROR(VLOOKUP(TableHandbook[[#This Row],[UDC]],TableBEDEC[],7,FALSE),"")</f>
        <v>Core</v>
      </c>
      <c r="P67" s="193" t="str">
        <f>IFERROR(VLOOKUP(TableHandbook[[#This Row],[UDC]],TableBEDPR[],7,FALSE),"")</f>
        <v/>
      </c>
      <c r="Q67" s="193" t="str">
        <f>IFERROR(VLOOKUP(TableHandbook[[#This Row],[UDC]],TableSTRUCATHL[],7,FALSE),"")</f>
        <v/>
      </c>
      <c r="R67" s="193" t="str">
        <f>IFERROR(VLOOKUP(TableHandbook[[#This Row],[UDC]],TableSTRUENGLL[],7,FALSE),"")</f>
        <v/>
      </c>
      <c r="S67" s="193" t="str">
        <f>IFERROR(VLOOKUP(TableHandbook[[#This Row],[UDC]],TableSTRUINTBC[],7,FALSE),"")</f>
        <v/>
      </c>
      <c r="T67" s="193" t="str">
        <f>IFERROR(VLOOKUP(TableHandbook[[#This Row],[UDC]],TableSTRUISTEM[],7,FALSE),"")</f>
        <v/>
      </c>
      <c r="U67" s="193" t="str">
        <f>IFERROR(VLOOKUP(TableHandbook[[#This Row],[UDC]],TableSTRULITNU[],7,FALSE),"")</f>
        <v/>
      </c>
      <c r="V67" s="193" t="str">
        <f>IFERROR(VLOOKUP(TableHandbook[[#This Row],[UDC]],TableSTRUTECHS[],7,FALSE),"")</f>
        <v/>
      </c>
      <c r="W67" s="193" t="str">
        <f>IFERROR(VLOOKUP(TableHandbook[[#This Row],[UDC]],TableBEDSC[],7,FALSE),"")</f>
        <v/>
      </c>
      <c r="X67" s="193" t="str">
        <f>IFERROR(VLOOKUP(TableHandbook[[#This Row],[UDC]],TableMJRUARTDR[],7,FALSE),"")</f>
        <v/>
      </c>
      <c r="Y67" s="193" t="str">
        <f>IFERROR(VLOOKUP(TableHandbook[[#This Row],[UDC]],TableMJRUARTME[],7,FALSE),"")</f>
        <v/>
      </c>
      <c r="Z67" s="193" t="str">
        <f>IFERROR(VLOOKUP(TableHandbook[[#This Row],[UDC]],TableMJRUARTVA[],7,FALSE),"")</f>
        <v/>
      </c>
      <c r="AA67" s="193" t="str">
        <f>IFERROR(VLOOKUP(TableHandbook[[#This Row],[UDC]],TableMJRUENGLT[],7,FALSE),"")</f>
        <v/>
      </c>
      <c r="AB67" s="193" t="str">
        <f>IFERROR(VLOOKUP(TableHandbook[[#This Row],[UDC]],TableMJRUHLTPE[],7,FALSE),"")</f>
        <v/>
      </c>
      <c r="AC67" s="193" t="str">
        <f>IFERROR(VLOOKUP(TableHandbook[[#This Row],[UDC]],TableMJRUHUSEC[],7,FALSE),"")</f>
        <v/>
      </c>
      <c r="AD67" s="193" t="str">
        <f>IFERROR(VLOOKUP(TableHandbook[[#This Row],[UDC]],TableMJRUHUSGE[],7,FALSE),"")</f>
        <v/>
      </c>
      <c r="AE67" s="193" t="str">
        <f>IFERROR(VLOOKUP(TableHandbook[[#This Row],[UDC]],TableMJRUHUSHI[],7,FALSE),"")</f>
        <v/>
      </c>
      <c r="AF67" s="193" t="str">
        <f>IFERROR(VLOOKUP(TableHandbook[[#This Row],[UDC]],TableMJRUHUSPL[],7,FALSE),"")</f>
        <v/>
      </c>
      <c r="AG67" s="193" t="str">
        <f>IFERROR(VLOOKUP(TableHandbook[[#This Row],[UDC]],TableMJRUMATHT[],7,FALSE),"")</f>
        <v/>
      </c>
      <c r="AH67" s="193" t="str">
        <f>IFERROR(VLOOKUP(TableHandbook[[#This Row],[UDC]],TableMJRUSCIBI[],7,FALSE),"")</f>
        <v/>
      </c>
      <c r="AI67" s="193" t="str">
        <f>IFERROR(VLOOKUP(TableHandbook[[#This Row],[UDC]],TableMJRUSCICH[],7,FALSE),"")</f>
        <v/>
      </c>
      <c r="AJ67" s="193" t="str">
        <f>IFERROR(VLOOKUP(TableHandbook[[#This Row],[UDC]],TableMJRUSCIHB[],7,FALSE),"")</f>
        <v/>
      </c>
      <c r="AK67" s="193" t="str">
        <f>IFERROR(VLOOKUP(TableHandbook[[#This Row],[UDC]],TableMJRUSCIPH[],7,FALSE),"")</f>
        <v/>
      </c>
      <c r="AL67" s="193" t="str">
        <f>IFERROR(VLOOKUP(TableHandbook[[#This Row],[UDC]],TableMJRUSCIPS[],7,FALSE),"")</f>
        <v/>
      </c>
      <c r="AM67" s="202"/>
      <c r="AN67" s="200" t="str">
        <f>IFERROR(VLOOKUP(TableHandbook[[#This Row],[UDC]],TableSTRUBIOLB[],7,FALSE),"")</f>
        <v/>
      </c>
      <c r="AO67" s="200" t="str">
        <f>IFERROR(VLOOKUP(TableHandbook[[#This Row],[UDC]],TableSTRUBSCIM[],7,FALSE),"")</f>
        <v/>
      </c>
      <c r="AP67" s="200" t="str">
        <f>IFERROR(VLOOKUP(TableHandbook[[#This Row],[UDC]],TableSTRUCHEMB[],7,FALSE),"")</f>
        <v/>
      </c>
      <c r="AQ67" s="200" t="str">
        <f>IFERROR(VLOOKUP(TableHandbook[[#This Row],[UDC]],TableSTRUECOB1[],7,FALSE),"")</f>
        <v/>
      </c>
      <c r="AR67" s="200" t="str">
        <f>IFERROR(VLOOKUP(TableHandbook[[#This Row],[UDC]],TableSTRUEDART[],7,FALSE),"")</f>
        <v/>
      </c>
      <c r="AS67" s="200" t="str">
        <f>IFERROR(VLOOKUP(TableHandbook[[#This Row],[UDC]],TableSTRUEDENG[],7,FALSE),"")</f>
        <v/>
      </c>
      <c r="AT67" s="200" t="str">
        <f>IFERROR(VLOOKUP(TableHandbook[[#This Row],[UDC]],TableSTRUEDHAS[],7,FALSE),"")</f>
        <v/>
      </c>
      <c r="AU67" s="200" t="str">
        <f>IFERROR(VLOOKUP(TableHandbook[[#This Row],[UDC]],TableSTRUEDMAT[],7,FALSE),"")</f>
        <v/>
      </c>
      <c r="AV67" s="200" t="str">
        <f>IFERROR(VLOOKUP(TableHandbook[[#This Row],[UDC]],TableSTRUEDSCI[],7,FALSE),"")</f>
        <v/>
      </c>
      <c r="AW67" s="200" t="str">
        <f>IFERROR(VLOOKUP(TableHandbook[[#This Row],[UDC]],TableSTRUENGLB[],7,FALSE),"")</f>
        <v/>
      </c>
      <c r="AX67" s="200" t="str">
        <f>IFERROR(VLOOKUP(TableHandbook[[#This Row],[UDC]],TableSTRUENGLM[],7,FALSE),"")</f>
        <v/>
      </c>
      <c r="AY67" s="200" t="str">
        <f>IFERROR(VLOOKUP(TableHandbook[[#This Row],[UDC]],TableSTRUGEOB1[],7,FALSE),"")</f>
        <v/>
      </c>
      <c r="AZ67" s="200" t="str">
        <f>IFERROR(VLOOKUP(TableHandbook[[#This Row],[UDC]],TableSTRUHISB1[],7,FALSE),"")</f>
        <v/>
      </c>
      <c r="BA67" s="200" t="str">
        <f>IFERROR(VLOOKUP(TableHandbook[[#This Row],[UDC]],TableSTRUHUMAM[],7,FALSE),"")</f>
        <v/>
      </c>
      <c r="BB67" s="200" t="str">
        <f>IFERROR(VLOOKUP(TableHandbook[[#This Row],[UDC]],TableSTRUHUMBB[],7,FALSE),"")</f>
        <v/>
      </c>
      <c r="BC67" s="200" t="str">
        <f>IFERROR(VLOOKUP(TableHandbook[[#This Row],[UDC]],TableSTRUMATHB[],7,FALSE),"")</f>
        <v/>
      </c>
      <c r="BD67" s="200" t="str">
        <f>IFERROR(VLOOKUP(TableHandbook[[#This Row],[UDC]],TableSTRUMATHM[],7,FALSE),"")</f>
        <v/>
      </c>
      <c r="BE67" s="200" t="str">
        <f>IFERROR(VLOOKUP(TableHandbook[[#This Row],[UDC]],TableSTRUPARTB[],7,FALSE),"")</f>
        <v/>
      </c>
      <c r="BF67" s="200" t="str">
        <f>IFERROR(VLOOKUP(TableHandbook[[#This Row],[UDC]],TableSTRUPARTM[],7,FALSE),"")</f>
        <v/>
      </c>
      <c r="BG67" s="200" t="str">
        <f>IFERROR(VLOOKUP(TableHandbook[[#This Row],[UDC]],TableSTRUPOLB1[],7,FALSE),"")</f>
        <v/>
      </c>
      <c r="BH67" s="200" t="str">
        <f>IFERROR(VLOOKUP(TableHandbook[[#This Row],[UDC]],TableSTRUPSCIM[],7,FALSE),"")</f>
        <v/>
      </c>
      <c r="BI67" s="200" t="str">
        <f>IFERROR(VLOOKUP(TableHandbook[[#This Row],[UDC]],TableSTRUPSYCB[],7,FALSE),"")</f>
        <v/>
      </c>
      <c r="BJ67" s="200" t="str">
        <f>IFERROR(VLOOKUP(TableHandbook[[#This Row],[UDC]],TableSTRUPSYCM[],7,FALSE),"")</f>
        <v/>
      </c>
      <c r="BK67" s="200" t="str">
        <f>IFERROR(VLOOKUP(TableHandbook[[#This Row],[UDC]],TableSTRUSOSCM[],7,FALSE),"")</f>
        <v/>
      </c>
      <c r="BL67" s="200" t="str">
        <f>IFERROR(VLOOKUP(TableHandbook[[#This Row],[UDC]],TableSTRUVARTB[],7,FALSE),"")</f>
        <v/>
      </c>
      <c r="BM67" s="200" t="str">
        <f>IFERROR(VLOOKUP(TableHandbook[[#This Row],[UDC]],TableSTRUVARTM[],7,FALSE),"")</f>
        <v/>
      </c>
    </row>
    <row r="68" spans="1:65" x14ac:dyDescent="0.25">
      <c r="A68" s="11" t="s">
        <v>123</v>
      </c>
      <c r="B68" s="12">
        <v>1</v>
      </c>
      <c r="C68" s="11"/>
      <c r="D68" s="11" t="s">
        <v>626</v>
      </c>
      <c r="E68" s="12">
        <v>25</v>
      </c>
      <c r="F68" s="131" t="s">
        <v>627</v>
      </c>
      <c r="G68" s="126" t="str">
        <f>IFERROR(IF(VLOOKUP(TableHandbook[[#This Row],[UDC]],TableAvailabilities[],2,FALSE)&gt;0,"Y",""),"")</f>
        <v/>
      </c>
      <c r="H68" s="127" t="str">
        <f>IFERROR(IF(VLOOKUP(TableHandbook[[#This Row],[UDC]],TableAvailabilities[],3,FALSE)&gt;0,"Y",""),"")</f>
        <v/>
      </c>
      <c r="I68" s="127" t="str">
        <f>IFERROR(IF(VLOOKUP(TableHandbook[[#This Row],[UDC]],TableAvailabilities[],4,FALSE)&gt;0,"Y",""),"")</f>
        <v/>
      </c>
      <c r="J68" s="128" t="str">
        <f>IFERROR(IF(VLOOKUP(TableHandbook[[#This Row],[UDC]],TableAvailabilities[],5,FALSE)&gt;0,"Y",""),"")</f>
        <v>Y</v>
      </c>
      <c r="K68" s="128" t="str">
        <f>IFERROR(IF(VLOOKUP(TableHandbook[[#This Row],[UDC]],TableAvailabilities[],6,FALSE)&gt;0,"Y",""),"")</f>
        <v>Y</v>
      </c>
      <c r="L68" s="127" t="str">
        <f>IFERROR(IF(VLOOKUP(TableHandbook[[#This Row],[UDC]],TableAvailabilities[],7,FALSE)&gt;0,"Y",""),"")</f>
        <v>Y</v>
      </c>
      <c r="M68" s="207"/>
      <c r="N68" s="204" t="str">
        <f>IFERROR(VLOOKUP(TableHandbook[[#This Row],[UDC]],TableBEDUC[],7,FALSE),"")</f>
        <v/>
      </c>
      <c r="O68" s="193" t="str">
        <f>IFERROR(VLOOKUP(TableHandbook[[#This Row],[UDC]],TableBEDEC[],7,FALSE),"")</f>
        <v>Core</v>
      </c>
      <c r="P68" s="193" t="str">
        <f>IFERROR(VLOOKUP(TableHandbook[[#This Row],[UDC]],TableBEDPR[],7,FALSE),"")</f>
        <v/>
      </c>
      <c r="Q68" s="193" t="str">
        <f>IFERROR(VLOOKUP(TableHandbook[[#This Row],[UDC]],TableSTRUCATHL[],7,FALSE),"")</f>
        <v/>
      </c>
      <c r="R68" s="193" t="str">
        <f>IFERROR(VLOOKUP(TableHandbook[[#This Row],[UDC]],TableSTRUENGLL[],7,FALSE),"")</f>
        <v/>
      </c>
      <c r="S68" s="193" t="str">
        <f>IFERROR(VLOOKUP(TableHandbook[[#This Row],[UDC]],TableSTRUINTBC[],7,FALSE),"")</f>
        <v/>
      </c>
      <c r="T68" s="193" t="str">
        <f>IFERROR(VLOOKUP(TableHandbook[[#This Row],[UDC]],TableSTRUISTEM[],7,FALSE),"")</f>
        <v/>
      </c>
      <c r="U68" s="193" t="str">
        <f>IFERROR(VLOOKUP(TableHandbook[[#This Row],[UDC]],TableSTRULITNU[],7,FALSE),"")</f>
        <v/>
      </c>
      <c r="V68" s="193" t="str">
        <f>IFERROR(VLOOKUP(TableHandbook[[#This Row],[UDC]],TableSTRUTECHS[],7,FALSE),"")</f>
        <v/>
      </c>
      <c r="W68" s="193" t="str">
        <f>IFERROR(VLOOKUP(TableHandbook[[#This Row],[UDC]],TableBEDSC[],7,FALSE),"")</f>
        <v/>
      </c>
      <c r="X68" s="193" t="str">
        <f>IFERROR(VLOOKUP(TableHandbook[[#This Row],[UDC]],TableMJRUARTDR[],7,FALSE),"")</f>
        <v/>
      </c>
      <c r="Y68" s="193" t="str">
        <f>IFERROR(VLOOKUP(TableHandbook[[#This Row],[UDC]],TableMJRUARTME[],7,FALSE),"")</f>
        <v/>
      </c>
      <c r="Z68" s="193" t="str">
        <f>IFERROR(VLOOKUP(TableHandbook[[#This Row],[UDC]],TableMJRUARTVA[],7,FALSE),"")</f>
        <v/>
      </c>
      <c r="AA68" s="193" t="str">
        <f>IFERROR(VLOOKUP(TableHandbook[[#This Row],[UDC]],TableMJRUENGLT[],7,FALSE),"")</f>
        <v/>
      </c>
      <c r="AB68" s="193" t="str">
        <f>IFERROR(VLOOKUP(TableHandbook[[#This Row],[UDC]],TableMJRUHLTPE[],7,FALSE),"")</f>
        <v/>
      </c>
      <c r="AC68" s="193" t="str">
        <f>IFERROR(VLOOKUP(TableHandbook[[#This Row],[UDC]],TableMJRUHUSEC[],7,FALSE),"")</f>
        <v/>
      </c>
      <c r="AD68" s="193" t="str">
        <f>IFERROR(VLOOKUP(TableHandbook[[#This Row],[UDC]],TableMJRUHUSGE[],7,FALSE),"")</f>
        <v/>
      </c>
      <c r="AE68" s="193" t="str">
        <f>IFERROR(VLOOKUP(TableHandbook[[#This Row],[UDC]],TableMJRUHUSHI[],7,FALSE),"")</f>
        <v/>
      </c>
      <c r="AF68" s="193" t="str">
        <f>IFERROR(VLOOKUP(TableHandbook[[#This Row],[UDC]],TableMJRUHUSPL[],7,FALSE),"")</f>
        <v/>
      </c>
      <c r="AG68" s="193" t="str">
        <f>IFERROR(VLOOKUP(TableHandbook[[#This Row],[UDC]],TableMJRUMATHT[],7,FALSE),"")</f>
        <v/>
      </c>
      <c r="AH68" s="193" t="str">
        <f>IFERROR(VLOOKUP(TableHandbook[[#This Row],[UDC]],TableMJRUSCIBI[],7,FALSE),"")</f>
        <v/>
      </c>
      <c r="AI68" s="193" t="str">
        <f>IFERROR(VLOOKUP(TableHandbook[[#This Row],[UDC]],TableMJRUSCICH[],7,FALSE),"")</f>
        <v/>
      </c>
      <c r="AJ68" s="193" t="str">
        <f>IFERROR(VLOOKUP(TableHandbook[[#This Row],[UDC]],TableMJRUSCIHB[],7,FALSE),"")</f>
        <v/>
      </c>
      <c r="AK68" s="193" t="str">
        <f>IFERROR(VLOOKUP(TableHandbook[[#This Row],[UDC]],TableMJRUSCIPH[],7,FALSE),"")</f>
        <v/>
      </c>
      <c r="AL68" s="193" t="str">
        <f>IFERROR(VLOOKUP(TableHandbook[[#This Row],[UDC]],TableMJRUSCIPS[],7,FALSE),"")</f>
        <v/>
      </c>
      <c r="AM68" s="202"/>
      <c r="AN68" s="200" t="str">
        <f>IFERROR(VLOOKUP(TableHandbook[[#This Row],[UDC]],TableSTRUBIOLB[],7,FALSE),"")</f>
        <v/>
      </c>
      <c r="AO68" s="200" t="str">
        <f>IFERROR(VLOOKUP(TableHandbook[[#This Row],[UDC]],TableSTRUBSCIM[],7,FALSE),"")</f>
        <v/>
      </c>
      <c r="AP68" s="200" t="str">
        <f>IFERROR(VLOOKUP(TableHandbook[[#This Row],[UDC]],TableSTRUCHEMB[],7,FALSE),"")</f>
        <v/>
      </c>
      <c r="AQ68" s="200" t="str">
        <f>IFERROR(VLOOKUP(TableHandbook[[#This Row],[UDC]],TableSTRUECOB1[],7,FALSE),"")</f>
        <v/>
      </c>
      <c r="AR68" s="200" t="str">
        <f>IFERROR(VLOOKUP(TableHandbook[[#This Row],[UDC]],TableSTRUEDART[],7,FALSE),"")</f>
        <v/>
      </c>
      <c r="AS68" s="200" t="str">
        <f>IFERROR(VLOOKUP(TableHandbook[[#This Row],[UDC]],TableSTRUEDENG[],7,FALSE),"")</f>
        <v/>
      </c>
      <c r="AT68" s="200" t="str">
        <f>IFERROR(VLOOKUP(TableHandbook[[#This Row],[UDC]],TableSTRUEDHAS[],7,FALSE),"")</f>
        <v/>
      </c>
      <c r="AU68" s="200" t="str">
        <f>IFERROR(VLOOKUP(TableHandbook[[#This Row],[UDC]],TableSTRUEDMAT[],7,FALSE),"")</f>
        <v/>
      </c>
      <c r="AV68" s="200" t="str">
        <f>IFERROR(VLOOKUP(TableHandbook[[#This Row],[UDC]],TableSTRUEDSCI[],7,FALSE),"")</f>
        <v/>
      </c>
      <c r="AW68" s="200" t="str">
        <f>IFERROR(VLOOKUP(TableHandbook[[#This Row],[UDC]],TableSTRUENGLB[],7,FALSE),"")</f>
        <v/>
      </c>
      <c r="AX68" s="200" t="str">
        <f>IFERROR(VLOOKUP(TableHandbook[[#This Row],[UDC]],TableSTRUENGLM[],7,FALSE),"")</f>
        <v/>
      </c>
      <c r="AY68" s="200" t="str">
        <f>IFERROR(VLOOKUP(TableHandbook[[#This Row],[UDC]],TableSTRUGEOB1[],7,FALSE),"")</f>
        <v/>
      </c>
      <c r="AZ68" s="200" t="str">
        <f>IFERROR(VLOOKUP(TableHandbook[[#This Row],[UDC]],TableSTRUHISB1[],7,FALSE),"")</f>
        <v/>
      </c>
      <c r="BA68" s="200" t="str">
        <f>IFERROR(VLOOKUP(TableHandbook[[#This Row],[UDC]],TableSTRUHUMAM[],7,FALSE),"")</f>
        <v/>
      </c>
      <c r="BB68" s="200" t="str">
        <f>IFERROR(VLOOKUP(TableHandbook[[#This Row],[UDC]],TableSTRUHUMBB[],7,FALSE),"")</f>
        <v/>
      </c>
      <c r="BC68" s="200" t="str">
        <f>IFERROR(VLOOKUP(TableHandbook[[#This Row],[UDC]],TableSTRUMATHB[],7,FALSE),"")</f>
        <v/>
      </c>
      <c r="BD68" s="200" t="str">
        <f>IFERROR(VLOOKUP(TableHandbook[[#This Row],[UDC]],TableSTRUMATHM[],7,FALSE),"")</f>
        <v/>
      </c>
      <c r="BE68" s="200" t="str">
        <f>IFERROR(VLOOKUP(TableHandbook[[#This Row],[UDC]],TableSTRUPARTB[],7,FALSE),"")</f>
        <v/>
      </c>
      <c r="BF68" s="200" t="str">
        <f>IFERROR(VLOOKUP(TableHandbook[[#This Row],[UDC]],TableSTRUPARTM[],7,FALSE),"")</f>
        <v/>
      </c>
      <c r="BG68" s="200" t="str">
        <f>IFERROR(VLOOKUP(TableHandbook[[#This Row],[UDC]],TableSTRUPOLB1[],7,FALSE),"")</f>
        <v/>
      </c>
      <c r="BH68" s="200" t="str">
        <f>IFERROR(VLOOKUP(TableHandbook[[#This Row],[UDC]],TableSTRUPSCIM[],7,FALSE),"")</f>
        <v/>
      </c>
      <c r="BI68" s="200" t="str">
        <f>IFERROR(VLOOKUP(TableHandbook[[#This Row],[UDC]],TableSTRUPSYCB[],7,FALSE),"")</f>
        <v/>
      </c>
      <c r="BJ68" s="200" t="str">
        <f>IFERROR(VLOOKUP(TableHandbook[[#This Row],[UDC]],TableSTRUPSYCM[],7,FALSE),"")</f>
        <v/>
      </c>
      <c r="BK68" s="200" t="str">
        <f>IFERROR(VLOOKUP(TableHandbook[[#This Row],[UDC]],TableSTRUSOSCM[],7,FALSE),"")</f>
        <v/>
      </c>
      <c r="BL68" s="200" t="str">
        <f>IFERROR(VLOOKUP(TableHandbook[[#This Row],[UDC]],TableSTRUVARTB[],7,FALSE),"")</f>
        <v/>
      </c>
      <c r="BM68" s="200" t="str">
        <f>IFERROR(VLOOKUP(TableHandbook[[#This Row],[UDC]],TableSTRUVARTM[],7,FALSE),"")</f>
        <v/>
      </c>
    </row>
    <row r="69" spans="1:65" x14ac:dyDescent="0.25">
      <c r="A69" s="11" t="s">
        <v>132</v>
      </c>
      <c r="B69" s="12">
        <v>1</v>
      </c>
      <c r="C69" s="11"/>
      <c r="D69" s="11" t="s">
        <v>628</v>
      </c>
      <c r="E69" s="12">
        <v>25</v>
      </c>
      <c r="F69" s="131" t="s">
        <v>629</v>
      </c>
      <c r="G69" s="126" t="str">
        <f>IFERROR(IF(VLOOKUP(TableHandbook[[#This Row],[UDC]],TableAvailabilities[],2,FALSE)&gt;0,"Y",""),"")</f>
        <v>Y</v>
      </c>
      <c r="H69" s="127" t="str">
        <f>IFERROR(IF(VLOOKUP(TableHandbook[[#This Row],[UDC]],TableAvailabilities[],3,FALSE)&gt;0,"Y",""),"")</f>
        <v>Y</v>
      </c>
      <c r="I69" s="127" t="str">
        <f>IFERROR(IF(VLOOKUP(TableHandbook[[#This Row],[UDC]],TableAvailabilities[],4,FALSE)&gt;0,"Y",""),"")</f>
        <v>Y</v>
      </c>
      <c r="J69" s="128" t="str">
        <f>IFERROR(IF(VLOOKUP(TableHandbook[[#This Row],[UDC]],TableAvailabilities[],5,FALSE)&gt;0,"Y",""),"")</f>
        <v>Y</v>
      </c>
      <c r="K69" s="128" t="str">
        <f>IFERROR(IF(VLOOKUP(TableHandbook[[#This Row],[UDC]],TableAvailabilities[],6,FALSE)&gt;0,"Y",""),"")</f>
        <v>Y</v>
      </c>
      <c r="L69" s="127" t="str">
        <f>IFERROR(IF(VLOOKUP(TableHandbook[[#This Row],[UDC]],TableAvailabilities[],7,FALSE)&gt;0,"Y",""),"")</f>
        <v>Y</v>
      </c>
      <c r="M69" s="207"/>
      <c r="N69" s="204" t="str">
        <f>IFERROR(VLOOKUP(TableHandbook[[#This Row],[UDC]],TableBEDUC[],7,FALSE),"")</f>
        <v/>
      </c>
      <c r="O69" s="193" t="str">
        <f>IFERROR(VLOOKUP(TableHandbook[[#This Row],[UDC]],TableBEDEC[],7,FALSE),"")</f>
        <v>Core</v>
      </c>
      <c r="P69" s="193" t="str">
        <f>IFERROR(VLOOKUP(TableHandbook[[#This Row],[UDC]],TableBEDPR[],7,FALSE),"")</f>
        <v/>
      </c>
      <c r="Q69" s="193" t="str">
        <f>IFERROR(VLOOKUP(TableHandbook[[#This Row],[UDC]],TableSTRUCATHL[],7,FALSE),"")</f>
        <v/>
      </c>
      <c r="R69" s="193" t="str">
        <f>IFERROR(VLOOKUP(TableHandbook[[#This Row],[UDC]],TableSTRUENGLL[],7,FALSE),"")</f>
        <v/>
      </c>
      <c r="S69" s="193" t="str">
        <f>IFERROR(VLOOKUP(TableHandbook[[#This Row],[UDC]],TableSTRUINTBC[],7,FALSE),"")</f>
        <v/>
      </c>
      <c r="T69" s="193" t="str">
        <f>IFERROR(VLOOKUP(TableHandbook[[#This Row],[UDC]],TableSTRUISTEM[],7,FALSE),"")</f>
        <v/>
      </c>
      <c r="U69" s="193" t="str">
        <f>IFERROR(VLOOKUP(TableHandbook[[#This Row],[UDC]],TableSTRULITNU[],7,FALSE),"")</f>
        <v/>
      </c>
      <c r="V69" s="193" t="str">
        <f>IFERROR(VLOOKUP(TableHandbook[[#This Row],[UDC]],TableSTRUTECHS[],7,FALSE),"")</f>
        <v/>
      </c>
      <c r="W69" s="193" t="str">
        <f>IFERROR(VLOOKUP(TableHandbook[[#This Row],[UDC]],TableBEDSC[],7,FALSE),"")</f>
        <v/>
      </c>
      <c r="X69" s="193" t="str">
        <f>IFERROR(VLOOKUP(TableHandbook[[#This Row],[UDC]],TableMJRUARTDR[],7,FALSE),"")</f>
        <v/>
      </c>
      <c r="Y69" s="193" t="str">
        <f>IFERROR(VLOOKUP(TableHandbook[[#This Row],[UDC]],TableMJRUARTME[],7,FALSE),"")</f>
        <v/>
      </c>
      <c r="Z69" s="193" t="str">
        <f>IFERROR(VLOOKUP(TableHandbook[[#This Row],[UDC]],TableMJRUARTVA[],7,FALSE),"")</f>
        <v/>
      </c>
      <c r="AA69" s="193" t="str">
        <f>IFERROR(VLOOKUP(TableHandbook[[#This Row],[UDC]],TableMJRUENGLT[],7,FALSE),"")</f>
        <v/>
      </c>
      <c r="AB69" s="193" t="str">
        <f>IFERROR(VLOOKUP(TableHandbook[[#This Row],[UDC]],TableMJRUHLTPE[],7,FALSE),"")</f>
        <v/>
      </c>
      <c r="AC69" s="193" t="str">
        <f>IFERROR(VLOOKUP(TableHandbook[[#This Row],[UDC]],TableMJRUHUSEC[],7,FALSE),"")</f>
        <v/>
      </c>
      <c r="AD69" s="193" t="str">
        <f>IFERROR(VLOOKUP(TableHandbook[[#This Row],[UDC]],TableMJRUHUSGE[],7,FALSE),"")</f>
        <v/>
      </c>
      <c r="AE69" s="193" t="str">
        <f>IFERROR(VLOOKUP(TableHandbook[[#This Row],[UDC]],TableMJRUHUSHI[],7,FALSE),"")</f>
        <v/>
      </c>
      <c r="AF69" s="193" t="str">
        <f>IFERROR(VLOOKUP(TableHandbook[[#This Row],[UDC]],TableMJRUHUSPL[],7,FALSE),"")</f>
        <v/>
      </c>
      <c r="AG69" s="193" t="str">
        <f>IFERROR(VLOOKUP(TableHandbook[[#This Row],[UDC]],TableMJRUMATHT[],7,FALSE),"")</f>
        <v/>
      </c>
      <c r="AH69" s="193" t="str">
        <f>IFERROR(VLOOKUP(TableHandbook[[#This Row],[UDC]],TableMJRUSCIBI[],7,FALSE),"")</f>
        <v/>
      </c>
      <c r="AI69" s="193" t="str">
        <f>IFERROR(VLOOKUP(TableHandbook[[#This Row],[UDC]],TableMJRUSCICH[],7,FALSE),"")</f>
        <v/>
      </c>
      <c r="AJ69" s="193" t="str">
        <f>IFERROR(VLOOKUP(TableHandbook[[#This Row],[UDC]],TableMJRUSCIHB[],7,FALSE),"")</f>
        <v/>
      </c>
      <c r="AK69" s="193" t="str">
        <f>IFERROR(VLOOKUP(TableHandbook[[#This Row],[UDC]],TableMJRUSCIPH[],7,FALSE),"")</f>
        <v/>
      </c>
      <c r="AL69" s="193" t="str">
        <f>IFERROR(VLOOKUP(TableHandbook[[#This Row],[UDC]],TableMJRUSCIPS[],7,FALSE),"")</f>
        <v/>
      </c>
      <c r="AM69" s="202"/>
      <c r="AN69" s="200" t="str">
        <f>IFERROR(VLOOKUP(TableHandbook[[#This Row],[UDC]],TableSTRUBIOLB[],7,FALSE),"")</f>
        <v/>
      </c>
      <c r="AO69" s="200" t="str">
        <f>IFERROR(VLOOKUP(TableHandbook[[#This Row],[UDC]],TableSTRUBSCIM[],7,FALSE),"")</f>
        <v/>
      </c>
      <c r="AP69" s="200" t="str">
        <f>IFERROR(VLOOKUP(TableHandbook[[#This Row],[UDC]],TableSTRUCHEMB[],7,FALSE),"")</f>
        <v/>
      </c>
      <c r="AQ69" s="200" t="str">
        <f>IFERROR(VLOOKUP(TableHandbook[[#This Row],[UDC]],TableSTRUECOB1[],7,FALSE),"")</f>
        <v/>
      </c>
      <c r="AR69" s="200" t="str">
        <f>IFERROR(VLOOKUP(TableHandbook[[#This Row],[UDC]],TableSTRUEDART[],7,FALSE),"")</f>
        <v/>
      </c>
      <c r="AS69" s="200" t="str">
        <f>IFERROR(VLOOKUP(TableHandbook[[#This Row],[UDC]],TableSTRUEDENG[],7,FALSE),"")</f>
        <v/>
      </c>
      <c r="AT69" s="200" t="str">
        <f>IFERROR(VLOOKUP(TableHandbook[[#This Row],[UDC]],TableSTRUEDHAS[],7,FALSE),"")</f>
        <v/>
      </c>
      <c r="AU69" s="200" t="str">
        <f>IFERROR(VLOOKUP(TableHandbook[[#This Row],[UDC]],TableSTRUEDMAT[],7,FALSE),"")</f>
        <v/>
      </c>
      <c r="AV69" s="200" t="str">
        <f>IFERROR(VLOOKUP(TableHandbook[[#This Row],[UDC]],TableSTRUEDSCI[],7,FALSE),"")</f>
        <v/>
      </c>
      <c r="AW69" s="200" t="str">
        <f>IFERROR(VLOOKUP(TableHandbook[[#This Row],[UDC]],TableSTRUENGLB[],7,FALSE),"")</f>
        <v/>
      </c>
      <c r="AX69" s="200" t="str">
        <f>IFERROR(VLOOKUP(TableHandbook[[#This Row],[UDC]],TableSTRUENGLM[],7,FALSE),"")</f>
        <v/>
      </c>
      <c r="AY69" s="200" t="str">
        <f>IFERROR(VLOOKUP(TableHandbook[[#This Row],[UDC]],TableSTRUGEOB1[],7,FALSE),"")</f>
        <v/>
      </c>
      <c r="AZ69" s="200" t="str">
        <f>IFERROR(VLOOKUP(TableHandbook[[#This Row],[UDC]],TableSTRUHISB1[],7,FALSE),"")</f>
        <v/>
      </c>
      <c r="BA69" s="200" t="str">
        <f>IFERROR(VLOOKUP(TableHandbook[[#This Row],[UDC]],TableSTRUHUMAM[],7,FALSE),"")</f>
        <v/>
      </c>
      <c r="BB69" s="200" t="str">
        <f>IFERROR(VLOOKUP(TableHandbook[[#This Row],[UDC]],TableSTRUHUMBB[],7,FALSE),"")</f>
        <v/>
      </c>
      <c r="BC69" s="200" t="str">
        <f>IFERROR(VLOOKUP(TableHandbook[[#This Row],[UDC]],TableSTRUMATHB[],7,FALSE),"")</f>
        <v/>
      </c>
      <c r="BD69" s="200" t="str">
        <f>IFERROR(VLOOKUP(TableHandbook[[#This Row],[UDC]],TableSTRUMATHM[],7,FALSE),"")</f>
        <v/>
      </c>
      <c r="BE69" s="200" t="str">
        <f>IFERROR(VLOOKUP(TableHandbook[[#This Row],[UDC]],TableSTRUPARTB[],7,FALSE),"")</f>
        <v/>
      </c>
      <c r="BF69" s="200" t="str">
        <f>IFERROR(VLOOKUP(TableHandbook[[#This Row],[UDC]],TableSTRUPARTM[],7,FALSE),"")</f>
        <v/>
      </c>
      <c r="BG69" s="200" t="str">
        <f>IFERROR(VLOOKUP(TableHandbook[[#This Row],[UDC]],TableSTRUPOLB1[],7,FALSE),"")</f>
        <v/>
      </c>
      <c r="BH69" s="200" t="str">
        <f>IFERROR(VLOOKUP(TableHandbook[[#This Row],[UDC]],TableSTRUPSCIM[],7,FALSE),"")</f>
        <v/>
      </c>
      <c r="BI69" s="200" t="str">
        <f>IFERROR(VLOOKUP(TableHandbook[[#This Row],[UDC]],TableSTRUPSYCB[],7,FALSE),"")</f>
        <v/>
      </c>
      <c r="BJ69" s="200" t="str">
        <f>IFERROR(VLOOKUP(TableHandbook[[#This Row],[UDC]],TableSTRUPSYCM[],7,FALSE),"")</f>
        <v/>
      </c>
      <c r="BK69" s="200" t="str">
        <f>IFERROR(VLOOKUP(TableHandbook[[#This Row],[UDC]],TableSTRUSOSCM[],7,FALSE),"")</f>
        <v/>
      </c>
      <c r="BL69" s="200" t="str">
        <f>IFERROR(VLOOKUP(TableHandbook[[#This Row],[UDC]],TableSTRUVARTB[],7,FALSE),"")</f>
        <v/>
      </c>
      <c r="BM69" s="200" t="str">
        <f>IFERROR(VLOOKUP(TableHandbook[[#This Row],[UDC]],TableSTRUVARTM[],7,FALSE),"")</f>
        <v/>
      </c>
    </row>
    <row r="70" spans="1:65" x14ac:dyDescent="0.25">
      <c r="A70" s="11" t="s">
        <v>127</v>
      </c>
      <c r="B70" s="12">
        <v>1</v>
      </c>
      <c r="C70" s="11"/>
      <c r="D70" s="11" t="s">
        <v>630</v>
      </c>
      <c r="E70" s="12">
        <v>25</v>
      </c>
      <c r="F70" s="131" t="s">
        <v>123</v>
      </c>
      <c r="G70" s="126" t="str">
        <f>IFERROR(IF(VLOOKUP(TableHandbook[[#This Row],[UDC]],TableAvailabilities[],2,FALSE)&gt;0,"Y",""),"")</f>
        <v>Y</v>
      </c>
      <c r="H70" s="127" t="str">
        <f>IFERROR(IF(VLOOKUP(TableHandbook[[#This Row],[UDC]],TableAvailabilities[],3,FALSE)&gt;0,"Y",""),"")</f>
        <v>Y</v>
      </c>
      <c r="I70" s="127" t="str">
        <f>IFERROR(IF(VLOOKUP(TableHandbook[[#This Row],[UDC]],TableAvailabilities[],4,FALSE)&gt;0,"Y",""),"")</f>
        <v>Y</v>
      </c>
      <c r="J70" s="128" t="str">
        <f>IFERROR(IF(VLOOKUP(TableHandbook[[#This Row],[UDC]],TableAvailabilities[],5,FALSE)&gt;0,"Y",""),"")</f>
        <v/>
      </c>
      <c r="K70" s="128" t="str">
        <f>IFERROR(IF(VLOOKUP(TableHandbook[[#This Row],[UDC]],TableAvailabilities[],6,FALSE)&gt;0,"Y",""),"")</f>
        <v/>
      </c>
      <c r="L70" s="127" t="str">
        <f>IFERROR(IF(VLOOKUP(TableHandbook[[#This Row],[UDC]],TableAvailabilities[],7,FALSE)&gt;0,"Y",""),"")</f>
        <v/>
      </c>
      <c r="M70" s="207"/>
      <c r="N70" s="204" t="str">
        <f>IFERROR(VLOOKUP(TableHandbook[[#This Row],[UDC]],TableBEDUC[],7,FALSE),"")</f>
        <v/>
      </c>
      <c r="O70" s="193" t="str">
        <f>IFERROR(VLOOKUP(TableHandbook[[#This Row],[UDC]],TableBEDEC[],7,FALSE),"")</f>
        <v>Core</v>
      </c>
      <c r="P70" s="193" t="str">
        <f>IFERROR(VLOOKUP(TableHandbook[[#This Row],[UDC]],TableBEDPR[],7,FALSE),"")</f>
        <v/>
      </c>
      <c r="Q70" s="193" t="str">
        <f>IFERROR(VLOOKUP(TableHandbook[[#This Row],[UDC]],TableSTRUCATHL[],7,FALSE),"")</f>
        <v/>
      </c>
      <c r="R70" s="193" t="str">
        <f>IFERROR(VLOOKUP(TableHandbook[[#This Row],[UDC]],TableSTRUENGLL[],7,FALSE),"")</f>
        <v/>
      </c>
      <c r="S70" s="193" t="str">
        <f>IFERROR(VLOOKUP(TableHandbook[[#This Row],[UDC]],TableSTRUINTBC[],7,FALSE),"")</f>
        <v/>
      </c>
      <c r="T70" s="193" t="str">
        <f>IFERROR(VLOOKUP(TableHandbook[[#This Row],[UDC]],TableSTRUISTEM[],7,FALSE),"")</f>
        <v/>
      </c>
      <c r="U70" s="193" t="str">
        <f>IFERROR(VLOOKUP(TableHandbook[[#This Row],[UDC]],TableSTRULITNU[],7,FALSE),"")</f>
        <v/>
      </c>
      <c r="V70" s="193" t="str">
        <f>IFERROR(VLOOKUP(TableHandbook[[#This Row],[UDC]],TableSTRUTECHS[],7,FALSE),"")</f>
        <v/>
      </c>
      <c r="W70" s="193" t="str">
        <f>IFERROR(VLOOKUP(TableHandbook[[#This Row],[UDC]],TableBEDSC[],7,FALSE),"")</f>
        <v/>
      </c>
      <c r="X70" s="193" t="str">
        <f>IFERROR(VLOOKUP(TableHandbook[[#This Row],[UDC]],TableMJRUARTDR[],7,FALSE),"")</f>
        <v/>
      </c>
      <c r="Y70" s="193" t="str">
        <f>IFERROR(VLOOKUP(TableHandbook[[#This Row],[UDC]],TableMJRUARTME[],7,FALSE),"")</f>
        <v/>
      </c>
      <c r="Z70" s="193" t="str">
        <f>IFERROR(VLOOKUP(TableHandbook[[#This Row],[UDC]],TableMJRUARTVA[],7,FALSE),"")</f>
        <v/>
      </c>
      <c r="AA70" s="193" t="str">
        <f>IFERROR(VLOOKUP(TableHandbook[[#This Row],[UDC]],TableMJRUENGLT[],7,FALSE),"")</f>
        <v/>
      </c>
      <c r="AB70" s="193" t="str">
        <f>IFERROR(VLOOKUP(TableHandbook[[#This Row],[UDC]],TableMJRUHLTPE[],7,FALSE),"")</f>
        <v/>
      </c>
      <c r="AC70" s="193" t="str">
        <f>IFERROR(VLOOKUP(TableHandbook[[#This Row],[UDC]],TableMJRUHUSEC[],7,FALSE),"")</f>
        <v/>
      </c>
      <c r="AD70" s="193" t="str">
        <f>IFERROR(VLOOKUP(TableHandbook[[#This Row],[UDC]],TableMJRUHUSGE[],7,FALSE),"")</f>
        <v/>
      </c>
      <c r="AE70" s="193" t="str">
        <f>IFERROR(VLOOKUP(TableHandbook[[#This Row],[UDC]],TableMJRUHUSHI[],7,FALSE),"")</f>
        <v/>
      </c>
      <c r="AF70" s="193" t="str">
        <f>IFERROR(VLOOKUP(TableHandbook[[#This Row],[UDC]],TableMJRUHUSPL[],7,FALSE),"")</f>
        <v/>
      </c>
      <c r="AG70" s="193" t="str">
        <f>IFERROR(VLOOKUP(TableHandbook[[#This Row],[UDC]],TableMJRUMATHT[],7,FALSE),"")</f>
        <v/>
      </c>
      <c r="AH70" s="193" t="str">
        <f>IFERROR(VLOOKUP(TableHandbook[[#This Row],[UDC]],TableMJRUSCIBI[],7,FALSE),"")</f>
        <v/>
      </c>
      <c r="AI70" s="193" t="str">
        <f>IFERROR(VLOOKUP(TableHandbook[[#This Row],[UDC]],TableMJRUSCICH[],7,FALSE),"")</f>
        <v/>
      </c>
      <c r="AJ70" s="193" t="str">
        <f>IFERROR(VLOOKUP(TableHandbook[[#This Row],[UDC]],TableMJRUSCIHB[],7,FALSE),"")</f>
        <v/>
      </c>
      <c r="AK70" s="193" t="str">
        <f>IFERROR(VLOOKUP(TableHandbook[[#This Row],[UDC]],TableMJRUSCIPH[],7,FALSE),"")</f>
        <v/>
      </c>
      <c r="AL70" s="193" t="str">
        <f>IFERROR(VLOOKUP(TableHandbook[[#This Row],[UDC]],TableMJRUSCIPS[],7,FALSE),"")</f>
        <v/>
      </c>
      <c r="AM70" s="202"/>
      <c r="AN70" s="200" t="str">
        <f>IFERROR(VLOOKUP(TableHandbook[[#This Row],[UDC]],TableSTRUBIOLB[],7,FALSE),"")</f>
        <v/>
      </c>
      <c r="AO70" s="200" t="str">
        <f>IFERROR(VLOOKUP(TableHandbook[[#This Row],[UDC]],TableSTRUBSCIM[],7,FALSE),"")</f>
        <v/>
      </c>
      <c r="AP70" s="200" t="str">
        <f>IFERROR(VLOOKUP(TableHandbook[[#This Row],[UDC]],TableSTRUCHEMB[],7,FALSE),"")</f>
        <v/>
      </c>
      <c r="AQ70" s="200" t="str">
        <f>IFERROR(VLOOKUP(TableHandbook[[#This Row],[UDC]],TableSTRUECOB1[],7,FALSE),"")</f>
        <v/>
      </c>
      <c r="AR70" s="200" t="str">
        <f>IFERROR(VLOOKUP(TableHandbook[[#This Row],[UDC]],TableSTRUEDART[],7,FALSE),"")</f>
        <v/>
      </c>
      <c r="AS70" s="200" t="str">
        <f>IFERROR(VLOOKUP(TableHandbook[[#This Row],[UDC]],TableSTRUEDENG[],7,FALSE),"")</f>
        <v/>
      </c>
      <c r="AT70" s="200" t="str">
        <f>IFERROR(VLOOKUP(TableHandbook[[#This Row],[UDC]],TableSTRUEDHAS[],7,FALSE),"")</f>
        <v/>
      </c>
      <c r="AU70" s="200" t="str">
        <f>IFERROR(VLOOKUP(TableHandbook[[#This Row],[UDC]],TableSTRUEDMAT[],7,FALSE),"")</f>
        <v/>
      </c>
      <c r="AV70" s="200" t="str">
        <f>IFERROR(VLOOKUP(TableHandbook[[#This Row],[UDC]],TableSTRUEDSCI[],7,FALSE),"")</f>
        <v/>
      </c>
      <c r="AW70" s="200" t="str">
        <f>IFERROR(VLOOKUP(TableHandbook[[#This Row],[UDC]],TableSTRUENGLB[],7,FALSE),"")</f>
        <v/>
      </c>
      <c r="AX70" s="200" t="str">
        <f>IFERROR(VLOOKUP(TableHandbook[[#This Row],[UDC]],TableSTRUENGLM[],7,FALSE),"")</f>
        <v/>
      </c>
      <c r="AY70" s="200" t="str">
        <f>IFERROR(VLOOKUP(TableHandbook[[#This Row],[UDC]],TableSTRUGEOB1[],7,FALSE),"")</f>
        <v/>
      </c>
      <c r="AZ70" s="200" t="str">
        <f>IFERROR(VLOOKUP(TableHandbook[[#This Row],[UDC]],TableSTRUHISB1[],7,FALSE),"")</f>
        <v/>
      </c>
      <c r="BA70" s="200" t="str">
        <f>IFERROR(VLOOKUP(TableHandbook[[#This Row],[UDC]],TableSTRUHUMAM[],7,FALSE),"")</f>
        <v/>
      </c>
      <c r="BB70" s="200" t="str">
        <f>IFERROR(VLOOKUP(TableHandbook[[#This Row],[UDC]],TableSTRUHUMBB[],7,FALSE),"")</f>
        <v/>
      </c>
      <c r="BC70" s="200" t="str">
        <f>IFERROR(VLOOKUP(TableHandbook[[#This Row],[UDC]],TableSTRUMATHB[],7,FALSE),"")</f>
        <v/>
      </c>
      <c r="BD70" s="200" t="str">
        <f>IFERROR(VLOOKUP(TableHandbook[[#This Row],[UDC]],TableSTRUMATHM[],7,FALSE),"")</f>
        <v/>
      </c>
      <c r="BE70" s="200" t="str">
        <f>IFERROR(VLOOKUP(TableHandbook[[#This Row],[UDC]],TableSTRUPARTB[],7,FALSE),"")</f>
        <v/>
      </c>
      <c r="BF70" s="200" t="str">
        <f>IFERROR(VLOOKUP(TableHandbook[[#This Row],[UDC]],TableSTRUPARTM[],7,FALSE),"")</f>
        <v/>
      </c>
      <c r="BG70" s="200" t="str">
        <f>IFERROR(VLOOKUP(TableHandbook[[#This Row],[UDC]],TableSTRUPOLB1[],7,FALSE),"")</f>
        <v/>
      </c>
      <c r="BH70" s="200" t="str">
        <f>IFERROR(VLOOKUP(TableHandbook[[#This Row],[UDC]],TableSTRUPSCIM[],7,FALSE),"")</f>
        <v/>
      </c>
      <c r="BI70" s="200" t="str">
        <f>IFERROR(VLOOKUP(TableHandbook[[#This Row],[UDC]],TableSTRUPSYCB[],7,FALSE),"")</f>
        <v/>
      </c>
      <c r="BJ70" s="200" t="str">
        <f>IFERROR(VLOOKUP(TableHandbook[[#This Row],[UDC]],TableSTRUPSYCM[],7,FALSE),"")</f>
        <v/>
      </c>
      <c r="BK70" s="200" t="str">
        <f>IFERROR(VLOOKUP(TableHandbook[[#This Row],[UDC]],TableSTRUSOSCM[],7,FALSE),"")</f>
        <v/>
      </c>
      <c r="BL70" s="200" t="str">
        <f>IFERROR(VLOOKUP(TableHandbook[[#This Row],[UDC]],TableSTRUVARTB[],7,FALSE),"")</f>
        <v/>
      </c>
      <c r="BM70" s="200" t="str">
        <f>IFERROR(VLOOKUP(TableHandbook[[#This Row],[UDC]],TableSTRUVARTM[],7,FALSE),"")</f>
        <v/>
      </c>
    </row>
    <row r="71" spans="1:65" x14ac:dyDescent="0.25">
      <c r="A71" s="10" t="s">
        <v>166</v>
      </c>
      <c r="B71" s="29">
        <v>1</v>
      </c>
      <c r="C71" s="10"/>
      <c r="D71" s="10" t="s">
        <v>631</v>
      </c>
      <c r="E71" s="12">
        <v>25</v>
      </c>
      <c r="F71" s="131" t="s">
        <v>544</v>
      </c>
      <c r="G71" s="126" t="str">
        <f>IFERROR(IF(VLOOKUP(TableHandbook[[#This Row],[UDC]],TableAvailabilities[],2,FALSE)&gt;0,"Y",""),"")</f>
        <v/>
      </c>
      <c r="H71" s="127" t="str">
        <f>IFERROR(IF(VLOOKUP(TableHandbook[[#This Row],[UDC]],TableAvailabilities[],3,FALSE)&gt;0,"Y",""),"")</f>
        <v/>
      </c>
      <c r="I71" s="127" t="str">
        <f>IFERROR(IF(VLOOKUP(TableHandbook[[#This Row],[UDC]],TableAvailabilities[],4,FALSE)&gt;0,"Y",""),"")</f>
        <v/>
      </c>
      <c r="J71" s="128" t="str">
        <f>IFERROR(IF(VLOOKUP(TableHandbook[[#This Row],[UDC]],TableAvailabilities[],5,FALSE)&gt;0,"Y",""),"")</f>
        <v/>
      </c>
      <c r="K71" s="128" t="str">
        <f>IFERROR(IF(VLOOKUP(TableHandbook[[#This Row],[UDC]],TableAvailabilities[],6,FALSE)&gt;0,"Y",""),"")</f>
        <v/>
      </c>
      <c r="L71" s="127" t="str">
        <f>IFERROR(IF(VLOOKUP(TableHandbook[[#This Row],[UDC]],TableAvailabilities[],7,FALSE)&gt;0,"Y",""),"")</f>
        <v/>
      </c>
      <c r="M71" s="208" t="s">
        <v>632</v>
      </c>
      <c r="N71" s="204" t="str">
        <f>IFERROR(VLOOKUP(TableHandbook[[#This Row],[UDC]],TableBEDUC[],7,FALSE),"")</f>
        <v>Option</v>
      </c>
      <c r="O71" s="193" t="str">
        <f>IFERROR(VLOOKUP(TableHandbook[[#This Row],[UDC]],TableBEDEC[],7,FALSE),"")</f>
        <v>Option</v>
      </c>
      <c r="P71" s="193" t="str">
        <f>IFERROR(VLOOKUP(TableHandbook[[#This Row],[UDC]],TableBEDPR[],7,FALSE),"")</f>
        <v/>
      </c>
      <c r="Q71" s="193" t="str">
        <f>IFERROR(VLOOKUP(TableHandbook[[#This Row],[UDC]],TableSTRUCATHL[],7,FALSE),"")</f>
        <v/>
      </c>
      <c r="R71" s="193" t="str">
        <f>IFERROR(VLOOKUP(TableHandbook[[#This Row],[UDC]],TableSTRUENGLL[],7,FALSE),"")</f>
        <v/>
      </c>
      <c r="S71" s="193" t="str">
        <f>IFERROR(VLOOKUP(TableHandbook[[#This Row],[UDC]],TableSTRUINTBC[],7,FALSE),"")</f>
        <v>Core</v>
      </c>
      <c r="T71" s="193" t="str">
        <f>IFERROR(VLOOKUP(TableHandbook[[#This Row],[UDC]],TableSTRUISTEM[],7,FALSE),"")</f>
        <v/>
      </c>
      <c r="U71" s="193" t="str">
        <f>IFERROR(VLOOKUP(TableHandbook[[#This Row],[UDC]],TableSTRULITNU[],7,FALSE),"")</f>
        <v/>
      </c>
      <c r="V71" s="193" t="str">
        <f>IFERROR(VLOOKUP(TableHandbook[[#This Row],[UDC]],TableSTRUTECHS[],7,FALSE),"")</f>
        <v/>
      </c>
      <c r="W71" s="193" t="str">
        <f>IFERROR(VLOOKUP(TableHandbook[[#This Row],[UDC]],TableBEDSC[],7,FALSE),"")</f>
        <v/>
      </c>
      <c r="X71" s="193" t="str">
        <f>IFERROR(VLOOKUP(TableHandbook[[#This Row],[UDC]],TableMJRUARTDR[],7,FALSE),"")</f>
        <v/>
      </c>
      <c r="Y71" s="193" t="str">
        <f>IFERROR(VLOOKUP(TableHandbook[[#This Row],[UDC]],TableMJRUARTME[],7,FALSE),"")</f>
        <v/>
      </c>
      <c r="Z71" s="193" t="str">
        <f>IFERROR(VLOOKUP(TableHandbook[[#This Row],[UDC]],TableMJRUARTVA[],7,FALSE),"")</f>
        <v/>
      </c>
      <c r="AA71" s="193" t="str">
        <f>IFERROR(VLOOKUP(TableHandbook[[#This Row],[UDC]],TableMJRUENGLT[],7,FALSE),"")</f>
        <v/>
      </c>
      <c r="AB71" s="193" t="str">
        <f>IFERROR(VLOOKUP(TableHandbook[[#This Row],[UDC]],TableMJRUHLTPE[],7,FALSE),"")</f>
        <v/>
      </c>
      <c r="AC71" s="193" t="str">
        <f>IFERROR(VLOOKUP(TableHandbook[[#This Row],[UDC]],TableMJRUHUSEC[],7,FALSE),"")</f>
        <v/>
      </c>
      <c r="AD71" s="193" t="str">
        <f>IFERROR(VLOOKUP(TableHandbook[[#This Row],[UDC]],TableMJRUHUSGE[],7,FALSE),"")</f>
        <v/>
      </c>
      <c r="AE71" s="193" t="str">
        <f>IFERROR(VLOOKUP(TableHandbook[[#This Row],[UDC]],TableMJRUHUSHI[],7,FALSE),"")</f>
        <v/>
      </c>
      <c r="AF71" s="193" t="str">
        <f>IFERROR(VLOOKUP(TableHandbook[[#This Row],[UDC]],TableMJRUHUSPL[],7,FALSE),"")</f>
        <v/>
      </c>
      <c r="AG71" s="193" t="str">
        <f>IFERROR(VLOOKUP(TableHandbook[[#This Row],[UDC]],TableMJRUMATHT[],7,FALSE),"")</f>
        <v/>
      </c>
      <c r="AH71" s="193" t="str">
        <f>IFERROR(VLOOKUP(TableHandbook[[#This Row],[UDC]],TableMJRUSCIBI[],7,FALSE),"")</f>
        <v/>
      </c>
      <c r="AI71" s="193" t="str">
        <f>IFERROR(VLOOKUP(TableHandbook[[#This Row],[UDC]],TableMJRUSCICH[],7,FALSE),"")</f>
        <v/>
      </c>
      <c r="AJ71" s="193" t="str">
        <f>IFERROR(VLOOKUP(TableHandbook[[#This Row],[UDC]],TableMJRUSCIHB[],7,FALSE),"")</f>
        <v/>
      </c>
      <c r="AK71" s="193" t="str">
        <f>IFERROR(VLOOKUP(TableHandbook[[#This Row],[UDC]],TableMJRUSCIPH[],7,FALSE),"")</f>
        <v/>
      </c>
      <c r="AL71" s="193" t="str">
        <f>IFERROR(VLOOKUP(TableHandbook[[#This Row],[UDC]],TableMJRUSCIPS[],7,FALSE),"")</f>
        <v/>
      </c>
      <c r="AM71" s="202"/>
      <c r="AN71" s="200" t="str">
        <f>IFERROR(VLOOKUP(TableHandbook[[#This Row],[UDC]],TableSTRUBIOLB[],7,FALSE),"")</f>
        <v>Option</v>
      </c>
      <c r="AO71" s="200" t="str">
        <f>IFERROR(VLOOKUP(TableHandbook[[#This Row],[UDC]],TableSTRUBSCIM[],7,FALSE),"")</f>
        <v/>
      </c>
      <c r="AP71" s="200" t="str">
        <f>IFERROR(VLOOKUP(TableHandbook[[#This Row],[UDC]],TableSTRUCHEMB[],7,FALSE),"")</f>
        <v>Option</v>
      </c>
      <c r="AQ71" s="200" t="str">
        <f>IFERROR(VLOOKUP(TableHandbook[[#This Row],[UDC]],TableSTRUECOB1[],7,FALSE),"")</f>
        <v>Option</v>
      </c>
      <c r="AR71" s="200" t="str">
        <f>IFERROR(VLOOKUP(TableHandbook[[#This Row],[UDC]],TableSTRUEDART[],7,FALSE),"")</f>
        <v>Option</v>
      </c>
      <c r="AS71" s="200" t="str">
        <f>IFERROR(VLOOKUP(TableHandbook[[#This Row],[UDC]],TableSTRUEDENG[],7,FALSE),"")</f>
        <v>Option</v>
      </c>
      <c r="AT71" s="200" t="str">
        <f>IFERROR(VLOOKUP(TableHandbook[[#This Row],[UDC]],TableSTRUEDHAS[],7,FALSE),"")</f>
        <v>Option</v>
      </c>
      <c r="AU71" s="200" t="str">
        <f>IFERROR(VLOOKUP(TableHandbook[[#This Row],[UDC]],TableSTRUEDMAT[],7,FALSE),"")</f>
        <v>Option</v>
      </c>
      <c r="AV71" s="200" t="str">
        <f>IFERROR(VLOOKUP(TableHandbook[[#This Row],[UDC]],TableSTRUEDSCI[],7,FALSE),"")</f>
        <v>Option</v>
      </c>
      <c r="AW71" s="200" t="str">
        <f>IFERROR(VLOOKUP(TableHandbook[[#This Row],[UDC]],TableSTRUENGLB[],7,FALSE),"")</f>
        <v>Option</v>
      </c>
      <c r="AX71" s="200" t="str">
        <f>IFERROR(VLOOKUP(TableHandbook[[#This Row],[UDC]],TableSTRUENGLM[],7,FALSE),"")</f>
        <v/>
      </c>
      <c r="AY71" s="200" t="str">
        <f>IFERROR(VLOOKUP(TableHandbook[[#This Row],[UDC]],TableSTRUGEOB1[],7,FALSE),"")</f>
        <v>Option</v>
      </c>
      <c r="AZ71" s="200" t="str">
        <f>IFERROR(VLOOKUP(TableHandbook[[#This Row],[UDC]],TableSTRUHISB1[],7,FALSE),"")</f>
        <v>Option</v>
      </c>
      <c r="BA71" s="200" t="str">
        <f>IFERROR(VLOOKUP(TableHandbook[[#This Row],[UDC]],TableSTRUHUMAM[],7,FALSE),"")</f>
        <v/>
      </c>
      <c r="BB71" s="200" t="str">
        <f>IFERROR(VLOOKUP(TableHandbook[[#This Row],[UDC]],TableSTRUHUMBB[],7,FALSE),"")</f>
        <v>Option</v>
      </c>
      <c r="BC71" s="200" t="str">
        <f>IFERROR(VLOOKUP(TableHandbook[[#This Row],[UDC]],TableSTRUMATHB[],7,FALSE),"")</f>
        <v>Option</v>
      </c>
      <c r="BD71" s="200" t="str">
        <f>IFERROR(VLOOKUP(TableHandbook[[#This Row],[UDC]],TableSTRUMATHM[],7,FALSE),"")</f>
        <v/>
      </c>
      <c r="BE71" s="200" t="str">
        <f>IFERROR(VLOOKUP(TableHandbook[[#This Row],[UDC]],TableSTRUPARTB[],7,FALSE),"")</f>
        <v>Option</v>
      </c>
      <c r="BF71" s="200" t="str">
        <f>IFERROR(VLOOKUP(TableHandbook[[#This Row],[UDC]],TableSTRUPARTM[],7,FALSE),"")</f>
        <v/>
      </c>
      <c r="BG71" s="200" t="str">
        <f>IFERROR(VLOOKUP(TableHandbook[[#This Row],[UDC]],TableSTRUPOLB1[],7,FALSE),"")</f>
        <v>Option</v>
      </c>
      <c r="BH71" s="200" t="str">
        <f>IFERROR(VLOOKUP(TableHandbook[[#This Row],[UDC]],TableSTRUPSCIM[],7,FALSE),"")</f>
        <v/>
      </c>
      <c r="BI71" s="200" t="str">
        <f>IFERROR(VLOOKUP(TableHandbook[[#This Row],[UDC]],TableSTRUPSYCB[],7,FALSE),"")</f>
        <v>Option</v>
      </c>
      <c r="BJ71" s="200" t="str">
        <f>IFERROR(VLOOKUP(TableHandbook[[#This Row],[UDC]],TableSTRUPSYCM[],7,FALSE),"")</f>
        <v/>
      </c>
      <c r="BK71" s="200" t="str">
        <f>IFERROR(VLOOKUP(TableHandbook[[#This Row],[UDC]],TableSTRUSOSCM[],7,FALSE),"")</f>
        <v/>
      </c>
      <c r="BL71" s="200" t="str">
        <f>IFERROR(VLOOKUP(TableHandbook[[#This Row],[UDC]],TableSTRUVARTB[],7,FALSE),"")</f>
        <v>Option</v>
      </c>
      <c r="BM71" s="200" t="str">
        <f>IFERROR(VLOOKUP(TableHandbook[[#This Row],[UDC]],TableSTRUVARTM[],7,FALSE),"")</f>
        <v/>
      </c>
    </row>
    <row r="72" spans="1:65" x14ac:dyDescent="0.25">
      <c r="A72" s="10" t="s">
        <v>167</v>
      </c>
      <c r="B72" s="29">
        <v>1</v>
      </c>
      <c r="C72" s="10"/>
      <c r="D72" s="10" t="s">
        <v>633</v>
      </c>
      <c r="E72" s="12">
        <v>25</v>
      </c>
      <c r="F72" s="131" t="s">
        <v>544</v>
      </c>
      <c r="G72" s="126" t="str">
        <f>IFERROR(IF(VLOOKUP(TableHandbook[[#This Row],[UDC]],TableAvailabilities[],2,FALSE)&gt;0,"Y",""),"")</f>
        <v/>
      </c>
      <c r="H72" s="127" t="str">
        <f>IFERROR(IF(VLOOKUP(TableHandbook[[#This Row],[UDC]],TableAvailabilities[],3,FALSE)&gt;0,"Y",""),"")</f>
        <v/>
      </c>
      <c r="I72" s="127" t="str">
        <f>IFERROR(IF(VLOOKUP(TableHandbook[[#This Row],[UDC]],TableAvailabilities[],4,FALSE)&gt;0,"Y",""),"")</f>
        <v/>
      </c>
      <c r="J72" s="128" t="str">
        <f>IFERROR(IF(VLOOKUP(TableHandbook[[#This Row],[UDC]],TableAvailabilities[],5,FALSE)&gt;0,"Y",""),"")</f>
        <v/>
      </c>
      <c r="K72" s="128" t="str">
        <f>IFERROR(IF(VLOOKUP(TableHandbook[[#This Row],[UDC]],TableAvailabilities[],6,FALSE)&gt;0,"Y",""),"")</f>
        <v/>
      </c>
      <c r="L72" s="127" t="str">
        <f>IFERROR(IF(VLOOKUP(TableHandbook[[#This Row],[UDC]],TableAvailabilities[],7,FALSE)&gt;0,"Y",""),"")</f>
        <v/>
      </c>
      <c r="M72" s="208" t="s">
        <v>632</v>
      </c>
      <c r="N72" s="204" t="str">
        <f>IFERROR(VLOOKUP(TableHandbook[[#This Row],[UDC]],TableBEDUC[],7,FALSE),"")</f>
        <v>Option</v>
      </c>
      <c r="O72" s="193" t="str">
        <f>IFERROR(VLOOKUP(TableHandbook[[#This Row],[UDC]],TableBEDEC[],7,FALSE),"")</f>
        <v>Option</v>
      </c>
      <c r="P72" s="193" t="str">
        <f>IFERROR(VLOOKUP(TableHandbook[[#This Row],[UDC]],TableBEDPR[],7,FALSE),"")</f>
        <v/>
      </c>
      <c r="Q72" s="193" t="str">
        <f>IFERROR(VLOOKUP(TableHandbook[[#This Row],[UDC]],TableSTRUCATHL[],7,FALSE),"")</f>
        <v/>
      </c>
      <c r="R72" s="193" t="str">
        <f>IFERROR(VLOOKUP(TableHandbook[[#This Row],[UDC]],TableSTRUENGLL[],7,FALSE),"")</f>
        <v/>
      </c>
      <c r="S72" s="193" t="str">
        <f>IFERROR(VLOOKUP(TableHandbook[[#This Row],[UDC]],TableSTRUINTBC[],7,FALSE),"")</f>
        <v>Core</v>
      </c>
      <c r="T72" s="193" t="str">
        <f>IFERROR(VLOOKUP(TableHandbook[[#This Row],[UDC]],TableSTRUISTEM[],7,FALSE),"")</f>
        <v/>
      </c>
      <c r="U72" s="193" t="str">
        <f>IFERROR(VLOOKUP(TableHandbook[[#This Row],[UDC]],TableSTRULITNU[],7,FALSE),"")</f>
        <v/>
      </c>
      <c r="V72" s="193" t="str">
        <f>IFERROR(VLOOKUP(TableHandbook[[#This Row],[UDC]],TableSTRUTECHS[],7,FALSE),"")</f>
        <v/>
      </c>
      <c r="W72" s="193" t="str">
        <f>IFERROR(VLOOKUP(TableHandbook[[#This Row],[UDC]],TableBEDSC[],7,FALSE),"")</f>
        <v/>
      </c>
      <c r="X72" s="193" t="str">
        <f>IFERROR(VLOOKUP(TableHandbook[[#This Row],[UDC]],TableMJRUARTDR[],7,FALSE),"")</f>
        <v/>
      </c>
      <c r="Y72" s="193" t="str">
        <f>IFERROR(VLOOKUP(TableHandbook[[#This Row],[UDC]],TableMJRUARTME[],7,FALSE),"")</f>
        <v/>
      </c>
      <c r="Z72" s="193" t="str">
        <f>IFERROR(VLOOKUP(TableHandbook[[#This Row],[UDC]],TableMJRUARTVA[],7,FALSE),"")</f>
        <v/>
      </c>
      <c r="AA72" s="193" t="str">
        <f>IFERROR(VLOOKUP(TableHandbook[[#This Row],[UDC]],TableMJRUENGLT[],7,FALSE),"")</f>
        <v/>
      </c>
      <c r="AB72" s="193" t="str">
        <f>IFERROR(VLOOKUP(TableHandbook[[#This Row],[UDC]],TableMJRUHLTPE[],7,FALSE),"")</f>
        <v/>
      </c>
      <c r="AC72" s="193" t="str">
        <f>IFERROR(VLOOKUP(TableHandbook[[#This Row],[UDC]],TableMJRUHUSEC[],7,FALSE),"")</f>
        <v/>
      </c>
      <c r="AD72" s="193" t="str">
        <f>IFERROR(VLOOKUP(TableHandbook[[#This Row],[UDC]],TableMJRUHUSGE[],7,FALSE),"")</f>
        <v/>
      </c>
      <c r="AE72" s="193" t="str">
        <f>IFERROR(VLOOKUP(TableHandbook[[#This Row],[UDC]],TableMJRUHUSHI[],7,FALSE),"")</f>
        <v/>
      </c>
      <c r="AF72" s="193" t="str">
        <f>IFERROR(VLOOKUP(TableHandbook[[#This Row],[UDC]],TableMJRUHUSPL[],7,FALSE),"")</f>
        <v/>
      </c>
      <c r="AG72" s="193" t="str">
        <f>IFERROR(VLOOKUP(TableHandbook[[#This Row],[UDC]],TableMJRUMATHT[],7,FALSE),"")</f>
        <v/>
      </c>
      <c r="AH72" s="193" t="str">
        <f>IFERROR(VLOOKUP(TableHandbook[[#This Row],[UDC]],TableMJRUSCIBI[],7,FALSE),"")</f>
        <v/>
      </c>
      <c r="AI72" s="193" t="str">
        <f>IFERROR(VLOOKUP(TableHandbook[[#This Row],[UDC]],TableMJRUSCICH[],7,FALSE),"")</f>
        <v/>
      </c>
      <c r="AJ72" s="193" t="str">
        <f>IFERROR(VLOOKUP(TableHandbook[[#This Row],[UDC]],TableMJRUSCIHB[],7,FALSE),"")</f>
        <v/>
      </c>
      <c r="AK72" s="193" t="str">
        <f>IFERROR(VLOOKUP(TableHandbook[[#This Row],[UDC]],TableMJRUSCIPH[],7,FALSE),"")</f>
        <v/>
      </c>
      <c r="AL72" s="193" t="str">
        <f>IFERROR(VLOOKUP(TableHandbook[[#This Row],[UDC]],TableMJRUSCIPS[],7,FALSE),"")</f>
        <v/>
      </c>
      <c r="AM72" s="202"/>
      <c r="AN72" s="200" t="str">
        <f>IFERROR(VLOOKUP(TableHandbook[[#This Row],[UDC]],TableSTRUBIOLB[],7,FALSE),"")</f>
        <v/>
      </c>
      <c r="AO72" s="200" t="str">
        <f>IFERROR(VLOOKUP(TableHandbook[[#This Row],[UDC]],TableSTRUBSCIM[],7,FALSE),"")</f>
        <v/>
      </c>
      <c r="AP72" s="200" t="str">
        <f>IFERROR(VLOOKUP(TableHandbook[[#This Row],[UDC]],TableSTRUCHEMB[],7,FALSE),"")</f>
        <v/>
      </c>
      <c r="AQ72" s="200" t="str">
        <f>IFERROR(VLOOKUP(TableHandbook[[#This Row],[UDC]],TableSTRUECOB1[],7,FALSE),"")</f>
        <v/>
      </c>
      <c r="AR72" s="200" t="str">
        <f>IFERROR(VLOOKUP(TableHandbook[[#This Row],[UDC]],TableSTRUEDART[],7,FALSE),"")</f>
        <v/>
      </c>
      <c r="AS72" s="200" t="str">
        <f>IFERROR(VLOOKUP(TableHandbook[[#This Row],[UDC]],TableSTRUEDENG[],7,FALSE),"")</f>
        <v/>
      </c>
      <c r="AT72" s="200" t="str">
        <f>IFERROR(VLOOKUP(TableHandbook[[#This Row],[UDC]],TableSTRUEDHAS[],7,FALSE),"")</f>
        <v/>
      </c>
      <c r="AU72" s="200" t="str">
        <f>IFERROR(VLOOKUP(TableHandbook[[#This Row],[UDC]],TableSTRUEDMAT[],7,FALSE),"")</f>
        <v/>
      </c>
      <c r="AV72" s="200" t="str">
        <f>IFERROR(VLOOKUP(TableHandbook[[#This Row],[UDC]],TableSTRUEDSCI[],7,FALSE),"")</f>
        <v/>
      </c>
      <c r="AW72" s="200" t="str">
        <f>IFERROR(VLOOKUP(TableHandbook[[#This Row],[UDC]],TableSTRUENGLB[],7,FALSE),"")</f>
        <v/>
      </c>
      <c r="AX72" s="200" t="str">
        <f>IFERROR(VLOOKUP(TableHandbook[[#This Row],[UDC]],TableSTRUENGLM[],7,FALSE),"")</f>
        <v/>
      </c>
      <c r="AY72" s="200" t="str">
        <f>IFERROR(VLOOKUP(TableHandbook[[#This Row],[UDC]],TableSTRUGEOB1[],7,FALSE),"")</f>
        <v/>
      </c>
      <c r="AZ72" s="200" t="str">
        <f>IFERROR(VLOOKUP(TableHandbook[[#This Row],[UDC]],TableSTRUHISB1[],7,FALSE),"")</f>
        <v/>
      </c>
      <c r="BA72" s="200" t="str">
        <f>IFERROR(VLOOKUP(TableHandbook[[#This Row],[UDC]],TableSTRUHUMAM[],7,FALSE),"")</f>
        <v/>
      </c>
      <c r="BB72" s="200" t="str">
        <f>IFERROR(VLOOKUP(TableHandbook[[#This Row],[UDC]],TableSTRUHUMBB[],7,FALSE),"")</f>
        <v/>
      </c>
      <c r="BC72" s="200" t="str">
        <f>IFERROR(VLOOKUP(TableHandbook[[#This Row],[UDC]],TableSTRUMATHB[],7,FALSE),"")</f>
        <v/>
      </c>
      <c r="BD72" s="200" t="str">
        <f>IFERROR(VLOOKUP(TableHandbook[[#This Row],[UDC]],TableSTRUMATHM[],7,FALSE),"")</f>
        <v/>
      </c>
      <c r="BE72" s="200" t="str">
        <f>IFERROR(VLOOKUP(TableHandbook[[#This Row],[UDC]],TableSTRUPARTB[],7,FALSE),"")</f>
        <v/>
      </c>
      <c r="BF72" s="200" t="str">
        <f>IFERROR(VLOOKUP(TableHandbook[[#This Row],[UDC]],TableSTRUPARTM[],7,FALSE),"")</f>
        <v/>
      </c>
      <c r="BG72" s="200" t="str">
        <f>IFERROR(VLOOKUP(TableHandbook[[#This Row],[UDC]],TableSTRUPOLB1[],7,FALSE),"")</f>
        <v/>
      </c>
      <c r="BH72" s="200" t="str">
        <f>IFERROR(VLOOKUP(TableHandbook[[#This Row],[UDC]],TableSTRUPSCIM[],7,FALSE),"")</f>
        <v/>
      </c>
      <c r="BI72" s="200" t="str">
        <f>IFERROR(VLOOKUP(TableHandbook[[#This Row],[UDC]],TableSTRUPSYCB[],7,FALSE),"")</f>
        <v/>
      </c>
      <c r="BJ72" s="200" t="str">
        <f>IFERROR(VLOOKUP(TableHandbook[[#This Row],[UDC]],TableSTRUPSYCM[],7,FALSE),"")</f>
        <v/>
      </c>
      <c r="BK72" s="200" t="str">
        <f>IFERROR(VLOOKUP(TableHandbook[[#This Row],[UDC]],TableSTRUSOSCM[],7,FALSE),"")</f>
        <v/>
      </c>
      <c r="BL72" s="200" t="str">
        <f>IFERROR(VLOOKUP(TableHandbook[[#This Row],[UDC]],TableSTRUVARTB[],7,FALSE),"")</f>
        <v/>
      </c>
      <c r="BM72" s="200" t="str">
        <f>IFERROR(VLOOKUP(TableHandbook[[#This Row],[UDC]],TableSTRUVARTM[],7,FALSE),"")</f>
        <v/>
      </c>
    </row>
    <row r="73" spans="1:65" x14ac:dyDescent="0.25">
      <c r="A73" s="10" t="s">
        <v>170</v>
      </c>
      <c r="B73" s="29">
        <v>1</v>
      </c>
      <c r="C73" s="10"/>
      <c r="D73" s="10" t="s">
        <v>634</v>
      </c>
      <c r="E73" s="12">
        <v>25</v>
      </c>
      <c r="F73" s="131" t="s">
        <v>544</v>
      </c>
      <c r="G73" s="126" t="str">
        <f>IFERROR(IF(VLOOKUP(TableHandbook[[#This Row],[UDC]],TableAvailabilities[],2,FALSE)&gt;0,"Y",""),"")</f>
        <v/>
      </c>
      <c r="H73" s="127" t="str">
        <f>IFERROR(IF(VLOOKUP(TableHandbook[[#This Row],[UDC]],TableAvailabilities[],3,FALSE)&gt;0,"Y",""),"")</f>
        <v/>
      </c>
      <c r="I73" s="127" t="str">
        <f>IFERROR(IF(VLOOKUP(TableHandbook[[#This Row],[UDC]],TableAvailabilities[],4,FALSE)&gt;0,"Y",""),"")</f>
        <v/>
      </c>
      <c r="J73" s="128" t="str">
        <f>IFERROR(IF(VLOOKUP(TableHandbook[[#This Row],[UDC]],TableAvailabilities[],5,FALSE)&gt;0,"Y",""),"")</f>
        <v/>
      </c>
      <c r="K73" s="128" t="str">
        <f>IFERROR(IF(VLOOKUP(TableHandbook[[#This Row],[UDC]],TableAvailabilities[],6,FALSE)&gt;0,"Y",""),"")</f>
        <v/>
      </c>
      <c r="L73" s="127" t="str">
        <f>IFERROR(IF(VLOOKUP(TableHandbook[[#This Row],[UDC]],TableAvailabilities[],7,FALSE)&gt;0,"Y",""),"")</f>
        <v/>
      </c>
      <c r="M73" s="208" t="s">
        <v>632</v>
      </c>
      <c r="N73" s="204" t="str">
        <f>IFERROR(VLOOKUP(TableHandbook[[#This Row],[UDC]],TableBEDUC[],7,FALSE),"")</f>
        <v>Option</v>
      </c>
      <c r="O73" s="193" t="str">
        <f>IFERROR(VLOOKUP(TableHandbook[[#This Row],[UDC]],TableBEDEC[],7,FALSE),"")</f>
        <v>Option</v>
      </c>
      <c r="P73" s="193" t="str">
        <f>IFERROR(VLOOKUP(TableHandbook[[#This Row],[UDC]],TableBEDPR[],7,FALSE),"")</f>
        <v/>
      </c>
      <c r="Q73" s="193" t="str">
        <f>IFERROR(VLOOKUP(TableHandbook[[#This Row],[UDC]],TableSTRUCATHL[],7,FALSE),"")</f>
        <v/>
      </c>
      <c r="R73" s="193" t="str">
        <f>IFERROR(VLOOKUP(TableHandbook[[#This Row],[UDC]],TableSTRUENGLL[],7,FALSE),"")</f>
        <v/>
      </c>
      <c r="S73" s="193" t="str">
        <f>IFERROR(VLOOKUP(TableHandbook[[#This Row],[UDC]],TableSTRUINTBC[],7,FALSE),"")</f>
        <v/>
      </c>
      <c r="T73" s="193" t="str">
        <f>IFERROR(VLOOKUP(TableHandbook[[#This Row],[UDC]],TableSTRUISTEM[],7,FALSE),"")</f>
        <v/>
      </c>
      <c r="U73" s="193" t="str">
        <f>IFERROR(VLOOKUP(TableHandbook[[#This Row],[UDC]],TableSTRULITNU[],7,FALSE),"")</f>
        <v/>
      </c>
      <c r="V73" s="193" t="str">
        <f>IFERROR(VLOOKUP(TableHandbook[[#This Row],[UDC]],TableSTRUTECHS[],7,FALSE),"")</f>
        <v/>
      </c>
      <c r="W73" s="193" t="str">
        <f>IFERROR(VLOOKUP(TableHandbook[[#This Row],[UDC]],TableBEDSC[],7,FALSE),"")</f>
        <v/>
      </c>
      <c r="X73" s="193" t="str">
        <f>IFERROR(VLOOKUP(TableHandbook[[#This Row],[UDC]],TableMJRUARTDR[],7,FALSE),"")</f>
        <v/>
      </c>
      <c r="Y73" s="193" t="str">
        <f>IFERROR(VLOOKUP(TableHandbook[[#This Row],[UDC]],TableMJRUARTME[],7,FALSE),"")</f>
        <v/>
      </c>
      <c r="Z73" s="193" t="str">
        <f>IFERROR(VLOOKUP(TableHandbook[[#This Row],[UDC]],TableMJRUARTVA[],7,FALSE),"")</f>
        <v/>
      </c>
      <c r="AA73" s="193" t="str">
        <f>IFERROR(VLOOKUP(TableHandbook[[#This Row],[UDC]],TableMJRUENGLT[],7,FALSE),"")</f>
        <v/>
      </c>
      <c r="AB73" s="193" t="str">
        <f>IFERROR(VLOOKUP(TableHandbook[[#This Row],[UDC]],TableMJRUHLTPE[],7,FALSE),"")</f>
        <v/>
      </c>
      <c r="AC73" s="193" t="str">
        <f>IFERROR(VLOOKUP(TableHandbook[[#This Row],[UDC]],TableMJRUHUSEC[],7,FALSE),"")</f>
        <v/>
      </c>
      <c r="AD73" s="193" t="str">
        <f>IFERROR(VLOOKUP(TableHandbook[[#This Row],[UDC]],TableMJRUHUSGE[],7,FALSE),"")</f>
        <v/>
      </c>
      <c r="AE73" s="193" t="str">
        <f>IFERROR(VLOOKUP(TableHandbook[[#This Row],[UDC]],TableMJRUHUSHI[],7,FALSE),"")</f>
        <v/>
      </c>
      <c r="AF73" s="193" t="str">
        <f>IFERROR(VLOOKUP(TableHandbook[[#This Row],[UDC]],TableMJRUHUSPL[],7,FALSE),"")</f>
        <v/>
      </c>
      <c r="AG73" s="193" t="str">
        <f>IFERROR(VLOOKUP(TableHandbook[[#This Row],[UDC]],TableMJRUMATHT[],7,FALSE),"")</f>
        <v/>
      </c>
      <c r="AH73" s="193" t="str">
        <f>IFERROR(VLOOKUP(TableHandbook[[#This Row],[UDC]],TableMJRUSCIBI[],7,FALSE),"")</f>
        <v/>
      </c>
      <c r="AI73" s="193" t="str">
        <f>IFERROR(VLOOKUP(TableHandbook[[#This Row],[UDC]],TableMJRUSCICH[],7,FALSE),"")</f>
        <v/>
      </c>
      <c r="AJ73" s="193" t="str">
        <f>IFERROR(VLOOKUP(TableHandbook[[#This Row],[UDC]],TableMJRUSCIHB[],7,FALSE),"")</f>
        <v/>
      </c>
      <c r="AK73" s="193" t="str">
        <f>IFERROR(VLOOKUP(TableHandbook[[#This Row],[UDC]],TableMJRUSCIPH[],7,FALSE),"")</f>
        <v/>
      </c>
      <c r="AL73" s="193" t="str">
        <f>IFERROR(VLOOKUP(TableHandbook[[#This Row],[UDC]],TableMJRUSCIPS[],7,FALSE),"")</f>
        <v/>
      </c>
      <c r="AM73" s="202"/>
      <c r="AN73" s="200" t="str">
        <f>IFERROR(VLOOKUP(TableHandbook[[#This Row],[UDC]],TableSTRUBIOLB[],7,FALSE),"")</f>
        <v>Option</v>
      </c>
      <c r="AO73" s="200" t="str">
        <f>IFERROR(VLOOKUP(TableHandbook[[#This Row],[UDC]],TableSTRUBSCIM[],7,FALSE),"")</f>
        <v/>
      </c>
      <c r="AP73" s="200" t="str">
        <f>IFERROR(VLOOKUP(TableHandbook[[#This Row],[UDC]],TableSTRUCHEMB[],7,FALSE),"")</f>
        <v>Option</v>
      </c>
      <c r="AQ73" s="200" t="str">
        <f>IFERROR(VLOOKUP(TableHandbook[[#This Row],[UDC]],TableSTRUECOB1[],7,FALSE),"")</f>
        <v>Option</v>
      </c>
      <c r="AR73" s="200" t="str">
        <f>IFERROR(VLOOKUP(TableHandbook[[#This Row],[UDC]],TableSTRUEDART[],7,FALSE),"")</f>
        <v>Option</v>
      </c>
      <c r="AS73" s="200" t="str">
        <f>IFERROR(VLOOKUP(TableHandbook[[#This Row],[UDC]],TableSTRUEDENG[],7,FALSE),"")</f>
        <v>Option</v>
      </c>
      <c r="AT73" s="200" t="str">
        <f>IFERROR(VLOOKUP(TableHandbook[[#This Row],[UDC]],TableSTRUEDHAS[],7,FALSE),"")</f>
        <v>Option</v>
      </c>
      <c r="AU73" s="200" t="str">
        <f>IFERROR(VLOOKUP(TableHandbook[[#This Row],[UDC]],TableSTRUEDMAT[],7,FALSE),"")</f>
        <v>Option</v>
      </c>
      <c r="AV73" s="200" t="str">
        <f>IFERROR(VLOOKUP(TableHandbook[[#This Row],[UDC]],TableSTRUEDSCI[],7,FALSE),"")</f>
        <v>Option</v>
      </c>
      <c r="AW73" s="200" t="str">
        <f>IFERROR(VLOOKUP(TableHandbook[[#This Row],[UDC]],TableSTRUENGLB[],7,FALSE),"")</f>
        <v>Option</v>
      </c>
      <c r="AX73" s="200" t="str">
        <f>IFERROR(VLOOKUP(TableHandbook[[#This Row],[UDC]],TableSTRUENGLM[],7,FALSE),"")</f>
        <v/>
      </c>
      <c r="AY73" s="200" t="str">
        <f>IFERROR(VLOOKUP(TableHandbook[[#This Row],[UDC]],TableSTRUGEOB1[],7,FALSE),"")</f>
        <v>Option</v>
      </c>
      <c r="AZ73" s="200" t="str">
        <f>IFERROR(VLOOKUP(TableHandbook[[#This Row],[UDC]],TableSTRUHISB1[],7,FALSE),"")</f>
        <v>Option</v>
      </c>
      <c r="BA73" s="200" t="str">
        <f>IFERROR(VLOOKUP(TableHandbook[[#This Row],[UDC]],TableSTRUHUMAM[],7,FALSE),"")</f>
        <v/>
      </c>
      <c r="BB73" s="200" t="str">
        <f>IFERROR(VLOOKUP(TableHandbook[[#This Row],[UDC]],TableSTRUHUMBB[],7,FALSE),"")</f>
        <v>Option</v>
      </c>
      <c r="BC73" s="200" t="str">
        <f>IFERROR(VLOOKUP(TableHandbook[[#This Row],[UDC]],TableSTRUMATHB[],7,FALSE),"")</f>
        <v>Option</v>
      </c>
      <c r="BD73" s="200" t="str">
        <f>IFERROR(VLOOKUP(TableHandbook[[#This Row],[UDC]],TableSTRUMATHM[],7,FALSE),"")</f>
        <v/>
      </c>
      <c r="BE73" s="200" t="str">
        <f>IFERROR(VLOOKUP(TableHandbook[[#This Row],[UDC]],TableSTRUPARTB[],7,FALSE),"")</f>
        <v>Option</v>
      </c>
      <c r="BF73" s="200" t="str">
        <f>IFERROR(VLOOKUP(TableHandbook[[#This Row],[UDC]],TableSTRUPARTM[],7,FALSE),"")</f>
        <v/>
      </c>
      <c r="BG73" s="200" t="str">
        <f>IFERROR(VLOOKUP(TableHandbook[[#This Row],[UDC]],TableSTRUPOLB1[],7,FALSE),"")</f>
        <v>Option</v>
      </c>
      <c r="BH73" s="200" t="str">
        <f>IFERROR(VLOOKUP(TableHandbook[[#This Row],[UDC]],TableSTRUPSCIM[],7,FALSE),"")</f>
        <v/>
      </c>
      <c r="BI73" s="200" t="str">
        <f>IFERROR(VLOOKUP(TableHandbook[[#This Row],[UDC]],TableSTRUPSYCB[],7,FALSE),"")</f>
        <v>Option</v>
      </c>
      <c r="BJ73" s="200" t="str">
        <f>IFERROR(VLOOKUP(TableHandbook[[#This Row],[UDC]],TableSTRUPSYCM[],7,FALSE),"")</f>
        <v/>
      </c>
      <c r="BK73" s="200" t="str">
        <f>IFERROR(VLOOKUP(TableHandbook[[#This Row],[UDC]],TableSTRUSOSCM[],7,FALSE),"")</f>
        <v/>
      </c>
      <c r="BL73" s="200" t="str">
        <f>IFERROR(VLOOKUP(TableHandbook[[#This Row],[UDC]],TableSTRUVARTB[],7,FALSE),"")</f>
        <v>Option</v>
      </c>
      <c r="BM73" s="200" t="str">
        <f>IFERROR(VLOOKUP(TableHandbook[[#This Row],[UDC]],TableSTRUVARTM[],7,FALSE),"")</f>
        <v/>
      </c>
    </row>
    <row r="74" spans="1:65" x14ac:dyDescent="0.25">
      <c r="A74" s="10" t="s">
        <v>168</v>
      </c>
      <c r="B74" s="29">
        <v>1</v>
      </c>
      <c r="C74" s="10"/>
      <c r="D74" s="10" t="s">
        <v>635</v>
      </c>
      <c r="E74" s="12">
        <v>25</v>
      </c>
      <c r="F74" s="131" t="s">
        <v>636</v>
      </c>
      <c r="G74" s="126" t="str">
        <f>IFERROR(IF(VLOOKUP(TableHandbook[[#This Row],[UDC]],TableAvailabilities[],2,FALSE)&gt;0,"Y",""),"")</f>
        <v/>
      </c>
      <c r="H74" s="127" t="str">
        <f>IFERROR(IF(VLOOKUP(TableHandbook[[#This Row],[UDC]],TableAvailabilities[],3,FALSE)&gt;0,"Y",""),"")</f>
        <v/>
      </c>
      <c r="I74" s="127" t="str">
        <f>IFERROR(IF(VLOOKUP(TableHandbook[[#This Row],[UDC]],TableAvailabilities[],4,FALSE)&gt;0,"Y",""),"")</f>
        <v/>
      </c>
      <c r="J74" s="128" t="str">
        <f>IFERROR(IF(VLOOKUP(TableHandbook[[#This Row],[UDC]],TableAvailabilities[],5,FALSE)&gt;0,"Y",""),"")</f>
        <v/>
      </c>
      <c r="K74" s="128" t="str">
        <f>IFERROR(IF(VLOOKUP(TableHandbook[[#This Row],[UDC]],TableAvailabilities[],6,FALSE)&gt;0,"Y",""),"")</f>
        <v/>
      </c>
      <c r="L74" s="127" t="str">
        <f>IFERROR(IF(VLOOKUP(TableHandbook[[#This Row],[UDC]],TableAvailabilities[],7,FALSE)&gt;0,"Y",""),"")</f>
        <v/>
      </c>
      <c r="M74" s="208" t="s">
        <v>632</v>
      </c>
      <c r="N74" s="204" t="str">
        <f>IFERROR(VLOOKUP(TableHandbook[[#This Row],[UDC]],TableBEDUC[],7,FALSE),"")</f>
        <v/>
      </c>
      <c r="O74" s="193" t="str">
        <f>IFERROR(VLOOKUP(TableHandbook[[#This Row],[UDC]],TableBEDEC[],7,FALSE),"")</f>
        <v/>
      </c>
      <c r="P74" s="193" t="str">
        <f>IFERROR(VLOOKUP(TableHandbook[[#This Row],[UDC]],TableBEDPR[],7,FALSE),"")</f>
        <v/>
      </c>
      <c r="Q74" s="193" t="str">
        <f>IFERROR(VLOOKUP(TableHandbook[[#This Row],[UDC]],TableSTRUCATHL[],7,FALSE),"")</f>
        <v/>
      </c>
      <c r="R74" s="193" t="str">
        <f>IFERROR(VLOOKUP(TableHandbook[[#This Row],[UDC]],TableSTRUENGLL[],7,FALSE),"")</f>
        <v/>
      </c>
      <c r="S74" s="193" t="str">
        <f>IFERROR(VLOOKUP(TableHandbook[[#This Row],[UDC]],TableSTRUINTBC[],7,FALSE),"")</f>
        <v>Core</v>
      </c>
      <c r="T74" s="193" t="str">
        <f>IFERROR(VLOOKUP(TableHandbook[[#This Row],[UDC]],TableSTRUISTEM[],7,FALSE),"")</f>
        <v/>
      </c>
      <c r="U74" s="193" t="str">
        <f>IFERROR(VLOOKUP(TableHandbook[[#This Row],[UDC]],TableSTRULITNU[],7,FALSE),"")</f>
        <v/>
      </c>
      <c r="V74" s="193" t="str">
        <f>IFERROR(VLOOKUP(TableHandbook[[#This Row],[UDC]],TableSTRUTECHS[],7,FALSE),"")</f>
        <v/>
      </c>
      <c r="W74" s="193" t="str">
        <f>IFERROR(VLOOKUP(TableHandbook[[#This Row],[UDC]],TableBEDSC[],7,FALSE),"")</f>
        <v/>
      </c>
      <c r="X74" s="193" t="str">
        <f>IFERROR(VLOOKUP(TableHandbook[[#This Row],[UDC]],TableMJRUARTDR[],7,FALSE),"")</f>
        <v/>
      </c>
      <c r="Y74" s="193" t="str">
        <f>IFERROR(VLOOKUP(TableHandbook[[#This Row],[UDC]],TableMJRUARTME[],7,FALSE),"")</f>
        <v/>
      </c>
      <c r="Z74" s="193" t="str">
        <f>IFERROR(VLOOKUP(TableHandbook[[#This Row],[UDC]],TableMJRUARTVA[],7,FALSE),"")</f>
        <v/>
      </c>
      <c r="AA74" s="193" t="str">
        <f>IFERROR(VLOOKUP(TableHandbook[[#This Row],[UDC]],TableMJRUENGLT[],7,FALSE),"")</f>
        <v/>
      </c>
      <c r="AB74" s="193" t="str">
        <f>IFERROR(VLOOKUP(TableHandbook[[#This Row],[UDC]],TableMJRUHLTPE[],7,FALSE),"")</f>
        <v/>
      </c>
      <c r="AC74" s="193" t="str">
        <f>IFERROR(VLOOKUP(TableHandbook[[#This Row],[UDC]],TableMJRUHUSEC[],7,FALSE),"")</f>
        <v/>
      </c>
      <c r="AD74" s="193" t="str">
        <f>IFERROR(VLOOKUP(TableHandbook[[#This Row],[UDC]],TableMJRUHUSGE[],7,FALSE),"")</f>
        <v/>
      </c>
      <c r="AE74" s="193" t="str">
        <f>IFERROR(VLOOKUP(TableHandbook[[#This Row],[UDC]],TableMJRUHUSHI[],7,FALSE),"")</f>
        <v/>
      </c>
      <c r="AF74" s="193" t="str">
        <f>IFERROR(VLOOKUP(TableHandbook[[#This Row],[UDC]],TableMJRUHUSPL[],7,FALSE),"")</f>
        <v/>
      </c>
      <c r="AG74" s="193" t="str">
        <f>IFERROR(VLOOKUP(TableHandbook[[#This Row],[UDC]],TableMJRUMATHT[],7,FALSE),"")</f>
        <v/>
      </c>
      <c r="AH74" s="193" t="str">
        <f>IFERROR(VLOOKUP(TableHandbook[[#This Row],[UDC]],TableMJRUSCIBI[],7,FALSE),"")</f>
        <v/>
      </c>
      <c r="AI74" s="193" t="str">
        <f>IFERROR(VLOOKUP(TableHandbook[[#This Row],[UDC]],TableMJRUSCICH[],7,FALSE),"")</f>
        <v/>
      </c>
      <c r="AJ74" s="193" t="str">
        <f>IFERROR(VLOOKUP(TableHandbook[[#This Row],[UDC]],TableMJRUSCIHB[],7,FALSE),"")</f>
        <v/>
      </c>
      <c r="AK74" s="193" t="str">
        <f>IFERROR(VLOOKUP(TableHandbook[[#This Row],[UDC]],TableMJRUSCIPH[],7,FALSE),"")</f>
        <v/>
      </c>
      <c r="AL74" s="193" t="str">
        <f>IFERROR(VLOOKUP(TableHandbook[[#This Row],[UDC]],TableMJRUSCIPS[],7,FALSE),"")</f>
        <v/>
      </c>
      <c r="AM74" s="202"/>
      <c r="AN74" s="200" t="str">
        <f>IFERROR(VLOOKUP(TableHandbook[[#This Row],[UDC]],TableSTRUBIOLB[],7,FALSE),"")</f>
        <v>Option</v>
      </c>
      <c r="AO74" s="200" t="str">
        <f>IFERROR(VLOOKUP(TableHandbook[[#This Row],[UDC]],TableSTRUBSCIM[],7,FALSE),"")</f>
        <v/>
      </c>
      <c r="AP74" s="200" t="str">
        <f>IFERROR(VLOOKUP(TableHandbook[[#This Row],[UDC]],TableSTRUCHEMB[],7,FALSE),"")</f>
        <v>Option</v>
      </c>
      <c r="AQ74" s="200" t="str">
        <f>IFERROR(VLOOKUP(TableHandbook[[#This Row],[UDC]],TableSTRUECOB1[],7,FALSE),"")</f>
        <v>Option</v>
      </c>
      <c r="AR74" s="200" t="str">
        <f>IFERROR(VLOOKUP(TableHandbook[[#This Row],[UDC]],TableSTRUEDART[],7,FALSE),"")</f>
        <v>Option</v>
      </c>
      <c r="AS74" s="200" t="str">
        <f>IFERROR(VLOOKUP(TableHandbook[[#This Row],[UDC]],TableSTRUEDENG[],7,FALSE),"")</f>
        <v>Option</v>
      </c>
      <c r="AT74" s="200" t="str">
        <f>IFERROR(VLOOKUP(TableHandbook[[#This Row],[UDC]],TableSTRUEDHAS[],7,FALSE),"")</f>
        <v>Option</v>
      </c>
      <c r="AU74" s="200" t="str">
        <f>IFERROR(VLOOKUP(TableHandbook[[#This Row],[UDC]],TableSTRUEDMAT[],7,FALSE),"")</f>
        <v>Option</v>
      </c>
      <c r="AV74" s="200" t="str">
        <f>IFERROR(VLOOKUP(TableHandbook[[#This Row],[UDC]],TableSTRUEDSCI[],7,FALSE),"")</f>
        <v>Option</v>
      </c>
      <c r="AW74" s="200" t="str">
        <f>IFERROR(VLOOKUP(TableHandbook[[#This Row],[UDC]],TableSTRUENGLB[],7,FALSE),"")</f>
        <v>Option</v>
      </c>
      <c r="AX74" s="200" t="str">
        <f>IFERROR(VLOOKUP(TableHandbook[[#This Row],[UDC]],TableSTRUENGLM[],7,FALSE),"")</f>
        <v/>
      </c>
      <c r="AY74" s="200" t="str">
        <f>IFERROR(VLOOKUP(TableHandbook[[#This Row],[UDC]],TableSTRUGEOB1[],7,FALSE),"")</f>
        <v>Option</v>
      </c>
      <c r="AZ74" s="200" t="str">
        <f>IFERROR(VLOOKUP(TableHandbook[[#This Row],[UDC]],TableSTRUHISB1[],7,FALSE),"")</f>
        <v>Option</v>
      </c>
      <c r="BA74" s="200" t="str">
        <f>IFERROR(VLOOKUP(TableHandbook[[#This Row],[UDC]],TableSTRUHUMAM[],7,FALSE),"")</f>
        <v/>
      </c>
      <c r="BB74" s="200" t="str">
        <f>IFERROR(VLOOKUP(TableHandbook[[#This Row],[UDC]],TableSTRUHUMBB[],7,FALSE),"")</f>
        <v>Option</v>
      </c>
      <c r="BC74" s="200" t="str">
        <f>IFERROR(VLOOKUP(TableHandbook[[#This Row],[UDC]],TableSTRUMATHB[],7,FALSE),"")</f>
        <v>Option</v>
      </c>
      <c r="BD74" s="200" t="str">
        <f>IFERROR(VLOOKUP(TableHandbook[[#This Row],[UDC]],TableSTRUMATHM[],7,FALSE),"")</f>
        <v/>
      </c>
      <c r="BE74" s="200" t="str">
        <f>IFERROR(VLOOKUP(TableHandbook[[#This Row],[UDC]],TableSTRUPARTB[],7,FALSE),"")</f>
        <v>Option</v>
      </c>
      <c r="BF74" s="200" t="str">
        <f>IFERROR(VLOOKUP(TableHandbook[[#This Row],[UDC]],TableSTRUPARTM[],7,FALSE),"")</f>
        <v/>
      </c>
      <c r="BG74" s="200" t="str">
        <f>IFERROR(VLOOKUP(TableHandbook[[#This Row],[UDC]],TableSTRUPOLB1[],7,FALSE),"")</f>
        <v>Option</v>
      </c>
      <c r="BH74" s="200" t="str">
        <f>IFERROR(VLOOKUP(TableHandbook[[#This Row],[UDC]],TableSTRUPSCIM[],7,FALSE),"")</f>
        <v/>
      </c>
      <c r="BI74" s="200" t="str">
        <f>IFERROR(VLOOKUP(TableHandbook[[#This Row],[UDC]],TableSTRUPSYCB[],7,FALSE),"")</f>
        <v>Option</v>
      </c>
      <c r="BJ74" s="200" t="str">
        <f>IFERROR(VLOOKUP(TableHandbook[[#This Row],[UDC]],TableSTRUPSYCM[],7,FALSE),"")</f>
        <v/>
      </c>
      <c r="BK74" s="200" t="str">
        <f>IFERROR(VLOOKUP(TableHandbook[[#This Row],[UDC]],TableSTRUSOSCM[],7,FALSE),"")</f>
        <v/>
      </c>
      <c r="BL74" s="200" t="str">
        <f>IFERROR(VLOOKUP(TableHandbook[[#This Row],[UDC]],TableSTRUVARTB[],7,FALSE),"")</f>
        <v>Option</v>
      </c>
      <c r="BM74" s="200" t="str">
        <f>IFERROR(VLOOKUP(TableHandbook[[#This Row],[UDC]],TableSTRUVARTM[],7,FALSE),"")</f>
        <v/>
      </c>
    </row>
    <row r="75" spans="1:65" x14ac:dyDescent="0.25">
      <c r="A75" s="11" t="s">
        <v>93</v>
      </c>
      <c r="B75" s="12">
        <v>1</v>
      </c>
      <c r="C75" s="11"/>
      <c r="D75" s="11" t="s">
        <v>637</v>
      </c>
      <c r="E75" s="12">
        <v>25</v>
      </c>
      <c r="F75" s="131" t="s">
        <v>607</v>
      </c>
      <c r="G75" s="126" t="str">
        <f>IFERROR(IF(VLOOKUP(TableHandbook[[#This Row],[UDC]],TableAvailabilities[],2,FALSE)&gt;0,"Y",""),"")</f>
        <v/>
      </c>
      <c r="H75" s="127" t="str">
        <f>IFERROR(IF(VLOOKUP(TableHandbook[[#This Row],[UDC]],TableAvailabilities[],3,FALSE)&gt;0,"Y",""),"")</f>
        <v/>
      </c>
      <c r="I75" s="127" t="str">
        <f>IFERROR(IF(VLOOKUP(TableHandbook[[#This Row],[UDC]],TableAvailabilities[],4,FALSE)&gt;0,"Y",""),"")</f>
        <v/>
      </c>
      <c r="J75" s="128" t="str">
        <f>IFERROR(IF(VLOOKUP(TableHandbook[[#This Row],[UDC]],TableAvailabilities[],5,FALSE)&gt;0,"Y",""),"")</f>
        <v>Y</v>
      </c>
      <c r="K75" s="128" t="str">
        <f>IFERROR(IF(VLOOKUP(TableHandbook[[#This Row],[UDC]],TableAvailabilities[],6,FALSE)&gt;0,"Y",""),"")</f>
        <v>Y</v>
      </c>
      <c r="L75" s="127" t="str">
        <f>IFERROR(IF(VLOOKUP(TableHandbook[[#This Row],[UDC]],TableAvailabilities[],7,FALSE)&gt;0,"Y",""),"")</f>
        <v>Y</v>
      </c>
      <c r="M75" s="207"/>
      <c r="N75" s="204" t="str">
        <f>IFERROR(VLOOKUP(TableHandbook[[#This Row],[UDC]],TableBEDUC[],7,FALSE),"")</f>
        <v>Core</v>
      </c>
      <c r="O75" s="193" t="str">
        <f>IFERROR(VLOOKUP(TableHandbook[[#This Row],[UDC]],TableBEDEC[],7,FALSE),"")</f>
        <v>Option</v>
      </c>
      <c r="P75" s="193" t="str">
        <f>IFERROR(VLOOKUP(TableHandbook[[#This Row],[UDC]],TableBEDPR[],7,FALSE),"")</f>
        <v>Core</v>
      </c>
      <c r="Q75" s="193" t="str">
        <f>IFERROR(VLOOKUP(TableHandbook[[#This Row],[UDC]],TableSTRUCATHL[],7,FALSE),"")</f>
        <v/>
      </c>
      <c r="R75" s="193" t="str">
        <f>IFERROR(VLOOKUP(TableHandbook[[#This Row],[UDC]],TableSTRUENGLL[],7,FALSE),"")</f>
        <v/>
      </c>
      <c r="S75" s="193" t="str">
        <f>IFERROR(VLOOKUP(TableHandbook[[#This Row],[UDC]],TableSTRUINTBC[],7,FALSE),"")</f>
        <v/>
      </c>
      <c r="T75" s="193" t="str">
        <f>IFERROR(VLOOKUP(TableHandbook[[#This Row],[UDC]],TableSTRUISTEM[],7,FALSE),"")</f>
        <v/>
      </c>
      <c r="U75" s="193" t="str">
        <f>IFERROR(VLOOKUP(TableHandbook[[#This Row],[UDC]],TableSTRULITNU[],7,FALSE),"")</f>
        <v/>
      </c>
      <c r="V75" s="193" t="str">
        <f>IFERROR(VLOOKUP(TableHandbook[[#This Row],[UDC]],TableSTRUTECHS[],7,FALSE),"")</f>
        <v/>
      </c>
      <c r="W75" s="193" t="str">
        <f>IFERROR(VLOOKUP(TableHandbook[[#This Row],[UDC]],TableBEDSC[],7,FALSE),"")</f>
        <v/>
      </c>
      <c r="X75" s="193" t="str">
        <f>IFERROR(VLOOKUP(TableHandbook[[#This Row],[UDC]],TableMJRUARTDR[],7,FALSE),"")</f>
        <v/>
      </c>
      <c r="Y75" s="193" t="str">
        <f>IFERROR(VLOOKUP(TableHandbook[[#This Row],[UDC]],TableMJRUARTME[],7,FALSE),"")</f>
        <v/>
      </c>
      <c r="Z75" s="193" t="str">
        <f>IFERROR(VLOOKUP(TableHandbook[[#This Row],[UDC]],TableMJRUARTVA[],7,FALSE),"")</f>
        <v/>
      </c>
      <c r="AA75" s="193" t="str">
        <f>IFERROR(VLOOKUP(TableHandbook[[#This Row],[UDC]],TableMJRUENGLT[],7,FALSE),"")</f>
        <v/>
      </c>
      <c r="AB75" s="193" t="str">
        <f>IFERROR(VLOOKUP(TableHandbook[[#This Row],[UDC]],TableMJRUHLTPE[],7,FALSE),"")</f>
        <v/>
      </c>
      <c r="AC75" s="193" t="str">
        <f>IFERROR(VLOOKUP(TableHandbook[[#This Row],[UDC]],TableMJRUHUSEC[],7,FALSE),"")</f>
        <v/>
      </c>
      <c r="AD75" s="193" t="str">
        <f>IFERROR(VLOOKUP(TableHandbook[[#This Row],[UDC]],TableMJRUHUSGE[],7,FALSE),"")</f>
        <v/>
      </c>
      <c r="AE75" s="193" t="str">
        <f>IFERROR(VLOOKUP(TableHandbook[[#This Row],[UDC]],TableMJRUHUSHI[],7,FALSE),"")</f>
        <v/>
      </c>
      <c r="AF75" s="193" t="str">
        <f>IFERROR(VLOOKUP(TableHandbook[[#This Row],[UDC]],TableMJRUHUSPL[],7,FALSE),"")</f>
        <v/>
      </c>
      <c r="AG75" s="193" t="str">
        <f>IFERROR(VLOOKUP(TableHandbook[[#This Row],[UDC]],TableMJRUMATHT[],7,FALSE),"")</f>
        <v/>
      </c>
      <c r="AH75" s="193" t="str">
        <f>IFERROR(VLOOKUP(TableHandbook[[#This Row],[UDC]],TableMJRUSCIBI[],7,FALSE),"")</f>
        <v/>
      </c>
      <c r="AI75" s="193" t="str">
        <f>IFERROR(VLOOKUP(TableHandbook[[#This Row],[UDC]],TableMJRUSCICH[],7,FALSE),"")</f>
        <v/>
      </c>
      <c r="AJ75" s="193" t="str">
        <f>IFERROR(VLOOKUP(TableHandbook[[#This Row],[UDC]],TableMJRUSCIHB[],7,FALSE),"")</f>
        <v/>
      </c>
      <c r="AK75" s="193" t="str">
        <f>IFERROR(VLOOKUP(TableHandbook[[#This Row],[UDC]],TableMJRUSCIPH[],7,FALSE),"")</f>
        <v/>
      </c>
      <c r="AL75" s="193" t="str">
        <f>IFERROR(VLOOKUP(TableHandbook[[#This Row],[UDC]],TableMJRUSCIPS[],7,FALSE),"")</f>
        <v/>
      </c>
      <c r="AM75" s="202"/>
      <c r="AN75" s="200" t="str">
        <f>IFERROR(VLOOKUP(TableHandbook[[#This Row],[UDC]],TableSTRUBIOLB[],7,FALSE),"")</f>
        <v>Core</v>
      </c>
      <c r="AO75" s="200" t="str">
        <f>IFERROR(VLOOKUP(TableHandbook[[#This Row],[UDC]],TableSTRUBSCIM[],7,FALSE),"")</f>
        <v/>
      </c>
      <c r="AP75" s="200" t="str">
        <f>IFERROR(VLOOKUP(TableHandbook[[#This Row],[UDC]],TableSTRUCHEMB[],7,FALSE),"")</f>
        <v>Core</v>
      </c>
      <c r="AQ75" s="200" t="str">
        <f>IFERROR(VLOOKUP(TableHandbook[[#This Row],[UDC]],TableSTRUECOB1[],7,FALSE),"")</f>
        <v/>
      </c>
      <c r="AR75" s="200" t="str">
        <f>IFERROR(VLOOKUP(TableHandbook[[#This Row],[UDC]],TableSTRUEDART[],7,FALSE),"")</f>
        <v/>
      </c>
      <c r="AS75" s="200" t="str">
        <f>IFERROR(VLOOKUP(TableHandbook[[#This Row],[UDC]],TableSTRUEDENG[],7,FALSE),"")</f>
        <v/>
      </c>
      <c r="AT75" s="200" t="str">
        <f>IFERROR(VLOOKUP(TableHandbook[[#This Row],[UDC]],TableSTRUEDHAS[],7,FALSE),"")</f>
        <v/>
      </c>
      <c r="AU75" s="200" t="str">
        <f>IFERROR(VLOOKUP(TableHandbook[[#This Row],[UDC]],TableSTRUEDMAT[],7,FALSE),"")</f>
        <v/>
      </c>
      <c r="AV75" s="200" t="str">
        <f>IFERROR(VLOOKUP(TableHandbook[[#This Row],[UDC]],TableSTRUEDSCI[],7,FALSE),"")</f>
        <v>Core</v>
      </c>
      <c r="AW75" s="200" t="str">
        <f>IFERROR(VLOOKUP(TableHandbook[[#This Row],[UDC]],TableSTRUENGLB[],7,FALSE),"")</f>
        <v/>
      </c>
      <c r="AX75" s="200" t="str">
        <f>IFERROR(VLOOKUP(TableHandbook[[#This Row],[UDC]],TableSTRUENGLM[],7,FALSE),"")</f>
        <v/>
      </c>
      <c r="AY75" s="200" t="str">
        <f>IFERROR(VLOOKUP(TableHandbook[[#This Row],[UDC]],TableSTRUGEOB1[],7,FALSE),"")</f>
        <v/>
      </c>
      <c r="AZ75" s="200" t="str">
        <f>IFERROR(VLOOKUP(TableHandbook[[#This Row],[UDC]],TableSTRUHISB1[],7,FALSE),"")</f>
        <v/>
      </c>
      <c r="BA75" s="200" t="str">
        <f>IFERROR(VLOOKUP(TableHandbook[[#This Row],[UDC]],TableSTRUHUMAM[],7,FALSE),"")</f>
        <v/>
      </c>
      <c r="BB75" s="200" t="str">
        <f>IFERROR(VLOOKUP(TableHandbook[[#This Row],[UDC]],TableSTRUHUMBB[],7,FALSE),"")</f>
        <v>Core</v>
      </c>
      <c r="BC75" s="200" t="str">
        <f>IFERROR(VLOOKUP(TableHandbook[[#This Row],[UDC]],TableSTRUMATHB[],7,FALSE),"")</f>
        <v/>
      </c>
      <c r="BD75" s="200" t="str">
        <f>IFERROR(VLOOKUP(TableHandbook[[#This Row],[UDC]],TableSTRUMATHM[],7,FALSE),"")</f>
        <v/>
      </c>
      <c r="BE75" s="200" t="str">
        <f>IFERROR(VLOOKUP(TableHandbook[[#This Row],[UDC]],TableSTRUPARTB[],7,FALSE),"")</f>
        <v/>
      </c>
      <c r="BF75" s="200" t="str">
        <f>IFERROR(VLOOKUP(TableHandbook[[#This Row],[UDC]],TableSTRUPARTM[],7,FALSE),"")</f>
        <v/>
      </c>
      <c r="BG75" s="200" t="str">
        <f>IFERROR(VLOOKUP(TableHandbook[[#This Row],[UDC]],TableSTRUPOLB1[],7,FALSE),"")</f>
        <v/>
      </c>
      <c r="BH75" s="200" t="str">
        <f>IFERROR(VLOOKUP(TableHandbook[[#This Row],[UDC]],TableSTRUPSCIM[],7,FALSE),"")</f>
        <v/>
      </c>
      <c r="BI75" s="200" t="str">
        <f>IFERROR(VLOOKUP(TableHandbook[[#This Row],[UDC]],TableSTRUPSYCB[],7,FALSE),"")</f>
        <v>Core</v>
      </c>
      <c r="BJ75" s="200" t="str">
        <f>IFERROR(VLOOKUP(TableHandbook[[#This Row],[UDC]],TableSTRUPSYCM[],7,FALSE),"")</f>
        <v/>
      </c>
      <c r="BK75" s="200" t="str">
        <f>IFERROR(VLOOKUP(TableHandbook[[#This Row],[UDC]],TableSTRUSOSCM[],7,FALSE),"")</f>
        <v/>
      </c>
      <c r="BL75" s="200" t="str">
        <f>IFERROR(VLOOKUP(TableHandbook[[#This Row],[UDC]],TableSTRUVARTB[],7,FALSE),"")</f>
        <v/>
      </c>
      <c r="BM75" s="200" t="str">
        <f>IFERROR(VLOOKUP(TableHandbook[[#This Row],[UDC]],TableSTRUVARTM[],7,FALSE),"")</f>
        <v/>
      </c>
    </row>
    <row r="76" spans="1:65" x14ac:dyDescent="0.25">
      <c r="A76" s="11" t="s">
        <v>87</v>
      </c>
      <c r="B76" s="12">
        <v>1</v>
      </c>
      <c r="C76" s="11"/>
      <c r="D76" s="11" t="s">
        <v>638</v>
      </c>
      <c r="E76" s="12">
        <v>25</v>
      </c>
      <c r="F76" s="131" t="s">
        <v>639</v>
      </c>
      <c r="G76" s="126" t="str">
        <f>IFERROR(IF(VLOOKUP(TableHandbook[[#This Row],[UDC]],TableAvailabilities[],2,FALSE)&gt;0,"Y",""),"")</f>
        <v/>
      </c>
      <c r="H76" s="127" t="str">
        <f>IFERROR(IF(VLOOKUP(TableHandbook[[#This Row],[UDC]],TableAvailabilities[],3,FALSE)&gt;0,"Y",""),"")</f>
        <v/>
      </c>
      <c r="I76" s="127" t="str">
        <f>IFERROR(IF(VLOOKUP(TableHandbook[[#This Row],[UDC]],TableAvailabilities[],4,FALSE)&gt;0,"Y",""),"")</f>
        <v/>
      </c>
      <c r="J76" s="128" t="str">
        <f>IFERROR(IF(VLOOKUP(TableHandbook[[#This Row],[UDC]],TableAvailabilities[],5,FALSE)&gt;0,"Y",""),"")</f>
        <v>Y</v>
      </c>
      <c r="K76" s="128" t="str">
        <f>IFERROR(IF(VLOOKUP(TableHandbook[[#This Row],[UDC]],TableAvailabilities[],6,FALSE)&gt;0,"Y",""),"")</f>
        <v>Y</v>
      </c>
      <c r="L76" s="127" t="str">
        <f>IFERROR(IF(VLOOKUP(TableHandbook[[#This Row],[UDC]],TableAvailabilities[],7,FALSE)&gt;0,"Y",""),"")</f>
        <v>Y</v>
      </c>
      <c r="M76" s="207"/>
      <c r="N76" s="204" t="str">
        <f>IFERROR(VLOOKUP(TableHandbook[[#This Row],[UDC]],TableBEDUC[],7,FALSE),"")</f>
        <v>Core</v>
      </c>
      <c r="O76" s="193" t="str">
        <f>IFERROR(VLOOKUP(TableHandbook[[#This Row],[UDC]],TableBEDEC[],7,FALSE),"")</f>
        <v>Option</v>
      </c>
      <c r="P76" s="193" t="str">
        <f>IFERROR(VLOOKUP(TableHandbook[[#This Row],[UDC]],TableBEDPR[],7,FALSE),"")</f>
        <v>Core</v>
      </c>
      <c r="Q76" s="193" t="str">
        <f>IFERROR(VLOOKUP(TableHandbook[[#This Row],[UDC]],TableSTRUCATHL[],7,FALSE),"")</f>
        <v/>
      </c>
      <c r="R76" s="193" t="str">
        <f>IFERROR(VLOOKUP(TableHandbook[[#This Row],[UDC]],TableSTRUENGLL[],7,FALSE),"")</f>
        <v/>
      </c>
      <c r="S76" s="193" t="str">
        <f>IFERROR(VLOOKUP(TableHandbook[[#This Row],[UDC]],TableSTRUINTBC[],7,FALSE),"")</f>
        <v/>
      </c>
      <c r="T76" s="193" t="str">
        <f>IFERROR(VLOOKUP(TableHandbook[[#This Row],[UDC]],TableSTRUISTEM[],7,FALSE),"")</f>
        <v/>
      </c>
      <c r="U76" s="193" t="str">
        <f>IFERROR(VLOOKUP(TableHandbook[[#This Row],[UDC]],TableSTRULITNU[],7,FALSE),"")</f>
        <v/>
      </c>
      <c r="V76" s="193" t="str">
        <f>IFERROR(VLOOKUP(TableHandbook[[#This Row],[UDC]],TableSTRUTECHS[],7,FALSE),"")</f>
        <v/>
      </c>
      <c r="W76" s="193" t="str">
        <f>IFERROR(VLOOKUP(TableHandbook[[#This Row],[UDC]],TableBEDSC[],7,FALSE),"")</f>
        <v/>
      </c>
      <c r="X76" s="193" t="str">
        <f>IFERROR(VLOOKUP(TableHandbook[[#This Row],[UDC]],TableMJRUARTDR[],7,FALSE),"")</f>
        <v/>
      </c>
      <c r="Y76" s="193" t="str">
        <f>IFERROR(VLOOKUP(TableHandbook[[#This Row],[UDC]],TableMJRUARTME[],7,FALSE),"")</f>
        <v/>
      </c>
      <c r="Z76" s="193" t="str">
        <f>IFERROR(VLOOKUP(TableHandbook[[#This Row],[UDC]],TableMJRUARTVA[],7,FALSE),"")</f>
        <v/>
      </c>
      <c r="AA76" s="193" t="str">
        <f>IFERROR(VLOOKUP(TableHandbook[[#This Row],[UDC]],TableMJRUENGLT[],7,FALSE),"")</f>
        <v/>
      </c>
      <c r="AB76" s="193" t="str">
        <f>IFERROR(VLOOKUP(TableHandbook[[#This Row],[UDC]],TableMJRUHLTPE[],7,FALSE),"")</f>
        <v/>
      </c>
      <c r="AC76" s="193" t="str">
        <f>IFERROR(VLOOKUP(TableHandbook[[#This Row],[UDC]],TableMJRUHUSEC[],7,FALSE),"")</f>
        <v/>
      </c>
      <c r="AD76" s="193" t="str">
        <f>IFERROR(VLOOKUP(TableHandbook[[#This Row],[UDC]],TableMJRUHUSGE[],7,FALSE),"")</f>
        <v/>
      </c>
      <c r="AE76" s="193" t="str">
        <f>IFERROR(VLOOKUP(TableHandbook[[#This Row],[UDC]],TableMJRUHUSHI[],7,FALSE),"")</f>
        <v/>
      </c>
      <c r="AF76" s="193" t="str">
        <f>IFERROR(VLOOKUP(TableHandbook[[#This Row],[UDC]],TableMJRUHUSPL[],7,FALSE),"")</f>
        <v/>
      </c>
      <c r="AG76" s="193" t="str">
        <f>IFERROR(VLOOKUP(TableHandbook[[#This Row],[UDC]],TableMJRUMATHT[],7,FALSE),"")</f>
        <v/>
      </c>
      <c r="AH76" s="193" t="str">
        <f>IFERROR(VLOOKUP(TableHandbook[[#This Row],[UDC]],TableMJRUSCIBI[],7,FALSE),"")</f>
        <v/>
      </c>
      <c r="AI76" s="193" t="str">
        <f>IFERROR(VLOOKUP(TableHandbook[[#This Row],[UDC]],TableMJRUSCICH[],7,FALSE),"")</f>
        <v/>
      </c>
      <c r="AJ76" s="193" t="str">
        <f>IFERROR(VLOOKUP(TableHandbook[[#This Row],[UDC]],TableMJRUSCIHB[],7,FALSE),"")</f>
        <v/>
      </c>
      <c r="AK76" s="193" t="str">
        <f>IFERROR(VLOOKUP(TableHandbook[[#This Row],[UDC]],TableMJRUSCIPH[],7,FALSE),"")</f>
        <v/>
      </c>
      <c r="AL76" s="193" t="str">
        <f>IFERROR(VLOOKUP(TableHandbook[[#This Row],[UDC]],TableMJRUSCIPS[],7,FALSE),"")</f>
        <v/>
      </c>
      <c r="AM76" s="202"/>
      <c r="AN76" s="200" t="str">
        <f>IFERROR(VLOOKUP(TableHandbook[[#This Row],[UDC]],TableSTRUBIOLB[],7,FALSE),"")</f>
        <v/>
      </c>
      <c r="AO76" s="200" t="str">
        <f>IFERROR(VLOOKUP(TableHandbook[[#This Row],[UDC]],TableSTRUBSCIM[],7,FALSE),"")</f>
        <v/>
      </c>
      <c r="AP76" s="200" t="str">
        <f>IFERROR(VLOOKUP(TableHandbook[[#This Row],[UDC]],TableSTRUCHEMB[],7,FALSE),"")</f>
        <v/>
      </c>
      <c r="AQ76" s="200" t="str">
        <f>IFERROR(VLOOKUP(TableHandbook[[#This Row],[UDC]],TableSTRUECOB1[],7,FALSE),"")</f>
        <v/>
      </c>
      <c r="AR76" s="200" t="str">
        <f>IFERROR(VLOOKUP(TableHandbook[[#This Row],[UDC]],TableSTRUEDART[],7,FALSE),"")</f>
        <v/>
      </c>
      <c r="AS76" s="200" t="str">
        <f>IFERROR(VLOOKUP(TableHandbook[[#This Row],[UDC]],TableSTRUEDENG[],7,FALSE),"")</f>
        <v/>
      </c>
      <c r="AT76" s="200" t="str">
        <f>IFERROR(VLOOKUP(TableHandbook[[#This Row],[UDC]],TableSTRUEDHAS[],7,FALSE),"")</f>
        <v/>
      </c>
      <c r="AU76" s="200" t="str">
        <f>IFERROR(VLOOKUP(TableHandbook[[#This Row],[UDC]],TableSTRUEDMAT[],7,FALSE),"")</f>
        <v>Core</v>
      </c>
      <c r="AV76" s="200" t="str">
        <f>IFERROR(VLOOKUP(TableHandbook[[#This Row],[UDC]],TableSTRUEDSCI[],7,FALSE),"")</f>
        <v/>
      </c>
      <c r="AW76" s="200" t="str">
        <f>IFERROR(VLOOKUP(TableHandbook[[#This Row],[UDC]],TableSTRUENGLB[],7,FALSE),"")</f>
        <v/>
      </c>
      <c r="AX76" s="200" t="str">
        <f>IFERROR(VLOOKUP(TableHandbook[[#This Row],[UDC]],TableSTRUENGLM[],7,FALSE),"")</f>
        <v/>
      </c>
      <c r="AY76" s="200" t="str">
        <f>IFERROR(VLOOKUP(TableHandbook[[#This Row],[UDC]],TableSTRUGEOB1[],7,FALSE),"")</f>
        <v/>
      </c>
      <c r="AZ76" s="200" t="str">
        <f>IFERROR(VLOOKUP(TableHandbook[[#This Row],[UDC]],TableSTRUHISB1[],7,FALSE),"")</f>
        <v/>
      </c>
      <c r="BA76" s="200" t="str">
        <f>IFERROR(VLOOKUP(TableHandbook[[#This Row],[UDC]],TableSTRUHUMAM[],7,FALSE),"")</f>
        <v/>
      </c>
      <c r="BB76" s="200" t="str">
        <f>IFERROR(VLOOKUP(TableHandbook[[#This Row],[UDC]],TableSTRUHUMBB[],7,FALSE),"")</f>
        <v/>
      </c>
      <c r="BC76" s="200" t="str">
        <f>IFERROR(VLOOKUP(TableHandbook[[#This Row],[UDC]],TableSTRUMATHB[],7,FALSE),"")</f>
        <v>Core</v>
      </c>
      <c r="BD76" s="200" t="str">
        <f>IFERROR(VLOOKUP(TableHandbook[[#This Row],[UDC]],TableSTRUMATHM[],7,FALSE),"")</f>
        <v/>
      </c>
      <c r="BE76" s="200" t="str">
        <f>IFERROR(VLOOKUP(TableHandbook[[#This Row],[UDC]],TableSTRUPARTB[],7,FALSE),"")</f>
        <v/>
      </c>
      <c r="BF76" s="200" t="str">
        <f>IFERROR(VLOOKUP(TableHandbook[[#This Row],[UDC]],TableSTRUPARTM[],7,FALSE),"")</f>
        <v/>
      </c>
      <c r="BG76" s="200" t="str">
        <f>IFERROR(VLOOKUP(TableHandbook[[#This Row],[UDC]],TableSTRUPOLB1[],7,FALSE),"")</f>
        <v/>
      </c>
      <c r="BH76" s="200" t="str">
        <f>IFERROR(VLOOKUP(TableHandbook[[#This Row],[UDC]],TableSTRUPSCIM[],7,FALSE),"")</f>
        <v/>
      </c>
      <c r="BI76" s="200" t="str">
        <f>IFERROR(VLOOKUP(TableHandbook[[#This Row],[UDC]],TableSTRUPSYCB[],7,FALSE),"")</f>
        <v/>
      </c>
      <c r="BJ76" s="200" t="str">
        <f>IFERROR(VLOOKUP(TableHandbook[[#This Row],[UDC]],TableSTRUPSYCM[],7,FALSE),"")</f>
        <v/>
      </c>
      <c r="BK76" s="200" t="str">
        <f>IFERROR(VLOOKUP(TableHandbook[[#This Row],[UDC]],TableSTRUSOSCM[],7,FALSE),"")</f>
        <v/>
      </c>
      <c r="BL76" s="200" t="str">
        <f>IFERROR(VLOOKUP(TableHandbook[[#This Row],[UDC]],TableSTRUVARTB[],7,FALSE),"")</f>
        <v/>
      </c>
      <c r="BM76" s="200" t="str">
        <f>IFERROR(VLOOKUP(TableHandbook[[#This Row],[UDC]],TableSTRUVARTM[],7,FALSE),"")</f>
        <v/>
      </c>
    </row>
    <row r="77" spans="1:65" ht="26.25" x14ac:dyDescent="0.25">
      <c r="A77" s="11" t="s">
        <v>105</v>
      </c>
      <c r="B77" s="12">
        <v>1</v>
      </c>
      <c r="C77" s="11"/>
      <c r="D77" s="11" t="s">
        <v>640</v>
      </c>
      <c r="E77" s="12">
        <v>25</v>
      </c>
      <c r="F77" s="131" t="s">
        <v>609</v>
      </c>
      <c r="G77" s="126" t="str">
        <f>IFERROR(IF(VLOOKUP(TableHandbook[[#This Row],[UDC]],TableAvailabilities[],2,FALSE)&gt;0,"Y",""),"")</f>
        <v>Y</v>
      </c>
      <c r="H77" s="127" t="str">
        <f>IFERROR(IF(VLOOKUP(TableHandbook[[#This Row],[UDC]],TableAvailabilities[],3,FALSE)&gt;0,"Y",""),"")</f>
        <v>Y</v>
      </c>
      <c r="I77" s="127" t="str">
        <f>IFERROR(IF(VLOOKUP(TableHandbook[[#This Row],[UDC]],TableAvailabilities[],4,FALSE)&gt;0,"Y",""),"")</f>
        <v>Y</v>
      </c>
      <c r="J77" s="128" t="str">
        <f>IFERROR(IF(VLOOKUP(TableHandbook[[#This Row],[UDC]],TableAvailabilities[],5,FALSE)&gt;0,"Y",""),"")</f>
        <v/>
      </c>
      <c r="K77" s="128" t="str">
        <f>IFERROR(IF(VLOOKUP(TableHandbook[[#This Row],[UDC]],TableAvailabilities[],6,FALSE)&gt;0,"Y",""),"")</f>
        <v/>
      </c>
      <c r="L77" s="127" t="str">
        <f>IFERROR(IF(VLOOKUP(TableHandbook[[#This Row],[UDC]],TableAvailabilities[],7,FALSE)&gt;0,"Y",""),"")</f>
        <v/>
      </c>
      <c r="M77" s="207"/>
      <c r="N77" s="204" t="str">
        <f>IFERROR(VLOOKUP(TableHandbook[[#This Row],[UDC]],TableBEDUC[],7,FALSE),"")</f>
        <v/>
      </c>
      <c r="O77" s="193" t="str">
        <f>IFERROR(VLOOKUP(TableHandbook[[#This Row],[UDC]],TableBEDEC[],7,FALSE),"")</f>
        <v/>
      </c>
      <c r="P77" s="193" t="str">
        <f>IFERROR(VLOOKUP(TableHandbook[[#This Row],[UDC]],TableBEDPR[],7,FALSE),"")</f>
        <v>Core</v>
      </c>
      <c r="Q77" s="193" t="str">
        <f>IFERROR(VLOOKUP(TableHandbook[[#This Row],[UDC]],TableSTRUCATHL[],7,FALSE),"")</f>
        <v/>
      </c>
      <c r="R77" s="193" t="str">
        <f>IFERROR(VLOOKUP(TableHandbook[[#This Row],[UDC]],TableSTRUENGLL[],7,FALSE),"")</f>
        <v/>
      </c>
      <c r="S77" s="193" t="str">
        <f>IFERROR(VLOOKUP(TableHandbook[[#This Row],[UDC]],TableSTRUINTBC[],7,FALSE),"")</f>
        <v/>
      </c>
      <c r="T77" s="193" t="str">
        <f>IFERROR(VLOOKUP(TableHandbook[[#This Row],[UDC]],TableSTRUISTEM[],7,FALSE),"")</f>
        <v/>
      </c>
      <c r="U77" s="193" t="str">
        <f>IFERROR(VLOOKUP(TableHandbook[[#This Row],[UDC]],TableSTRULITNU[],7,FALSE),"")</f>
        <v/>
      </c>
      <c r="V77" s="193" t="str">
        <f>IFERROR(VLOOKUP(TableHandbook[[#This Row],[UDC]],TableSTRUTECHS[],7,FALSE),"")</f>
        <v/>
      </c>
      <c r="W77" s="193" t="str">
        <f>IFERROR(VLOOKUP(TableHandbook[[#This Row],[UDC]],TableBEDSC[],7,FALSE),"")</f>
        <v/>
      </c>
      <c r="X77" s="193" t="str">
        <f>IFERROR(VLOOKUP(TableHandbook[[#This Row],[UDC]],TableMJRUARTDR[],7,FALSE),"")</f>
        <v/>
      </c>
      <c r="Y77" s="193" t="str">
        <f>IFERROR(VLOOKUP(TableHandbook[[#This Row],[UDC]],TableMJRUARTME[],7,FALSE),"")</f>
        <v/>
      </c>
      <c r="Z77" s="193" t="str">
        <f>IFERROR(VLOOKUP(TableHandbook[[#This Row],[UDC]],TableMJRUARTVA[],7,FALSE),"")</f>
        <v/>
      </c>
      <c r="AA77" s="193" t="str">
        <f>IFERROR(VLOOKUP(TableHandbook[[#This Row],[UDC]],TableMJRUENGLT[],7,FALSE),"")</f>
        <v/>
      </c>
      <c r="AB77" s="193" t="str">
        <f>IFERROR(VLOOKUP(TableHandbook[[#This Row],[UDC]],TableMJRUHLTPE[],7,FALSE),"")</f>
        <v/>
      </c>
      <c r="AC77" s="193" t="str">
        <f>IFERROR(VLOOKUP(TableHandbook[[#This Row],[UDC]],TableMJRUHUSEC[],7,FALSE),"")</f>
        <v/>
      </c>
      <c r="AD77" s="193" t="str">
        <f>IFERROR(VLOOKUP(TableHandbook[[#This Row],[UDC]],TableMJRUHUSGE[],7,FALSE),"")</f>
        <v/>
      </c>
      <c r="AE77" s="193" t="str">
        <f>IFERROR(VLOOKUP(TableHandbook[[#This Row],[UDC]],TableMJRUHUSHI[],7,FALSE),"")</f>
        <v/>
      </c>
      <c r="AF77" s="193" t="str">
        <f>IFERROR(VLOOKUP(TableHandbook[[#This Row],[UDC]],TableMJRUHUSPL[],7,FALSE),"")</f>
        <v/>
      </c>
      <c r="AG77" s="193" t="str">
        <f>IFERROR(VLOOKUP(TableHandbook[[#This Row],[UDC]],TableMJRUMATHT[],7,FALSE),"")</f>
        <v/>
      </c>
      <c r="AH77" s="193" t="str">
        <f>IFERROR(VLOOKUP(TableHandbook[[#This Row],[UDC]],TableMJRUSCIBI[],7,FALSE),"")</f>
        <v/>
      </c>
      <c r="AI77" s="193" t="str">
        <f>IFERROR(VLOOKUP(TableHandbook[[#This Row],[UDC]],TableMJRUSCICH[],7,FALSE),"")</f>
        <v/>
      </c>
      <c r="AJ77" s="193" t="str">
        <f>IFERROR(VLOOKUP(TableHandbook[[#This Row],[UDC]],TableMJRUSCIHB[],7,FALSE),"")</f>
        <v/>
      </c>
      <c r="AK77" s="193" t="str">
        <f>IFERROR(VLOOKUP(TableHandbook[[#This Row],[UDC]],TableMJRUSCIPH[],7,FALSE),"")</f>
        <v/>
      </c>
      <c r="AL77" s="193" t="str">
        <f>IFERROR(VLOOKUP(TableHandbook[[#This Row],[UDC]],TableMJRUSCIPS[],7,FALSE),"")</f>
        <v/>
      </c>
      <c r="AM77" s="202"/>
      <c r="AN77" s="200" t="str">
        <f>IFERROR(VLOOKUP(TableHandbook[[#This Row],[UDC]],TableSTRUBIOLB[],7,FALSE),"")</f>
        <v/>
      </c>
      <c r="AO77" s="200" t="str">
        <f>IFERROR(VLOOKUP(TableHandbook[[#This Row],[UDC]],TableSTRUBSCIM[],7,FALSE),"")</f>
        <v/>
      </c>
      <c r="AP77" s="200" t="str">
        <f>IFERROR(VLOOKUP(TableHandbook[[#This Row],[UDC]],TableSTRUCHEMB[],7,FALSE),"")</f>
        <v/>
      </c>
      <c r="AQ77" s="200" t="str">
        <f>IFERROR(VLOOKUP(TableHandbook[[#This Row],[UDC]],TableSTRUECOB1[],7,FALSE),"")</f>
        <v/>
      </c>
      <c r="AR77" s="200" t="str">
        <f>IFERROR(VLOOKUP(TableHandbook[[#This Row],[UDC]],TableSTRUEDART[],7,FALSE),"")</f>
        <v/>
      </c>
      <c r="AS77" s="200" t="str">
        <f>IFERROR(VLOOKUP(TableHandbook[[#This Row],[UDC]],TableSTRUEDENG[],7,FALSE),"")</f>
        <v/>
      </c>
      <c r="AT77" s="200" t="str">
        <f>IFERROR(VLOOKUP(TableHandbook[[#This Row],[UDC]],TableSTRUEDHAS[],7,FALSE),"")</f>
        <v/>
      </c>
      <c r="AU77" s="200" t="str">
        <f>IFERROR(VLOOKUP(TableHandbook[[#This Row],[UDC]],TableSTRUEDMAT[],7,FALSE),"")</f>
        <v/>
      </c>
      <c r="AV77" s="200" t="str">
        <f>IFERROR(VLOOKUP(TableHandbook[[#This Row],[UDC]],TableSTRUEDSCI[],7,FALSE),"")</f>
        <v/>
      </c>
      <c r="AW77" s="200" t="str">
        <f>IFERROR(VLOOKUP(TableHandbook[[#This Row],[UDC]],TableSTRUENGLB[],7,FALSE),"")</f>
        <v/>
      </c>
      <c r="AX77" s="200" t="str">
        <f>IFERROR(VLOOKUP(TableHandbook[[#This Row],[UDC]],TableSTRUENGLM[],7,FALSE),"")</f>
        <v/>
      </c>
      <c r="AY77" s="200" t="str">
        <f>IFERROR(VLOOKUP(TableHandbook[[#This Row],[UDC]],TableSTRUGEOB1[],7,FALSE),"")</f>
        <v/>
      </c>
      <c r="AZ77" s="200" t="str">
        <f>IFERROR(VLOOKUP(TableHandbook[[#This Row],[UDC]],TableSTRUHISB1[],7,FALSE),"")</f>
        <v/>
      </c>
      <c r="BA77" s="200" t="str">
        <f>IFERROR(VLOOKUP(TableHandbook[[#This Row],[UDC]],TableSTRUHUMAM[],7,FALSE),"")</f>
        <v/>
      </c>
      <c r="BB77" s="200" t="str">
        <f>IFERROR(VLOOKUP(TableHandbook[[#This Row],[UDC]],TableSTRUHUMBB[],7,FALSE),"")</f>
        <v/>
      </c>
      <c r="BC77" s="200" t="str">
        <f>IFERROR(VLOOKUP(TableHandbook[[#This Row],[UDC]],TableSTRUMATHB[],7,FALSE),"")</f>
        <v/>
      </c>
      <c r="BD77" s="200" t="str">
        <f>IFERROR(VLOOKUP(TableHandbook[[#This Row],[UDC]],TableSTRUMATHM[],7,FALSE),"")</f>
        <v/>
      </c>
      <c r="BE77" s="200" t="str">
        <f>IFERROR(VLOOKUP(TableHandbook[[#This Row],[UDC]],TableSTRUPARTB[],7,FALSE),"")</f>
        <v/>
      </c>
      <c r="BF77" s="200" t="str">
        <f>IFERROR(VLOOKUP(TableHandbook[[#This Row],[UDC]],TableSTRUPARTM[],7,FALSE),"")</f>
        <v/>
      </c>
      <c r="BG77" s="200" t="str">
        <f>IFERROR(VLOOKUP(TableHandbook[[#This Row],[UDC]],TableSTRUPOLB1[],7,FALSE),"")</f>
        <v/>
      </c>
      <c r="BH77" s="200" t="str">
        <f>IFERROR(VLOOKUP(TableHandbook[[#This Row],[UDC]],TableSTRUPSCIM[],7,FALSE),"")</f>
        <v/>
      </c>
      <c r="BI77" s="200" t="str">
        <f>IFERROR(VLOOKUP(TableHandbook[[#This Row],[UDC]],TableSTRUPSYCB[],7,FALSE),"")</f>
        <v/>
      </c>
      <c r="BJ77" s="200" t="str">
        <f>IFERROR(VLOOKUP(TableHandbook[[#This Row],[UDC]],TableSTRUPSYCM[],7,FALSE),"")</f>
        <v/>
      </c>
      <c r="BK77" s="200" t="str">
        <f>IFERROR(VLOOKUP(TableHandbook[[#This Row],[UDC]],TableSTRUSOSCM[],7,FALSE),"")</f>
        <v/>
      </c>
      <c r="BL77" s="200" t="str">
        <f>IFERROR(VLOOKUP(TableHandbook[[#This Row],[UDC]],TableSTRUVARTB[],7,FALSE),"")</f>
        <v/>
      </c>
      <c r="BM77" s="200" t="str">
        <f>IFERROR(VLOOKUP(TableHandbook[[#This Row],[UDC]],TableSTRUVARTM[],7,FALSE),"")</f>
        <v/>
      </c>
    </row>
    <row r="78" spans="1:65" x14ac:dyDescent="0.25">
      <c r="A78" s="11" t="s">
        <v>106</v>
      </c>
      <c r="B78" s="12">
        <v>1</v>
      </c>
      <c r="C78" s="11"/>
      <c r="D78" s="11" t="s">
        <v>641</v>
      </c>
      <c r="E78" s="12">
        <v>25</v>
      </c>
      <c r="F78" s="131" t="s">
        <v>105</v>
      </c>
      <c r="G78" s="126" t="str">
        <f>IFERROR(IF(VLOOKUP(TableHandbook[[#This Row],[UDC]],TableAvailabilities[],2,FALSE)&gt;0,"Y",""),"")</f>
        <v/>
      </c>
      <c r="H78" s="127" t="str">
        <f>IFERROR(IF(VLOOKUP(TableHandbook[[#This Row],[UDC]],TableAvailabilities[],3,FALSE)&gt;0,"Y",""),"")</f>
        <v/>
      </c>
      <c r="I78" s="127" t="str">
        <f>IFERROR(IF(VLOOKUP(TableHandbook[[#This Row],[UDC]],TableAvailabilities[],4,FALSE)&gt;0,"Y",""),"")</f>
        <v/>
      </c>
      <c r="J78" s="128" t="str">
        <f>IFERROR(IF(VLOOKUP(TableHandbook[[#This Row],[UDC]],TableAvailabilities[],5,FALSE)&gt;0,"Y",""),"")</f>
        <v>Y</v>
      </c>
      <c r="K78" s="128" t="str">
        <f>IFERROR(IF(VLOOKUP(TableHandbook[[#This Row],[UDC]],TableAvailabilities[],6,FALSE)&gt;0,"Y",""),"")</f>
        <v>Y</v>
      </c>
      <c r="L78" s="127" t="str">
        <f>IFERROR(IF(VLOOKUP(TableHandbook[[#This Row],[UDC]],TableAvailabilities[],7,FALSE)&gt;0,"Y",""),"")</f>
        <v>Y</v>
      </c>
      <c r="M78" s="207"/>
      <c r="N78" s="204" t="str">
        <f>IFERROR(VLOOKUP(TableHandbook[[#This Row],[UDC]],TableBEDUC[],7,FALSE),"")</f>
        <v/>
      </c>
      <c r="O78" s="193" t="str">
        <f>IFERROR(VLOOKUP(TableHandbook[[#This Row],[UDC]],TableBEDEC[],7,FALSE),"")</f>
        <v/>
      </c>
      <c r="P78" s="193" t="str">
        <f>IFERROR(VLOOKUP(TableHandbook[[#This Row],[UDC]],TableBEDPR[],7,FALSE),"")</f>
        <v>Core</v>
      </c>
      <c r="Q78" s="193" t="str">
        <f>IFERROR(VLOOKUP(TableHandbook[[#This Row],[UDC]],TableSTRUCATHL[],7,FALSE),"")</f>
        <v/>
      </c>
      <c r="R78" s="193" t="str">
        <f>IFERROR(VLOOKUP(TableHandbook[[#This Row],[UDC]],TableSTRUENGLL[],7,FALSE),"")</f>
        <v/>
      </c>
      <c r="S78" s="193" t="str">
        <f>IFERROR(VLOOKUP(TableHandbook[[#This Row],[UDC]],TableSTRUINTBC[],7,FALSE),"")</f>
        <v/>
      </c>
      <c r="T78" s="193" t="str">
        <f>IFERROR(VLOOKUP(TableHandbook[[#This Row],[UDC]],TableSTRUISTEM[],7,FALSE),"")</f>
        <v/>
      </c>
      <c r="U78" s="193" t="str">
        <f>IFERROR(VLOOKUP(TableHandbook[[#This Row],[UDC]],TableSTRULITNU[],7,FALSE),"")</f>
        <v/>
      </c>
      <c r="V78" s="193" t="str">
        <f>IFERROR(VLOOKUP(TableHandbook[[#This Row],[UDC]],TableSTRUTECHS[],7,FALSE),"")</f>
        <v/>
      </c>
      <c r="W78" s="193" t="str">
        <f>IFERROR(VLOOKUP(TableHandbook[[#This Row],[UDC]],TableBEDSC[],7,FALSE),"")</f>
        <v/>
      </c>
      <c r="X78" s="193" t="str">
        <f>IFERROR(VLOOKUP(TableHandbook[[#This Row],[UDC]],TableMJRUARTDR[],7,FALSE),"")</f>
        <v/>
      </c>
      <c r="Y78" s="193" t="str">
        <f>IFERROR(VLOOKUP(TableHandbook[[#This Row],[UDC]],TableMJRUARTME[],7,FALSE),"")</f>
        <v/>
      </c>
      <c r="Z78" s="193" t="str">
        <f>IFERROR(VLOOKUP(TableHandbook[[#This Row],[UDC]],TableMJRUARTVA[],7,FALSE),"")</f>
        <v/>
      </c>
      <c r="AA78" s="193" t="str">
        <f>IFERROR(VLOOKUP(TableHandbook[[#This Row],[UDC]],TableMJRUENGLT[],7,FALSE),"")</f>
        <v/>
      </c>
      <c r="AB78" s="193" t="str">
        <f>IFERROR(VLOOKUP(TableHandbook[[#This Row],[UDC]],TableMJRUHLTPE[],7,FALSE),"")</f>
        <v/>
      </c>
      <c r="AC78" s="193" t="str">
        <f>IFERROR(VLOOKUP(TableHandbook[[#This Row],[UDC]],TableMJRUHUSEC[],7,FALSE),"")</f>
        <v/>
      </c>
      <c r="AD78" s="193" t="str">
        <f>IFERROR(VLOOKUP(TableHandbook[[#This Row],[UDC]],TableMJRUHUSGE[],7,FALSE),"")</f>
        <v/>
      </c>
      <c r="AE78" s="193" t="str">
        <f>IFERROR(VLOOKUP(TableHandbook[[#This Row],[UDC]],TableMJRUHUSHI[],7,FALSE),"")</f>
        <v/>
      </c>
      <c r="AF78" s="193" t="str">
        <f>IFERROR(VLOOKUP(TableHandbook[[#This Row],[UDC]],TableMJRUHUSPL[],7,FALSE),"")</f>
        <v/>
      </c>
      <c r="AG78" s="193" t="str">
        <f>IFERROR(VLOOKUP(TableHandbook[[#This Row],[UDC]],TableMJRUMATHT[],7,FALSE),"")</f>
        <v/>
      </c>
      <c r="AH78" s="193" t="str">
        <f>IFERROR(VLOOKUP(TableHandbook[[#This Row],[UDC]],TableMJRUSCIBI[],7,FALSE),"")</f>
        <v/>
      </c>
      <c r="AI78" s="193" t="str">
        <f>IFERROR(VLOOKUP(TableHandbook[[#This Row],[UDC]],TableMJRUSCICH[],7,FALSE),"")</f>
        <v/>
      </c>
      <c r="AJ78" s="193" t="str">
        <f>IFERROR(VLOOKUP(TableHandbook[[#This Row],[UDC]],TableMJRUSCIHB[],7,FALSE),"")</f>
        <v/>
      </c>
      <c r="AK78" s="193" t="str">
        <f>IFERROR(VLOOKUP(TableHandbook[[#This Row],[UDC]],TableMJRUSCIPH[],7,FALSE),"")</f>
        <v/>
      </c>
      <c r="AL78" s="193" t="str">
        <f>IFERROR(VLOOKUP(TableHandbook[[#This Row],[UDC]],TableMJRUSCIPS[],7,FALSE),"")</f>
        <v/>
      </c>
      <c r="AM78" s="202"/>
      <c r="AN78" s="200" t="str">
        <f>IFERROR(VLOOKUP(TableHandbook[[#This Row],[UDC]],TableSTRUBIOLB[],7,FALSE),"")</f>
        <v/>
      </c>
      <c r="AO78" s="200" t="str">
        <f>IFERROR(VLOOKUP(TableHandbook[[#This Row],[UDC]],TableSTRUBSCIM[],7,FALSE),"")</f>
        <v/>
      </c>
      <c r="AP78" s="200" t="str">
        <f>IFERROR(VLOOKUP(TableHandbook[[#This Row],[UDC]],TableSTRUCHEMB[],7,FALSE),"")</f>
        <v/>
      </c>
      <c r="AQ78" s="200" t="str">
        <f>IFERROR(VLOOKUP(TableHandbook[[#This Row],[UDC]],TableSTRUECOB1[],7,FALSE),"")</f>
        <v/>
      </c>
      <c r="AR78" s="200" t="str">
        <f>IFERROR(VLOOKUP(TableHandbook[[#This Row],[UDC]],TableSTRUEDART[],7,FALSE),"")</f>
        <v/>
      </c>
      <c r="AS78" s="200" t="str">
        <f>IFERROR(VLOOKUP(TableHandbook[[#This Row],[UDC]],TableSTRUEDENG[],7,FALSE),"")</f>
        <v/>
      </c>
      <c r="AT78" s="200" t="str">
        <f>IFERROR(VLOOKUP(TableHandbook[[#This Row],[UDC]],TableSTRUEDHAS[],7,FALSE),"")</f>
        <v/>
      </c>
      <c r="AU78" s="200" t="str">
        <f>IFERROR(VLOOKUP(TableHandbook[[#This Row],[UDC]],TableSTRUEDMAT[],7,FALSE),"")</f>
        <v/>
      </c>
      <c r="AV78" s="200" t="str">
        <f>IFERROR(VLOOKUP(TableHandbook[[#This Row],[UDC]],TableSTRUEDSCI[],7,FALSE),"")</f>
        <v/>
      </c>
      <c r="AW78" s="200" t="str">
        <f>IFERROR(VLOOKUP(TableHandbook[[#This Row],[UDC]],TableSTRUENGLB[],7,FALSE),"")</f>
        <v/>
      </c>
      <c r="AX78" s="200" t="str">
        <f>IFERROR(VLOOKUP(TableHandbook[[#This Row],[UDC]],TableSTRUENGLM[],7,FALSE),"")</f>
        <v/>
      </c>
      <c r="AY78" s="200" t="str">
        <f>IFERROR(VLOOKUP(TableHandbook[[#This Row],[UDC]],TableSTRUGEOB1[],7,FALSE),"")</f>
        <v/>
      </c>
      <c r="AZ78" s="200" t="str">
        <f>IFERROR(VLOOKUP(TableHandbook[[#This Row],[UDC]],TableSTRUHISB1[],7,FALSE),"")</f>
        <v/>
      </c>
      <c r="BA78" s="200" t="str">
        <f>IFERROR(VLOOKUP(TableHandbook[[#This Row],[UDC]],TableSTRUHUMAM[],7,FALSE),"")</f>
        <v/>
      </c>
      <c r="BB78" s="200" t="str">
        <f>IFERROR(VLOOKUP(TableHandbook[[#This Row],[UDC]],TableSTRUHUMBB[],7,FALSE),"")</f>
        <v/>
      </c>
      <c r="BC78" s="200" t="str">
        <f>IFERROR(VLOOKUP(TableHandbook[[#This Row],[UDC]],TableSTRUMATHB[],7,FALSE),"")</f>
        <v/>
      </c>
      <c r="BD78" s="200" t="str">
        <f>IFERROR(VLOOKUP(TableHandbook[[#This Row],[UDC]],TableSTRUMATHM[],7,FALSE),"")</f>
        <v/>
      </c>
      <c r="BE78" s="200" t="str">
        <f>IFERROR(VLOOKUP(TableHandbook[[#This Row],[UDC]],TableSTRUPARTB[],7,FALSE),"")</f>
        <v/>
      </c>
      <c r="BF78" s="200" t="str">
        <f>IFERROR(VLOOKUP(TableHandbook[[#This Row],[UDC]],TableSTRUPARTM[],7,FALSE),"")</f>
        <v/>
      </c>
      <c r="BG78" s="200" t="str">
        <f>IFERROR(VLOOKUP(TableHandbook[[#This Row],[UDC]],TableSTRUPOLB1[],7,FALSE),"")</f>
        <v/>
      </c>
      <c r="BH78" s="200" t="str">
        <f>IFERROR(VLOOKUP(TableHandbook[[#This Row],[UDC]],TableSTRUPSCIM[],7,FALSE),"")</f>
        <v/>
      </c>
      <c r="BI78" s="200" t="str">
        <f>IFERROR(VLOOKUP(TableHandbook[[#This Row],[UDC]],TableSTRUPSYCB[],7,FALSE),"")</f>
        <v/>
      </c>
      <c r="BJ78" s="200" t="str">
        <f>IFERROR(VLOOKUP(TableHandbook[[#This Row],[UDC]],TableSTRUPSYCM[],7,FALSE),"")</f>
        <v/>
      </c>
      <c r="BK78" s="200" t="str">
        <f>IFERROR(VLOOKUP(TableHandbook[[#This Row],[UDC]],TableSTRUSOSCM[],7,FALSE),"")</f>
        <v/>
      </c>
      <c r="BL78" s="200" t="str">
        <f>IFERROR(VLOOKUP(TableHandbook[[#This Row],[UDC]],TableSTRUVARTB[],7,FALSE),"")</f>
        <v/>
      </c>
      <c r="BM78" s="200" t="str">
        <f>IFERROR(VLOOKUP(TableHandbook[[#This Row],[UDC]],TableSTRUVARTM[],7,FALSE),"")</f>
        <v/>
      </c>
    </row>
    <row r="79" spans="1:65" x14ac:dyDescent="0.25">
      <c r="A79" s="11" t="s">
        <v>85</v>
      </c>
      <c r="B79" s="12">
        <v>1</v>
      </c>
      <c r="C79" s="11"/>
      <c r="D79" s="11" t="s">
        <v>642</v>
      </c>
      <c r="E79" s="12">
        <v>25</v>
      </c>
      <c r="F79" s="131" t="s">
        <v>617</v>
      </c>
      <c r="G79" s="126" t="str">
        <f>IFERROR(IF(VLOOKUP(TableHandbook[[#This Row],[UDC]],TableAvailabilities[],2,FALSE)&gt;0,"Y",""),"")</f>
        <v>Y</v>
      </c>
      <c r="H79" s="127" t="str">
        <f>IFERROR(IF(VLOOKUP(TableHandbook[[#This Row],[UDC]],TableAvailabilities[],3,FALSE)&gt;0,"Y",""),"")</f>
        <v>Y</v>
      </c>
      <c r="I79" s="127" t="str">
        <f>IFERROR(IF(VLOOKUP(TableHandbook[[#This Row],[UDC]],TableAvailabilities[],4,FALSE)&gt;0,"Y",""),"")</f>
        <v>Y</v>
      </c>
      <c r="J79" s="128" t="str">
        <f>IFERROR(IF(VLOOKUP(TableHandbook[[#This Row],[UDC]],TableAvailabilities[],5,FALSE)&gt;0,"Y",""),"")</f>
        <v/>
      </c>
      <c r="K79" s="128" t="str">
        <f>IFERROR(IF(VLOOKUP(TableHandbook[[#This Row],[UDC]],TableAvailabilities[],6,FALSE)&gt;0,"Y",""),"")</f>
        <v/>
      </c>
      <c r="L79" s="127" t="str">
        <f>IFERROR(IF(VLOOKUP(TableHandbook[[#This Row],[UDC]],TableAvailabilities[],7,FALSE)&gt;0,"Y",""),"")</f>
        <v/>
      </c>
      <c r="M79" s="207"/>
      <c r="N79" s="204" t="str">
        <f>IFERROR(VLOOKUP(TableHandbook[[#This Row],[UDC]],TableBEDUC[],7,FALSE),"")</f>
        <v>Core</v>
      </c>
      <c r="O79" s="193" t="str">
        <f>IFERROR(VLOOKUP(TableHandbook[[#This Row],[UDC]],TableBEDEC[],7,FALSE),"")</f>
        <v>Option</v>
      </c>
      <c r="P79" s="193" t="str">
        <f>IFERROR(VLOOKUP(TableHandbook[[#This Row],[UDC]],TableBEDPR[],7,FALSE),"")</f>
        <v>Core</v>
      </c>
      <c r="Q79" s="193" t="str">
        <f>IFERROR(VLOOKUP(TableHandbook[[#This Row],[UDC]],TableSTRUCATHL[],7,FALSE),"")</f>
        <v/>
      </c>
      <c r="R79" s="193" t="str">
        <f>IFERROR(VLOOKUP(TableHandbook[[#This Row],[UDC]],TableSTRUENGLL[],7,FALSE),"")</f>
        <v/>
      </c>
      <c r="S79" s="193" t="str">
        <f>IFERROR(VLOOKUP(TableHandbook[[#This Row],[UDC]],TableSTRUINTBC[],7,FALSE),"")</f>
        <v/>
      </c>
      <c r="T79" s="193" t="str">
        <f>IFERROR(VLOOKUP(TableHandbook[[#This Row],[UDC]],TableSTRUISTEM[],7,FALSE),"")</f>
        <v/>
      </c>
      <c r="U79" s="193" t="str">
        <f>IFERROR(VLOOKUP(TableHandbook[[#This Row],[UDC]],TableSTRULITNU[],7,FALSE),"")</f>
        <v/>
      </c>
      <c r="V79" s="193" t="str">
        <f>IFERROR(VLOOKUP(TableHandbook[[#This Row],[UDC]],TableSTRUTECHS[],7,FALSE),"")</f>
        <v/>
      </c>
      <c r="W79" s="193" t="str">
        <f>IFERROR(VLOOKUP(TableHandbook[[#This Row],[UDC]],TableBEDSC[],7,FALSE),"")</f>
        <v/>
      </c>
      <c r="X79" s="193" t="str">
        <f>IFERROR(VLOOKUP(TableHandbook[[#This Row],[UDC]],TableMJRUARTDR[],7,FALSE),"")</f>
        <v/>
      </c>
      <c r="Y79" s="193" t="str">
        <f>IFERROR(VLOOKUP(TableHandbook[[#This Row],[UDC]],TableMJRUARTME[],7,FALSE),"")</f>
        <v/>
      </c>
      <c r="Z79" s="193" t="str">
        <f>IFERROR(VLOOKUP(TableHandbook[[#This Row],[UDC]],TableMJRUARTVA[],7,FALSE),"")</f>
        <v/>
      </c>
      <c r="AA79" s="193" t="str">
        <f>IFERROR(VLOOKUP(TableHandbook[[#This Row],[UDC]],TableMJRUENGLT[],7,FALSE),"")</f>
        <v/>
      </c>
      <c r="AB79" s="193" t="str">
        <f>IFERROR(VLOOKUP(TableHandbook[[#This Row],[UDC]],TableMJRUHLTPE[],7,FALSE),"")</f>
        <v>Core</v>
      </c>
      <c r="AC79" s="193" t="str">
        <f>IFERROR(VLOOKUP(TableHandbook[[#This Row],[UDC]],TableMJRUHUSEC[],7,FALSE),"")</f>
        <v/>
      </c>
      <c r="AD79" s="193" t="str">
        <f>IFERROR(VLOOKUP(TableHandbook[[#This Row],[UDC]],TableMJRUHUSGE[],7,FALSE),"")</f>
        <v/>
      </c>
      <c r="AE79" s="193" t="str">
        <f>IFERROR(VLOOKUP(TableHandbook[[#This Row],[UDC]],TableMJRUHUSHI[],7,FALSE),"")</f>
        <v/>
      </c>
      <c r="AF79" s="193" t="str">
        <f>IFERROR(VLOOKUP(TableHandbook[[#This Row],[UDC]],TableMJRUHUSPL[],7,FALSE),"")</f>
        <v/>
      </c>
      <c r="AG79" s="193" t="str">
        <f>IFERROR(VLOOKUP(TableHandbook[[#This Row],[UDC]],TableMJRUMATHT[],7,FALSE),"")</f>
        <v/>
      </c>
      <c r="AH79" s="193" t="str">
        <f>IFERROR(VLOOKUP(TableHandbook[[#This Row],[UDC]],TableMJRUSCIBI[],7,FALSE),"")</f>
        <v/>
      </c>
      <c r="AI79" s="193" t="str">
        <f>IFERROR(VLOOKUP(TableHandbook[[#This Row],[UDC]],TableMJRUSCICH[],7,FALSE),"")</f>
        <v/>
      </c>
      <c r="AJ79" s="193" t="str">
        <f>IFERROR(VLOOKUP(TableHandbook[[#This Row],[UDC]],TableMJRUSCIHB[],7,FALSE),"")</f>
        <v/>
      </c>
      <c r="AK79" s="193" t="str">
        <f>IFERROR(VLOOKUP(TableHandbook[[#This Row],[UDC]],TableMJRUSCIPH[],7,FALSE),"")</f>
        <v/>
      </c>
      <c r="AL79" s="193" t="str">
        <f>IFERROR(VLOOKUP(TableHandbook[[#This Row],[UDC]],TableMJRUSCIPS[],7,FALSE),"")</f>
        <v/>
      </c>
      <c r="AM79" s="202"/>
      <c r="AN79" s="200" t="str">
        <f>IFERROR(VLOOKUP(TableHandbook[[#This Row],[UDC]],TableSTRUBIOLB[],7,FALSE),"")</f>
        <v/>
      </c>
      <c r="AO79" s="200" t="str">
        <f>IFERROR(VLOOKUP(TableHandbook[[#This Row],[UDC]],TableSTRUBSCIM[],7,FALSE),"")</f>
        <v/>
      </c>
      <c r="AP79" s="200" t="str">
        <f>IFERROR(VLOOKUP(TableHandbook[[#This Row],[UDC]],TableSTRUCHEMB[],7,FALSE),"")</f>
        <v/>
      </c>
      <c r="AQ79" s="200" t="str">
        <f>IFERROR(VLOOKUP(TableHandbook[[#This Row],[UDC]],TableSTRUECOB1[],7,FALSE),"")</f>
        <v/>
      </c>
      <c r="AR79" s="200" t="str">
        <f>IFERROR(VLOOKUP(TableHandbook[[#This Row],[UDC]],TableSTRUEDART[],7,FALSE),"")</f>
        <v/>
      </c>
      <c r="AS79" s="200" t="str">
        <f>IFERROR(VLOOKUP(TableHandbook[[#This Row],[UDC]],TableSTRUEDENG[],7,FALSE),"")</f>
        <v/>
      </c>
      <c r="AT79" s="200" t="str">
        <f>IFERROR(VLOOKUP(TableHandbook[[#This Row],[UDC]],TableSTRUEDHAS[],7,FALSE),"")</f>
        <v/>
      </c>
      <c r="AU79" s="200" t="str">
        <f>IFERROR(VLOOKUP(TableHandbook[[#This Row],[UDC]],TableSTRUEDMAT[],7,FALSE),"")</f>
        <v/>
      </c>
      <c r="AV79" s="200" t="str">
        <f>IFERROR(VLOOKUP(TableHandbook[[#This Row],[UDC]],TableSTRUEDSCI[],7,FALSE),"")</f>
        <v/>
      </c>
      <c r="AW79" s="200" t="str">
        <f>IFERROR(VLOOKUP(TableHandbook[[#This Row],[UDC]],TableSTRUENGLB[],7,FALSE),"")</f>
        <v/>
      </c>
      <c r="AX79" s="200" t="str">
        <f>IFERROR(VLOOKUP(TableHandbook[[#This Row],[UDC]],TableSTRUENGLM[],7,FALSE),"")</f>
        <v/>
      </c>
      <c r="AY79" s="200" t="str">
        <f>IFERROR(VLOOKUP(TableHandbook[[#This Row],[UDC]],TableSTRUGEOB1[],7,FALSE),"")</f>
        <v/>
      </c>
      <c r="AZ79" s="200" t="str">
        <f>IFERROR(VLOOKUP(TableHandbook[[#This Row],[UDC]],TableSTRUHISB1[],7,FALSE),"")</f>
        <v/>
      </c>
      <c r="BA79" s="200" t="str">
        <f>IFERROR(VLOOKUP(TableHandbook[[#This Row],[UDC]],TableSTRUHUMAM[],7,FALSE),"")</f>
        <v/>
      </c>
      <c r="BB79" s="200" t="str">
        <f>IFERROR(VLOOKUP(TableHandbook[[#This Row],[UDC]],TableSTRUHUMBB[],7,FALSE),"")</f>
        <v/>
      </c>
      <c r="BC79" s="200" t="str">
        <f>IFERROR(VLOOKUP(TableHandbook[[#This Row],[UDC]],TableSTRUMATHB[],7,FALSE),"")</f>
        <v/>
      </c>
      <c r="BD79" s="200" t="str">
        <f>IFERROR(VLOOKUP(TableHandbook[[#This Row],[UDC]],TableSTRUMATHM[],7,FALSE),"")</f>
        <v/>
      </c>
      <c r="BE79" s="200" t="str">
        <f>IFERROR(VLOOKUP(TableHandbook[[#This Row],[UDC]],TableSTRUPARTB[],7,FALSE),"")</f>
        <v/>
      </c>
      <c r="BF79" s="200" t="str">
        <f>IFERROR(VLOOKUP(TableHandbook[[#This Row],[UDC]],TableSTRUPARTM[],7,FALSE),"")</f>
        <v/>
      </c>
      <c r="BG79" s="200" t="str">
        <f>IFERROR(VLOOKUP(TableHandbook[[#This Row],[UDC]],TableSTRUPOLB1[],7,FALSE),"")</f>
        <v/>
      </c>
      <c r="BH79" s="200" t="str">
        <f>IFERROR(VLOOKUP(TableHandbook[[#This Row],[UDC]],TableSTRUPSCIM[],7,FALSE),"")</f>
        <v/>
      </c>
      <c r="BI79" s="200" t="str">
        <f>IFERROR(VLOOKUP(TableHandbook[[#This Row],[UDC]],TableSTRUPSYCB[],7,FALSE),"")</f>
        <v/>
      </c>
      <c r="BJ79" s="200" t="str">
        <f>IFERROR(VLOOKUP(TableHandbook[[#This Row],[UDC]],TableSTRUPSYCM[],7,FALSE),"")</f>
        <v/>
      </c>
      <c r="BK79" s="200" t="str">
        <f>IFERROR(VLOOKUP(TableHandbook[[#This Row],[UDC]],TableSTRUSOSCM[],7,FALSE),"")</f>
        <v/>
      </c>
      <c r="BL79" s="200" t="str">
        <f>IFERROR(VLOOKUP(TableHandbook[[#This Row],[UDC]],TableSTRUVARTB[],7,FALSE),"")</f>
        <v/>
      </c>
      <c r="BM79" s="200" t="str">
        <f>IFERROR(VLOOKUP(TableHandbook[[#This Row],[UDC]],TableSTRUVARTM[],7,FALSE),"")</f>
        <v/>
      </c>
    </row>
    <row r="80" spans="1:65" x14ac:dyDescent="0.25">
      <c r="A80" s="11" t="s">
        <v>124</v>
      </c>
      <c r="B80" s="12">
        <v>1</v>
      </c>
      <c r="C80" s="11"/>
      <c r="D80" s="11" t="s">
        <v>643</v>
      </c>
      <c r="E80" s="12">
        <v>25</v>
      </c>
      <c r="F80" s="131" t="s">
        <v>87</v>
      </c>
      <c r="G80" s="126" t="str">
        <f>IFERROR(IF(VLOOKUP(TableHandbook[[#This Row],[UDC]],TableAvailabilities[],2,FALSE)&gt;0,"Y",""),"")</f>
        <v>Y</v>
      </c>
      <c r="H80" s="127" t="str">
        <f>IFERROR(IF(VLOOKUP(TableHandbook[[#This Row],[UDC]],TableAvailabilities[],3,FALSE)&gt;0,"Y",""),"")</f>
        <v>Y</v>
      </c>
      <c r="I80" s="127" t="str">
        <f>IFERROR(IF(VLOOKUP(TableHandbook[[#This Row],[UDC]],TableAvailabilities[],4,FALSE)&gt;0,"Y",""),"")</f>
        <v>Y</v>
      </c>
      <c r="J80" s="128" t="str">
        <f>IFERROR(IF(VLOOKUP(TableHandbook[[#This Row],[UDC]],TableAvailabilities[],5,FALSE)&gt;0,"Y",""),"")</f>
        <v/>
      </c>
      <c r="K80" s="128" t="str">
        <f>IFERROR(IF(VLOOKUP(TableHandbook[[#This Row],[UDC]],TableAvailabilities[],6,FALSE)&gt;0,"Y",""),"")</f>
        <v/>
      </c>
      <c r="L80" s="127" t="str">
        <f>IFERROR(IF(VLOOKUP(TableHandbook[[#This Row],[UDC]],TableAvailabilities[],7,FALSE)&gt;0,"Y",""),"")</f>
        <v/>
      </c>
      <c r="M80" s="207"/>
      <c r="N80" s="205" t="str">
        <f>IFERROR(VLOOKUP(TableHandbook[[#This Row],[UDC]],TableBEDUC[],7,FALSE),"")</f>
        <v/>
      </c>
      <c r="O80" s="200" t="str">
        <f>IFERROR(VLOOKUP(TableHandbook[[#This Row],[UDC]],TableBEDEC[],7,FALSE),"")</f>
        <v>Option</v>
      </c>
      <c r="P80" s="200" t="str">
        <f>IFERROR(VLOOKUP(TableHandbook[[#This Row],[UDC]],TableBEDPR[],7,FALSE),"")</f>
        <v>Core</v>
      </c>
      <c r="Q80" s="200" t="str">
        <f>IFERROR(VLOOKUP(TableHandbook[[#This Row],[UDC]],TableSTRUCATHL[],7,FALSE),"")</f>
        <v/>
      </c>
      <c r="R80" s="200" t="str">
        <f>IFERROR(VLOOKUP(TableHandbook[[#This Row],[UDC]],TableSTRUENGLL[],7,FALSE),"")</f>
        <v/>
      </c>
      <c r="S80" s="200" t="str">
        <f>IFERROR(VLOOKUP(TableHandbook[[#This Row],[UDC]],TableSTRUINTBC[],7,FALSE),"")</f>
        <v/>
      </c>
      <c r="T80" s="200" t="str">
        <f>IFERROR(VLOOKUP(TableHandbook[[#This Row],[UDC]],TableSTRUISTEM[],7,FALSE),"")</f>
        <v/>
      </c>
      <c r="U80" s="200" t="str">
        <f>IFERROR(VLOOKUP(TableHandbook[[#This Row],[UDC]],TableSTRULITNU[],7,FALSE),"")</f>
        <v/>
      </c>
      <c r="V80" s="200" t="str">
        <f>IFERROR(VLOOKUP(TableHandbook[[#This Row],[UDC]],TableSTRUTECHS[],7,FALSE),"")</f>
        <v/>
      </c>
      <c r="W80" s="200" t="str">
        <f>IFERROR(VLOOKUP(TableHandbook[[#This Row],[UDC]],TableBEDSC[],7,FALSE),"")</f>
        <v/>
      </c>
      <c r="X80" s="200" t="str">
        <f>IFERROR(VLOOKUP(TableHandbook[[#This Row],[UDC]],TableMJRUARTDR[],7,FALSE),"")</f>
        <v/>
      </c>
      <c r="Y80" s="200" t="str">
        <f>IFERROR(VLOOKUP(TableHandbook[[#This Row],[UDC]],TableMJRUARTME[],7,FALSE),"")</f>
        <v/>
      </c>
      <c r="Z80" s="200" t="str">
        <f>IFERROR(VLOOKUP(TableHandbook[[#This Row],[UDC]],TableMJRUARTVA[],7,FALSE),"")</f>
        <v/>
      </c>
      <c r="AA80" s="200" t="str">
        <f>IFERROR(VLOOKUP(TableHandbook[[#This Row],[UDC]],TableMJRUENGLT[],7,FALSE),"")</f>
        <v/>
      </c>
      <c r="AB80" s="200" t="str">
        <f>IFERROR(VLOOKUP(TableHandbook[[#This Row],[UDC]],TableMJRUHLTPE[],7,FALSE),"")</f>
        <v/>
      </c>
      <c r="AC80" s="200" t="str">
        <f>IFERROR(VLOOKUP(TableHandbook[[#This Row],[UDC]],TableMJRUHUSEC[],7,FALSE),"")</f>
        <v/>
      </c>
      <c r="AD80" s="200" t="str">
        <f>IFERROR(VLOOKUP(TableHandbook[[#This Row],[UDC]],TableMJRUHUSGE[],7,FALSE),"")</f>
        <v/>
      </c>
      <c r="AE80" s="200" t="str">
        <f>IFERROR(VLOOKUP(TableHandbook[[#This Row],[UDC]],TableMJRUHUSHI[],7,FALSE),"")</f>
        <v/>
      </c>
      <c r="AF80" s="200" t="str">
        <f>IFERROR(VLOOKUP(TableHandbook[[#This Row],[UDC]],TableMJRUHUSPL[],7,FALSE),"")</f>
        <v/>
      </c>
      <c r="AG80" s="200" t="str">
        <f>IFERROR(VLOOKUP(TableHandbook[[#This Row],[UDC]],TableMJRUMATHT[],7,FALSE),"")</f>
        <v/>
      </c>
      <c r="AH80" s="200" t="str">
        <f>IFERROR(VLOOKUP(TableHandbook[[#This Row],[UDC]],TableMJRUSCIBI[],7,FALSE),"")</f>
        <v/>
      </c>
      <c r="AI80" s="200" t="str">
        <f>IFERROR(VLOOKUP(TableHandbook[[#This Row],[UDC]],TableMJRUSCICH[],7,FALSE),"")</f>
        <v/>
      </c>
      <c r="AJ80" s="200" t="str">
        <f>IFERROR(VLOOKUP(TableHandbook[[#This Row],[UDC]],TableMJRUSCIHB[],7,FALSE),"")</f>
        <v/>
      </c>
      <c r="AK80" s="200" t="str">
        <f>IFERROR(VLOOKUP(TableHandbook[[#This Row],[UDC]],TableMJRUSCIPH[],7,FALSE),"")</f>
        <v/>
      </c>
      <c r="AL80" s="200" t="str">
        <f>IFERROR(VLOOKUP(TableHandbook[[#This Row],[UDC]],TableMJRUSCIPS[],7,FALSE),"")</f>
        <v/>
      </c>
      <c r="AM80" s="202"/>
      <c r="AN80" s="200" t="str">
        <f>IFERROR(VLOOKUP(TableHandbook[[#This Row],[UDC]],TableSTRUBIOLB[],7,FALSE),"")</f>
        <v/>
      </c>
      <c r="AO80" s="200" t="str">
        <f>IFERROR(VLOOKUP(TableHandbook[[#This Row],[UDC]],TableSTRUBSCIM[],7,FALSE),"")</f>
        <v/>
      </c>
      <c r="AP80" s="200" t="str">
        <f>IFERROR(VLOOKUP(TableHandbook[[#This Row],[UDC]],TableSTRUCHEMB[],7,FALSE),"")</f>
        <v/>
      </c>
      <c r="AQ80" s="200" t="str">
        <f>IFERROR(VLOOKUP(TableHandbook[[#This Row],[UDC]],TableSTRUECOB1[],7,FALSE),"")</f>
        <v/>
      </c>
      <c r="AR80" s="200" t="str">
        <f>IFERROR(VLOOKUP(TableHandbook[[#This Row],[UDC]],TableSTRUEDART[],7,FALSE),"")</f>
        <v/>
      </c>
      <c r="AS80" s="200" t="str">
        <f>IFERROR(VLOOKUP(TableHandbook[[#This Row],[UDC]],TableSTRUEDENG[],7,FALSE),"")</f>
        <v/>
      </c>
      <c r="AT80" s="200" t="str">
        <f>IFERROR(VLOOKUP(TableHandbook[[#This Row],[UDC]],TableSTRUEDHAS[],7,FALSE),"")</f>
        <v/>
      </c>
      <c r="AU80" s="200" t="str">
        <f>IFERROR(VLOOKUP(TableHandbook[[#This Row],[UDC]],TableSTRUEDMAT[],7,FALSE),"")</f>
        <v>Core</v>
      </c>
      <c r="AV80" s="200" t="str">
        <f>IFERROR(VLOOKUP(TableHandbook[[#This Row],[UDC]],TableSTRUEDSCI[],7,FALSE),"")</f>
        <v/>
      </c>
      <c r="AW80" s="200" t="str">
        <f>IFERROR(VLOOKUP(TableHandbook[[#This Row],[UDC]],TableSTRUENGLB[],7,FALSE),"")</f>
        <v/>
      </c>
      <c r="AX80" s="200" t="str">
        <f>IFERROR(VLOOKUP(TableHandbook[[#This Row],[UDC]],TableSTRUENGLM[],7,FALSE),"")</f>
        <v/>
      </c>
      <c r="AY80" s="200" t="str">
        <f>IFERROR(VLOOKUP(TableHandbook[[#This Row],[UDC]],TableSTRUGEOB1[],7,FALSE),"")</f>
        <v/>
      </c>
      <c r="AZ80" s="200" t="str">
        <f>IFERROR(VLOOKUP(TableHandbook[[#This Row],[UDC]],TableSTRUHISB1[],7,FALSE),"")</f>
        <v/>
      </c>
      <c r="BA80" s="200" t="str">
        <f>IFERROR(VLOOKUP(TableHandbook[[#This Row],[UDC]],TableSTRUHUMAM[],7,FALSE),"")</f>
        <v/>
      </c>
      <c r="BB80" s="200" t="str">
        <f>IFERROR(VLOOKUP(TableHandbook[[#This Row],[UDC]],TableSTRUHUMBB[],7,FALSE),"")</f>
        <v/>
      </c>
      <c r="BC80" s="200" t="str">
        <f>IFERROR(VLOOKUP(TableHandbook[[#This Row],[UDC]],TableSTRUMATHB[],7,FALSE),"")</f>
        <v>Core</v>
      </c>
      <c r="BD80" s="200" t="str">
        <f>IFERROR(VLOOKUP(TableHandbook[[#This Row],[UDC]],TableSTRUMATHM[],7,FALSE),"")</f>
        <v/>
      </c>
      <c r="BE80" s="200" t="str">
        <f>IFERROR(VLOOKUP(TableHandbook[[#This Row],[UDC]],TableSTRUPARTB[],7,FALSE),"")</f>
        <v/>
      </c>
      <c r="BF80" s="200" t="str">
        <f>IFERROR(VLOOKUP(TableHandbook[[#This Row],[UDC]],TableSTRUPARTM[],7,FALSE),"")</f>
        <v/>
      </c>
      <c r="BG80" s="200" t="str">
        <f>IFERROR(VLOOKUP(TableHandbook[[#This Row],[UDC]],TableSTRUPOLB1[],7,FALSE),"")</f>
        <v/>
      </c>
      <c r="BH80" s="200" t="str">
        <f>IFERROR(VLOOKUP(TableHandbook[[#This Row],[UDC]],TableSTRUPSCIM[],7,FALSE),"")</f>
        <v/>
      </c>
      <c r="BI80" s="200" t="str">
        <f>IFERROR(VLOOKUP(TableHandbook[[#This Row],[UDC]],TableSTRUPSYCB[],7,FALSE),"")</f>
        <v/>
      </c>
      <c r="BJ80" s="200" t="str">
        <f>IFERROR(VLOOKUP(TableHandbook[[#This Row],[UDC]],TableSTRUPSYCM[],7,FALSE),"")</f>
        <v/>
      </c>
      <c r="BK80" s="200" t="str">
        <f>IFERROR(VLOOKUP(TableHandbook[[#This Row],[UDC]],TableSTRUSOSCM[],7,FALSE),"")</f>
        <v/>
      </c>
      <c r="BL80" s="200" t="str">
        <f>IFERROR(VLOOKUP(TableHandbook[[#This Row],[UDC]],TableSTRUVARTB[],7,FALSE),"")</f>
        <v/>
      </c>
      <c r="BM80" s="200" t="str">
        <f>IFERROR(VLOOKUP(TableHandbook[[#This Row],[UDC]],TableSTRUVARTM[],7,FALSE),"")</f>
        <v/>
      </c>
    </row>
    <row r="81" spans="1:65" x14ac:dyDescent="0.25">
      <c r="A81" s="11" t="s">
        <v>120</v>
      </c>
      <c r="B81" s="12">
        <v>2</v>
      </c>
      <c r="C81" s="11"/>
      <c r="D81" s="11" t="s">
        <v>644</v>
      </c>
      <c r="E81" s="12">
        <v>25</v>
      </c>
      <c r="F81" s="131" t="s">
        <v>88</v>
      </c>
      <c r="G81" s="126" t="str">
        <f>IFERROR(IF(VLOOKUP(TableHandbook[[#This Row],[UDC]],TableAvailabilities[],2,FALSE)&gt;0,"Y",""),"")</f>
        <v/>
      </c>
      <c r="H81" s="127" t="str">
        <f>IFERROR(IF(VLOOKUP(TableHandbook[[#This Row],[UDC]],TableAvailabilities[],3,FALSE)&gt;0,"Y",""),"")</f>
        <v/>
      </c>
      <c r="I81" s="127" t="str">
        <f>IFERROR(IF(VLOOKUP(TableHandbook[[#This Row],[UDC]],TableAvailabilities[],4,FALSE)&gt;0,"Y",""),"")</f>
        <v/>
      </c>
      <c r="J81" s="128" t="str">
        <f>IFERROR(IF(VLOOKUP(TableHandbook[[#This Row],[UDC]],TableAvailabilities[],5,FALSE)&gt;0,"Y",""),"")</f>
        <v>Y</v>
      </c>
      <c r="K81" s="128" t="str">
        <f>IFERROR(IF(VLOOKUP(TableHandbook[[#This Row],[UDC]],TableAvailabilities[],6,FALSE)&gt;0,"Y",""),"")</f>
        <v>Y</v>
      </c>
      <c r="L81" s="127" t="str">
        <f>IFERROR(IF(VLOOKUP(TableHandbook[[#This Row],[UDC]],TableAvailabilities[],7,FALSE)&gt;0,"Y",""),"")</f>
        <v>Y</v>
      </c>
      <c r="M81" s="207"/>
      <c r="N81" s="205" t="str">
        <f>IFERROR(VLOOKUP(TableHandbook[[#This Row],[UDC]],TableBEDUC[],7,FALSE),"")</f>
        <v/>
      </c>
      <c r="O81" s="200" t="str">
        <f>IFERROR(VLOOKUP(TableHandbook[[#This Row],[UDC]],TableBEDEC[],7,FALSE),"")</f>
        <v>Option</v>
      </c>
      <c r="P81" s="200" t="str">
        <f>IFERROR(VLOOKUP(TableHandbook[[#This Row],[UDC]],TableBEDPR[],7,FALSE),"")</f>
        <v>Core</v>
      </c>
      <c r="Q81" s="200" t="str">
        <f>IFERROR(VLOOKUP(TableHandbook[[#This Row],[UDC]],TableSTRUCATHL[],7,FALSE),"")</f>
        <v/>
      </c>
      <c r="R81" s="200" t="str">
        <f>IFERROR(VLOOKUP(TableHandbook[[#This Row],[UDC]],TableSTRUENGLL[],7,FALSE),"")</f>
        <v/>
      </c>
      <c r="S81" s="200" t="str">
        <f>IFERROR(VLOOKUP(TableHandbook[[#This Row],[UDC]],TableSTRUINTBC[],7,FALSE),"")</f>
        <v/>
      </c>
      <c r="T81" s="200" t="str">
        <f>IFERROR(VLOOKUP(TableHandbook[[#This Row],[UDC]],TableSTRUISTEM[],7,FALSE),"")</f>
        <v/>
      </c>
      <c r="U81" s="200" t="str">
        <f>IFERROR(VLOOKUP(TableHandbook[[#This Row],[UDC]],TableSTRULITNU[],7,FALSE),"")</f>
        <v/>
      </c>
      <c r="V81" s="200" t="str">
        <f>IFERROR(VLOOKUP(TableHandbook[[#This Row],[UDC]],TableSTRUTECHS[],7,FALSE),"")</f>
        <v/>
      </c>
      <c r="W81" s="200" t="str">
        <f>IFERROR(VLOOKUP(TableHandbook[[#This Row],[UDC]],TableBEDSC[],7,FALSE),"")</f>
        <v/>
      </c>
      <c r="X81" s="200" t="str">
        <f>IFERROR(VLOOKUP(TableHandbook[[#This Row],[UDC]],TableMJRUARTDR[],7,FALSE),"")</f>
        <v/>
      </c>
      <c r="Y81" s="200" t="str">
        <f>IFERROR(VLOOKUP(TableHandbook[[#This Row],[UDC]],TableMJRUARTME[],7,FALSE),"")</f>
        <v/>
      </c>
      <c r="Z81" s="200" t="str">
        <f>IFERROR(VLOOKUP(TableHandbook[[#This Row],[UDC]],TableMJRUARTVA[],7,FALSE),"")</f>
        <v/>
      </c>
      <c r="AA81" s="200" t="str">
        <f>IFERROR(VLOOKUP(TableHandbook[[#This Row],[UDC]],TableMJRUENGLT[],7,FALSE),"")</f>
        <v/>
      </c>
      <c r="AB81" s="200" t="str">
        <f>IFERROR(VLOOKUP(TableHandbook[[#This Row],[UDC]],TableMJRUHLTPE[],7,FALSE),"")</f>
        <v/>
      </c>
      <c r="AC81" s="200" t="str">
        <f>IFERROR(VLOOKUP(TableHandbook[[#This Row],[UDC]],TableMJRUHUSEC[],7,FALSE),"")</f>
        <v/>
      </c>
      <c r="AD81" s="200" t="str">
        <f>IFERROR(VLOOKUP(TableHandbook[[#This Row],[UDC]],TableMJRUHUSGE[],7,FALSE),"")</f>
        <v/>
      </c>
      <c r="AE81" s="200" t="str">
        <f>IFERROR(VLOOKUP(TableHandbook[[#This Row],[UDC]],TableMJRUHUSHI[],7,FALSE),"")</f>
        <v/>
      </c>
      <c r="AF81" s="200" t="str">
        <f>IFERROR(VLOOKUP(TableHandbook[[#This Row],[UDC]],TableMJRUHUSPL[],7,FALSE),"")</f>
        <v/>
      </c>
      <c r="AG81" s="200" t="str">
        <f>IFERROR(VLOOKUP(TableHandbook[[#This Row],[UDC]],TableMJRUMATHT[],7,FALSE),"")</f>
        <v/>
      </c>
      <c r="AH81" s="200" t="str">
        <f>IFERROR(VLOOKUP(TableHandbook[[#This Row],[UDC]],TableMJRUSCIBI[],7,FALSE),"")</f>
        <v/>
      </c>
      <c r="AI81" s="200" t="str">
        <f>IFERROR(VLOOKUP(TableHandbook[[#This Row],[UDC]],TableMJRUSCICH[],7,FALSE),"")</f>
        <v/>
      </c>
      <c r="AJ81" s="200" t="str">
        <f>IFERROR(VLOOKUP(TableHandbook[[#This Row],[UDC]],TableMJRUSCIHB[],7,FALSE),"")</f>
        <v/>
      </c>
      <c r="AK81" s="200" t="str">
        <f>IFERROR(VLOOKUP(TableHandbook[[#This Row],[UDC]],TableMJRUSCIPH[],7,FALSE),"")</f>
        <v/>
      </c>
      <c r="AL81" s="200" t="str">
        <f>IFERROR(VLOOKUP(TableHandbook[[#This Row],[UDC]],TableMJRUSCIPS[],7,FALSE),"")</f>
        <v/>
      </c>
      <c r="AM81" s="202"/>
      <c r="AN81" s="200" t="str">
        <f>IFERROR(VLOOKUP(TableHandbook[[#This Row],[UDC]],TableSTRUBIOLB[],7,FALSE),"")</f>
        <v/>
      </c>
      <c r="AO81" s="200" t="str">
        <f>IFERROR(VLOOKUP(TableHandbook[[#This Row],[UDC]],TableSTRUBSCIM[],7,FALSE),"")</f>
        <v/>
      </c>
      <c r="AP81" s="200" t="str">
        <f>IFERROR(VLOOKUP(TableHandbook[[#This Row],[UDC]],TableSTRUCHEMB[],7,FALSE),"")</f>
        <v/>
      </c>
      <c r="AQ81" s="200" t="str">
        <f>IFERROR(VLOOKUP(TableHandbook[[#This Row],[UDC]],TableSTRUECOB1[],7,FALSE),"")</f>
        <v/>
      </c>
      <c r="AR81" s="200" t="str">
        <f>IFERROR(VLOOKUP(TableHandbook[[#This Row],[UDC]],TableSTRUEDART[],7,FALSE),"")</f>
        <v/>
      </c>
      <c r="AS81" s="200" t="str">
        <f>IFERROR(VLOOKUP(TableHandbook[[#This Row],[UDC]],TableSTRUEDENG[],7,FALSE),"")</f>
        <v>Core</v>
      </c>
      <c r="AT81" s="200" t="str">
        <f>IFERROR(VLOOKUP(TableHandbook[[#This Row],[UDC]],TableSTRUEDHAS[],7,FALSE),"")</f>
        <v/>
      </c>
      <c r="AU81" s="200" t="str">
        <f>IFERROR(VLOOKUP(TableHandbook[[#This Row],[UDC]],TableSTRUEDMAT[],7,FALSE),"")</f>
        <v/>
      </c>
      <c r="AV81" s="200" t="str">
        <f>IFERROR(VLOOKUP(TableHandbook[[#This Row],[UDC]],TableSTRUEDSCI[],7,FALSE),"")</f>
        <v/>
      </c>
      <c r="AW81" s="200" t="str">
        <f>IFERROR(VLOOKUP(TableHandbook[[#This Row],[UDC]],TableSTRUENGLB[],7,FALSE),"")</f>
        <v>Core</v>
      </c>
      <c r="AX81" s="200" t="str">
        <f>IFERROR(VLOOKUP(TableHandbook[[#This Row],[UDC]],TableSTRUENGLM[],7,FALSE),"")</f>
        <v/>
      </c>
      <c r="AY81" s="200" t="str">
        <f>IFERROR(VLOOKUP(TableHandbook[[#This Row],[UDC]],TableSTRUGEOB1[],7,FALSE),"")</f>
        <v/>
      </c>
      <c r="AZ81" s="200" t="str">
        <f>IFERROR(VLOOKUP(TableHandbook[[#This Row],[UDC]],TableSTRUHISB1[],7,FALSE),"")</f>
        <v/>
      </c>
      <c r="BA81" s="200" t="str">
        <f>IFERROR(VLOOKUP(TableHandbook[[#This Row],[UDC]],TableSTRUHUMAM[],7,FALSE),"")</f>
        <v/>
      </c>
      <c r="BB81" s="200" t="str">
        <f>IFERROR(VLOOKUP(TableHandbook[[#This Row],[UDC]],TableSTRUHUMBB[],7,FALSE),"")</f>
        <v/>
      </c>
      <c r="BC81" s="200" t="str">
        <f>IFERROR(VLOOKUP(TableHandbook[[#This Row],[UDC]],TableSTRUMATHB[],7,FALSE),"")</f>
        <v/>
      </c>
      <c r="BD81" s="200" t="str">
        <f>IFERROR(VLOOKUP(TableHandbook[[#This Row],[UDC]],TableSTRUMATHM[],7,FALSE),"")</f>
        <v/>
      </c>
      <c r="BE81" s="200" t="str">
        <f>IFERROR(VLOOKUP(TableHandbook[[#This Row],[UDC]],TableSTRUPARTB[],7,FALSE),"")</f>
        <v/>
      </c>
      <c r="BF81" s="200" t="str">
        <f>IFERROR(VLOOKUP(TableHandbook[[#This Row],[UDC]],TableSTRUPARTM[],7,FALSE),"")</f>
        <v/>
      </c>
      <c r="BG81" s="200" t="str">
        <f>IFERROR(VLOOKUP(TableHandbook[[#This Row],[UDC]],TableSTRUPOLB1[],7,FALSE),"")</f>
        <v/>
      </c>
      <c r="BH81" s="200" t="str">
        <f>IFERROR(VLOOKUP(TableHandbook[[#This Row],[UDC]],TableSTRUPSCIM[],7,FALSE),"")</f>
        <v/>
      </c>
      <c r="BI81" s="200" t="str">
        <f>IFERROR(VLOOKUP(TableHandbook[[#This Row],[UDC]],TableSTRUPSYCB[],7,FALSE),"")</f>
        <v/>
      </c>
      <c r="BJ81" s="200" t="str">
        <f>IFERROR(VLOOKUP(TableHandbook[[#This Row],[UDC]],TableSTRUPSYCM[],7,FALSE),"")</f>
        <v/>
      </c>
      <c r="BK81" s="200" t="str">
        <f>IFERROR(VLOOKUP(TableHandbook[[#This Row],[UDC]],TableSTRUSOSCM[],7,FALSE),"")</f>
        <v/>
      </c>
      <c r="BL81" s="200" t="str">
        <f>IFERROR(VLOOKUP(TableHandbook[[#This Row],[UDC]],TableSTRUVARTB[],7,FALSE),"")</f>
        <v/>
      </c>
      <c r="BM81" s="200" t="str">
        <f>IFERROR(VLOOKUP(TableHandbook[[#This Row],[UDC]],TableSTRUVARTM[],7,FALSE),"")</f>
        <v/>
      </c>
    </row>
    <row r="82" spans="1:65" x14ac:dyDescent="0.25">
      <c r="A82" s="11" t="s">
        <v>112</v>
      </c>
      <c r="B82" s="12">
        <v>2</v>
      </c>
      <c r="C82" s="11"/>
      <c r="D82" s="11" t="s">
        <v>645</v>
      </c>
      <c r="E82" s="12">
        <v>25</v>
      </c>
      <c r="F82" s="131" t="s">
        <v>646</v>
      </c>
      <c r="G82" s="126" t="str">
        <f>IFERROR(IF(VLOOKUP(TableHandbook[[#This Row],[UDC]],TableAvailabilities[],2,FALSE)&gt;0,"Y",""),"")</f>
        <v/>
      </c>
      <c r="H82" s="127" t="str">
        <f>IFERROR(IF(VLOOKUP(TableHandbook[[#This Row],[UDC]],TableAvailabilities[],3,FALSE)&gt;0,"Y",""),"")</f>
        <v/>
      </c>
      <c r="I82" s="127" t="str">
        <f>IFERROR(IF(VLOOKUP(TableHandbook[[#This Row],[UDC]],TableAvailabilities[],4,FALSE)&gt;0,"Y",""),"")</f>
        <v/>
      </c>
      <c r="J82" s="128" t="str">
        <f>IFERROR(IF(VLOOKUP(TableHandbook[[#This Row],[UDC]],TableAvailabilities[],5,FALSE)&gt;0,"Y",""),"")</f>
        <v>Y</v>
      </c>
      <c r="K82" s="128" t="str">
        <f>IFERROR(IF(VLOOKUP(TableHandbook[[#This Row],[UDC]],TableAvailabilities[],6,FALSE)&gt;0,"Y",""),"")</f>
        <v>Y</v>
      </c>
      <c r="L82" s="127" t="str">
        <f>IFERROR(IF(VLOOKUP(TableHandbook[[#This Row],[UDC]],TableAvailabilities[],7,FALSE)&gt;0,"Y",""),"")</f>
        <v>Y</v>
      </c>
      <c r="M82" s="207"/>
      <c r="N82" s="205" t="str">
        <f>IFERROR(VLOOKUP(TableHandbook[[#This Row],[UDC]],TableBEDUC[],7,FALSE),"")</f>
        <v>Core</v>
      </c>
      <c r="O82" s="200" t="str">
        <f>IFERROR(VLOOKUP(TableHandbook[[#This Row],[UDC]],TableBEDEC[],7,FALSE),"")</f>
        <v/>
      </c>
      <c r="P82" s="200" t="str">
        <f>IFERROR(VLOOKUP(TableHandbook[[#This Row],[UDC]],TableBEDPR[],7,FALSE),"")</f>
        <v>Core</v>
      </c>
      <c r="Q82" s="200" t="str">
        <f>IFERROR(VLOOKUP(TableHandbook[[#This Row],[UDC]],TableSTRUCATHL[],7,FALSE),"")</f>
        <v/>
      </c>
      <c r="R82" s="200" t="str">
        <f>IFERROR(VLOOKUP(TableHandbook[[#This Row],[UDC]],TableSTRUENGLL[],7,FALSE),"")</f>
        <v/>
      </c>
      <c r="S82" s="200" t="str">
        <f>IFERROR(VLOOKUP(TableHandbook[[#This Row],[UDC]],TableSTRUINTBC[],7,FALSE),"")</f>
        <v/>
      </c>
      <c r="T82" s="200" t="str">
        <f>IFERROR(VLOOKUP(TableHandbook[[#This Row],[UDC]],TableSTRUISTEM[],7,FALSE),"")</f>
        <v/>
      </c>
      <c r="U82" s="200" t="str">
        <f>IFERROR(VLOOKUP(TableHandbook[[#This Row],[UDC]],TableSTRULITNU[],7,FALSE),"")</f>
        <v/>
      </c>
      <c r="V82" s="200" t="str">
        <f>IFERROR(VLOOKUP(TableHandbook[[#This Row],[UDC]],TableSTRUTECHS[],7,FALSE),"")</f>
        <v/>
      </c>
      <c r="W82" s="200" t="str">
        <f>IFERROR(VLOOKUP(TableHandbook[[#This Row],[UDC]],TableBEDSC[],7,FALSE),"")</f>
        <v/>
      </c>
      <c r="X82" s="200" t="str">
        <f>IFERROR(VLOOKUP(TableHandbook[[#This Row],[UDC]],TableMJRUARTDR[],7,FALSE),"")</f>
        <v/>
      </c>
      <c r="Y82" s="200" t="str">
        <f>IFERROR(VLOOKUP(TableHandbook[[#This Row],[UDC]],TableMJRUARTME[],7,FALSE),"")</f>
        <v/>
      </c>
      <c r="Z82" s="200" t="str">
        <f>IFERROR(VLOOKUP(TableHandbook[[#This Row],[UDC]],TableMJRUARTVA[],7,FALSE),"")</f>
        <v/>
      </c>
      <c r="AA82" s="200" t="str">
        <f>IFERROR(VLOOKUP(TableHandbook[[#This Row],[UDC]],TableMJRUENGLT[],7,FALSE),"")</f>
        <v/>
      </c>
      <c r="AB82" s="200" t="str">
        <f>IFERROR(VLOOKUP(TableHandbook[[#This Row],[UDC]],TableMJRUHLTPE[],7,FALSE),"")</f>
        <v/>
      </c>
      <c r="AC82" s="200" t="str">
        <f>IFERROR(VLOOKUP(TableHandbook[[#This Row],[UDC]],TableMJRUHUSEC[],7,FALSE),"")</f>
        <v/>
      </c>
      <c r="AD82" s="200" t="str">
        <f>IFERROR(VLOOKUP(TableHandbook[[#This Row],[UDC]],TableMJRUHUSGE[],7,FALSE),"")</f>
        <v/>
      </c>
      <c r="AE82" s="200" t="str">
        <f>IFERROR(VLOOKUP(TableHandbook[[#This Row],[UDC]],TableMJRUHUSHI[],7,FALSE),"")</f>
        <v/>
      </c>
      <c r="AF82" s="200" t="str">
        <f>IFERROR(VLOOKUP(TableHandbook[[#This Row],[UDC]],TableMJRUHUSPL[],7,FALSE),"")</f>
        <v/>
      </c>
      <c r="AG82" s="200" t="str">
        <f>IFERROR(VLOOKUP(TableHandbook[[#This Row],[UDC]],TableMJRUMATHT[],7,FALSE),"")</f>
        <v/>
      </c>
      <c r="AH82" s="200" t="str">
        <f>IFERROR(VLOOKUP(TableHandbook[[#This Row],[UDC]],TableMJRUSCIBI[],7,FALSE),"")</f>
        <v/>
      </c>
      <c r="AI82" s="200" t="str">
        <f>IFERROR(VLOOKUP(TableHandbook[[#This Row],[UDC]],TableMJRUSCICH[],7,FALSE),"")</f>
        <v/>
      </c>
      <c r="AJ82" s="200" t="str">
        <f>IFERROR(VLOOKUP(TableHandbook[[#This Row],[UDC]],TableMJRUSCIHB[],7,FALSE),"")</f>
        <v/>
      </c>
      <c r="AK82" s="200" t="str">
        <f>IFERROR(VLOOKUP(TableHandbook[[#This Row],[UDC]],TableMJRUSCIPH[],7,FALSE),"")</f>
        <v/>
      </c>
      <c r="AL82" s="200" t="str">
        <f>IFERROR(VLOOKUP(TableHandbook[[#This Row],[UDC]],TableMJRUSCIPS[],7,FALSE),"")</f>
        <v/>
      </c>
      <c r="AM82" s="202"/>
      <c r="AN82" s="200" t="str">
        <f>IFERROR(VLOOKUP(TableHandbook[[#This Row],[UDC]],TableSTRUBIOLB[],7,FALSE),"")</f>
        <v/>
      </c>
      <c r="AO82" s="200" t="str">
        <f>IFERROR(VLOOKUP(TableHandbook[[#This Row],[UDC]],TableSTRUBSCIM[],7,FALSE),"")</f>
        <v/>
      </c>
      <c r="AP82" s="200" t="str">
        <f>IFERROR(VLOOKUP(TableHandbook[[#This Row],[UDC]],TableSTRUCHEMB[],7,FALSE),"")</f>
        <v/>
      </c>
      <c r="AQ82" s="200" t="str">
        <f>IFERROR(VLOOKUP(TableHandbook[[#This Row],[UDC]],TableSTRUECOB1[],7,FALSE),"")</f>
        <v>Core</v>
      </c>
      <c r="AR82" s="200" t="str">
        <f>IFERROR(VLOOKUP(TableHandbook[[#This Row],[UDC]],TableSTRUEDART[],7,FALSE),"")</f>
        <v/>
      </c>
      <c r="AS82" s="200" t="str">
        <f>IFERROR(VLOOKUP(TableHandbook[[#This Row],[UDC]],TableSTRUEDENG[],7,FALSE),"")</f>
        <v/>
      </c>
      <c r="AT82" s="200" t="str">
        <f>IFERROR(VLOOKUP(TableHandbook[[#This Row],[UDC]],TableSTRUEDHAS[],7,FALSE),"")</f>
        <v>Core</v>
      </c>
      <c r="AU82" s="200" t="str">
        <f>IFERROR(VLOOKUP(TableHandbook[[#This Row],[UDC]],TableSTRUEDMAT[],7,FALSE),"")</f>
        <v/>
      </c>
      <c r="AV82" s="200" t="str">
        <f>IFERROR(VLOOKUP(TableHandbook[[#This Row],[UDC]],TableSTRUEDSCI[],7,FALSE),"")</f>
        <v/>
      </c>
      <c r="AW82" s="200" t="str">
        <f>IFERROR(VLOOKUP(TableHandbook[[#This Row],[UDC]],TableSTRUENGLB[],7,FALSE),"")</f>
        <v/>
      </c>
      <c r="AX82" s="200" t="str">
        <f>IFERROR(VLOOKUP(TableHandbook[[#This Row],[UDC]],TableSTRUENGLM[],7,FALSE),"")</f>
        <v/>
      </c>
      <c r="AY82" s="200" t="str">
        <f>IFERROR(VLOOKUP(TableHandbook[[#This Row],[UDC]],TableSTRUGEOB1[],7,FALSE),"")</f>
        <v>Core</v>
      </c>
      <c r="AZ82" s="200" t="str">
        <f>IFERROR(VLOOKUP(TableHandbook[[#This Row],[UDC]],TableSTRUHISB1[],7,FALSE),"")</f>
        <v>Core</v>
      </c>
      <c r="BA82" s="200" t="str">
        <f>IFERROR(VLOOKUP(TableHandbook[[#This Row],[UDC]],TableSTRUHUMAM[],7,FALSE),"")</f>
        <v/>
      </c>
      <c r="BB82" s="200" t="str">
        <f>IFERROR(VLOOKUP(TableHandbook[[#This Row],[UDC]],TableSTRUHUMBB[],7,FALSE),"")</f>
        <v/>
      </c>
      <c r="BC82" s="200" t="str">
        <f>IFERROR(VLOOKUP(TableHandbook[[#This Row],[UDC]],TableSTRUMATHB[],7,FALSE),"")</f>
        <v/>
      </c>
      <c r="BD82" s="200" t="str">
        <f>IFERROR(VLOOKUP(TableHandbook[[#This Row],[UDC]],TableSTRUMATHM[],7,FALSE),"")</f>
        <v/>
      </c>
      <c r="BE82" s="200" t="str">
        <f>IFERROR(VLOOKUP(TableHandbook[[#This Row],[UDC]],TableSTRUPARTB[],7,FALSE),"")</f>
        <v/>
      </c>
      <c r="BF82" s="200" t="str">
        <f>IFERROR(VLOOKUP(TableHandbook[[#This Row],[UDC]],TableSTRUPARTM[],7,FALSE),"")</f>
        <v/>
      </c>
      <c r="BG82" s="200" t="str">
        <f>IFERROR(VLOOKUP(TableHandbook[[#This Row],[UDC]],TableSTRUPOLB1[],7,FALSE),"")</f>
        <v>Core</v>
      </c>
      <c r="BH82" s="200" t="str">
        <f>IFERROR(VLOOKUP(TableHandbook[[#This Row],[UDC]],TableSTRUPSCIM[],7,FALSE),"")</f>
        <v/>
      </c>
      <c r="BI82" s="200" t="str">
        <f>IFERROR(VLOOKUP(TableHandbook[[#This Row],[UDC]],TableSTRUPSYCB[],7,FALSE),"")</f>
        <v/>
      </c>
      <c r="BJ82" s="200" t="str">
        <f>IFERROR(VLOOKUP(TableHandbook[[#This Row],[UDC]],TableSTRUPSYCM[],7,FALSE),"")</f>
        <v/>
      </c>
      <c r="BK82" s="200" t="str">
        <f>IFERROR(VLOOKUP(TableHandbook[[#This Row],[UDC]],TableSTRUSOSCM[],7,FALSE),"")</f>
        <v/>
      </c>
      <c r="BL82" s="200" t="str">
        <f>IFERROR(VLOOKUP(TableHandbook[[#This Row],[UDC]],TableSTRUVARTB[],7,FALSE),"")</f>
        <v/>
      </c>
      <c r="BM82" s="200" t="str">
        <f>IFERROR(VLOOKUP(TableHandbook[[#This Row],[UDC]],TableSTRUVARTM[],7,FALSE),"")</f>
        <v/>
      </c>
    </row>
    <row r="83" spans="1:65" ht="26.25" x14ac:dyDescent="0.25">
      <c r="A83" s="11" t="s">
        <v>115</v>
      </c>
      <c r="B83" s="12">
        <v>1</v>
      </c>
      <c r="C83" s="11"/>
      <c r="D83" s="11" t="s">
        <v>647</v>
      </c>
      <c r="E83" s="12">
        <v>25</v>
      </c>
      <c r="F83" s="183" t="s">
        <v>648</v>
      </c>
      <c r="G83" s="126" t="str">
        <f>IFERROR(IF(VLOOKUP(TableHandbook[[#This Row],[UDC]],TableAvailabilities[],2,FALSE)&gt;0,"Y",""),"")</f>
        <v>Y</v>
      </c>
      <c r="H83" s="127" t="str">
        <f>IFERROR(IF(VLOOKUP(TableHandbook[[#This Row],[UDC]],TableAvailabilities[],3,FALSE)&gt;0,"Y",""),"")</f>
        <v>Y</v>
      </c>
      <c r="I83" s="127" t="str">
        <f>IFERROR(IF(VLOOKUP(TableHandbook[[#This Row],[UDC]],TableAvailabilities[],4,FALSE)&gt;0,"Y",""),"")</f>
        <v>Y</v>
      </c>
      <c r="J83" s="128" t="str">
        <f>IFERROR(IF(VLOOKUP(TableHandbook[[#This Row],[UDC]],TableAvailabilities[],5,FALSE)&gt;0,"Y",""),"")</f>
        <v/>
      </c>
      <c r="K83" s="128" t="str">
        <f>IFERROR(IF(VLOOKUP(TableHandbook[[#This Row],[UDC]],TableAvailabilities[],6,FALSE)&gt;0,"Y",""),"")</f>
        <v/>
      </c>
      <c r="L83" s="127" t="str">
        <f>IFERROR(IF(VLOOKUP(TableHandbook[[#This Row],[UDC]],TableAvailabilities[],7,FALSE)&gt;0,"Y",""),"")</f>
        <v/>
      </c>
      <c r="M83" s="209" t="s">
        <v>649</v>
      </c>
      <c r="N83" s="205" t="str">
        <f>IFERROR(VLOOKUP(TableHandbook[[#This Row],[UDC]],TableBEDUC[],7,FALSE),"")</f>
        <v>AltCore</v>
      </c>
      <c r="O83" s="200" t="str">
        <f>IFERROR(VLOOKUP(TableHandbook[[#This Row],[UDC]],TableBEDEC[],7,FALSE),"")</f>
        <v/>
      </c>
      <c r="P83" s="200" t="str">
        <f>IFERROR(VLOOKUP(TableHandbook[[#This Row],[UDC]],TableBEDPR[],7,FALSE),"")</f>
        <v>Core</v>
      </c>
      <c r="Q83" s="200" t="str">
        <f>IFERROR(VLOOKUP(TableHandbook[[#This Row],[UDC]],TableSTRUCATHL[],7,FALSE),"")</f>
        <v/>
      </c>
      <c r="R83" s="200" t="str">
        <f>IFERROR(VLOOKUP(TableHandbook[[#This Row],[UDC]],TableSTRUENGLL[],7,FALSE),"")</f>
        <v/>
      </c>
      <c r="S83" s="200" t="str">
        <f>IFERROR(VLOOKUP(TableHandbook[[#This Row],[UDC]],TableSTRUINTBC[],7,FALSE),"")</f>
        <v/>
      </c>
      <c r="T83" s="200" t="str">
        <f>IFERROR(VLOOKUP(TableHandbook[[#This Row],[UDC]],TableSTRUISTEM[],7,FALSE),"")</f>
        <v/>
      </c>
      <c r="U83" s="200" t="str">
        <f>IFERROR(VLOOKUP(TableHandbook[[#This Row],[UDC]],TableSTRULITNU[],7,FALSE),"")</f>
        <v/>
      </c>
      <c r="V83" s="200" t="str">
        <f>IFERROR(VLOOKUP(TableHandbook[[#This Row],[UDC]],TableSTRUTECHS[],7,FALSE),"")</f>
        <v/>
      </c>
      <c r="W83" s="200" t="str">
        <f>IFERROR(VLOOKUP(TableHandbook[[#This Row],[UDC]],TableBEDSC[],7,FALSE),"")</f>
        <v/>
      </c>
      <c r="X83" s="200" t="str">
        <f>IFERROR(VLOOKUP(TableHandbook[[#This Row],[UDC]],TableMJRUARTDR[],7,FALSE),"")</f>
        <v/>
      </c>
      <c r="Y83" s="200" t="str">
        <f>IFERROR(VLOOKUP(TableHandbook[[#This Row],[UDC]],TableMJRUARTME[],7,FALSE),"")</f>
        <v/>
      </c>
      <c r="Z83" s="200" t="str">
        <f>IFERROR(VLOOKUP(TableHandbook[[#This Row],[UDC]],TableMJRUARTVA[],7,FALSE),"")</f>
        <v/>
      </c>
      <c r="AA83" s="200" t="str">
        <f>IFERROR(VLOOKUP(TableHandbook[[#This Row],[UDC]],TableMJRUENGLT[],7,FALSE),"")</f>
        <v/>
      </c>
      <c r="AB83" s="200" t="str">
        <f>IFERROR(VLOOKUP(TableHandbook[[#This Row],[UDC]],TableMJRUHLTPE[],7,FALSE),"")</f>
        <v/>
      </c>
      <c r="AC83" s="200" t="str">
        <f>IFERROR(VLOOKUP(TableHandbook[[#This Row],[UDC]],TableMJRUHUSEC[],7,FALSE),"")</f>
        <v/>
      </c>
      <c r="AD83" s="200" t="str">
        <f>IFERROR(VLOOKUP(TableHandbook[[#This Row],[UDC]],TableMJRUHUSGE[],7,FALSE),"")</f>
        <v/>
      </c>
      <c r="AE83" s="200" t="str">
        <f>IFERROR(VLOOKUP(TableHandbook[[#This Row],[UDC]],TableMJRUHUSHI[],7,FALSE),"")</f>
        <v/>
      </c>
      <c r="AF83" s="200" t="str">
        <f>IFERROR(VLOOKUP(TableHandbook[[#This Row],[UDC]],TableMJRUHUSPL[],7,FALSE),"")</f>
        <v/>
      </c>
      <c r="AG83" s="200" t="str">
        <f>IFERROR(VLOOKUP(TableHandbook[[#This Row],[UDC]],TableMJRUMATHT[],7,FALSE),"")</f>
        <v/>
      </c>
      <c r="AH83" s="200" t="str">
        <f>IFERROR(VLOOKUP(TableHandbook[[#This Row],[UDC]],TableMJRUSCIBI[],7,FALSE),"")</f>
        <v/>
      </c>
      <c r="AI83" s="200" t="str">
        <f>IFERROR(VLOOKUP(TableHandbook[[#This Row],[UDC]],TableMJRUSCICH[],7,FALSE),"")</f>
        <v/>
      </c>
      <c r="AJ83" s="200" t="str">
        <f>IFERROR(VLOOKUP(TableHandbook[[#This Row],[UDC]],TableMJRUSCIHB[],7,FALSE),"")</f>
        <v/>
      </c>
      <c r="AK83" s="200" t="str">
        <f>IFERROR(VLOOKUP(TableHandbook[[#This Row],[UDC]],TableMJRUSCIPH[],7,FALSE),"")</f>
        <v/>
      </c>
      <c r="AL83" s="200" t="str">
        <f>IFERROR(VLOOKUP(TableHandbook[[#This Row],[UDC]],TableMJRUSCIPS[],7,FALSE),"")</f>
        <v/>
      </c>
      <c r="AM83" s="202"/>
      <c r="AN83" s="200" t="str">
        <f>IFERROR(VLOOKUP(TableHandbook[[#This Row],[UDC]],TableSTRUBIOLB[],7,FALSE),"")</f>
        <v/>
      </c>
      <c r="AO83" s="200" t="str">
        <f>IFERROR(VLOOKUP(TableHandbook[[#This Row],[UDC]],TableSTRUBSCIM[],7,FALSE),"")</f>
        <v/>
      </c>
      <c r="AP83" s="200" t="str">
        <f>IFERROR(VLOOKUP(TableHandbook[[#This Row],[UDC]],TableSTRUCHEMB[],7,FALSE),"")</f>
        <v/>
      </c>
      <c r="AQ83" s="200" t="str">
        <f>IFERROR(VLOOKUP(TableHandbook[[#This Row],[UDC]],TableSTRUECOB1[],7,FALSE),"")</f>
        <v/>
      </c>
      <c r="AR83" s="200" t="str">
        <f>IFERROR(VLOOKUP(TableHandbook[[#This Row],[UDC]],TableSTRUEDART[],7,FALSE),"")</f>
        <v/>
      </c>
      <c r="AS83" s="200" t="str">
        <f>IFERROR(VLOOKUP(TableHandbook[[#This Row],[UDC]],TableSTRUEDENG[],7,FALSE),"")</f>
        <v/>
      </c>
      <c r="AT83" s="200" t="str">
        <f>IFERROR(VLOOKUP(TableHandbook[[#This Row],[UDC]],TableSTRUEDHAS[],7,FALSE),"")</f>
        <v/>
      </c>
      <c r="AU83" s="200" t="str">
        <f>IFERROR(VLOOKUP(TableHandbook[[#This Row],[UDC]],TableSTRUEDMAT[],7,FALSE),"")</f>
        <v/>
      </c>
      <c r="AV83" s="200" t="str">
        <f>IFERROR(VLOOKUP(TableHandbook[[#This Row],[UDC]],TableSTRUEDSCI[],7,FALSE),"")</f>
        <v/>
      </c>
      <c r="AW83" s="200" t="str">
        <f>IFERROR(VLOOKUP(TableHandbook[[#This Row],[UDC]],TableSTRUENGLB[],7,FALSE),"")</f>
        <v/>
      </c>
      <c r="AX83" s="200" t="str">
        <f>IFERROR(VLOOKUP(TableHandbook[[#This Row],[UDC]],TableSTRUENGLM[],7,FALSE),"")</f>
        <v/>
      </c>
      <c r="AY83" s="200" t="str">
        <f>IFERROR(VLOOKUP(TableHandbook[[#This Row],[UDC]],TableSTRUGEOB1[],7,FALSE),"")</f>
        <v/>
      </c>
      <c r="AZ83" s="200" t="str">
        <f>IFERROR(VLOOKUP(TableHandbook[[#This Row],[UDC]],TableSTRUHISB1[],7,FALSE),"")</f>
        <v/>
      </c>
      <c r="BA83" s="200" t="str">
        <f>IFERROR(VLOOKUP(TableHandbook[[#This Row],[UDC]],TableSTRUHUMAM[],7,FALSE),"")</f>
        <v/>
      </c>
      <c r="BB83" s="200" t="str">
        <f>IFERROR(VLOOKUP(TableHandbook[[#This Row],[UDC]],TableSTRUHUMBB[],7,FALSE),"")</f>
        <v/>
      </c>
      <c r="BC83" s="200" t="str">
        <f>IFERROR(VLOOKUP(TableHandbook[[#This Row],[UDC]],TableSTRUMATHB[],7,FALSE),"")</f>
        <v/>
      </c>
      <c r="BD83" s="200" t="str">
        <f>IFERROR(VLOOKUP(TableHandbook[[#This Row],[UDC]],TableSTRUMATHM[],7,FALSE),"")</f>
        <v/>
      </c>
      <c r="BE83" s="200" t="str">
        <f>IFERROR(VLOOKUP(TableHandbook[[#This Row],[UDC]],TableSTRUPARTB[],7,FALSE),"")</f>
        <v/>
      </c>
      <c r="BF83" s="200" t="str">
        <f>IFERROR(VLOOKUP(TableHandbook[[#This Row],[UDC]],TableSTRUPARTM[],7,FALSE),"")</f>
        <v/>
      </c>
      <c r="BG83" s="200" t="str">
        <f>IFERROR(VLOOKUP(TableHandbook[[#This Row],[UDC]],TableSTRUPOLB1[],7,FALSE),"")</f>
        <v/>
      </c>
      <c r="BH83" s="200" t="str">
        <f>IFERROR(VLOOKUP(TableHandbook[[#This Row],[UDC]],TableSTRUPSCIM[],7,FALSE),"")</f>
        <v/>
      </c>
      <c r="BI83" s="200" t="str">
        <f>IFERROR(VLOOKUP(TableHandbook[[#This Row],[UDC]],TableSTRUPSYCB[],7,FALSE),"")</f>
        <v/>
      </c>
      <c r="BJ83" s="200" t="str">
        <f>IFERROR(VLOOKUP(TableHandbook[[#This Row],[UDC]],TableSTRUPSYCM[],7,FALSE),"")</f>
        <v/>
      </c>
      <c r="BK83" s="200" t="str">
        <f>IFERROR(VLOOKUP(TableHandbook[[#This Row],[UDC]],TableSTRUSOSCM[],7,FALSE),"")</f>
        <v/>
      </c>
      <c r="BL83" s="200" t="str">
        <f>IFERROR(VLOOKUP(TableHandbook[[#This Row],[UDC]],TableSTRUVARTB[],7,FALSE),"")</f>
        <v/>
      </c>
      <c r="BM83" s="200" t="str">
        <f>IFERROR(VLOOKUP(TableHandbook[[#This Row],[UDC]],TableSTRUVARTM[],7,FALSE),"")</f>
        <v/>
      </c>
    </row>
    <row r="84" spans="1:65" x14ac:dyDescent="0.25">
      <c r="A84" s="11" t="s">
        <v>128</v>
      </c>
      <c r="B84" s="12">
        <v>1</v>
      </c>
      <c r="C84" s="11"/>
      <c r="D84" s="11" t="s">
        <v>650</v>
      </c>
      <c r="E84" s="12">
        <v>25</v>
      </c>
      <c r="F84" s="131" t="s">
        <v>651</v>
      </c>
      <c r="G84" s="126" t="str">
        <f>IFERROR(IF(VLOOKUP(TableHandbook[[#This Row],[UDC]],TableAvailabilities[],2,FALSE)&gt;0,"Y",""),"")</f>
        <v/>
      </c>
      <c r="H84" s="127" t="str">
        <f>IFERROR(IF(VLOOKUP(TableHandbook[[#This Row],[UDC]],TableAvailabilities[],3,FALSE)&gt;0,"Y",""),"")</f>
        <v/>
      </c>
      <c r="I84" s="127" t="str">
        <f>IFERROR(IF(VLOOKUP(TableHandbook[[#This Row],[UDC]],TableAvailabilities[],4,FALSE)&gt;0,"Y",""),"")</f>
        <v/>
      </c>
      <c r="J84" s="128" t="str">
        <f>IFERROR(IF(VLOOKUP(TableHandbook[[#This Row],[UDC]],TableAvailabilities[],5,FALSE)&gt;0,"Y",""),"")</f>
        <v>Y</v>
      </c>
      <c r="K84" s="128" t="str">
        <f>IFERROR(IF(VLOOKUP(TableHandbook[[#This Row],[UDC]],TableAvailabilities[],6,FALSE)&gt;0,"Y",""),"")</f>
        <v>Y</v>
      </c>
      <c r="L84" s="127" t="str">
        <f>IFERROR(IF(VLOOKUP(TableHandbook[[#This Row],[UDC]],TableAvailabilities[],7,FALSE)&gt;0,"Y",""),"")</f>
        <v>Y</v>
      </c>
      <c r="M84" s="207"/>
      <c r="N84" s="205" t="str">
        <f>IFERROR(VLOOKUP(TableHandbook[[#This Row],[UDC]],TableBEDUC[],7,FALSE),"")</f>
        <v/>
      </c>
      <c r="O84" s="200" t="str">
        <f>IFERROR(VLOOKUP(TableHandbook[[#This Row],[UDC]],TableBEDEC[],7,FALSE),"")</f>
        <v/>
      </c>
      <c r="P84" s="200" t="str">
        <f>IFERROR(VLOOKUP(TableHandbook[[#This Row],[UDC]],TableBEDPR[],7,FALSE),"")</f>
        <v>Core</v>
      </c>
      <c r="Q84" s="200" t="str">
        <f>IFERROR(VLOOKUP(TableHandbook[[#This Row],[UDC]],TableSTRUCATHL[],7,FALSE),"")</f>
        <v/>
      </c>
      <c r="R84" s="200" t="str">
        <f>IFERROR(VLOOKUP(TableHandbook[[#This Row],[UDC]],TableSTRUENGLL[],7,FALSE),"")</f>
        <v/>
      </c>
      <c r="S84" s="200" t="str">
        <f>IFERROR(VLOOKUP(TableHandbook[[#This Row],[UDC]],TableSTRUINTBC[],7,FALSE),"")</f>
        <v/>
      </c>
      <c r="T84" s="200" t="str">
        <f>IFERROR(VLOOKUP(TableHandbook[[#This Row],[UDC]],TableSTRUISTEM[],7,FALSE),"")</f>
        <v/>
      </c>
      <c r="U84" s="200" t="str">
        <f>IFERROR(VLOOKUP(TableHandbook[[#This Row],[UDC]],TableSTRULITNU[],7,FALSE),"")</f>
        <v/>
      </c>
      <c r="V84" s="200" t="str">
        <f>IFERROR(VLOOKUP(TableHandbook[[#This Row],[UDC]],TableSTRUTECHS[],7,FALSE),"")</f>
        <v/>
      </c>
      <c r="W84" s="200" t="str">
        <f>IFERROR(VLOOKUP(TableHandbook[[#This Row],[UDC]],TableBEDSC[],7,FALSE),"")</f>
        <v/>
      </c>
      <c r="X84" s="200" t="str">
        <f>IFERROR(VLOOKUP(TableHandbook[[#This Row],[UDC]],TableMJRUARTDR[],7,FALSE),"")</f>
        <v/>
      </c>
      <c r="Y84" s="200" t="str">
        <f>IFERROR(VLOOKUP(TableHandbook[[#This Row],[UDC]],TableMJRUARTME[],7,FALSE),"")</f>
        <v/>
      </c>
      <c r="Z84" s="200" t="str">
        <f>IFERROR(VLOOKUP(TableHandbook[[#This Row],[UDC]],TableMJRUARTVA[],7,FALSE),"")</f>
        <v/>
      </c>
      <c r="AA84" s="200" t="str">
        <f>IFERROR(VLOOKUP(TableHandbook[[#This Row],[UDC]],TableMJRUENGLT[],7,FALSE),"")</f>
        <v/>
      </c>
      <c r="AB84" s="200" t="str">
        <f>IFERROR(VLOOKUP(TableHandbook[[#This Row],[UDC]],TableMJRUHLTPE[],7,FALSE),"")</f>
        <v/>
      </c>
      <c r="AC84" s="200" t="str">
        <f>IFERROR(VLOOKUP(TableHandbook[[#This Row],[UDC]],TableMJRUHUSEC[],7,FALSE),"")</f>
        <v/>
      </c>
      <c r="AD84" s="200" t="str">
        <f>IFERROR(VLOOKUP(TableHandbook[[#This Row],[UDC]],TableMJRUHUSGE[],7,FALSE),"")</f>
        <v/>
      </c>
      <c r="AE84" s="200" t="str">
        <f>IFERROR(VLOOKUP(TableHandbook[[#This Row],[UDC]],TableMJRUHUSHI[],7,FALSE),"")</f>
        <v/>
      </c>
      <c r="AF84" s="200" t="str">
        <f>IFERROR(VLOOKUP(TableHandbook[[#This Row],[UDC]],TableMJRUHUSPL[],7,FALSE),"")</f>
        <v/>
      </c>
      <c r="AG84" s="200" t="str">
        <f>IFERROR(VLOOKUP(TableHandbook[[#This Row],[UDC]],TableMJRUMATHT[],7,FALSE),"")</f>
        <v/>
      </c>
      <c r="AH84" s="200" t="str">
        <f>IFERROR(VLOOKUP(TableHandbook[[#This Row],[UDC]],TableMJRUSCIBI[],7,FALSE),"")</f>
        <v/>
      </c>
      <c r="AI84" s="200" t="str">
        <f>IFERROR(VLOOKUP(TableHandbook[[#This Row],[UDC]],TableMJRUSCICH[],7,FALSE),"")</f>
        <v/>
      </c>
      <c r="AJ84" s="200" t="str">
        <f>IFERROR(VLOOKUP(TableHandbook[[#This Row],[UDC]],TableMJRUSCIHB[],7,FALSE),"")</f>
        <v/>
      </c>
      <c r="AK84" s="200" t="str">
        <f>IFERROR(VLOOKUP(TableHandbook[[#This Row],[UDC]],TableMJRUSCIPH[],7,FALSE),"")</f>
        <v/>
      </c>
      <c r="AL84" s="200" t="str">
        <f>IFERROR(VLOOKUP(TableHandbook[[#This Row],[UDC]],TableMJRUSCIPS[],7,FALSE),"")</f>
        <v/>
      </c>
      <c r="AM84" s="202"/>
      <c r="AN84" s="200" t="str">
        <f>IFERROR(VLOOKUP(TableHandbook[[#This Row],[UDC]],TableSTRUBIOLB[],7,FALSE),"")</f>
        <v/>
      </c>
      <c r="AO84" s="200" t="str">
        <f>IFERROR(VLOOKUP(TableHandbook[[#This Row],[UDC]],TableSTRUBSCIM[],7,FALSE),"")</f>
        <v/>
      </c>
      <c r="AP84" s="200" t="str">
        <f>IFERROR(VLOOKUP(TableHandbook[[#This Row],[UDC]],TableSTRUCHEMB[],7,FALSE),"")</f>
        <v/>
      </c>
      <c r="AQ84" s="200" t="str">
        <f>IFERROR(VLOOKUP(TableHandbook[[#This Row],[UDC]],TableSTRUECOB1[],7,FALSE),"")</f>
        <v/>
      </c>
      <c r="AR84" s="200" t="str">
        <f>IFERROR(VLOOKUP(TableHandbook[[#This Row],[UDC]],TableSTRUEDART[],7,FALSE),"")</f>
        <v/>
      </c>
      <c r="AS84" s="200" t="str">
        <f>IFERROR(VLOOKUP(TableHandbook[[#This Row],[UDC]],TableSTRUEDENG[],7,FALSE),"")</f>
        <v/>
      </c>
      <c r="AT84" s="200" t="str">
        <f>IFERROR(VLOOKUP(TableHandbook[[#This Row],[UDC]],TableSTRUEDHAS[],7,FALSE),"")</f>
        <v/>
      </c>
      <c r="AU84" s="200" t="str">
        <f>IFERROR(VLOOKUP(TableHandbook[[#This Row],[UDC]],TableSTRUEDMAT[],7,FALSE),"")</f>
        <v/>
      </c>
      <c r="AV84" s="200" t="str">
        <f>IFERROR(VLOOKUP(TableHandbook[[#This Row],[UDC]],TableSTRUEDSCI[],7,FALSE),"")</f>
        <v/>
      </c>
      <c r="AW84" s="200" t="str">
        <f>IFERROR(VLOOKUP(TableHandbook[[#This Row],[UDC]],TableSTRUENGLB[],7,FALSE),"")</f>
        <v/>
      </c>
      <c r="AX84" s="200" t="str">
        <f>IFERROR(VLOOKUP(TableHandbook[[#This Row],[UDC]],TableSTRUENGLM[],7,FALSE),"")</f>
        <v/>
      </c>
      <c r="AY84" s="200" t="str">
        <f>IFERROR(VLOOKUP(TableHandbook[[#This Row],[UDC]],TableSTRUGEOB1[],7,FALSE),"")</f>
        <v/>
      </c>
      <c r="AZ84" s="200" t="str">
        <f>IFERROR(VLOOKUP(TableHandbook[[#This Row],[UDC]],TableSTRUHISB1[],7,FALSE),"")</f>
        <v/>
      </c>
      <c r="BA84" s="200" t="str">
        <f>IFERROR(VLOOKUP(TableHandbook[[#This Row],[UDC]],TableSTRUHUMAM[],7,FALSE),"")</f>
        <v/>
      </c>
      <c r="BB84" s="200" t="str">
        <f>IFERROR(VLOOKUP(TableHandbook[[#This Row],[UDC]],TableSTRUHUMBB[],7,FALSE),"")</f>
        <v/>
      </c>
      <c r="BC84" s="200" t="str">
        <f>IFERROR(VLOOKUP(TableHandbook[[#This Row],[UDC]],TableSTRUMATHB[],7,FALSE),"")</f>
        <v/>
      </c>
      <c r="BD84" s="200" t="str">
        <f>IFERROR(VLOOKUP(TableHandbook[[#This Row],[UDC]],TableSTRUMATHM[],7,FALSE),"")</f>
        <v/>
      </c>
      <c r="BE84" s="200" t="str">
        <f>IFERROR(VLOOKUP(TableHandbook[[#This Row],[UDC]],TableSTRUPARTB[],7,FALSE),"")</f>
        <v/>
      </c>
      <c r="BF84" s="200" t="str">
        <f>IFERROR(VLOOKUP(TableHandbook[[#This Row],[UDC]],TableSTRUPARTM[],7,FALSE),"")</f>
        <v/>
      </c>
      <c r="BG84" s="200" t="str">
        <f>IFERROR(VLOOKUP(TableHandbook[[#This Row],[UDC]],TableSTRUPOLB1[],7,FALSE),"")</f>
        <v/>
      </c>
      <c r="BH84" s="200" t="str">
        <f>IFERROR(VLOOKUP(TableHandbook[[#This Row],[UDC]],TableSTRUPSCIM[],7,FALSE),"")</f>
        <v/>
      </c>
      <c r="BI84" s="200" t="str">
        <f>IFERROR(VLOOKUP(TableHandbook[[#This Row],[UDC]],TableSTRUPSYCB[],7,FALSE),"")</f>
        <v/>
      </c>
      <c r="BJ84" s="200" t="str">
        <f>IFERROR(VLOOKUP(TableHandbook[[#This Row],[UDC]],TableSTRUPSYCM[],7,FALSE),"")</f>
        <v/>
      </c>
      <c r="BK84" s="200" t="str">
        <f>IFERROR(VLOOKUP(TableHandbook[[#This Row],[UDC]],TableSTRUSOSCM[],7,FALSE),"")</f>
        <v/>
      </c>
      <c r="BL84" s="200" t="str">
        <f>IFERROR(VLOOKUP(TableHandbook[[#This Row],[UDC]],TableSTRUVARTB[],7,FALSE),"")</f>
        <v/>
      </c>
      <c r="BM84" s="200" t="str">
        <f>IFERROR(VLOOKUP(TableHandbook[[#This Row],[UDC]],TableSTRUVARTM[],7,FALSE),"")</f>
        <v/>
      </c>
    </row>
    <row r="85" spans="1:65" ht="26.25" x14ac:dyDescent="0.25">
      <c r="A85" s="11" t="s">
        <v>119</v>
      </c>
      <c r="B85" s="12">
        <v>1</v>
      </c>
      <c r="C85" s="11"/>
      <c r="D85" s="11" t="s">
        <v>652</v>
      </c>
      <c r="E85" s="12">
        <v>25</v>
      </c>
      <c r="F85" s="183" t="s">
        <v>653</v>
      </c>
      <c r="G85" s="126" t="str">
        <f>IFERROR(IF(VLOOKUP(TableHandbook[[#This Row],[UDC]],TableAvailabilities[],2,FALSE)&gt;0,"Y",""),"")</f>
        <v>Y</v>
      </c>
      <c r="H85" s="127" t="str">
        <f>IFERROR(IF(VLOOKUP(TableHandbook[[#This Row],[UDC]],TableAvailabilities[],3,FALSE)&gt;0,"Y",""),"")</f>
        <v>Y</v>
      </c>
      <c r="I85" s="127" t="str">
        <f>IFERROR(IF(VLOOKUP(TableHandbook[[#This Row],[UDC]],TableAvailabilities[],4,FALSE)&gt;0,"Y",""),"")</f>
        <v>Y</v>
      </c>
      <c r="J85" s="128" t="str">
        <f>IFERROR(IF(VLOOKUP(TableHandbook[[#This Row],[UDC]],TableAvailabilities[],5,FALSE)&gt;0,"Y",""),"")</f>
        <v/>
      </c>
      <c r="K85" s="128" t="str">
        <f>IFERROR(IF(VLOOKUP(TableHandbook[[#This Row],[UDC]],TableAvailabilities[],6,FALSE)&gt;0,"Y",""),"")</f>
        <v/>
      </c>
      <c r="L85" s="127" t="str">
        <f>IFERROR(IF(VLOOKUP(TableHandbook[[#This Row],[UDC]],TableAvailabilities[],7,FALSE)&gt;0,"Y",""),"")</f>
        <v/>
      </c>
      <c r="M85" s="209" t="s">
        <v>654</v>
      </c>
      <c r="N85" s="205" t="str">
        <f>IFERROR(VLOOKUP(TableHandbook[[#This Row],[UDC]],TableBEDUC[],7,FALSE),"")</f>
        <v/>
      </c>
      <c r="O85" s="200" t="str">
        <f>IFERROR(VLOOKUP(TableHandbook[[#This Row],[UDC]],TableBEDEC[],7,FALSE),"")</f>
        <v/>
      </c>
      <c r="P85" s="200" t="str">
        <f>IFERROR(VLOOKUP(TableHandbook[[#This Row],[UDC]],TableBEDPR[],7,FALSE),"")</f>
        <v>Core</v>
      </c>
      <c r="Q85" s="200" t="str">
        <f>IFERROR(VLOOKUP(TableHandbook[[#This Row],[UDC]],TableSTRUCATHL[],7,FALSE),"")</f>
        <v/>
      </c>
      <c r="R85" s="200" t="str">
        <f>IFERROR(VLOOKUP(TableHandbook[[#This Row],[UDC]],TableSTRUENGLL[],7,FALSE),"")</f>
        <v/>
      </c>
      <c r="S85" s="200" t="str">
        <f>IFERROR(VLOOKUP(TableHandbook[[#This Row],[UDC]],TableSTRUINTBC[],7,FALSE),"")</f>
        <v/>
      </c>
      <c r="T85" s="200" t="str">
        <f>IFERROR(VLOOKUP(TableHandbook[[#This Row],[UDC]],TableSTRUISTEM[],7,FALSE),"")</f>
        <v/>
      </c>
      <c r="U85" s="200" t="str">
        <f>IFERROR(VLOOKUP(TableHandbook[[#This Row],[UDC]],TableSTRULITNU[],7,FALSE),"")</f>
        <v/>
      </c>
      <c r="V85" s="200" t="str">
        <f>IFERROR(VLOOKUP(TableHandbook[[#This Row],[UDC]],TableSTRUTECHS[],7,FALSE),"")</f>
        <v/>
      </c>
      <c r="W85" s="200" t="str">
        <f>IFERROR(VLOOKUP(TableHandbook[[#This Row],[UDC]],TableBEDSC[],7,FALSE),"")</f>
        <v/>
      </c>
      <c r="X85" s="200" t="str">
        <f>IFERROR(VLOOKUP(TableHandbook[[#This Row],[UDC]],TableMJRUARTDR[],7,FALSE),"")</f>
        <v/>
      </c>
      <c r="Y85" s="200" t="str">
        <f>IFERROR(VLOOKUP(TableHandbook[[#This Row],[UDC]],TableMJRUARTME[],7,FALSE),"")</f>
        <v/>
      </c>
      <c r="Z85" s="200" t="str">
        <f>IFERROR(VLOOKUP(TableHandbook[[#This Row],[UDC]],TableMJRUARTVA[],7,FALSE),"")</f>
        <v/>
      </c>
      <c r="AA85" s="200" t="str">
        <f>IFERROR(VLOOKUP(TableHandbook[[#This Row],[UDC]],TableMJRUENGLT[],7,FALSE),"")</f>
        <v/>
      </c>
      <c r="AB85" s="200" t="str">
        <f>IFERROR(VLOOKUP(TableHandbook[[#This Row],[UDC]],TableMJRUHLTPE[],7,FALSE),"")</f>
        <v/>
      </c>
      <c r="AC85" s="200" t="str">
        <f>IFERROR(VLOOKUP(TableHandbook[[#This Row],[UDC]],TableMJRUHUSEC[],7,FALSE),"")</f>
        <v/>
      </c>
      <c r="AD85" s="200" t="str">
        <f>IFERROR(VLOOKUP(TableHandbook[[#This Row],[UDC]],TableMJRUHUSGE[],7,FALSE),"")</f>
        <v/>
      </c>
      <c r="AE85" s="200" t="str">
        <f>IFERROR(VLOOKUP(TableHandbook[[#This Row],[UDC]],TableMJRUHUSHI[],7,FALSE),"")</f>
        <v/>
      </c>
      <c r="AF85" s="200" t="str">
        <f>IFERROR(VLOOKUP(TableHandbook[[#This Row],[UDC]],TableMJRUHUSPL[],7,FALSE),"")</f>
        <v/>
      </c>
      <c r="AG85" s="200" t="str">
        <f>IFERROR(VLOOKUP(TableHandbook[[#This Row],[UDC]],TableMJRUMATHT[],7,FALSE),"")</f>
        <v/>
      </c>
      <c r="AH85" s="200" t="str">
        <f>IFERROR(VLOOKUP(TableHandbook[[#This Row],[UDC]],TableMJRUSCIBI[],7,FALSE),"")</f>
        <v/>
      </c>
      <c r="AI85" s="200" t="str">
        <f>IFERROR(VLOOKUP(TableHandbook[[#This Row],[UDC]],TableMJRUSCICH[],7,FALSE),"")</f>
        <v/>
      </c>
      <c r="AJ85" s="200" t="str">
        <f>IFERROR(VLOOKUP(TableHandbook[[#This Row],[UDC]],TableMJRUSCIHB[],7,FALSE),"")</f>
        <v/>
      </c>
      <c r="AK85" s="200" t="str">
        <f>IFERROR(VLOOKUP(TableHandbook[[#This Row],[UDC]],TableMJRUSCIPH[],7,FALSE),"")</f>
        <v/>
      </c>
      <c r="AL85" s="200" t="str">
        <f>IFERROR(VLOOKUP(TableHandbook[[#This Row],[UDC]],TableMJRUSCIPS[],7,FALSE),"")</f>
        <v/>
      </c>
      <c r="AM85" s="202"/>
      <c r="AN85" s="200" t="str">
        <f>IFERROR(VLOOKUP(TableHandbook[[#This Row],[UDC]],TableSTRUBIOLB[],7,FALSE),"")</f>
        <v/>
      </c>
      <c r="AO85" s="200" t="str">
        <f>IFERROR(VLOOKUP(TableHandbook[[#This Row],[UDC]],TableSTRUBSCIM[],7,FALSE),"")</f>
        <v/>
      </c>
      <c r="AP85" s="200" t="str">
        <f>IFERROR(VLOOKUP(TableHandbook[[#This Row],[UDC]],TableSTRUCHEMB[],7,FALSE),"")</f>
        <v/>
      </c>
      <c r="AQ85" s="200" t="str">
        <f>IFERROR(VLOOKUP(TableHandbook[[#This Row],[UDC]],TableSTRUECOB1[],7,FALSE),"")</f>
        <v/>
      </c>
      <c r="AR85" s="200" t="str">
        <f>IFERROR(VLOOKUP(TableHandbook[[#This Row],[UDC]],TableSTRUEDART[],7,FALSE),"")</f>
        <v>Core</v>
      </c>
      <c r="AS85" s="200" t="str">
        <f>IFERROR(VLOOKUP(TableHandbook[[#This Row],[UDC]],TableSTRUEDENG[],7,FALSE),"")</f>
        <v/>
      </c>
      <c r="AT85" s="200" t="str">
        <f>IFERROR(VLOOKUP(TableHandbook[[#This Row],[UDC]],TableSTRUEDHAS[],7,FALSE),"")</f>
        <v/>
      </c>
      <c r="AU85" s="200" t="str">
        <f>IFERROR(VLOOKUP(TableHandbook[[#This Row],[UDC]],TableSTRUEDMAT[],7,FALSE),"")</f>
        <v/>
      </c>
      <c r="AV85" s="200" t="str">
        <f>IFERROR(VLOOKUP(TableHandbook[[#This Row],[UDC]],TableSTRUEDSCI[],7,FALSE),"")</f>
        <v/>
      </c>
      <c r="AW85" s="200" t="str">
        <f>IFERROR(VLOOKUP(TableHandbook[[#This Row],[UDC]],TableSTRUENGLB[],7,FALSE),"")</f>
        <v/>
      </c>
      <c r="AX85" s="200" t="str">
        <f>IFERROR(VLOOKUP(TableHandbook[[#This Row],[UDC]],TableSTRUENGLM[],7,FALSE),"")</f>
        <v/>
      </c>
      <c r="AY85" s="200" t="str">
        <f>IFERROR(VLOOKUP(TableHandbook[[#This Row],[UDC]],TableSTRUGEOB1[],7,FALSE),"")</f>
        <v/>
      </c>
      <c r="AZ85" s="200" t="str">
        <f>IFERROR(VLOOKUP(TableHandbook[[#This Row],[UDC]],TableSTRUHISB1[],7,FALSE),"")</f>
        <v/>
      </c>
      <c r="BA85" s="200" t="str">
        <f>IFERROR(VLOOKUP(TableHandbook[[#This Row],[UDC]],TableSTRUHUMAM[],7,FALSE),"")</f>
        <v/>
      </c>
      <c r="BB85" s="200" t="str">
        <f>IFERROR(VLOOKUP(TableHandbook[[#This Row],[UDC]],TableSTRUHUMBB[],7,FALSE),"")</f>
        <v/>
      </c>
      <c r="BC85" s="200" t="str">
        <f>IFERROR(VLOOKUP(TableHandbook[[#This Row],[UDC]],TableSTRUMATHB[],7,FALSE),"")</f>
        <v/>
      </c>
      <c r="BD85" s="200" t="str">
        <f>IFERROR(VLOOKUP(TableHandbook[[#This Row],[UDC]],TableSTRUMATHM[],7,FALSE),"")</f>
        <v/>
      </c>
      <c r="BE85" s="200" t="str">
        <f>IFERROR(VLOOKUP(TableHandbook[[#This Row],[UDC]],TableSTRUPARTB[],7,FALSE),"")</f>
        <v>Core</v>
      </c>
      <c r="BF85" s="200" t="str">
        <f>IFERROR(VLOOKUP(TableHandbook[[#This Row],[UDC]],TableSTRUPARTM[],7,FALSE),"")</f>
        <v/>
      </c>
      <c r="BG85" s="200" t="str">
        <f>IFERROR(VLOOKUP(TableHandbook[[#This Row],[UDC]],TableSTRUPOLB1[],7,FALSE),"")</f>
        <v/>
      </c>
      <c r="BH85" s="200" t="str">
        <f>IFERROR(VLOOKUP(TableHandbook[[#This Row],[UDC]],TableSTRUPSCIM[],7,FALSE),"")</f>
        <v/>
      </c>
      <c r="BI85" s="200" t="str">
        <f>IFERROR(VLOOKUP(TableHandbook[[#This Row],[UDC]],TableSTRUPSYCB[],7,FALSE),"")</f>
        <v/>
      </c>
      <c r="BJ85" s="200" t="str">
        <f>IFERROR(VLOOKUP(TableHandbook[[#This Row],[UDC]],TableSTRUPSYCM[],7,FALSE),"")</f>
        <v/>
      </c>
      <c r="BK85" s="200" t="str">
        <f>IFERROR(VLOOKUP(TableHandbook[[#This Row],[UDC]],TableSTRUSOSCM[],7,FALSE),"")</f>
        <v/>
      </c>
      <c r="BL85" s="200" t="str">
        <f>IFERROR(VLOOKUP(TableHandbook[[#This Row],[UDC]],TableSTRUVARTB[],7,FALSE),"")</f>
        <v>Core</v>
      </c>
      <c r="BM85" s="200" t="str">
        <f>IFERROR(VLOOKUP(TableHandbook[[#This Row],[UDC]],TableSTRUVARTM[],7,FALSE),"")</f>
        <v/>
      </c>
    </row>
    <row r="86" spans="1:65" x14ac:dyDescent="0.25">
      <c r="A86" s="11" t="s">
        <v>134</v>
      </c>
      <c r="B86" s="12">
        <v>3</v>
      </c>
      <c r="C86" s="11"/>
      <c r="D86" s="11" t="s">
        <v>655</v>
      </c>
      <c r="E86" s="12">
        <v>25</v>
      </c>
      <c r="F86" s="131" t="s">
        <v>124</v>
      </c>
      <c r="G86" s="126" t="str">
        <f>IFERROR(IF(VLOOKUP(TableHandbook[[#This Row],[UDC]],TableAvailabilities[],2,FALSE)&gt;0,"Y",""),"")</f>
        <v>Y</v>
      </c>
      <c r="H86" s="127" t="str">
        <f>IFERROR(IF(VLOOKUP(TableHandbook[[#This Row],[UDC]],TableAvailabilities[],3,FALSE)&gt;0,"Y",""),"")</f>
        <v>Y</v>
      </c>
      <c r="I86" s="127" t="str">
        <f>IFERROR(IF(VLOOKUP(TableHandbook[[#This Row],[UDC]],TableAvailabilities[],4,FALSE)&gt;0,"Y",""),"")</f>
        <v>Y</v>
      </c>
      <c r="J86" s="128" t="str">
        <f>IFERROR(IF(VLOOKUP(TableHandbook[[#This Row],[UDC]],TableAvailabilities[],5,FALSE)&gt;0,"Y",""),"")</f>
        <v>Y</v>
      </c>
      <c r="K86" s="128" t="str">
        <f>IFERROR(IF(VLOOKUP(TableHandbook[[#This Row],[UDC]],TableAvailabilities[],6,FALSE)&gt;0,"Y",""),"")</f>
        <v>Y</v>
      </c>
      <c r="L86" s="127" t="str">
        <f>IFERROR(IF(VLOOKUP(TableHandbook[[#This Row],[UDC]],TableAvailabilities[],7,FALSE)&gt;0,"Y",""),"")</f>
        <v>Y</v>
      </c>
      <c r="M86" s="207"/>
      <c r="N86" s="205" t="str">
        <f>IFERROR(VLOOKUP(TableHandbook[[#This Row],[UDC]],TableBEDUC[],7,FALSE),"")</f>
        <v/>
      </c>
      <c r="O86" s="200" t="str">
        <f>IFERROR(VLOOKUP(TableHandbook[[#This Row],[UDC]],TableBEDEC[],7,FALSE),"")</f>
        <v/>
      </c>
      <c r="P86" s="200" t="str">
        <f>IFERROR(VLOOKUP(TableHandbook[[#This Row],[UDC]],TableBEDPR[],7,FALSE),"")</f>
        <v>Core</v>
      </c>
      <c r="Q86" s="200" t="str">
        <f>IFERROR(VLOOKUP(TableHandbook[[#This Row],[UDC]],TableSTRUCATHL[],7,FALSE),"")</f>
        <v/>
      </c>
      <c r="R86" s="200" t="str">
        <f>IFERROR(VLOOKUP(TableHandbook[[#This Row],[UDC]],TableSTRUENGLL[],7,FALSE),"")</f>
        <v/>
      </c>
      <c r="S86" s="200" t="str">
        <f>IFERROR(VLOOKUP(TableHandbook[[#This Row],[UDC]],TableSTRUINTBC[],7,FALSE),"")</f>
        <v/>
      </c>
      <c r="T86" s="200" t="str">
        <f>IFERROR(VLOOKUP(TableHandbook[[#This Row],[UDC]],TableSTRUISTEM[],7,FALSE),"")</f>
        <v/>
      </c>
      <c r="U86" s="200" t="str">
        <f>IFERROR(VLOOKUP(TableHandbook[[#This Row],[UDC]],TableSTRULITNU[],7,FALSE),"")</f>
        <v/>
      </c>
      <c r="V86" s="200" t="str">
        <f>IFERROR(VLOOKUP(TableHandbook[[#This Row],[UDC]],TableSTRUTECHS[],7,FALSE),"")</f>
        <v/>
      </c>
      <c r="W86" s="200" t="str">
        <f>IFERROR(VLOOKUP(TableHandbook[[#This Row],[UDC]],TableBEDSC[],7,FALSE),"")</f>
        <v/>
      </c>
      <c r="X86" s="200" t="str">
        <f>IFERROR(VLOOKUP(TableHandbook[[#This Row],[UDC]],TableMJRUARTDR[],7,FALSE),"")</f>
        <v/>
      </c>
      <c r="Y86" s="200" t="str">
        <f>IFERROR(VLOOKUP(TableHandbook[[#This Row],[UDC]],TableMJRUARTME[],7,FALSE),"")</f>
        <v/>
      </c>
      <c r="Z86" s="200" t="str">
        <f>IFERROR(VLOOKUP(TableHandbook[[#This Row],[UDC]],TableMJRUARTVA[],7,FALSE),"")</f>
        <v/>
      </c>
      <c r="AA86" s="200" t="str">
        <f>IFERROR(VLOOKUP(TableHandbook[[#This Row],[UDC]],TableMJRUENGLT[],7,FALSE),"")</f>
        <v/>
      </c>
      <c r="AB86" s="200" t="str">
        <f>IFERROR(VLOOKUP(TableHandbook[[#This Row],[UDC]],TableMJRUHLTPE[],7,FALSE),"")</f>
        <v/>
      </c>
      <c r="AC86" s="200" t="str">
        <f>IFERROR(VLOOKUP(TableHandbook[[#This Row],[UDC]],TableMJRUHUSEC[],7,FALSE),"")</f>
        <v/>
      </c>
      <c r="AD86" s="200" t="str">
        <f>IFERROR(VLOOKUP(TableHandbook[[#This Row],[UDC]],TableMJRUHUSGE[],7,FALSE),"")</f>
        <v/>
      </c>
      <c r="AE86" s="200" t="str">
        <f>IFERROR(VLOOKUP(TableHandbook[[#This Row],[UDC]],TableMJRUHUSHI[],7,FALSE),"")</f>
        <v/>
      </c>
      <c r="AF86" s="200" t="str">
        <f>IFERROR(VLOOKUP(TableHandbook[[#This Row],[UDC]],TableMJRUHUSPL[],7,FALSE),"")</f>
        <v/>
      </c>
      <c r="AG86" s="200" t="str">
        <f>IFERROR(VLOOKUP(TableHandbook[[#This Row],[UDC]],TableMJRUMATHT[],7,FALSE),"")</f>
        <v/>
      </c>
      <c r="AH86" s="200" t="str">
        <f>IFERROR(VLOOKUP(TableHandbook[[#This Row],[UDC]],TableMJRUSCIBI[],7,FALSE),"")</f>
        <v/>
      </c>
      <c r="AI86" s="200" t="str">
        <f>IFERROR(VLOOKUP(TableHandbook[[#This Row],[UDC]],TableMJRUSCICH[],7,FALSE),"")</f>
        <v/>
      </c>
      <c r="AJ86" s="200" t="str">
        <f>IFERROR(VLOOKUP(TableHandbook[[#This Row],[UDC]],TableMJRUSCIHB[],7,FALSE),"")</f>
        <v/>
      </c>
      <c r="AK86" s="200" t="str">
        <f>IFERROR(VLOOKUP(TableHandbook[[#This Row],[UDC]],TableMJRUSCIPH[],7,FALSE),"")</f>
        <v/>
      </c>
      <c r="AL86" s="200" t="str">
        <f>IFERROR(VLOOKUP(TableHandbook[[#This Row],[UDC]],TableMJRUSCIPS[],7,FALSE),"")</f>
        <v/>
      </c>
      <c r="AM86" s="202"/>
      <c r="AN86" s="200" t="str">
        <f>IFERROR(VLOOKUP(TableHandbook[[#This Row],[UDC]],TableSTRUBIOLB[],7,FALSE),"")</f>
        <v/>
      </c>
      <c r="AO86" s="200" t="str">
        <f>IFERROR(VLOOKUP(TableHandbook[[#This Row],[UDC]],TableSTRUBSCIM[],7,FALSE),"")</f>
        <v/>
      </c>
      <c r="AP86" s="200" t="str">
        <f>IFERROR(VLOOKUP(TableHandbook[[#This Row],[UDC]],TableSTRUCHEMB[],7,FALSE),"")</f>
        <v/>
      </c>
      <c r="AQ86" s="200" t="str">
        <f>IFERROR(VLOOKUP(TableHandbook[[#This Row],[UDC]],TableSTRUECOB1[],7,FALSE),"")</f>
        <v/>
      </c>
      <c r="AR86" s="200" t="str">
        <f>IFERROR(VLOOKUP(TableHandbook[[#This Row],[UDC]],TableSTRUEDART[],7,FALSE),"")</f>
        <v/>
      </c>
      <c r="AS86" s="200" t="str">
        <f>IFERROR(VLOOKUP(TableHandbook[[#This Row],[UDC]],TableSTRUEDENG[],7,FALSE),"")</f>
        <v/>
      </c>
      <c r="AT86" s="200" t="str">
        <f>IFERROR(VLOOKUP(TableHandbook[[#This Row],[UDC]],TableSTRUEDHAS[],7,FALSE),"")</f>
        <v/>
      </c>
      <c r="AU86" s="200" t="str">
        <f>IFERROR(VLOOKUP(TableHandbook[[#This Row],[UDC]],TableSTRUEDMAT[],7,FALSE),"")</f>
        <v/>
      </c>
      <c r="AV86" s="200" t="str">
        <f>IFERROR(VLOOKUP(TableHandbook[[#This Row],[UDC]],TableSTRUEDSCI[],7,FALSE),"")</f>
        <v/>
      </c>
      <c r="AW86" s="200" t="str">
        <f>IFERROR(VLOOKUP(TableHandbook[[#This Row],[UDC]],TableSTRUENGLB[],7,FALSE),"")</f>
        <v/>
      </c>
      <c r="AX86" s="200" t="str">
        <f>IFERROR(VLOOKUP(TableHandbook[[#This Row],[UDC]],TableSTRUENGLM[],7,FALSE),"")</f>
        <v/>
      </c>
      <c r="AY86" s="200" t="str">
        <f>IFERROR(VLOOKUP(TableHandbook[[#This Row],[UDC]],TableSTRUGEOB1[],7,FALSE),"")</f>
        <v/>
      </c>
      <c r="AZ86" s="200" t="str">
        <f>IFERROR(VLOOKUP(TableHandbook[[#This Row],[UDC]],TableSTRUHISB1[],7,FALSE),"")</f>
        <v/>
      </c>
      <c r="BA86" s="200" t="str">
        <f>IFERROR(VLOOKUP(TableHandbook[[#This Row],[UDC]],TableSTRUHUMAM[],7,FALSE),"")</f>
        <v/>
      </c>
      <c r="BB86" s="200" t="str">
        <f>IFERROR(VLOOKUP(TableHandbook[[#This Row],[UDC]],TableSTRUHUMBB[],7,FALSE),"")</f>
        <v/>
      </c>
      <c r="BC86" s="200" t="str">
        <f>IFERROR(VLOOKUP(TableHandbook[[#This Row],[UDC]],TableSTRUMATHB[],7,FALSE),"")</f>
        <v/>
      </c>
      <c r="BD86" s="200" t="str">
        <f>IFERROR(VLOOKUP(TableHandbook[[#This Row],[UDC]],TableSTRUMATHM[],7,FALSE),"")</f>
        <v/>
      </c>
      <c r="BE86" s="200" t="str">
        <f>IFERROR(VLOOKUP(TableHandbook[[#This Row],[UDC]],TableSTRUPARTB[],7,FALSE),"")</f>
        <v/>
      </c>
      <c r="BF86" s="200" t="str">
        <f>IFERROR(VLOOKUP(TableHandbook[[#This Row],[UDC]],TableSTRUPARTM[],7,FALSE),"")</f>
        <v/>
      </c>
      <c r="BG86" s="200" t="str">
        <f>IFERROR(VLOOKUP(TableHandbook[[#This Row],[UDC]],TableSTRUPOLB1[],7,FALSE),"")</f>
        <v/>
      </c>
      <c r="BH86" s="200" t="str">
        <f>IFERROR(VLOOKUP(TableHandbook[[#This Row],[UDC]],TableSTRUPSCIM[],7,FALSE),"")</f>
        <v/>
      </c>
      <c r="BI86" s="200" t="str">
        <f>IFERROR(VLOOKUP(TableHandbook[[#This Row],[UDC]],TableSTRUPSYCB[],7,FALSE),"")</f>
        <v/>
      </c>
      <c r="BJ86" s="200" t="str">
        <f>IFERROR(VLOOKUP(TableHandbook[[#This Row],[UDC]],TableSTRUPSYCM[],7,FALSE),"")</f>
        <v/>
      </c>
      <c r="BK86" s="200" t="str">
        <f>IFERROR(VLOOKUP(TableHandbook[[#This Row],[UDC]],TableSTRUSOSCM[],7,FALSE),"")</f>
        <v/>
      </c>
      <c r="BL86" s="200" t="str">
        <f>IFERROR(VLOOKUP(TableHandbook[[#This Row],[UDC]],TableSTRUVARTB[],7,FALSE),"")</f>
        <v/>
      </c>
      <c r="BM86" s="200" t="str">
        <f>IFERROR(VLOOKUP(TableHandbook[[#This Row],[UDC]],TableSTRUVARTM[],7,FALSE),"")</f>
        <v/>
      </c>
    </row>
    <row r="87" spans="1:65" x14ac:dyDescent="0.25">
      <c r="A87" s="11" t="s">
        <v>133</v>
      </c>
      <c r="B87" s="12">
        <v>1</v>
      </c>
      <c r="C87" s="11"/>
      <c r="D87" s="11" t="s">
        <v>656</v>
      </c>
      <c r="E87" s="12">
        <v>25</v>
      </c>
      <c r="F87" s="131" t="s">
        <v>120</v>
      </c>
      <c r="G87" s="126" t="str">
        <f>IFERROR(IF(VLOOKUP(TableHandbook[[#This Row],[UDC]],TableAvailabilities[],2,FALSE)&gt;0,"Y",""),"")</f>
        <v>Y</v>
      </c>
      <c r="H87" s="127" t="str">
        <f>IFERROR(IF(VLOOKUP(TableHandbook[[#This Row],[UDC]],TableAvailabilities[],3,FALSE)&gt;0,"Y",""),"")</f>
        <v>Y</v>
      </c>
      <c r="I87" s="127" t="str">
        <f>IFERROR(IF(VLOOKUP(TableHandbook[[#This Row],[UDC]],TableAvailabilities[],4,FALSE)&gt;0,"Y",""),"")</f>
        <v>Y</v>
      </c>
      <c r="J87" s="128" t="str">
        <f>IFERROR(IF(VLOOKUP(TableHandbook[[#This Row],[UDC]],TableAvailabilities[],5,FALSE)&gt;0,"Y",""),"")</f>
        <v>Y</v>
      </c>
      <c r="K87" s="128" t="str">
        <f>IFERROR(IF(VLOOKUP(TableHandbook[[#This Row],[UDC]],TableAvailabilities[],6,FALSE)&gt;0,"Y",""),"")</f>
        <v>Y</v>
      </c>
      <c r="L87" s="127" t="str">
        <f>IFERROR(IF(VLOOKUP(TableHandbook[[#This Row],[UDC]],TableAvailabilities[],7,FALSE)&gt;0,"Y",""),"")</f>
        <v>Y</v>
      </c>
      <c r="M87" s="207"/>
      <c r="N87" s="205" t="str">
        <f>IFERROR(VLOOKUP(TableHandbook[[#This Row],[UDC]],TableBEDUC[],7,FALSE),"")</f>
        <v/>
      </c>
      <c r="O87" s="200" t="str">
        <f>IFERROR(VLOOKUP(TableHandbook[[#This Row],[UDC]],TableBEDEC[],7,FALSE),"")</f>
        <v/>
      </c>
      <c r="P87" s="200" t="str">
        <f>IFERROR(VLOOKUP(TableHandbook[[#This Row],[UDC]],TableBEDPR[],7,FALSE),"")</f>
        <v>Core</v>
      </c>
      <c r="Q87" s="200" t="str">
        <f>IFERROR(VLOOKUP(TableHandbook[[#This Row],[UDC]],TableSTRUCATHL[],7,FALSE),"")</f>
        <v/>
      </c>
      <c r="R87" s="200" t="str">
        <f>IFERROR(VLOOKUP(TableHandbook[[#This Row],[UDC]],TableSTRUENGLL[],7,FALSE),"")</f>
        <v/>
      </c>
      <c r="S87" s="200" t="str">
        <f>IFERROR(VLOOKUP(TableHandbook[[#This Row],[UDC]],TableSTRUINTBC[],7,FALSE),"")</f>
        <v/>
      </c>
      <c r="T87" s="200" t="str">
        <f>IFERROR(VLOOKUP(TableHandbook[[#This Row],[UDC]],TableSTRUISTEM[],7,FALSE),"")</f>
        <v/>
      </c>
      <c r="U87" s="200" t="str">
        <f>IFERROR(VLOOKUP(TableHandbook[[#This Row],[UDC]],TableSTRULITNU[],7,FALSE),"")</f>
        <v/>
      </c>
      <c r="V87" s="200" t="str">
        <f>IFERROR(VLOOKUP(TableHandbook[[#This Row],[UDC]],TableSTRUTECHS[],7,FALSE),"")</f>
        <v/>
      </c>
      <c r="W87" s="200" t="str">
        <f>IFERROR(VLOOKUP(TableHandbook[[#This Row],[UDC]],TableBEDSC[],7,FALSE),"")</f>
        <v/>
      </c>
      <c r="X87" s="200" t="str">
        <f>IFERROR(VLOOKUP(TableHandbook[[#This Row],[UDC]],TableMJRUARTDR[],7,FALSE),"")</f>
        <v/>
      </c>
      <c r="Y87" s="200" t="str">
        <f>IFERROR(VLOOKUP(TableHandbook[[#This Row],[UDC]],TableMJRUARTME[],7,FALSE),"")</f>
        <v/>
      </c>
      <c r="Z87" s="200" t="str">
        <f>IFERROR(VLOOKUP(TableHandbook[[#This Row],[UDC]],TableMJRUARTVA[],7,FALSE),"")</f>
        <v/>
      </c>
      <c r="AA87" s="200" t="str">
        <f>IFERROR(VLOOKUP(TableHandbook[[#This Row],[UDC]],TableMJRUENGLT[],7,FALSE),"")</f>
        <v/>
      </c>
      <c r="AB87" s="200" t="str">
        <f>IFERROR(VLOOKUP(TableHandbook[[#This Row],[UDC]],TableMJRUHLTPE[],7,FALSE),"")</f>
        <v/>
      </c>
      <c r="AC87" s="200" t="str">
        <f>IFERROR(VLOOKUP(TableHandbook[[#This Row],[UDC]],TableMJRUHUSEC[],7,FALSE),"")</f>
        <v/>
      </c>
      <c r="AD87" s="200" t="str">
        <f>IFERROR(VLOOKUP(TableHandbook[[#This Row],[UDC]],TableMJRUHUSGE[],7,FALSE),"")</f>
        <v/>
      </c>
      <c r="AE87" s="200" t="str">
        <f>IFERROR(VLOOKUP(TableHandbook[[#This Row],[UDC]],TableMJRUHUSHI[],7,FALSE),"")</f>
        <v/>
      </c>
      <c r="AF87" s="200" t="str">
        <f>IFERROR(VLOOKUP(TableHandbook[[#This Row],[UDC]],TableMJRUHUSPL[],7,FALSE),"")</f>
        <v/>
      </c>
      <c r="AG87" s="200" t="str">
        <f>IFERROR(VLOOKUP(TableHandbook[[#This Row],[UDC]],TableMJRUMATHT[],7,FALSE),"")</f>
        <v/>
      </c>
      <c r="AH87" s="200" t="str">
        <f>IFERROR(VLOOKUP(TableHandbook[[#This Row],[UDC]],TableMJRUSCIBI[],7,FALSE),"")</f>
        <v/>
      </c>
      <c r="AI87" s="200" t="str">
        <f>IFERROR(VLOOKUP(TableHandbook[[#This Row],[UDC]],TableMJRUSCICH[],7,FALSE),"")</f>
        <v/>
      </c>
      <c r="AJ87" s="200" t="str">
        <f>IFERROR(VLOOKUP(TableHandbook[[#This Row],[UDC]],TableMJRUSCIHB[],7,FALSE),"")</f>
        <v/>
      </c>
      <c r="AK87" s="200" t="str">
        <f>IFERROR(VLOOKUP(TableHandbook[[#This Row],[UDC]],TableMJRUSCIPH[],7,FALSE),"")</f>
        <v/>
      </c>
      <c r="AL87" s="200" t="str">
        <f>IFERROR(VLOOKUP(TableHandbook[[#This Row],[UDC]],TableMJRUSCIPS[],7,FALSE),"")</f>
        <v/>
      </c>
      <c r="AM87" s="202"/>
      <c r="AN87" s="200" t="str">
        <f>IFERROR(VLOOKUP(TableHandbook[[#This Row],[UDC]],TableSTRUBIOLB[],7,FALSE),"")</f>
        <v/>
      </c>
      <c r="AO87" s="200" t="str">
        <f>IFERROR(VLOOKUP(TableHandbook[[#This Row],[UDC]],TableSTRUBSCIM[],7,FALSE),"")</f>
        <v/>
      </c>
      <c r="AP87" s="200" t="str">
        <f>IFERROR(VLOOKUP(TableHandbook[[#This Row],[UDC]],TableSTRUCHEMB[],7,FALSE),"")</f>
        <v/>
      </c>
      <c r="AQ87" s="200" t="str">
        <f>IFERROR(VLOOKUP(TableHandbook[[#This Row],[UDC]],TableSTRUECOB1[],7,FALSE),"")</f>
        <v/>
      </c>
      <c r="AR87" s="200" t="str">
        <f>IFERROR(VLOOKUP(TableHandbook[[#This Row],[UDC]],TableSTRUEDART[],7,FALSE),"")</f>
        <v/>
      </c>
      <c r="AS87" s="200" t="str">
        <f>IFERROR(VLOOKUP(TableHandbook[[#This Row],[UDC]],TableSTRUEDENG[],7,FALSE),"")</f>
        <v/>
      </c>
      <c r="AT87" s="200" t="str">
        <f>IFERROR(VLOOKUP(TableHandbook[[#This Row],[UDC]],TableSTRUEDHAS[],7,FALSE),"")</f>
        <v/>
      </c>
      <c r="AU87" s="200" t="str">
        <f>IFERROR(VLOOKUP(TableHandbook[[#This Row],[UDC]],TableSTRUEDMAT[],7,FALSE),"")</f>
        <v/>
      </c>
      <c r="AV87" s="200" t="str">
        <f>IFERROR(VLOOKUP(TableHandbook[[#This Row],[UDC]],TableSTRUEDSCI[],7,FALSE),"")</f>
        <v/>
      </c>
      <c r="AW87" s="200" t="str">
        <f>IFERROR(VLOOKUP(TableHandbook[[#This Row],[UDC]],TableSTRUENGLB[],7,FALSE),"")</f>
        <v/>
      </c>
      <c r="AX87" s="200" t="str">
        <f>IFERROR(VLOOKUP(TableHandbook[[#This Row],[UDC]],TableSTRUENGLM[],7,FALSE),"")</f>
        <v/>
      </c>
      <c r="AY87" s="200" t="str">
        <f>IFERROR(VLOOKUP(TableHandbook[[#This Row],[UDC]],TableSTRUGEOB1[],7,FALSE),"")</f>
        <v/>
      </c>
      <c r="AZ87" s="200" t="str">
        <f>IFERROR(VLOOKUP(TableHandbook[[#This Row],[UDC]],TableSTRUHISB1[],7,FALSE),"")</f>
        <v/>
      </c>
      <c r="BA87" s="200" t="str">
        <f>IFERROR(VLOOKUP(TableHandbook[[#This Row],[UDC]],TableSTRUHUMAM[],7,FALSE),"")</f>
        <v/>
      </c>
      <c r="BB87" s="200" t="str">
        <f>IFERROR(VLOOKUP(TableHandbook[[#This Row],[UDC]],TableSTRUHUMBB[],7,FALSE),"")</f>
        <v/>
      </c>
      <c r="BC87" s="200" t="str">
        <f>IFERROR(VLOOKUP(TableHandbook[[#This Row],[UDC]],TableSTRUMATHB[],7,FALSE),"")</f>
        <v/>
      </c>
      <c r="BD87" s="200" t="str">
        <f>IFERROR(VLOOKUP(TableHandbook[[#This Row],[UDC]],TableSTRUMATHM[],7,FALSE),"")</f>
        <v/>
      </c>
      <c r="BE87" s="200" t="str">
        <f>IFERROR(VLOOKUP(TableHandbook[[#This Row],[UDC]],TableSTRUPARTB[],7,FALSE),"")</f>
        <v/>
      </c>
      <c r="BF87" s="200" t="str">
        <f>IFERROR(VLOOKUP(TableHandbook[[#This Row],[UDC]],TableSTRUPARTM[],7,FALSE),"")</f>
        <v/>
      </c>
      <c r="BG87" s="200" t="str">
        <f>IFERROR(VLOOKUP(TableHandbook[[#This Row],[UDC]],TableSTRUPOLB1[],7,FALSE),"")</f>
        <v/>
      </c>
      <c r="BH87" s="200" t="str">
        <f>IFERROR(VLOOKUP(TableHandbook[[#This Row],[UDC]],TableSTRUPSCIM[],7,FALSE),"")</f>
        <v/>
      </c>
      <c r="BI87" s="200" t="str">
        <f>IFERROR(VLOOKUP(TableHandbook[[#This Row],[UDC]],TableSTRUPSYCB[],7,FALSE),"")</f>
        <v/>
      </c>
      <c r="BJ87" s="200" t="str">
        <f>IFERROR(VLOOKUP(TableHandbook[[#This Row],[UDC]],TableSTRUPSYCM[],7,FALSE),"")</f>
        <v/>
      </c>
      <c r="BK87" s="200" t="str">
        <f>IFERROR(VLOOKUP(TableHandbook[[#This Row],[UDC]],TableSTRUSOSCM[],7,FALSE),"")</f>
        <v/>
      </c>
      <c r="BL87" s="200" t="str">
        <f>IFERROR(VLOOKUP(TableHandbook[[#This Row],[UDC]],TableSTRUVARTB[],7,FALSE),"")</f>
        <v/>
      </c>
      <c r="BM87" s="200" t="str">
        <f>IFERROR(VLOOKUP(TableHandbook[[#This Row],[UDC]],TableSTRUVARTM[],7,FALSE),"")</f>
        <v/>
      </c>
    </row>
    <row r="88" spans="1:65" x14ac:dyDescent="0.25">
      <c r="A88" s="11" t="s">
        <v>140</v>
      </c>
      <c r="B88" s="12">
        <v>1</v>
      </c>
      <c r="C88" s="11"/>
      <c r="D88" s="11" t="s">
        <v>657</v>
      </c>
      <c r="E88" s="12">
        <v>25</v>
      </c>
      <c r="F88" s="131" t="s">
        <v>544</v>
      </c>
      <c r="G88" s="126" t="str">
        <f>IFERROR(IF(VLOOKUP(TableHandbook[[#This Row],[UDC]],TableAvailabilities[],2,FALSE)&gt;0,"Y",""),"")</f>
        <v>Y</v>
      </c>
      <c r="H88" s="127" t="str">
        <f>IFERROR(IF(VLOOKUP(TableHandbook[[#This Row],[UDC]],TableAvailabilities[],3,FALSE)&gt;0,"Y",""),"")</f>
        <v>Y</v>
      </c>
      <c r="I88" s="127" t="str">
        <f>IFERROR(IF(VLOOKUP(TableHandbook[[#This Row],[UDC]],TableAvailabilities[],4,FALSE)&gt;0,"Y",""),"")</f>
        <v/>
      </c>
      <c r="J88" s="128" t="str">
        <f>IFERROR(IF(VLOOKUP(TableHandbook[[#This Row],[UDC]],TableAvailabilities[],5,FALSE)&gt;0,"Y",""),"")</f>
        <v/>
      </c>
      <c r="K88" s="128" t="str">
        <f>IFERROR(IF(VLOOKUP(TableHandbook[[#This Row],[UDC]],TableAvailabilities[],6,FALSE)&gt;0,"Y",""),"")</f>
        <v/>
      </c>
      <c r="L88" s="127" t="str">
        <f>IFERROR(IF(VLOOKUP(TableHandbook[[#This Row],[UDC]],TableAvailabilities[],7,FALSE)&gt;0,"Y",""),"")</f>
        <v/>
      </c>
      <c r="M88" s="207"/>
      <c r="N88" s="205" t="str">
        <f>IFERROR(VLOOKUP(TableHandbook[[#This Row],[UDC]],TableBEDUC[],7,FALSE),"")</f>
        <v>AltCore</v>
      </c>
      <c r="O88" s="200" t="str">
        <f>IFERROR(VLOOKUP(TableHandbook[[#This Row],[UDC]],TableBEDEC[],7,FALSE),"")</f>
        <v/>
      </c>
      <c r="P88" s="200" t="str">
        <f>IFERROR(VLOOKUP(TableHandbook[[#This Row],[UDC]],TableBEDPR[],7,FALSE),"")</f>
        <v/>
      </c>
      <c r="Q88" s="200" t="str">
        <f>IFERROR(VLOOKUP(TableHandbook[[#This Row],[UDC]],TableSTRUCATHL[],7,FALSE),"")</f>
        <v/>
      </c>
      <c r="R88" s="200" t="str">
        <f>IFERROR(VLOOKUP(TableHandbook[[#This Row],[UDC]],TableSTRUENGLL[],7,FALSE),"")</f>
        <v/>
      </c>
      <c r="S88" s="200" t="str">
        <f>IFERROR(VLOOKUP(TableHandbook[[#This Row],[UDC]],TableSTRUINTBC[],7,FALSE),"")</f>
        <v/>
      </c>
      <c r="T88" s="200" t="str">
        <f>IFERROR(VLOOKUP(TableHandbook[[#This Row],[UDC]],TableSTRUISTEM[],7,FALSE),"")</f>
        <v/>
      </c>
      <c r="U88" s="200" t="str">
        <f>IFERROR(VLOOKUP(TableHandbook[[#This Row],[UDC]],TableSTRULITNU[],7,FALSE),"")</f>
        <v/>
      </c>
      <c r="V88" s="200" t="str">
        <f>IFERROR(VLOOKUP(TableHandbook[[#This Row],[UDC]],TableSTRUTECHS[],7,FALSE),"")</f>
        <v/>
      </c>
      <c r="W88" s="200" t="str">
        <f>IFERROR(VLOOKUP(TableHandbook[[#This Row],[UDC]],TableBEDSC[],7,FALSE),"")</f>
        <v>Core</v>
      </c>
      <c r="X88" s="200" t="str">
        <f>IFERROR(VLOOKUP(TableHandbook[[#This Row],[UDC]],TableMJRUARTDR[],7,FALSE),"")</f>
        <v/>
      </c>
      <c r="Y88" s="200" t="str">
        <f>IFERROR(VLOOKUP(TableHandbook[[#This Row],[UDC]],TableMJRUARTME[],7,FALSE),"")</f>
        <v/>
      </c>
      <c r="Z88" s="200" t="str">
        <f>IFERROR(VLOOKUP(TableHandbook[[#This Row],[UDC]],TableMJRUARTVA[],7,FALSE),"")</f>
        <v/>
      </c>
      <c r="AA88" s="200" t="str">
        <f>IFERROR(VLOOKUP(TableHandbook[[#This Row],[UDC]],TableMJRUENGLT[],7,FALSE),"")</f>
        <v/>
      </c>
      <c r="AB88" s="200" t="str">
        <f>IFERROR(VLOOKUP(TableHandbook[[#This Row],[UDC]],TableMJRUHLTPE[],7,FALSE),"")</f>
        <v/>
      </c>
      <c r="AC88" s="200" t="str">
        <f>IFERROR(VLOOKUP(TableHandbook[[#This Row],[UDC]],TableMJRUHUSEC[],7,FALSE),"")</f>
        <v/>
      </c>
      <c r="AD88" s="200" t="str">
        <f>IFERROR(VLOOKUP(TableHandbook[[#This Row],[UDC]],TableMJRUHUSGE[],7,FALSE),"")</f>
        <v/>
      </c>
      <c r="AE88" s="200" t="str">
        <f>IFERROR(VLOOKUP(TableHandbook[[#This Row],[UDC]],TableMJRUHUSHI[],7,FALSE),"")</f>
        <v/>
      </c>
      <c r="AF88" s="200" t="str">
        <f>IFERROR(VLOOKUP(TableHandbook[[#This Row],[UDC]],TableMJRUHUSPL[],7,FALSE),"")</f>
        <v/>
      </c>
      <c r="AG88" s="200" t="str">
        <f>IFERROR(VLOOKUP(TableHandbook[[#This Row],[UDC]],TableMJRUMATHT[],7,FALSE),"")</f>
        <v/>
      </c>
      <c r="AH88" s="200" t="str">
        <f>IFERROR(VLOOKUP(TableHandbook[[#This Row],[UDC]],TableMJRUSCIBI[],7,FALSE),"")</f>
        <v/>
      </c>
      <c r="AI88" s="200" t="str">
        <f>IFERROR(VLOOKUP(TableHandbook[[#This Row],[UDC]],TableMJRUSCICH[],7,FALSE),"")</f>
        <v/>
      </c>
      <c r="AJ88" s="200" t="str">
        <f>IFERROR(VLOOKUP(TableHandbook[[#This Row],[UDC]],TableMJRUSCIHB[],7,FALSE),"")</f>
        <v/>
      </c>
      <c r="AK88" s="200" t="str">
        <f>IFERROR(VLOOKUP(TableHandbook[[#This Row],[UDC]],TableMJRUSCIPH[],7,FALSE),"")</f>
        <v/>
      </c>
      <c r="AL88" s="200" t="str">
        <f>IFERROR(VLOOKUP(TableHandbook[[#This Row],[UDC]],TableMJRUSCIPS[],7,FALSE),"")</f>
        <v/>
      </c>
      <c r="AM88" s="202"/>
      <c r="AN88" s="200" t="str">
        <f>IFERROR(VLOOKUP(TableHandbook[[#This Row],[UDC]],TableSTRUBIOLB[],7,FALSE),"")</f>
        <v/>
      </c>
      <c r="AO88" s="200" t="str">
        <f>IFERROR(VLOOKUP(TableHandbook[[#This Row],[UDC]],TableSTRUBSCIM[],7,FALSE),"")</f>
        <v/>
      </c>
      <c r="AP88" s="200" t="str">
        <f>IFERROR(VLOOKUP(TableHandbook[[#This Row],[UDC]],TableSTRUCHEMB[],7,FALSE),"")</f>
        <v/>
      </c>
      <c r="AQ88" s="200" t="str">
        <f>IFERROR(VLOOKUP(TableHandbook[[#This Row],[UDC]],TableSTRUECOB1[],7,FALSE),"")</f>
        <v/>
      </c>
      <c r="AR88" s="200" t="str">
        <f>IFERROR(VLOOKUP(TableHandbook[[#This Row],[UDC]],TableSTRUEDART[],7,FALSE),"")</f>
        <v/>
      </c>
      <c r="AS88" s="200" t="str">
        <f>IFERROR(VLOOKUP(TableHandbook[[#This Row],[UDC]],TableSTRUEDENG[],7,FALSE),"")</f>
        <v/>
      </c>
      <c r="AT88" s="200" t="str">
        <f>IFERROR(VLOOKUP(TableHandbook[[#This Row],[UDC]],TableSTRUEDHAS[],7,FALSE),"")</f>
        <v/>
      </c>
      <c r="AU88" s="200" t="str">
        <f>IFERROR(VLOOKUP(TableHandbook[[#This Row],[UDC]],TableSTRUEDMAT[],7,FALSE),"")</f>
        <v/>
      </c>
      <c r="AV88" s="200" t="str">
        <f>IFERROR(VLOOKUP(TableHandbook[[#This Row],[UDC]],TableSTRUEDSCI[],7,FALSE),"")</f>
        <v/>
      </c>
      <c r="AW88" s="200" t="str">
        <f>IFERROR(VLOOKUP(TableHandbook[[#This Row],[UDC]],TableSTRUENGLB[],7,FALSE),"")</f>
        <v/>
      </c>
      <c r="AX88" s="200" t="str">
        <f>IFERROR(VLOOKUP(TableHandbook[[#This Row],[UDC]],TableSTRUENGLM[],7,FALSE),"")</f>
        <v/>
      </c>
      <c r="AY88" s="200" t="str">
        <f>IFERROR(VLOOKUP(TableHandbook[[#This Row],[UDC]],TableSTRUGEOB1[],7,FALSE),"")</f>
        <v/>
      </c>
      <c r="AZ88" s="200" t="str">
        <f>IFERROR(VLOOKUP(TableHandbook[[#This Row],[UDC]],TableSTRUHISB1[],7,FALSE),"")</f>
        <v/>
      </c>
      <c r="BA88" s="200" t="str">
        <f>IFERROR(VLOOKUP(TableHandbook[[#This Row],[UDC]],TableSTRUHUMAM[],7,FALSE),"")</f>
        <v/>
      </c>
      <c r="BB88" s="200" t="str">
        <f>IFERROR(VLOOKUP(TableHandbook[[#This Row],[UDC]],TableSTRUHUMBB[],7,FALSE),"")</f>
        <v/>
      </c>
      <c r="BC88" s="200" t="str">
        <f>IFERROR(VLOOKUP(TableHandbook[[#This Row],[UDC]],TableSTRUMATHB[],7,FALSE),"")</f>
        <v/>
      </c>
      <c r="BD88" s="200" t="str">
        <f>IFERROR(VLOOKUP(TableHandbook[[#This Row],[UDC]],TableSTRUMATHM[],7,FALSE),"")</f>
        <v/>
      </c>
      <c r="BE88" s="200" t="str">
        <f>IFERROR(VLOOKUP(TableHandbook[[#This Row],[UDC]],TableSTRUPARTB[],7,FALSE),"")</f>
        <v/>
      </c>
      <c r="BF88" s="200" t="str">
        <f>IFERROR(VLOOKUP(TableHandbook[[#This Row],[UDC]],TableSTRUPARTM[],7,FALSE),"")</f>
        <v/>
      </c>
      <c r="BG88" s="200" t="str">
        <f>IFERROR(VLOOKUP(TableHandbook[[#This Row],[UDC]],TableSTRUPOLB1[],7,FALSE),"")</f>
        <v/>
      </c>
      <c r="BH88" s="200" t="str">
        <f>IFERROR(VLOOKUP(TableHandbook[[#This Row],[UDC]],TableSTRUPSCIM[],7,FALSE),"")</f>
        <v/>
      </c>
      <c r="BI88" s="200" t="str">
        <f>IFERROR(VLOOKUP(TableHandbook[[#This Row],[UDC]],TableSTRUPSYCB[],7,FALSE),"")</f>
        <v/>
      </c>
      <c r="BJ88" s="200" t="str">
        <f>IFERROR(VLOOKUP(TableHandbook[[#This Row],[UDC]],TableSTRUPSYCM[],7,FALSE),"")</f>
        <v/>
      </c>
      <c r="BK88" s="200" t="str">
        <f>IFERROR(VLOOKUP(TableHandbook[[#This Row],[UDC]],TableSTRUSOSCM[],7,FALSE),"")</f>
        <v/>
      </c>
      <c r="BL88" s="200" t="str">
        <f>IFERROR(VLOOKUP(TableHandbook[[#This Row],[UDC]],TableSTRUVARTB[],7,FALSE),"")</f>
        <v/>
      </c>
      <c r="BM88" s="200" t="str">
        <f>IFERROR(VLOOKUP(TableHandbook[[#This Row],[UDC]],TableSTRUVARTM[],7,FALSE),"")</f>
        <v/>
      </c>
    </row>
    <row r="89" spans="1:65" x14ac:dyDescent="0.25">
      <c r="A89" s="11" t="s">
        <v>98</v>
      </c>
      <c r="B89" s="12">
        <v>1</v>
      </c>
      <c r="C89" s="11"/>
      <c r="D89" s="11" t="s">
        <v>658</v>
      </c>
      <c r="E89" s="12">
        <v>25</v>
      </c>
      <c r="F89" s="131" t="s">
        <v>544</v>
      </c>
      <c r="G89" s="126" t="str">
        <f>IFERROR(IF(VLOOKUP(TableHandbook[[#This Row],[UDC]],TableAvailabilities[],2,FALSE)&gt;0,"Y",""),"")</f>
        <v/>
      </c>
      <c r="H89" s="127" t="str">
        <f>IFERROR(IF(VLOOKUP(TableHandbook[[#This Row],[UDC]],TableAvailabilities[],3,FALSE)&gt;0,"Y",""),"")</f>
        <v/>
      </c>
      <c r="I89" s="127" t="str">
        <f>IFERROR(IF(VLOOKUP(TableHandbook[[#This Row],[UDC]],TableAvailabilities[],4,FALSE)&gt;0,"Y",""),"")</f>
        <v/>
      </c>
      <c r="J89" s="128" t="str">
        <f>IFERROR(IF(VLOOKUP(TableHandbook[[#This Row],[UDC]],TableAvailabilities[],5,FALSE)&gt;0,"Y",""),"")</f>
        <v>Y</v>
      </c>
      <c r="K89" s="128" t="str">
        <f>IFERROR(IF(VLOOKUP(TableHandbook[[#This Row],[UDC]],TableAvailabilities[],6,FALSE)&gt;0,"Y",""),"")</f>
        <v>Y</v>
      </c>
      <c r="L89" s="127" t="str">
        <f>IFERROR(IF(VLOOKUP(TableHandbook[[#This Row],[UDC]],TableAvailabilities[],7,FALSE)&gt;0,"Y",""),"")</f>
        <v/>
      </c>
      <c r="M89" s="207"/>
      <c r="N89" s="205" t="str">
        <f>IFERROR(VLOOKUP(TableHandbook[[#This Row],[UDC]],TableBEDUC[],7,FALSE),"")</f>
        <v>Core</v>
      </c>
      <c r="O89" s="200" t="str">
        <f>IFERROR(VLOOKUP(TableHandbook[[#This Row],[UDC]],TableBEDEC[],7,FALSE),"")</f>
        <v/>
      </c>
      <c r="P89" s="200" t="str">
        <f>IFERROR(VLOOKUP(TableHandbook[[#This Row],[UDC]],TableBEDPR[],7,FALSE),"")</f>
        <v/>
      </c>
      <c r="Q89" s="200" t="str">
        <f>IFERROR(VLOOKUP(TableHandbook[[#This Row],[UDC]],TableSTRUCATHL[],7,FALSE),"")</f>
        <v/>
      </c>
      <c r="R89" s="200" t="str">
        <f>IFERROR(VLOOKUP(TableHandbook[[#This Row],[UDC]],TableSTRUENGLL[],7,FALSE),"")</f>
        <v/>
      </c>
      <c r="S89" s="200" t="str">
        <f>IFERROR(VLOOKUP(TableHandbook[[#This Row],[UDC]],TableSTRUINTBC[],7,FALSE),"")</f>
        <v/>
      </c>
      <c r="T89" s="200" t="str">
        <f>IFERROR(VLOOKUP(TableHandbook[[#This Row],[UDC]],TableSTRUISTEM[],7,FALSE),"")</f>
        <v/>
      </c>
      <c r="U89" s="200" t="str">
        <f>IFERROR(VLOOKUP(TableHandbook[[#This Row],[UDC]],TableSTRULITNU[],7,FALSE),"")</f>
        <v/>
      </c>
      <c r="V89" s="200" t="str">
        <f>IFERROR(VLOOKUP(TableHandbook[[#This Row],[UDC]],TableSTRUTECHS[],7,FALSE),"")</f>
        <v/>
      </c>
      <c r="W89" s="200" t="str">
        <f>IFERROR(VLOOKUP(TableHandbook[[#This Row],[UDC]],TableBEDSC[],7,FALSE),"")</f>
        <v>Core</v>
      </c>
      <c r="X89" s="200" t="str">
        <f>IFERROR(VLOOKUP(TableHandbook[[#This Row],[UDC]],TableMJRUARTDR[],7,FALSE),"")</f>
        <v/>
      </c>
      <c r="Y89" s="200" t="str">
        <f>IFERROR(VLOOKUP(TableHandbook[[#This Row],[UDC]],TableMJRUARTME[],7,FALSE),"")</f>
        <v/>
      </c>
      <c r="Z89" s="200" t="str">
        <f>IFERROR(VLOOKUP(TableHandbook[[#This Row],[UDC]],TableMJRUARTVA[],7,FALSE),"")</f>
        <v/>
      </c>
      <c r="AA89" s="200" t="str">
        <f>IFERROR(VLOOKUP(TableHandbook[[#This Row],[UDC]],TableMJRUENGLT[],7,FALSE),"")</f>
        <v/>
      </c>
      <c r="AB89" s="200" t="str">
        <f>IFERROR(VLOOKUP(TableHandbook[[#This Row],[UDC]],TableMJRUHLTPE[],7,FALSE),"")</f>
        <v/>
      </c>
      <c r="AC89" s="200" t="str">
        <f>IFERROR(VLOOKUP(TableHandbook[[#This Row],[UDC]],TableMJRUHUSEC[],7,FALSE),"")</f>
        <v/>
      </c>
      <c r="AD89" s="200" t="str">
        <f>IFERROR(VLOOKUP(TableHandbook[[#This Row],[UDC]],TableMJRUHUSGE[],7,FALSE),"")</f>
        <v/>
      </c>
      <c r="AE89" s="200" t="str">
        <f>IFERROR(VLOOKUP(TableHandbook[[#This Row],[UDC]],TableMJRUHUSHI[],7,FALSE),"")</f>
        <v/>
      </c>
      <c r="AF89" s="200" t="str">
        <f>IFERROR(VLOOKUP(TableHandbook[[#This Row],[UDC]],TableMJRUHUSPL[],7,FALSE),"")</f>
        <v/>
      </c>
      <c r="AG89" s="200" t="str">
        <f>IFERROR(VLOOKUP(TableHandbook[[#This Row],[UDC]],TableMJRUMATHT[],7,FALSE),"")</f>
        <v/>
      </c>
      <c r="AH89" s="200" t="str">
        <f>IFERROR(VLOOKUP(TableHandbook[[#This Row],[UDC]],TableMJRUSCIBI[],7,FALSE),"")</f>
        <v/>
      </c>
      <c r="AI89" s="200" t="str">
        <f>IFERROR(VLOOKUP(TableHandbook[[#This Row],[UDC]],TableMJRUSCICH[],7,FALSE),"")</f>
        <v/>
      </c>
      <c r="AJ89" s="200" t="str">
        <f>IFERROR(VLOOKUP(TableHandbook[[#This Row],[UDC]],TableMJRUSCIHB[],7,FALSE),"")</f>
        <v/>
      </c>
      <c r="AK89" s="200" t="str">
        <f>IFERROR(VLOOKUP(TableHandbook[[#This Row],[UDC]],TableMJRUSCIPH[],7,FALSE),"")</f>
        <v/>
      </c>
      <c r="AL89" s="200" t="str">
        <f>IFERROR(VLOOKUP(TableHandbook[[#This Row],[UDC]],TableMJRUSCIPS[],7,FALSE),"")</f>
        <v/>
      </c>
      <c r="AM89" s="202"/>
      <c r="AN89" s="200" t="str">
        <f>IFERROR(VLOOKUP(TableHandbook[[#This Row],[UDC]],TableSTRUBIOLB[],7,FALSE),"")</f>
        <v/>
      </c>
      <c r="AO89" s="200" t="str">
        <f>IFERROR(VLOOKUP(TableHandbook[[#This Row],[UDC]],TableSTRUBSCIM[],7,FALSE),"")</f>
        <v/>
      </c>
      <c r="AP89" s="200" t="str">
        <f>IFERROR(VLOOKUP(TableHandbook[[#This Row],[UDC]],TableSTRUCHEMB[],7,FALSE),"")</f>
        <v/>
      </c>
      <c r="AQ89" s="200" t="str">
        <f>IFERROR(VLOOKUP(TableHandbook[[#This Row],[UDC]],TableSTRUECOB1[],7,FALSE),"")</f>
        <v/>
      </c>
      <c r="AR89" s="200" t="str">
        <f>IFERROR(VLOOKUP(TableHandbook[[#This Row],[UDC]],TableSTRUEDART[],7,FALSE),"")</f>
        <v/>
      </c>
      <c r="AS89" s="200" t="str">
        <f>IFERROR(VLOOKUP(TableHandbook[[#This Row],[UDC]],TableSTRUEDENG[],7,FALSE),"")</f>
        <v/>
      </c>
      <c r="AT89" s="200" t="str">
        <f>IFERROR(VLOOKUP(TableHandbook[[#This Row],[UDC]],TableSTRUEDHAS[],7,FALSE),"")</f>
        <v/>
      </c>
      <c r="AU89" s="200" t="str">
        <f>IFERROR(VLOOKUP(TableHandbook[[#This Row],[UDC]],TableSTRUEDMAT[],7,FALSE),"")</f>
        <v/>
      </c>
      <c r="AV89" s="200" t="str">
        <f>IFERROR(VLOOKUP(TableHandbook[[#This Row],[UDC]],TableSTRUEDSCI[],7,FALSE),"")</f>
        <v/>
      </c>
      <c r="AW89" s="200" t="str">
        <f>IFERROR(VLOOKUP(TableHandbook[[#This Row],[UDC]],TableSTRUENGLB[],7,FALSE),"")</f>
        <v/>
      </c>
      <c r="AX89" s="200" t="str">
        <f>IFERROR(VLOOKUP(TableHandbook[[#This Row],[UDC]],TableSTRUENGLM[],7,FALSE),"")</f>
        <v/>
      </c>
      <c r="AY89" s="200" t="str">
        <f>IFERROR(VLOOKUP(TableHandbook[[#This Row],[UDC]],TableSTRUGEOB1[],7,FALSE),"")</f>
        <v/>
      </c>
      <c r="AZ89" s="200" t="str">
        <f>IFERROR(VLOOKUP(TableHandbook[[#This Row],[UDC]],TableSTRUHISB1[],7,FALSE),"")</f>
        <v/>
      </c>
      <c r="BA89" s="200" t="str">
        <f>IFERROR(VLOOKUP(TableHandbook[[#This Row],[UDC]],TableSTRUHUMAM[],7,FALSE),"")</f>
        <v/>
      </c>
      <c r="BB89" s="200" t="str">
        <f>IFERROR(VLOOKUP(TableHandbook[[#This Row],[UDC]],TableSTRUHUMBB[],7,FALSE),"")</f>
        <v/>
      </c>
      <c r="BC89" s="200" t="str">
        <f>IFERROR(VLOOKUP(TableHandbook[[#This Row],[UDC]],TableSTRUMATHB[],7,FALSE),"")</f>
        <v/>
      </c>
      <c r="BD89" s="200" t="str">
        <f>IFERROR(VLOOKUP(TableHandbook[[#This Row],[UDC]],TableSTRUMATHM[],7,FALSE),"")</f>
        <v/>
      </c>
      <c r="BE89" s="200" t="str">
        <f>IFERROR(VLOOKUP(TableHandbook[[#This Row],[UDC]],TableSTRUPARTB[],7,FALSE),"")</f>
        <v/>
      </c>
      <c r="BF89" s="200" t="str">
        <f>IFERROR(VLOOKUP(TableHandbook[[#This Row],[UDC]],TableSTRUPARTM[],7,FALSE),"")</f>
        <v/>
      </c>
      <c r="BG89" s="200" t="str">
        <f>IFERROR(VLOOKUP(TableHandbook[[#This Row],[UDC]],TableSTRUPOLB1[],7,FALSE),"")</f>
        <v/>
      </c>
      <c r="BH89" s="200" t="str">
        <f>IFERROR(VLOOKUP(TableHandbook[[#This Row],[UDC]],TableSTRUPSCIM[],7,FALSE),"")</f>
        <v/>
      </c>
      <c r="BI89" s="200" t="str">
        <f>IFERROR(VLOOKUP(TableHandbook[[#This Row],[UDC]],TableSTRUPSYCB[],7,FALSE),"")</f>
        <v/>
      </c>
      <c r="BJ89" s="200" t="str">
        <f>IFERROR(VLOOKUP(TableHandbook[[#This Row],[UDC]],TableSTRUPSYCM[],7,FALSE),"")</f>
        <v/>
      </c>
      <c r="BK89" s="200" t="str">
        <f>IFERROR(VLOOKUP(TableHandbook[[#This Row],[UDC]],TableSTRUSOSCM[],7,FALSE),"")</f>
        <v/>
      </c>
      <c r="BL89" s="200" t="str">
        <f>IFERROR(VLOOKUP(TableHandbook[[#This Row],[UDC]],TableSTRUVARTB[],7,FALSE),"")</f>
        <v/>
      </c>
      <c r="BM89" s="200" t="str">
        <f>IFERROR(VLOOKUP(TableHandbook[[#This Row],[UDC]],TableSTRUVARTM[],7,FALSE),"")</f>
        <v/>
      </c>
    </row>
    <row r="90" spans="1:65" x14ac:dyDescent="0.25">
      <c r="A90" s="262" t="s">
        <v>217</v>
      </c>
      <c r="B90" s="12">
        <v>1</v>
      </c>
      <c r="C90" s="11"/>
      <c r="D90" s="11" t="s">
        <v>659</v>
      </c>
      <c r="E90" s="12">
        <v>25</v>
      </c>
      <c r="F90" s="131" t="s">
        <v>660</v>
      </c>
      <c r="G90" s="126" t="str">
        <f>IFERROR(IF(VLOOKUP(TableHandbook[[#This Row],[UDC]],TableAvailabilities[],2,FALSE)&gt;0,"Y",""),"")</f>
        <v>Y</v>
      </c>
      <c r="H90" s="127" t="str">
        <f>IFERROR(IF(VLOOKUP(TableHandbook[[#This Row],[UDC]],TableAvailabilities[],3,FALSE)&gt;0,"Y",""),"")</f>
        <v>Y</v>
      </c>
      <c r="I90" s="127" t="str">
        <f>IFERROR(IF(VLOOKUP(TableHandbook[[#This Row],[UDC]],TableAvailabilities[],4,FALSE)&gt;0,"Y",""),"")</f>
        <v/>
      </c>
      <c r="J90" s="128" t="str">
        <f>IFERROR(IF(VLOOKUP(TableHandbook[[#This Row],[UDC]],TableAvailabilities[],5,FALSE)&gt;0,"Y",""),"")</f>
        <v/>
      </c>
      <c r="K90" s="128" t="str">
        <f>IFERROR(IF(VLOOKUP(TableHandbook[[#This Row],[UDC]],TableAvailabilities[],6,FALSE)&gt;0,"Y",""),"")</f>
        <v/>
      </c>
      <c r="L90" s="127" t="str">
        <f>IFERROR(IF(VLOOKUP(TableHandbook[[#This Row],[UDC]],TableAvailabilities[],7,FALSE)&gt;0,"Y",""),"")</f>
        <v/>
      </c>
      <c r="M90" s="207"/>
      <c r="N90" s="205" t="str">
        <f>IFERROR(VLOOKUP(TableHandbook[[#This Row],[UDC]],TableBEDUC[],7,FALSE),"")</f>
        <v/>
      </c>
      <c r="O90" s="200" t="str">
        <f>IFERROR(VLOOKUP(TableHandbook[[#This Row],[UDC]],TableBEDEC[],7,FALSE),"")</f>
        <v/>
      </c>
      <c r="P90" s="200" t="str">
        <f>IFERROR(VLOOKUP(TableHandbook[[#This Row],[UDC]],TableBEDPR[],7,FALSE),"")</f>
        <v/>
      </c>
      <c r="Q90" s="200" t="str">
        <f>IFERROR(VLOOKUP(TableHandbook[[#This Row],[UDC]],TableSTRUCATHL[],7,FALSE),"")</f>
        <v/>
      </c>
      <c r="R90" s="200" t="str">
        <f>IFERROR(VLOOKUP(TableHandbook[[#This Row],[UDC]],TableSTRUENGLL[],7,FALSE),"")</f>
        <v/>
      </c>
      <c r="S90" s="200" t="str">
        <f>IFERROR(VLOOKUP(TableHandbook[[#This Row],[UDC]],TableSTRUINTBC[],7,FALSE),"")</f>
        <v/>
      </c>
      <c r="T90" s="200" t="str">
        <f>IFERROR(VLOOKUP(TableHandbook[[#This Row],[UDC]],TableSTRUISTEM[],7,FALSE),"")</f>
        <v/>
      </c>
      <c r="U90" s="200" t="str">
        <f>IFERROR(VLOOKUP(TableHandbook[[#This Row],[UDC]],TableSTRULITNU[],7,FALSE),"")</f>
        <v/>
      </c>
      <c r="V90" s="200" t="str">
        <f>IFERROR(VLOOKUP(TableHandbook[[#This Row],[UDC]],TableSTRUTECHS[],7,FALSE),"")</f>
        <v/>
      </c>
      <c r="W90" s="200" t="str">
        <f>IFERROR(VLOOKUP(TableHandbook[[#This Row],[UDC]],TableBEDSC[],7,FALSE),"")</f>
        <v>Core</v>
      </c>
      <c r="X90" s="200" t="str">
        <f>IFERROR(VLOOKUP(TableHandbook[[#This Row],[UDC]],TableMJRUARTDR[],7,FALSE),"")</f>
        <v/>
      </c>
      <c r="Y90" s="200" t="str">
        <f>IFERROR(VLOOKUP(TableHandbook[[#This Row],[UDC]],TableMJRUARTME[],7,FALSE),"")</f>
        <v/>
      </c>
      <c r="Z90" s="200" t="str">
        <f>IFERROR(VLOOKUP(TableHandbook[[#This Row],[UDC]],TableMJRUARTVA[],7,FALSE),"")</f>
        <v/>
      </c>
      <c r="AA90" s="200" t="str">
        <f>IFERROR(VLOOKUP(TableHandbook[[#This Row],[UDC]],TableMJRUENGLT[],7,FALSE),"")</f>
        <v/>
      </c>
      <c r="AB90" s="200" t="str">
        <f>IFERROR(VLOOKUP(TableHandbook[[#This Row],[UDC]],TableMJRUHLTPE[],7,FALSE),"")</f>
        <v/>
      </c>
      <c r="AC90" s="200" t="str">
        <f>IFERROR(VLOOKUP(TableHandbook[[#This Row],[UDC]],TableMJRUHUSEC[],7,FALSE),"")</f>
        <v/>
      </c>
      <c r="AD90" s="200" t="str">
        <f>IFERROR(VLOOKUP(TableHandbook[[#This Row],[UDC]],TableMJRUHUSGE[],7,FALSE),"")</f>
        <v/>
      </c>
      <c r="AE90" s="200" t="str">
        <f>IFERROR(VLOOKUP(TableHandbook[[#This Row],[UDC]],TableMJRUHUSHI[],7,FALSE),"")</f>
        <v/>
      </c>
      <c r="AF90" s="200" t="str">
        <f>IFERROR(VLOOKUP(TableHandbook[[#This Row],[UDC]],TableMJRUHUSPL[],7,FALSE),"")</f>
        <v/>
      </c>
      <c r="AG90" s="200" t="str">
        <f>IFERROR(VLOOKUP(TableHandbook[[#This Row],[UDC]],TableMJRUMATHT[],7,FALSE),"")</f>
        <v/>
      </c>
      <c r="AH90" s="200" t="str">
        <f>IFERROR(VLOOKUP(TableHandbook[[#This Row],[UDC]],TableMJRUSCIBI[],7,FALSE),"")</f>
        <v/>
      </c>
      <c r="AI90" s="200" t="str">
        <f>IFERROR(VLOOKUP(TableHandbook[[#This Row],[UDC]],TableMJRUSCICH[],7,FALSE),"")</f>
        <v/>
      </c>
      <c r="AJ90" s="200" t="str">
        <f>IFERROR(VLOOKUP(TableHandbook[[#This Row],[UDC]],TableMJRUSCIHB[],7,FALSE),"")</f>
        <v/>
      </c>
      <c r="AK90" s="200" t="str">
        <f>IFERROR(VLOOKUP(TableHandbook[[#This Row],[UDC]],TableMJRUSCIPH[],7,FALSE),"")</f>
        <v/>
      </c>
      <c r="AL90" s="200" t="str">
        <f>IFERROR(VLOOKUP(TableHandbook[[#This Row],[UDC]],TableMJRUSCIPS[],7,FALSE),"")</f>
        <v/>
      </c>
      <c r="AM90" s="202"/>
      <c r="AN90" s="200" t="str">
        <f>IFERROR(VLOOKUP(TableHandbook[[#This Row],[UDC]],TableSTRUBIOLB[],7,FALSE),"")</f>
        <v/>
      </c>
      <c r="AO90" s="200" t="str">
        <f>IFERROR(VLOOKUP(TableHandbook[[#This Row],[UDC]],TableSTRUBSCIM[],7,FALSE),"")</f>
        <v/>
      </c>
      <c r="AP90" s="200" t="str">
        <f>IFERROR(VLOOKUP(TableHandbook[[#This Row],[UDC]],TableSTRUCHEMB[],7,FALSE),"")</f>
        <v/>
      </c>
      <c r="AQ90" s="200" t="str">
        <f>IFERROR(VLOOKUP(TableHandbook[[#This Row],[UDC]],TableSTRUECOB1[],7,FALSE),"")</f>
        <v/>
      </c>
      <c r="AR90" s="200" t="str">
        <f>IFERROR(VLOOKUP(TableHandbook[[#This Row],[UDC]],TableSTRUEDART[],7,FALSE),"")</f>
        <v/>
      </c>
      <c r="AS90" s="200" t="str">
        <f>IFERROR(VLOOKUP(TableHandbook[[#This Row],[UDC]],TableSTRUEDENG[],7,FALSE),"")</f>
        <v/>
      </c>
      <c r="AT90" s="200" t="str">
        <f>IFERROR(VLOOKUP(TableHandbook[[#This Row],[UDC]],TableSTRUEDHAS[],7,FALSE),"")</f>
        <v/>
      </c>
      <c r="AU90" s="200" t="str">
        <f>IFERROR(VLOOKUP(TableHandbook[[#This Row],[UDC]],TableSTRUEDMAT[],7,FALSE),"")</f>
        <v/>
      </c>
      <c r="AV90" s="200" t="str">
        <f>IFERROR(VLOOKUP(TableHandbook[[#This Row],[UDC]],TableSTRUEDSCI[],7,FALSE),"")</f>
        <v/>
      </c>
      <c r="AW90" s="200" t="str">
        <f>IFERROR(VLOOKUP(TableHandbook[[#This Row],[UDC]],TableSTRUENGLB[],7,FALSE),"")</f>
        <v/>
      </c>
      <c r="AX90" s="200" t="str">
        <f>IFERROR(VLOOKUP(TableHandbook[[#This Row],[UDC]],TableSTRUENGLM[],7,FALSE),"")</f>
        <v/>
      </c>
      <c r="AY90" s="200" t="str">
        <f>IFERROR(VLOOKUP(TableHandbook[[#This Row],[UDC]],TableSTRUGEOB1[],7,FALSE),"")</f>
        <v/>
      </c>
      <c r="AZ90" s="200" t="str">
        <f>IFERROR(VLOOKUP(TableHandbook[[#This Row],[UDC]],TableSTRUHISB1[],7,FALSE),"")</f>
        <v/>
      </c>
      <c r="BA90" s="200" t="str">
        <f>IFERROR(VLOOKUP(TableHandbook[[#This Row],[UDC]],TableSTRUHUMAM[],7,FALSE),"")</f>
        <v/>
      </c>
      <c r="BB90" s="200" t="str">
        <f>IFERROR(VLOOKUP(TableHandbook[[#This Row],[UDC]],TableSTRUHUMBB[],7,FALSE),"")</f>
        <v/>
      </c>
      <c r="BC90" s="200" t="str">
        <f>IFERROR(VLOOKUP(TableHandbook[[#This Row],[UDC]],TableSTRUMATHB[],7,FALSE),"")</f>
        <v/>
      </c>
      <c r="BD90" s="200" t="str">
        <f>IFERROR(VLOOKUP(TableHandbook[[#This Row],[UDC]],TableSTRUMATHM[],7,FALSE),"")</f>
        <v/>
      </c>
      <c r="BE90" s="200" t="str">
        <f>IFERROR(VLOOKUP(TableHandbook[[#This Row],[UDC]],TableSTRUPARTB[],7,FALSE),"")</f>
        <v/>
      </c>
      <c r="BF90" s="200" t="str">
        <f>IFERROR(VLOOKUP(TableHandbook[[#This Row],[UDC]],TableSTRUPARTM[],7,FALSE),"")</f>
        <v/>
      </c>
      <c r="BG90" s="200" t="str">
        <f>IFERROR(VLOOKUP(TableHandbook[[#This Row],[UDC]],TableSTRUPOLB1[],7,FALSE),"")</f>
        <v/>
      </c>
      <c r="BH90" s="200" t="str">
        <f>IFERROR(VLOOKUP(TableHandbook[[#This Row],[UDC]],TableSTRUPSCIM[],7,FALSE),"")</f>
        <v/>
      </c>
      <c r="BI90" s="200" t="str">
        <f>IFERROR(VLOOKUP(TableHandbook[[#This Row],[UDC]],TableSTRUPSYCB[],7,FALSE),"")</f>
        <v/>
      </c>
      <c r="BJ90" s="200" t="str">
        <f>IFERROR(VLOOKUP(TableHandbook[[#This Row],[UDC]],TableSTRUPSYCM[],7,FALSE),"")</f>
        <v/>
      </c>
      <c r="BK90" s="200" t="str">
        <f>IFERROR(VLOOKUP(TableHandbook[[#This Row],[UDC]],TableSTRUSOSCM[],7,FALSE),"")</f>
        <v/>
      </c>
      <c r="BL90" s="200" t="str">
        <f>IFERROR(VLOOKUP(TableHandbook[[#This Row],[UDC]],TableSTRUVARTB[],7,FALSE),"")</f>
        <v/>
      </c>
      <c r="BM90" s="200" t="str">
        <f>IFERROR(VLOOKUP(TableHandbook[[#This Row],[UDC]],TableSTRUVARTM[],7,FALSE),"")</f>
        <v/>
      </c>
    </row>
    <row r="91" spans="1:65" x14ac:dyDescent="0.25">
      <c r="A91" s="262" t="s">
        <v>225</v>
      </c>
      <c r="B91" s="12">
        <v>1</v>
      </c>
      <c r="C91" s="11"/>
      <c r="D91" s="11" t="s">
        <v>661</v>
      </c>
      <c r="E91" s="12">
        <v>25</v>
      </c>
      <c r="F91" s="131" t="s">
        <v>217</v>
      </c>
      <c r="G91" s="126" t="str">
        <f>IFERROR(IF(VLOOKUP(TableHandbook[[#This Row],[UDC]],TableAvailabilities[],2,FALSE)&gt;0,"Y",""),"")</f>
        <v/>
      </c>
      <c r="H91" s="127" t="str">
        <f>IFERROR(IF(VLOOKUP(TableHandbook[[#This Row],[UDC]],TableAvailabilities[],3,FALSE)&gt;0,"Y",""),"")</f>
        <v/>
      </c>
      <c r="I91" s="127" t="str">
        <f>IFERROR(IF(VLOOKUP(TableHandbook[[#This Row],[UDC]],TableAvailabilities[],4,FALSE)&gt;0,"Y",""),"")</f>
        <v/>
      </c>
      <c r="J91" s="128" t="str">
        <f>IFERROR(IF(VLOOKUP(TableHandbook[[#This Row],[UDC]],TableAvailabilities[],5,FALSE)&gt;0,"Y",""),"")</f>
        <v>Y</v>
      </c>
      <c r="K91" s="128" t="str">
        <f>IFERROR(IF(VLOOKUP(TableHandbook[[#This Row],[UDC]],TableAvailabilities[],6,FALSE)&gt;0,"Y",""),"")</f>
        <v>Y</v>
      </c>
      <c r="L91" s="127" t="str">
        <f>IFERROR(IF(VLOOKUP(TableHandbook[[#This Row],[UDC]],TableAvailabilities[],7,FALSE)&gt;0,"Y",""),"")</f>
        <v/>
      </c>
      <c r="M91" s="207"/>
      <c r="N91" s="205" t="str">
        <f>IFERROR(VLOOKUP(TableHandbook[[#This Row],[UDC]],TableBEDUC[],7,FALSE),"")</f>
        <v/>
      </c>
      <c r="O91" s="200" t="str">
        <f>IFERROR(VLOOKUP(TableHandbook[[#This Row],[UDC]],TableBEDEC[],7,FALSE),"")</f>
        <v/>
      </c>
      <c r="P91" s="200" t="str">
        <f>IFERROR(VLOOKUP(TableHandbook[[#This Row],[UDC]],TableBEDPR[],7,FALSE),"")</f>
        <v/>
      </c>
      <c r="Q91" s="200" t="str">
        <f>IFERROR(VLOOKUP(TableHandbook[[#This Row],[UDC]],TableSTRUCATHL[],7,FALSE),"")</f>
        <v/>
      </c>
      <c r="R91" s="200" t="str">
        <f>IFERROR(VLOOKUP(TableHandbook[[#This Row],[UDC]],TableSTRUENGLL[],7,FALSE),"")</f>
        <v/>
      </c>
      <c r="S91" s="200" t="str">
        <f>IFERROR(VLOOKUP(TableHandbook[[#This Row],[UDC]],TableSTRUINTBC[],7,FALSE),"")</f>
        <v/>
      </c>
      <c r="T91" s="200" t="str">
        <f>IFERROR(VLOOKUP(TableHandbook[[#This Row],[UDC]],TableSTRUISTEM[],7,FALSE),"")</f>
        <v/>
      </c>
      <c r="U91" s="200" t="str">
        <f>IFERROR(VLOOKUP(TableHandbook[[#This Row],[UDC]],TableSTRULITNU[],7,FALSE),"")</f>
        <v/>
      </c>
      <c r="V91" s="200" t="str">
        <f>IFERROR(VLOOKUP(TableHandbook[[#This Row],[UDC]],TableSTRUTECHS[],7,FALSE),"")</f>
        <v/>
      </c>
      <c r="W91" s="200" t="str">
        <f>IFERROR(VLOOKUP(TableHandbook[[#This Row],[UDC]],TableBEDSC[],7,FALSE),"")</f>
        <v>Core</v>
      </c>
      <c r="X91" s="200" t="str">
        <f>IFERROR(VLOOKUP(TableHandbook[[#This Row],[UDC]],TableMJRUARTDR[],7,FALSE),"")</f>
        <v/>
      </c>
      <c r="Y91" s="200" t="str">
        <f>IFERROR(VLOOKUP(TableHandbook[[#This Row],[UDC]],TableMJRUARTME[],7,FALSE),"")</f>
        <v/>
      </c>
      <c r="Z91" s="200" t="str">
        <f>IFERROR(VLOOKUP(TableHandbook[[#This Row],[UDC]],TableMJRUARTVA[],7,FALSE),"")</f>
        <v/>
      </c>
      <c r="AA91" s="200" t="str">
        <f>IFERROR(VLOOKUP(TableHandbook[[#This Row],[UDC]],TableMJRUENGLT[],7,FALSE),"")</f>
        <v/>
      </c>
      <c r="AB91" s="200" t="str">
        <f>IFERROR(VLOOKUP(TableHandbook[[#This Row],[UDC]],TableMJRUHLTPE[],7,FALSE),"")</f>
        <v/>
      </c>
      <c r="AC91" s="200" t="str">
        <f>IFERROR(VLOOKUP(TableHandbook[[#This Row],[UDC]],TableMJRUHUSEC[],7,FALSE),"")</f>
        <v/>
      </c>
      <c r="AD91" s="200" t="str">
        <f>IFERROR(VLOOKUP(TableHandbook[[#This Row],[UDC]],TableMJRUHUSGE[],7,FALSE),"")</f>
        <v/>
      </c>
      <c r="AE91" s="200" t="str">
        <f>IFERROR(VLOOKUP(TableHandbook[[#This Row],[UDC]],TableMJRUHUSHI[],7,FALSE),"")</f>
        <v/>
      </c>
      <c r="AF91" s="200" t="str">
        <f>IFERROR(VLOOKUP(TableHandbook[[#This Row],[UDC]],TableMJRUHUSPL[],7,FALSE),"")</f>
        <v/>
      </c>
      <c r="AG91" s="200" t="str">
        <f>IFERROR(VLOOKUP(TableHandbook[[#This Row],[UDC]],TableMJRUMATHT[],7,FALSE),"")</f>
        <v/>
      </c>
      <c r="AH91" s="200" t="str">
        <f>IFERROR(VLOOKUP(TableHandbook[[#This Row],[UDC]],TableMJRUSCIBI[],7,FALSE),"")</f>
        <v/>
      </c>
      <c r="AI91" s="200" t="str">
        <f>IFERROR(VLOOKUP(TableHandbook[[#This Row],[UDC]],TableMJRUSCICH[],7,FALSE),"")</f>
        <v/>
      </c>
      <c r="AJ91" s="200" t="str">
        <f>IFERROR(VLOOKUP(TableHandbook[[#This Row],[UDC]],TableMJRUSCIHB[],7,FALSE),"")</f>
        <v/>
      </c>
      <c r="AK91" s="200" t="str">
        <f>IFERROR(VLOOKUP(TableHandbook[[#This Row],[UDC]],TableMJRUSCIPH[],7,FALSE),"")</f>
        <v/>
      </c>
      <c r="AL91" s="200" t="str">
        <f>IFERROR(VLOOKUP(TableHandbook[[#This Row],[UDC]],TableMJRUSCIPS[],7,FALSE),"")</f>
        <v/>
      </c>
      <c r="AM91" s="202"/>
      <c r="AN91" s="200" t="str">
        <f>IFERROR(VLOOKUP(TableHandbook[[#This Row],[UDC]],TableSTRUBIOLB[],7,FALSE),"")</f>
        <v/>
      </c>
      <c r="AO91" s="200" t="str">
        <f>IFERROR(VLOOKUP(TableHandbook[[#This Row],[UDC]],TableSTRUBSCIM[],7,FALSE),"")</f>
        <v/>
      </c>
      <c r="AP91" s="200" t="str">
        <f>IFERROR(VLOOKUP(TableHandbook[[#This Row],[UDC]],TableSTRUCHEMB[],7,FALSE),"")</f>
        <v/>
      </c>
      <c r="AQ91" s="200" t="str">
        <f>IFERROR(VLOOKUP(TableHandbook[[#This Row],[UDC]],TableSTRUECOB1[],7,FALSE),"")</f>
        <v/>
      </c>
      <c r="AR91" s="200" t="str">
        <f>IFERROR(VLOOKUP(TableHandbook[[#This Row],[UDC]],TableSTRUEDART[],7,FALSE),"")</f>
        <v/>
      </c>
      <c r="AS91" s="200" t="str">
        <f>IFERROR(VLOOKUP(TableHandbook[[#This Row],[UDC]],TableSTRUEDENG[],7,FALSE),"")</f>
        <v/>
      </c>
      <c r="AT91" s="200" t="str">
        <f>IFERROR(VLOOKUP(TableHandbook[[#This Row],[UDC]],TableSTRUEDHAS[],7,FALSE),"")</f>
        <v/>
      </c>
      <c r="AU91" s="200" t="str">
        <f>IFERROR(VLOOKUP(TableHandbook[[#This Row],[UDC]],TableSTRUEDMAT[],7,FALSE),"")</f>
        <v/>
      </c>
      <c r="AV91" s="200" t="str">
        <f>IFERROR(VLOOKUP(TableHandbook[[#This Row],[UDC]],TableSTRUEDSCI[],7,FALSE),"")</f>
        <v/>
      </c>
      <c r="AW91" s="200" t="str">
        <f>IFERROR(VLOOKUP(TableHandbook[[#This Row],[UDC]],TableSTRUENGLB[],7,FALSE),"")</f>
        <v/>
      </c>
      <c r="AX91" s="200" t="str">
        <f>IFERROR(VLOOKUP(TableHandbook[[#This Row],[UDC]],TableSTRUENGLM[],7,FALSE),"")</f>
        <v/>
      </c>
      <c r="AY91" s="200" t="str">
        <f>IFERROR(VLOOKUP(TableHandbook[[#This Row],[UDC]],TableSTRUGEOB1[],7,FALSE),"")</f>
        <v/>
      </c>
      <c r="AZ91" s="200" t="str">
        <f>IFERROR(VLOOKUP(TableHandbook[[#This Row],[UDC]],TableSTRUHISB1[],7,FALSE),"")</f>
        <v/>
      </c>
      <c r="BA91" s="200" t="str">
        <f>IFERROR(VLOOKUP(TableHandbook[[#This Row],[UDC]],TableSTRUHUMAM[],7,FALSE),"")</f>
        <v/>
      </c>
      <c r="BB91" s="200" t="str">
        <f>IFERROR(VLOOKUP(TableHandbook[[#This Row],[UDC]],TableSTRUHUMBB[],7,FALSE),"")</f>
        <v/>
      </c>
      <c r="BC91" s="200" t="str">
        <f>IFERROR(VLOOKUP(TableHandbook[[#This Row],[UDC]],TableSTRUMATHB[],7,FALSE),"")</f>
        <v/>
      </c>
      <c r="BD91" s="200" t="str">
        <f>IFERROR(VLOOKUP(TableHandbook[[#This Row],[UDC]],TableSTRUMATHM[],7,FALSE),"")</f>
        <v/>
      </c>
      <c r="BE91" s="200" t="str">
        <f>IFERROR(VLOOKUP(TableHandbook[[#This Row],[UDC]],TableSTRUPARTB[],7,FALSE),"")</f>
        <v/>
      </c>
      <c r="BF91" s="200" t="str">
        <f>IFERROR(VLOOKUP(TableHandbook[[#This Row],[UDC]],TableSTRUPARTM[],7,FALSE),"")</f>
        <v/>
      </c>
      <c r="BG91" s="200" t="str">
        <f>IFERROR(VLOOKUP(TableHandbook[[#This Row],[UDC]],TableSTRUPOLB1[],7,FALSE),"")</f>
        <v/>
      </c>
      <c r="BH91" s="200" t="str">
        <f>IFERROR(VLOOKUP(TableHandbook[[#This Row],[UDC]],TableSTRUPSCIM[],7,FALSE),"")</f>
        <v/>
      </c>
      <c r="BI91" s="200" t="str">
        <f>IFERROR(VLOOKUP(TableHandbook[[#This Row],[UDC]],TableSTRUPSYCB[],7,FALSE),"")</f>
        <v/>
      </c>
      <c r="BJ91" s="200" t="str">
        <f>IFERROR(VLOOKUP(TableHandbook[[#This Row],[UDC]],TableSTRUPSYCM[],7,FALSE),"")</f>
        <v/>
      </c>
      <c r="BK91" s="200" t="str">
        <f>IFERROR(VLOOKUP(TableHandbook[[#This Row],[UDC]],TableSTRUSOSCM[],7,FALSE),"")</f>
        <v/>
      </c>
      <c r="BL91" s="200" t="str">
        <f>IFERROR(VLOOKUP(TableHandbook[[#This Row],[UDC]],TableSTRUVARTB[],7,FALSE),"")</f>
        <v/>
      </c>
      <c r="BM91" s="200" t="str">
        <f>IFERROR(VLOOKUP(TableHandbook[[#This Row],[UDC]],TableSTRUVARTM[],7,FALSE),"")</f>
        <v/>
      </c>
    </row>
    <row r="92" spans="1:65" x14ac:dyDescent="0.25">
      <c r="A92" s="262" t="s">
        <v>239</v>
      </c>
      <c r="B92" s="12">
        <v>1</v>
      </c>
      <c r="C92" s="11"/>
      <c r="D92" s="11" t="s">
        <v>662</v>
      </c>
      <c r="E92" s="12">
        <v>25</v>
      </c>
      <c r="F92" s="131" t="s">
        <v>663</v>
      </c>
      <c r="G92" s="126" t="str">
        <f>IFERROR(IF(VLOOKUP(TableHandbook[[#This Row],[UDC]],TableAvailabilities[],2,FALSE)&gt;0,"Y",""),"")</f>
        <v/>
      </c>
      <c r="H92" s="127" t="str">
        <f>IFERROR(IF(VLOOKUP(TableHandbook[[#This Row],[UDC]],TableAvailabilities[],3,FALSE)&gt;0,"Y",""),"")</f>
        <v/>
      </c>
      <c r="I92" s="127" t="str">
        <f>IFERROR(IF(VLOOKUP(TableHandbook[[#This Row],[UDC]],TableAvailabilities[],4,FALSE)&gt;0,"Y",""),"")</f>
        <v/>
      </c>
      <c r="J92" s="128" t="str">
        <f>IFERROR(IF(VLOOKUP(TableHandbook[[#This Row],[UDC]],TableAvailabilities[],5,FALSE)&gt;0,"Y",""),"")</f>
        <v>Y</v>
      </c>
      <c r="K92" s="128" t="str">
        <f>IFERROR(IF(VLOOKUP(TableHandbook[[#This Row],[UDC]],TableAvailabilities[],6,FALSE)&gt;0,"Y",""),"")</f>
        <v>Y</v>
      </c>
      <c r="L92" s="127" t="str">
        <f>IFERROR(IF(VLOOKUP(TableHandbook[[#This Row],[UDC]],TableAvailabilities[],7,FALSE)&gt;0,"Y",""),"")</f>
        <v/>
      </c>
      <c r="M92" s="207"/>
      <c r="N92" s="205" t="str">
        <f>IFERROR(VLOOKUP(TableHandbook[[#This Row],[UDC]],TableBEDUC[],7,FALSE),"")</f>
        <v/>
      </c>
      <c r="O92" s="200" t="str">
        <f>IFERROR(VLOOKUP(TableHandbook[[#This Row],[UDC]],TableBEDEC[],7,FALSE),"")</f>
        <v/>
      </c>
      <c r="P92" s="200" t="str">
        <f>IFERROR(VLOOKUP(TableHandbook[[#This Row],[UDC]],TableBEDPR[],7,FALSE),"")</f>
        <v/>
      </c>
      <c r="Q92" s="200" t="str">
        <f>IFERROR(VLOOKUP(TableHandbook[[#This Row],[UDC]],TableSTRUCATHL[],7,FALSE),"")</f>
        <v/>
      </c>
      <c r="R92" s="200" t="str">
        <f>IFERROR(VLOOKUP(TableHandbook[[#This Row],[UDC]],TableSTRUENGLL[],7,FALSE),"")</f>
        <v/>
      </c>
      <c r="S92" s="200" t="str">
        <f>IFERROR(VLOOKUP(TableHandbook[[#This Row],[UDC]],TableSTRUINTBC[],7,FALSE),"")</f>
        <v/>
      </c>
      <c r="T92" s="200" t="str">
        <f>IFERROR(VLOOKUP(TableHandbook[[#This Row],[UDC]],TableSTRUISTEM[],7,FALSE),"")</f>
        <v/>
      </c>
      <c r="U92" s="200" t="str">
        <f>IFERROR(VLOOKUP(TableHandbook[[#This Row],[UDC]],TableSTRULITNU[],7,FALSE),"")</f>
        <v/>
      </c>
      <c r="V92" s="200" t="str">
        <f>IFERROR(VLOOKUP(TableHandbook[[#This Row],[UDC]],TableSTRUTECHS[],7,FALSE),"")</f>
        <v/>
      </c>
      <c r="W92" s="200" t="str">
        <f>IFERROR(VLOOKUP(TableHandbook[[#This Row],[UDC]],TableBEDSC[],7,FALSE),"")</f>
        <v>Core</v>
      </c>
      <c r="X92" s="200" t="str">
        <f>IFERROR(VLOOKUP(TableHandbook[[#This Row],[UDC]],TableMJRUARTDR[],7,FALSE),"")</f>
        <v/>
      </c>
      <c r="Y92" s="200" t="str">
        <f>IFERROR(VLOOKUP(TableHandbook[[#This Row],[UDC]],TableMJRUARTME[],7,FALSE),"")</f>
        <v/>
      </c>
      <c r="Z92" s="200" t="str">
        <f>IFERROR(VLOOKUP(TableHandbook[[#This Row],[UDC]],TableMJRUARTVA[],7,FALSE),"")</f>
        <v/>
      </c>
      <c r="AA92" s="200" t="str">
        <f>IFERROR(VLOOKUP(TableHandbook[[#This Row],[UDC]],TableMJRUENGLT[],7,FALSE),"")</f>
        <v/>
      </c>
      <c r="AB92" s="200" t="str">
        <f>IFERROR(VLOOKUP(TableHandbook[[#This Row],[UDC]],TableMJRUHLTPE[],7,FALSE),"")</f>
        <v/>
      </c>
      <c r="AC92" s="200" t="str">
        <f>IFERROR(VLOOKUP(TableHandbook[[#This Row],[UDC]],TableMJRUHUSEC[],7,FALSE),"")</f>
        <v/>
      </c>
      <c r="AD92" s="200" t="str">
        <f>IFERROR(VLOOKUP(TableHandbook[[#This Row],[UDC]],TableMJRUHUSGE[],7,FALSE),"")</f>
        <v/>
      </c>
      <c r="AE92" s="200" t="str">
        <f>IFERROR(VLOOKUP(TableHandbook[[#This Row],[UDC]],TableMJRUHUSHI[],7,FALSE),"")</f>
        <v/>
      </c>
      <c r="AF92" s="200" t="str">
        <f>IFERROR(VLOOKUP(TableHandbook[[#This Row],[UDC]],TableMJRUHUSPL[],7,FALSE),"")</f>
        <v/>
      </c>
      <c r="AG92" s="200" t="str">
        <f>IFERROR(VLOOKUP(TableHandbook[[#This Row],[UDC]],TableMJRUMATHT[],7,FALSE),"")</f>
        <v/>
      </c>
      <c r="AH92" s="200" t="str">
        <f>IFERROR(VLOOKUP(TableHandbook[[#This Row],[UDC]],TableMJRUSCIBI[],7,FALSE),"")</f>
        <v/>
      </c>
      <c r="AI92" s="200" t="str">
        <f>IFERROR(VLOOKUP(TableHandbook[[#This Row],[UDC]],TableMJRUSCICH[],7,FALSE),"")</f>
        <v/>
      </c>
      <c r="AJ92" s="200" t="str">
        <f>IFERROR(VLOOKUP(TableHandbook[[#This Row],[UDC]],TableMJRUSCIHB[],7,FALSE),"")</f>
        <v/>
      </c>
      <c r="AK92" s="200" t="str">
        <f>IFERROR(VLOOKUP(TableHandbook[[#This Row],[UDC]],TableMJRUSCIPH[],7,FALSE),"")</f>
        <v/>
      </c>
      <c r="AL92" s="200" t="str">
        <f>IFERROR(VLOOKUP(TableHandbook[[#This Row],[UDC]],TableMJRUSCIPS[],7,FALSE),"")</f>
        <v/>
      </c>
      <c r="AM92" s="202"/>
      <c r="AN92" s="200" t="str">
        <f>IFERROR(VLOOKUP(TableHandbook[[#This Row],[UDC]],TableSTRUBIOLB[],7,FALSE),"")</f>
        <v/>
      </c>
      <c r="AO92" s="200" t="str">
        <f>IFERROR(VLOOKUP(TableHandbook[[#This Row],[UDC]],TableSTRUBSCIM[],7,FALSE),"")</f>
        <v/>
      </c>
      <c r="AP92" s="200" t="str">
        <f>IFERROR(VLOOKUP(TableHandbook[[#This Row],[UDC]],TableSTRUCHEMB[],7,FALSE),"")</f>
        <v/>
      </c>
      <c r="AQ92" s="200" t="str">
        <f>IFERROR(VLOOKUP(TableHandbook[[#This Row],[UDC]],TableSTRUECOB1[],7,FALSE),"")</f>
        <v/>
      </c>
      <c r="AR92" s="200" t="str">
        <f>IFERROR(VLOOKUP(TableHandbook[[#This Row],[UDC]],TableSTRUEDART[],7,FALSE),"")</f>
        <v/>
      </c>
      <c r="AS92" s="200" t="str">
        <f>IFERROR(VLOOKUP(TableHandbook[[#This Row],[UDC]],TableSTRUEDENG[],7,FALSE),"")</f>
        <v/>
      </c>
      <c r="AT92" s="200" t="str">
        <f>IFERROR(VLOOKUP(TableHandbook[[#This Row],[UDC]],TableSTRUEDHAS[],7,FALSE),"")</f>
        <v/>
      </c>
      <c r="AU92" s="200" t="str">
        <f>IFERROR(VLOOKUP(TableHandbook[[#This Row],[UDC]],TableSTRUEDMAT[],7,FALSE),"")</f>
        <v/>
      </c>
      <c r="AV92" s="200" t="str">
        <f>IFERROR(VLOOKUP(TableHandbook[[#This Row],[UDC]],TableSTRUEDSCI[],7,FALSE),"")</f>
        <v/>
      </c>
      <c r="AW92" s="200" t="str">
        <f>IFERROR(VLOOKUP(TableHandbook[[#This Row],[UDC]],TableSTRUENGLB[],7,FALSE),"")</f>
        <v/>
      </c>
      <c r="AX92" s="200" t="str">
        <f>IFERROR(VLOOKUP(TableHandbook[[#This Row],[UDC]],TableSTRUENGLM[],7,FALSE),"")</f>
        <v/>
      </c>
      <c r="AY92" s="200" t="str">
        <f>IFERROR(VLOOKUP(TableHandbook[[#This Row],[UDC]],TableSTRUGEOB1[],7,FALSE),"")</f>
        <v/>
      </c>
      <c r="AZ92" s="200" t="str">
        <f>IFERROR(VLOOKUP(TableHandbook[[#This Row],[UDC]],TableSTRUHISB1[],7,FALSE),"")</f>
        <v/>
      </c>
      <c r="BA92" s="200" t="str">
        <f>IFERROR(VLOOKUP(TableHandbook[[#This Row],[UDC]],TableSTRUHUMAM[],7,FALSE),"")</f>
        <v/>
      </c>
      <c r="BB92" s="200" t="str">
        <f>IFERROR(VLOOKUP(TableHandbook[[#This Row],[UDC]],TableSTRUHUMBB[],7,FALSE),"")</f>
        <v/>
      </c>
      <c r="BC92" s="200" t="str">
        <f>IFERROR(VLOOKUP(TableHandbook[[#This Row],[UDC]],TableSTRUMATHB[],7,FALSE),"")</f>
        <v/>
      </c>
      <c r="BD92" s="200" t="str">
        <f>IFERROR(VLOOKUP(TableHandbook[[#This Row],[UDC]],TableSTRUMATHM[],7,FALSE),"")</f>
        <v/>
      </c>
      <c r="BE92" s="200" t="str">
        <f>IFERROR(VLOOKUP(TableHandbook[[#This Row],[UDC]],TableSTRUPARTB[],7,FALSE),"")</f>
        <v/>
      </c>
      <c r="BF92" s="200" t="str">
        <f>IFERROR(VLOOKUP(TableHandbook[[#This Row],[UDC]],TableSTRUPARTM[],7,FALSE),"")</f>
        <v/>
      </c>
      <c r="BG92" s="200" t="str">
        <f>IFERROR(VLOOKUP(TableHandbook[[#This Row],[UDC]],TableSTRUPOLB1[],7,FALSE),"")</f>
        <v/>
      </c>
      <c r="BH92" s="200" t="str">
        <f>IFERROR(VLOOKUP(TableHandbook[[#This Row],[UDC]],TableSTRUPSCIM[],7,FALSE),"")</f>
        <v/>
      </c>
      <c r="BI92" s="200" t="str">
        <f>IFERROR(VLOOKUP(TableHandbook[[#This Row],[UDC]],TableSTRUPSYCB[],7,FALSE),"")</f>
        <v/>
      </c>
      <c r="BJ92" s="200" t="str">
        <f>IFERROR(VLOOKUP(TableHandbook[[#This Row],[UDC]],TableSTRUPSYCM[],7,FALSE),"")</f>
        <v/>
      </c>
      <c r="BK92" s="200" t="str">
        <f>IFERROR(VLOOKUP(TableHandbook[[#This Row],[UDC]],TableSTRUSOSCM[],7,FALSE),"")</f>
        <v/>
      </c>
      <c r="BL92" s="200" t="str">
        <f>IFERROR(VLOOKUP(TableHandbook[[#This Row],[UDC]],TableSTRUVARTB[],7,FALSE),"")</f>
        <v/>
      </c>
      <c r="BM92" s="200" t="str">
        <f>IFERROR(VLOOKUP(TableHandbook[[#This Row],[UDC]],TableSTRUVARTM[],7,FALSE),"")</f>
        <v/>
      </c>
    </row>
    <row r="93" spans="1:65" x14ac:dyDescent="0.25">
      <c r="A93" s="11" t="s">
        <v>146</v>
      </c>
      <c r="B93" s="12">
        <v>1</v>
      </c>
      <c r="C93" s="11"/>
      <c r="D93" s="11" t="s">
        <v>664</v>
      </c>
      <c r="E93" s="12">
        <v>25</v>
      </c>
      <c r="F93" s="131" t="s">
        <v>665</v>
      </c>
      <c r="G93" s="126" t="str">
        <f>IFERROR(IF(VLOOKUP(TableHandbook[[#This Row],[UDC]],TableAvailabilities[],2,FALSE)&gt;0,"Y",""),"")</f>
        <v>Y</v>
      </c>
      <c r="H93" s="127" t="str">
        <f>IFERROR(IF(VLOOKUP(TableHandbook[[#This Row],[UDC]],TableAvailabilities[],3,FALSE)&gt;0,"Y",""),"")</f>
        <v>Y</v>
      </c>
      <c r="I93" s="127" t="str">
        <f>IFERROR(IF(VLOOKUP(TableHandbook[[#This Row],[UDC]],TableAvailabilities[],4,FALSE)&gt;0,"Y",""),"")</f>
        <v/>
      </c>
      <c r="J93" s="128" t="str">
        <f>IFERROR(IF(VLOOKUP(TableHandbook[[#This Row],[UDC]],TableAvailabilities[],5,FALSE)&gt;0,"Y",""),"")</f>
        <v/>
      </c>
      <c r="K93" s="128" t="str">
        <f>IFERROR(IF(VLOOKUP(TableHandbook[[#This Row],[UDC]],TableAvailabilities[],6,FALSE)&gt;0,"Y",""),"")</f>
        <v/>
      </c>
      <c r="L93" s="127" t="str">
        <f>IFERROR(IF(VLOOKUP(TableHandbook[[#This Row],[UDC]],TableAvailabilities[],7,FALSE)&gt;0,"Y",""),"")</f>
        <v/>
      </c>
      <c r="M93" s="207"/>
      <c r="N93" s="205" t="str">
        <f>IFERROR(VLOOKUP(TableHandbook[[#This Row],[UDC]],TableBEDUC[],7,FALSE),"")</f>
        <v>AltCore</v>
      </c>
      <c r="O93" s="200" t="str">
        <f>IFERROR(VLOOKUP(TableHandbook[[#This Row],[UDC]],TableBEDEC[],7,FALSE),"")</f>
        <v/>
      </c>
      <c r="P93" s="200" t="str">
        <f>IFERROR(VLOOKUP(TableHandbook[[#This Row],[UDC]],TableBEDPR[],7,FALSE),"")</f>
        <v/>
      </c>
      <c r="Q93" s="200" t="str">
        <f>IFERROR(VLOOKUP(TableHandbook[[#This Row],[UDC]],TableSTRUCATHL[],7,FALSE),"")</f>
        <v/>
      </c>
      <c r="R93" s="200" t="str">
        <f>IFERROR(VLOOKUP(TableHandbook[[#This Row],[UDC]],TableSTRUENGLL[],7,FALSE),"")</f>
        <v/>
      </c>
      <c r="S93" s="200" t="str">
        <f>IFERROR(VLOOKUP(TableHandbook[[#This Row],[UDC]],TableSTRUINTBC[],7,FALSE),"")</f>
        <v/>
      </c>
      <c r="T93" s="200" t="str">
        <f>IFERROR(VLOOKUP(TableHandbook[[#This Row],[UDC]],TableSTRUISTEM[],7,FALSE),"")</f>
        <v/>
      </c>
      <c r="U93" s="200" t="str">
        <f>IFERROR(VLOOKUP(TableHandbook[[#This Row],[UDC]],TableSTRULITNU[],7,FALSE),"")</f>
        <v/>
      </c>
      <c r="V93" s="200" t="str">
        <f>IFERROR(VLOOKUP(TableHandbook[[#This Row],[UDC]],TableSTRUTECHS[],7,FALSE),"")</f>
        <v/>
      </c>
      <c r="W93" s="200" t="str">
        <f>IFERROR(VLOOKUP(TableHandbook[[#This Row],[UDC]],TableBEDSC[],7,FALSE),"")</f>
        <v>Core</v>
      </c>
      <c r="X93" s="200" t="str">
        <f>IFERROR(VLOOKUP(TableHandbook[[#This Row],[UDC]],TableMJRUARTDR[],7,FALSE),"")</f>
        <v/>
      </c>
      <c r="Y93" s="200" t="str">
        <f>IFERROR(VLOOKUP(TableHandbook[[#This Row],[UDC]],TableMJRUARTME[],7,FALSE),"")</f>
        <v/>
      </c>
      <c r="Z93" s="200" t="str">
        <f>IFERROR(VLOOKUP(TableHandbook[[#This Row],[UDC]],TableMJRUARTVA[],7,FALSE),"")</f>
        <v/>
      </c>
      <c r="AA93" s="200" t="str">
        <f>IFERROR(VLOOKUP(TableHandbook[[#This Row],[UDC]],TableMJRUENGLT[],7,FALSE),"")</f>
        <v/>
      </c>
      <c r="AB93" s="200" t="str">
        <f>IFERROR(VLOOKUP(TableHandbook[[#This Row],[UDC]],TableMJRUHLTPE[],7,FALSE),"")</f>
        <v/>
      </c>
      <c r="AC93" s="200" t="str">
        <f>IFERROR(VLOOKUP(TableHandbook[[#This Row],[UDC]],TableMJRUHUSEC[],7,FALSE),"")</f>
        <v/>
      </c>
      <c r="AD93" s="200" t="str">
        <f>IFERROR(VLOOKUP(TableHandbook[[#This Row],[UDC]],TableMJRUHUSGE[],7,FALSE),"")</f>
        <v/>
      </c>
      <c r="AE93" s="200" t="str">
        <f>IFERROR(VLOOKUP(TableHandbook[[#This Row],[UDC]],TableMJRUHUSHI[],7,FALSE),"")</f>
        <v/>
      </c>
      <c r="AF93" s="200" t="str">
        <f>IFERROR(VLOOKUP(TableHandbook[[#This Row],[UDC]],TableMJRUHUSPL[],7,FALSE),"")</f>
        <v/>
      </c>
      <c r="AG93" s="200" t="str">
        <f>IFERROR(VLOOKUP(TableHandbook[[#This Row],[UDC]],TableMJRUMATHT[],7,FALSE),"")</f>
        <v/>
      </c>
      <c r="AH93" s="200" t="str">
        <f>IFERROR(VLOOKUP(TableHandbook[[#This Row],[UDC]],TableMJRUSCIBI[],7,FALSE),"")</f>
        <v/>
      </c>
      <c r="AI93" s="200" t="str">
        <f>IFERROR(VLOOKUP(TableHandbook[[#This Row],[UDC]],TableMJRUSCICH[],7,FALSE),"")</f>
        <v/>
      </c>
      <c r="AJ93" s="200" t="str">
        <f>IFERROR(VLOOKUP(TableHandbook[[#This Row],[UDC]],TableMJRUSCIHB[],7,FALSE),"")</f>
        <v/>
      </c>
      <c r="AK93" s="200" t="str">
        <f>IFERROR(VLOOKUP(TableHandbook[[#This Row],[UDC]],TableMJRUSCIPH[],7,FALSE),"")</f>
        <v/>
      </c>
      <c r="AL93" s="200" t="str">
        <f>IFERROR(VLOOKUP(TableHandbook[[#This Row],[UDC]],TableMJRUSCIPS[],7,FALSE),"")</f>
        <v/>
      </c>
      <c r="AM93" s="202"/>
      <c r="AN93" s="200" t="str">
        <f>IFERROR(VLOOKUP(TableHandbook[[#This Row],[UDC]],TableSTRUBIOLB[],7,FALSE),"")</f>
        <v/>
      </c>
      <c r="AO93" s="200" t="str">
        <f>IFERROR(VLOOKUP(TableHandbook[[#This Row],[UDC]],TableSTRUBSCIM[],7,FALSE),"")</f>
        <v/>
      </c>
      <c r="AP93" s="200" t="str">
        <f>IFERROR(VLOOKUP(TableHandbook[[#This Row],[UDC]],TableSTRUCHEMB[],7,FALSE),"")</f>
        <v/>
      </c>
      <c r="AQ93" s="200" t="str">
        <f>IFERROR(VLOOKUP(TableHandbook[[#This Row],[UDC]],TableSTRUECOB1[],7,FALSE),"")</f>
        <v/>
      </c>
      <c r="AR93" s="200" t="str">
        <f>IFERROR(VLOOKUP(TableHandbook[[#This Row],[UDC]],TableSTRUEDART[],7,FALSE),"")</f>
        <v/>
      </c>
      <c r="AS93" s="200" t="str">
        <f>IFERROR(VLOOKUP(TableHandbook[[#This Row],[UDC]],TableSTRUEDENG[],7,FALSE),"")</f>
        <v/>
      </c>
      <c r="AT93" s="200" t="str">
        <f>IFERROR(VLOOKUP(TableHandbook[[#This Row],[UDC]],TableSTRUEDHAS[],7,FALSE),"")</f>
        <v/>
      </c>
      <c r="AU93" s="200" t="str">
        <f>IFERROR(VLOOKUP(TableHandbook[[#This Row],[UDC]],TableSTRUEDMAT[],7,FALSE),"")</f>
        <v/>
      </c>
      <c r="AV93" s="200" t="str">
        <f>IFERROR(VLOOKUP(TableHandbook[[#This Row],[UDC]],TableSTRUEDSCI[],7,FALSE),"")</f>
        <v/>
      </c>
      <c r="AW93" s="200" t="str">
        <f>IFERROR(VLOOKUP(TableHandbook[[#This Row],[UDC]],TableSTRUENGLB[],7,FALSE),"")</f>
        <v/>
      </c>
      <c r="AX93" s="200" t="str">
        <f>IFERROR(VLOOKUP(TableHandbook[[#This Row],[UDC]],TableSTRUENGLM[],7,FALSE),"")</f>
        <v/>
      </c>
      <c r="AY93" s="200" t="str">
        <f>IFERROR(VLOOKUP(TableHandbook[[#This Row],[UDC]],TableSTRUGEOB1[],7,FALSE),"")</f>
        <v/>
      </c>
      <c r="AZ93" s="200" t="str">
        <f>IFERROR(VLOOKUP(TableHandbook[[#This Row],[UDC]],TableSTRUHISB1[],7,FALSE),"")</f>
        <v/>
      </c>
      <c r="BA93" s="200" t="str">
        <f>IFERROR(VLOOKUP(TableHandbook[[#This Row],[UDC]],TableSTRUHUMAM[],7,FALSE),"")</f>
        <v/>
      </c>
      <c r="BB93" s="200" t="str">
        <f>IFERROR(VLOOKUP(TableHandbook[[#This Row],[UDC]],TableSTRUHUMBB[],7,FALSE),"")</f>
        <v/>
      </c>
      <c r="BC93" s="200" t="str">
        <f>IFERROR(VLOOKUP(TableHandbook[[#This Row],[UDC]],TableSTRUMATHB[],7,FALSE),"")</f>
        <v/>
      </c>
      <c r="BD93" s="200" t="str">
        <f>IFERROR(VLOOKUP(TableHandbook[[#This Row],[UDC]],TableSTRUMATHM[],7,FALSE),"")</f>
        <v/>
      </c>
      <c r="BE93" s="200" t="str">
        <f>IFERROR(VLOOKUP(TableHandbook[[#This Row],[UDC]],TableSTRUPARTB[],7,FALSE),"")</f>
        <v/>
      </c>
      <c r="BF93" s="200" t="str">
        <f>IFERROR(VLOOKUP(TableHandbook[[#This Row],[UDC]],TableSTRUPARTM[],7,FALSE),"")</f>
        <v/>
      </c>
      <c r="BG93" s="200" t="str">
        <f>IFERROR(VLOOKUP(TableHandbook[[#This Row],[UDC]],TableSTRUPOLB1[],7,FALSE),"")</f>
        <v/>
      </c>
      <c r="BH93" s="200" t="str">
        <f>IFERROR(VLOOKUP(TableHandbook[[#This Row],[UDC]],TableSTRUPSCIM[],7,FALSE),"")</f>
        <v/>
      </c>
      <c r="BI93" s="200" t="str">
        <f>IFERROR(VLOOKUP(TableHandbook[[#This Row],[UDC]],TableSTRUPSYCB[],7,FALSE),"")</f>
        <v/>
      </c>
      <c r="BJ93" s="200" t="str">
        <f>IFERROR(VLOOKUP(TableHandbook[[#This Row],[UDC]],TableSTRUPSYCM[],7,FALSE),"")</f>
        <v/>
      </c>
      <c r="BK93" s="200" t="str">
        <f>IFERROR(VLOOKUP(TableHandbook[[#This Row],[UDC]],TableSTRUSOSCM[],7,FALSE),"")</f>
        <v/>
      </c>
      <c r="BL93" s="200" t="str">
        <f>IFERROR(VLOOKUP(TableHandbook[[#This Row],[UDC]],TableSTRUVARTB[],7,FALSE),"")</f>
        <v/>
      </c>
      <c r="BM93" s="200" t="str">
        <f>IFERROR(VLOOKUP(TableHandbook[[#This Row],[UDC]],TableSTRUVARTM[],7,FALSE),"")</f>
        <v/>
      </c>
    </row>
    <row r="94" spans="1:65" x14ac:dyDescent="0.25">
      <c r="A94" s="262" t="s">
        <v>360</v>
      </c>
      <c r="B94" s="12">
        <v>1</v>
      </c>
      <c r="C94" s="11"/>
      <c r="D94" s="11" t="s">
        <v>666</v>
      </c>
      <c r="E94" s="12">
        <v>25</v>
      </c>
      <c r="F94" s="131" t="s">
        <v>544</v>
      </c>
      <c r="G94" s="126" t="str">
        <f>IFERROR(IF(VLOOKUP(TableHandbook[[#This Row],[UDC]],TableAvailabilities[],2,FALSE)&gt;0,"Y",""),"")</f>
        <v>Y</v>
      </c>
      <c r="H94" s="127" t="str">
        <f>IFERROR(IF(VLOOKUP(TableHandbook[[#This Row],[UDC]],TableAvailabilities[],3,FALSE)&gt;0,"Y",""),"")</f>
        <v>Y</v>
      </c>
      <c r="I94" s="127" t="str">
        <f>IFERROR(IF(VLOOKUP(TableHandbook[[#This Row],[UDC]],TableAvailabilities[],4,FALSE)&gt;0,"Y",""),"")</f>
        <v/>
      </c>
      <c r="J94" s="128" t="str">
        <f>IFERROR(IF(VLOOKUP(TableHandbook[[#This Row],[UDC]],TableAvailabilities[],5,FALSE)&gt;0,"Y",""),"")</f>
        <v/>
      </c>
      <c r="K94" s="128" t="str">
        <f>IFERROR(IF(VLOOKUP(TableHandbook[[#This Row],[UDC]],TableAvailabilities[],6,FALSE)&gt;0,"Y",""),"")</f>
        <v/>
      </c>
      <c r="L94" s="127" t="str">
        <f>IFERROR(IF(VLOOKUP(TableHandbook[[#This Row],[UDC]],TableAvailabilities[],7,FALSE)&gt;0,"Y",""),"")</f>
        <v/>
      </c>
      <c r="M94" s="207"/>
      <c r="N94" s="205" t="str">
        <f>IFERROR(VLOOKUP(TableHandbook[[#This Row],[UDC]],TableBEDUC[],7,FALSE),"")</f>
        <v/>
      </c>
      <c r="O94" s="200" t="str">
        <f>IFERROR(VLOOKUP(TableHandbook[[#This Row],[UDC]],TableBEDEC[],7,FALSE),"")</f>
        <v/>
      </c>
      <c r="P94" s="200" t="str">
        <f>IFERROR(VLOOKUP(TableHandbook[[#This Row],[UDC]],TableBEDPR[],7,FALSE),"")</f>
        <v/>
      </c>
      <c r="Q94" s="200" t="str">
        <f>IFERROR(VLOOKUP(TableHandbook[[#This Row],[UDC]],TableSTRUCATHL[],7,FALSE),"")</f>
        <v/>
      </c>
      <c r="R94" s="200" t="str">
        <f>IFERROR(VLOOKUP(TableHandbook[[#This Row],[UDC]],TableSTRUENGLL[],7,FALSE),"")</f>
        <v/>
      </c>
      <c r="S94" s="200" t="str">
        <f>IFERROR(VLOOKUP(TableHandbook[[#This Row],[UDC]],TableSTRUINTBC[],7,FALSE),"")</f>
        <v/>
      </c>
      <c r="T94" s="200" t="str">
        <f>IFERROR(VLOOKUP(TableHandbook[[#This Row],[UDC]],TableSTRUISTEM[],7,FALSE),"")</f>
        <v/>
      </c>
      <c r="U94" s="200" t="str">
        <f>IFERROR(VLOOKUP(TableHandbook[[#This Row],[UDC]],TableSTRULITNU[],7,FALSE),"")</f>
        <v/>
      </c>
      <c r="V94" s="200" t="str">
        <f>IFERROR(VLOOKUP(TableHandbook[[#This Row],[UDC]],TableSTRUTECHS[],7,FALSE),"")</f>
        <v/>
      </c>
      <c r="W94" s="200" t="str">
        <f>IFERROR(VLOOKUP(TableHandbook[[#This Row],[UDC]],TableBEDSC[],7,FALSE),"")</f>
        <v/>
      </c>
      <c r="X94" s="200" t="str">
        <f>IFERROR(VLOOKUP(TableHandbook[[#This Row],[UDC]],TableMJRUARTDR[],7,FALSE),"")</f>
        <v>Core</v>
      </c>
      <c r="Y94" s="200" t="str">
        <f>IFERROR(VLOOKUP(TableHandbook[[#This Row],[UDC]],TableMJRUARTME[],7,FALSE),"")</f>
        <v>Core</v>
      </c>
      <c r="Z94" s="200" t="str">
        <f>IFERROR(VLOOKUP(TableHandbook[[#This Row],[UDC]],TableMJRUARTVA[],7,FALSE),"")</f>
        <v>Core</v>
      </c>
      <c r="AA94" s="200" t="str">
        <f>IFERROR(VLOOKUP(TableHandbook[[#This Row],[UDC]],TableMJRUENGLT[],7,FALSE),"")</f>
        <v>Core</v>
      </c>
      <c r="AB94" s="200" t="str">
        <f>IFERROR(VLOOKUP(TableHandbook[[#This Row],[UDC]],TableMJRUHLTPE[],7,FALSE),"")</f>
        <v>Core</v>
      </c>
      <c r="AC94" s="200" t="str">
        <f>IFERROR(VLOOKUP(TableHandbook[[#This Row],[UDC]],TableMJRUHUSEC[],7,FALSE),"")</f>
        <v>Core</v>
      </c>
      <c r="AD94" s="200" t="str">
        <f>IFERROR(VLOOKUP(TableHandbook[[#This Row],[UDC]],TableMJRUHUSGE[],7,FALSE),"")</f>
        <v>Core</v>
      </c>
      <c r="AE94" s="200" t="str">
        <f>IFERROR(VLOOKUP(TableHandbook[[#This Row],[UDC]],TableMJRUHUSHI[],7,FALSE),"")</f>
        <v>Core</v>
      </c>
      <c r="AF94" s="200" t="str">
        <f>IFERROR(VLOOKUP(TableHandbook[[#This Row],[UDC]],TableMJRUHUSPL[],7,FALSE),"")</f>
        <v>Core</v>
      </c>
      <c r="AG94" s="200" t="str">
        <f>IFERROR(VLOOKUP(TableHandbook[[#This Row],[UDC]],TableMJRUMATHT[],7,FALSE),"")</f>
        <v>Core</v>
      </c>
      <c r="AH94" s="200" t="str">
        <f>IFERROR(VLOOKUP(TableHandbook[[#This Row],[UDC]],TableMJRUSCIBI[],7,FALSE),"")</f>
        <v>Core</v>
      </c>
      <c r="AI94" s="200" t="str">
        <f>IFERROR(VLOOKUP(TableHandbook[[#This Row],[UDC]],TableMJRUSCICH[],7,FALSE),"")</f>
        <v>Core</v>
      </c>
      <c r="AJ94" s="200" t="str">
        <f>IFERROR(VLOOKUP(TableHandbook[[#This Row],[UDC]],TableMJRUSCIHB[],7,FALSE),"")</f>
        <v>Core</v>
      </c>
      <c r="AK94" s="200" t="str">
        <f>IFERROR(VLOOKUP(TableHandbook[[#This Row],[UDC]],TableMJRUSCIPH[],7,FALSE),"")</f>
        <v>Core</v>
      </c>
      <c r="AL94" s="200" t="str">
        <f>IFERROR(VLOOKUP(TableHandbook[[#This Row],[UDC]],TableMJRUSCIPS[],7,FALSE),"")</f>
        <v>Core</v>
      </c>
      <c r="AM94" s="202"/>
      <c r="AN94" s="200" t="str">
        <f>IFERROR(VLOOKUP(TableHandbook[[#This Row],[UDC]],TableSTRUBIOLB[],7,FALSE),"")</f>
        <v/>
      </c>
      <c r="AO94" s="200" t="str">
        <f>IFERROR(VLOOKUP(TableHandbook[[#This Row],[UDC]],TableSTRUBSCIM[],7,FALSE),"")</f>
        <v/>
      </c>
      <c r="AP94" s="200" t="str">
        <f>IFERROR(VLOOKUP(TableHandbook[[#This Row],[UDC]],TableSTRUCHEMB[],7,FALSE),"")</f>
        <v/>
      </c>
      <c r="AQ94" s="200" t="str">
        <f>IFERROR(VLOOKUP(TableHandbook[[#This Row],[UDC]],TableSTRUECOB1[],7,FALSE),"")</f>
        <v/>
      </c>
      <c r="AR94" s="200" t="str">
        <f>IFERROR(VLOOKUP(TableHandbook[[#This Row],[UDC]],TableSTRUEDART[],7,FALSE),"")</f>
        <v/>
      </c>
      <c r="AS94" s="200" t="str">
        <f>IFERROR(VLOOKUP(TableHandbook[[#This Row],[UDC]],TableSTRUEDENG[],7,FALSE),"")</f>
        <v/>
      </c>
      <c r="AT94" s="200" t="str">
        <f>IFERROR(VLOOKUP(TableHandbook[[#This Row],[UDC]],TableSTRUEDHAS[],7,FALSE),"")</f>
        <v/>
      </c>
      <c r="AU94" s="200" t="str">
        <f>IFERROR(VLOOKUP(TableHandbook[[#This Row],[UDC]],TableSTRUEDMAT[],7,FALSE),"")</f>
        <v/>
      </c>
      <c r="AV94" s="200" t="str">
        <f>IFERROR(VLOOKUP(TableHandbook[[#This Row],[UDC]],TableSTRUEDSCI[],7,FALSE),"")</f>
        <v/>
      </c>
      <c r="AW94" s="200" t="str">
        <f>IFERROR(VLOOKUP(TableHandbook[[#This Row],[UDC]],TableSTRUENGLB[],7,FALSE),"")</f>
        <v/>
      </c>
      <c r="AX94" s="200" t="str">
        <f>IFERROR(VLOOKUP(TableHandbook[[#This Row],[UDC]],TableSTRUENGLM[],7,FALSE),"")</f>
        <v/>
      </c>
      <c r="AY94" s="200" t="str">
        <f>IFERROR(VLOOKUP(TableHandbook[[#This Row],[UDC]],TableSTRUGEOB1[],7,FALSE),"")</f>
        <v/>
      </c>
      <c r="AZ94" s="200" t="str">
        <f>IFERROR(VLOOKUP(TableHandbook[[#This Row],[UDC]],TableSTRUHISB1[],7,FALSE),"")</f>
        <v/>
      </c>
      <c r="BA94" s="200" t="str">
        <f>IFERROR(VLOOKUP(TableHandbook[[#This Row],[UDC]],TableSTRUHUMAM[],7,FALSE),"")</f>
        <v/>
      </c>
      <c r="BB94" s="200" t="str">
        <f>IFERROR(VLOOKUP(TableHandbook[[#This Row],[UDC]],TableSTRUHUMBB[],7,FALSE),"")</f>
        <v/>
      </c>
      <c r="BC94" s="200" t="str">
        <f>IFERROR(VLOOKUP(TableHandbook[[#This Row],[UDC]],TableSTRUMATHB[],7,FALSE),"")</f>
        <v/>
      </c>
      <c r="BD94" s="200" t="str">
        <f>IFERROR(VLOOKUP(TableHandbook[[#This Row],[UDC]],TableSTRUMATHM[],7,FALSE),"")</f>
        <v/>
      </c>
      <c r="BE94" s="200" t="str">
        <f>IFERROR(VLOOKUP(TableHandbook[[#This Row],[UDC]],TableSTRUPARTB[],7,FALSE),"")</f>
        <v/>
      </c>
      <c r="BF94" s="200" t="str">
        <f>IFERROR(VLOOKUP(TableHandbook[[#This Row],[UDC]],TableSTRUPARTM[],7,FALSE),"")</f>
        <v/>
      </c>
      <c r="BG94" s="200" t="str">
        <f>IFERROR(VLOOKUP(TableHandbook[[#This Row],[UDC]],TableSTRUPOLB1[],7,FALSE),"")</f>
        <v/>
      </c>
      <c r="BH94" s="200" t="str">
        <f>IFERROR(VLOOKUP(TableHandbook[[#This Row],[UDC]],TableSTRUPSCIM[],7,FALSE),"")</f>
        <v/>
      </c>
      <c r="BI94" s="200" t="str">
        <f>IFERROR(VLOOKUP(TableHandbook[[#This Row],[UDC]],TableSTRUPSYCB[],7,FALSE),"")</f>
        <v/>
      </c>
      <c r="BJ94" s="200" t="str">
        <f>IFERROR(VLOOKUP(TableHandbook[[#This Row],[UDC]],TableSTRUPSYCM[],7,FALSE),"")</f>
        <v/>
      </c>
      <c r="BK94" s="200" t="str">
        <f>IFERROR(VLOOKUP(TableHandbook[[#This Row],[UDC]],TableSTRUSOSCM[],7,FALSE),"")</f>
        <v/>
      </c>
      <c r="BL94" s="200" t="str">
        <f>IFERROR(VLOOKUP(TableHandbook[[#This Row],[UDC]],TableSTRUVARTB[],7,FALSE),"")</f>
        <v/>
      </c>
      <c r="BM94" s="200" t="str">
        <f>IFERROR(VLOOKUP(TableHandbook[[#This Row],[UDC]],TableSTRUVARTM[],7,FALSE),"")</f>
        <v/>
      </c>
    </row>
    <row r="95" spans="1:65" ht="26.25" x14ac:dyDescent="0.25">
      <c r="A95" s="262" t="s">
        <v>405</v>
      </c>
      <c r="B95" s="12">
        <v>1</v>
      </c>
      <c r="C95" s="11"/>
      <c r="D95" s="11" t="s">
        <v>667</v>
      </c>
      <c r="E95" s="12">
        <v>25</v>
      </c>
      <c r="F95" s="131" t="s">
        <v>668</v>
      </c>
      <c r="G95" s="126" t="str">
        <f>IFERROR(IF(VLOOKUP(TableHandbook[[#This Row],[UDC]],TableAvailabilities[],2,FALSE)&gt;0,"Y",""),"")</f>
        <v>Y</v>
      </c>
      <c r="H95" s="127" t="str">
        <f>IFERROR(IF(VLOOKUP(TableHandbook[[#This Row],[UDC]],TableAvailabilities[],3,FALSE)&gt;0,"Y",""),"")</f>
        <v/>
      </c>
      <c r="I95" s="127" t="str">
        <f>IFERROR(IF(VLOOKUP(TableHandbook[[#This Row],[UDC]],TableAvailabilities[],4,FALSE)&gt;0,"Y",""),"")</f>
        <v/>
      </c>
      <c r="J95" s="128" t="str">
        <f>IFERROR(IF(VLOOKUP(TableHandbook[[#This Row],[UDC]],TableAvailabilities[],5,FALSE)&gt;0,"Y",""),"")</f>
        <v/>
      </c>
      <c r="K95" s="128" t="str">
        <f>IFERROR(IF(VLOOKUP(TableHandbook[[#This Row],[UDC]],TableAvailabilities[],6,FALSE)&gt;0,"Y",""),"")</f>
        <v/>
      </c>
      <c r="L95" s="127" t="str">
        <f>IFERROR(IF(VLOOKUP(TableHandbook[[#This Row],[UDC]],TableAvailabilities[],7,FALSE)&gt;0,"Y",""),"")</f>
        <v/>
      </c>
      <c r="M95" s="207"/>
      <c r="N95" s="205" t="str">
        <f>IFERROR(VLOOKUP(TableHandbook[[#This Row],[UDC]],TableBEDUC[],7,FALSE),"")</f>
        <v/>
      </c>
      <c r="O95" s="200" t="str">
        <f>IFERROR(VLOOKUP(TableHandbook[[#This Row],[UDC]],TableBEDEC[],7,FALSE),"")</f>
        <v/>
      </c>
      <c r="P95" s="200" t="str">
        <f>IFERROR(VLOOKUP(TableHandbook[[#This Row],[UDC]],TableBEDPR[],7,FALSE),"")</f>
        <v/>
      </c>
      <c r="Q95" s="200" t="str">
        <f>IFERROR(VLOOKUP(TableHandbook[[#This Row],[UDC]],TableSTRUCATHL[],7,FALSE),"")</f>
        <v/>
      </c>
      <c r="R95" s="200" t="str">
        <f>IFERROR(VLOOKUP(TableHandbook[[#This Row],[UDC]],TableSTRUENGLL[],7,FALSE),"")</f>
        <v/>
      </c>
      <c r="S95" s="200" t="str">
        <f>IFERROR(VLOOKUP(TableHandbook[[#This Row],[UDC]],TableSTRUINTBC[],7,FALSE),"")</f>
        <v/>
      </c>
      <c r="T95" s="200" t="str">
        <f>IFERROR(VLOOKUP(TableHandbook[[#This Row],[UDC]],TableSTRUISTEM[],7,FALSE),"")</f>
        <v/>
      </c>
      <c r="U95" s="200" t="str">
        <f>IFERROR(VLOOKUP(TableHandbook[[#This Row],[UDC]],TableSTRULITNU[],7,FALSE),"")</f>
        <v/>
      </c>
      <c r="V95" s="200" t="str">
        <f>IFERROR(VLOOKUP(TableHandbook[[#This Row],[UDC]],TableSTRUTECHS[],7,FALSE),"")</f>
        <v/>
      </c>
      <c r="W95" s="200" t="str">
        <f>IFERROR(VLOOKUP(TableHandbook[[#This Row],[UDC]],TableBEDSC[],7,FALSE),"")</f>
        <v/>
      </c>
      <c r="X95" s="200" t="str">
        <f>IFERROR(VLOOKUP(TableHandbook[[#This Row],[UDC]],TableMJRUARTDR[],7,FALSE),"")</f>
        <v/>
      </c>
      <c r="Y95" s="200" t="str">
        <f>IFERROR(VLOOKUP(TableHandbook[[#This Row],[UDC]],TableMJRUARTME[],7,FALSE),"")</f>
        <v/>
      </c>
      <c r="Z95" s="200" t="str">
        <f>IFERROR(VLOOKUP(TableHandbook[[#This Row],[UDC]],TableMJRUARTVA[],7,FALSE),"")</f>
        <v/>
      </c>
      <c r="AA95" s="200" t="str">
        <f>IFERROR(VLOOKUP(TableHandbook[[#This Row],[UDC]],TableMJRUENGLT[],7,FALSE),"")</f>
        <v/>
      </c>
      <c r="AB95" s="200" t="str">
        <f>IFERROR(VLOOKUP(TableHandbook[[#This Row],[UDC]],TableMJRUHLTPE[],7,FALSE),"")</f>
        <v/>
      </c>
      <c r="AC95" s="200" t="str">
        <f>IFERROR(VLOOKUP(TableHandbook[[#This Row],[UDC]],TableMJRUHUSEC[],7,FALSE),"")</f>
        <v/>
      </c>
      <c r="AD95" s="200" t="str">
        <f>IFERROR(VLOOKUP(TableHandbook[[#This Row],[UDC]],TableMJRUHUSGE[],7,FALSE),"")</f>
        <v/>
      </c>
      <c r="AE95" s="200" t="str">
        <f>IFERROR(VLOOKUP(TableHandbook[[#This Row],[UDC]],TableMJRUHUSHI[],7,FALSE),"")</f>
        <v/>
      </c>
      <c r="AF95" s="200" t="str">
        <f>IFERROR(VLOOKUP(TableHandbook[[#This Row],[UDC]],TableMJRUHUSPL[],7,FALSE),"")</f>
        <v/>
      </c>
      <c r="AG95" s="200" t="str">
        <f>IFERROR(VLOOKUP(TableHandbook[[#This Row],[UDC]],TableMJRUMATHT[],7,FALSE),"")</f>
        <v/>
      </c>
      <c r="AH95" s="200" t="str">
        <f>IFERROR(VLOOKUP(TableHandbook[[#This Row],[UDC]],TableMJRUSCIBI[],7,FALSE),"")</f>
        <v/>
      </c>
      <c r="AI95" s="200" t="str">
        <f>IFERROR(VLOOKUP(TableHandbook[[#This Row],[UDC]],TableMJRUSCICH[],7,FALSE),"")</f>
        <v/>
      </c>
      <c r="AJ95" s="200" t="str">
        <f>IFERROR(VLOOKUP(TableHandbook[[#This Row],[UDC]],TableMJRUSCIHB[],7,FALSE),"")</f>
        <v>Core</v>
      </c>
      <c r="AK95" s="200" t="str">
        <f>IFERROR(VLOOKUP(TableHandbook[[#This Row],[UDC]],TableMJRUSCIPH[],7,FALSE),"")</f>
        <v/>
      </c>
      <c r="AL95" s="200" t="str">
        <f>IFERROR(VLOOKUP(TableHandbook[[#This Row],[UDC]],TableMJRUSCIPS[],7,FALSE),"")</f>
        <v/>
      </c>
      <c r="AM95" s="202"/>
      <c r="AN95" s="200" t="str">
        <f>IFERROR(VLOOKUP(TableHandbook[[#This Row],[UDC]],TableSTRUBIOLB[],7,FALSE),"")</f>
        <v/>
      </c>
      <c r="AO95" s="200" t="str">
        <f>IFERROR(VLOOKUP(TableHandbook[[#This Row],[UDC]],TableSTRUBSCIM[],7,FALSE),"")</f>
        <v/>
      </c>
      <c r="AP95" s="200" t="str">
        <f>IFERROR(VLOOKUP(TableHandbook[[#This Row],[UDC]],TableSTRUCHEMB[],7,FALSE),"")</f>
        <v/>
      </c>
      <c r="AQ95" s="200" t="str">
        <f>IFERROR(VLOOKUP(TableHandbook[[#This Row],[UDC]],TableSTRUECOB1[],7,FALSE),"")</f>
        <v/>
      </c>
      <c r="AR95" s="200" t="str">
        <f>IFERROR(VLOOKUP(TableHandbook[[#This Row],[UDC]],TableSTRUEDART[],7,FALSE),"")</f>
        <v/>
      </c>
      <c r="AS95" s="200" t="str">
        <f>IFERROR(VLOOKUP(TableHandbook[[#This Row],[UDC]],TableSTRUEDENG[],7,FALSE),"")</f>
        <v/>
      </c>
      <c r="AT95" s="200" t="str">
        <f>IFERROR(VLOOKUP(TableHandbook[[#This Row],[UDC]],TableSTRUEDHAS[],7,FALSE),"")</f>
        <v/>
      </c>
      <c r="AU95" s="200" t="str">
        <f>IFERROR(VLOOKUP(TableHandbook[[#This Row],[UDC]],TableSTRUEDMAT[],7,FALSE),"")</f>
        <v/>
      </c>
      <c r="AV95" s="200" t="str">
        <f>IFERROR(VLOOKUP(TableHandbook[[#This Row],[UDC]],TableSTRUEDSCI[],7,FALSE),"")</f>
        <v/>
      </c>
      <c r="AW95" s="200" t="str">
        <f>IFERROR(VLOOKUP(TableHandbook[[#This Row],[UDC]],TableSTRUENGLB[],7,FALSE),"")</f>
        <v/>
      </c>
      <c r="AX95" s="200" t="str">
        <f>IFERROR(VLOOKUP(TableHandbook[[#This Row],[UDC]],TableSTRUENGLM[],7,FALSE),"")</f>
        <v/>
      </c>
      <c r="AY95" s="200" t="str">
        <f>IFERROR(VLOOKUP(TableHandbook[[#This Row],[UDC]],TableSTRUGEOB1[],7,FALSE),"")</f>
        <v/>
      </c>
      <c r="AZ95" s="200" t="str">
        <f>IFERROR(VLOOKUP(TableHandbook[[#This Row],[UDC]],TableSTRUHISB1[],7,FALSE),"")</f>
        <v/>
      </c>
      <c r="BA95" s="200" t="str">
        <f>IFERROR(VLOOKUP(TableHandbook[[#This Row],[UDC]],TableSTRUHUMAM[],7,FALSE),"")</f>
        <v/>
      </c>
      <c r="BB95" s="200" t="str">
        <f>IFERROR(VLOOKUP(TableHandbook[[#This Row],[UDC]],TableSTRUHUMBB[],7,FALSE),"")</f>
        <v/>
      </c>
      <c r="BC95" s="200" t="str">
        <f>IFERROR(VLOOKUP(TableHandbook[[#This Row],[UDC]],TableSTRUMATHB[],7,FALSE),"")</f>
        <v/>
      </c>
      <c r="BD95" s="200" t="str">
        <f>IFERROR(VLOOKUP(TableHandbook[[#This Row],[UDC]],TableSTRUMATHM[],7,FALSE),"")</f>
        <v/>
      </c>
      <c r="BE95" s="200" t="str">
        <f>IFERROR(VLOOKUP(TableHandbook[[#This Row],[UDC]],TableSTRUPARTB[],7,FALSE),"")</f>
        <v/>
      </c>
      <c r="BF95" s="200" t="str">
        <f>IFERROR(VLOOKUP(TableHandbook[[#This Row],[UDC]],TableSTRUPARTM[],7,FALSE),"")</f>
        <v/>
      </c>
      <c r="BG95" s="200" t="str">
        <f>IFERROR(VLOOKUP(TableHandbook[[#This Row],[UDC]],TableSTRUPOLB1[],7,FALSE),"")</f>
        <v/>
      </c>
      <c r="BH95" s="200" t="str">
        <f>IFERROR(VLOOKUP(TableHandbook[[#This Row],[UDC]],TableSTRUPSCIM[],7,FALSE),"")</f>
        <v/>
      </c>
      <c r="BI95" s="200" t="str">
        <f>IFERROR(VLOOKUP(TableHandbook[[#This Row],[UDC]],TableSTRUPSYCB[],7,FALSE),"")</f>
        <v/>
      </c>
      <c r="BJ95" s="200" t="str">
        <f>IFERROR(VLOOKUP(TableHandbook[[#This Row],[UDC]],TableSTRUPSYCM[],7,FALSE),"")</f>
        <v/>
      </c>
      <c r="BK95" s="200" t="str">
        <f>IFERROR(VLOOKUP(TableHandbook[[#This Row],[UDC]],TableSTRUSOSCM[],7,FALSE),"")</f>
        <v/>
      </c>
      <c r="BL95" s="200" t="str">
        <f>IFERROR(VLOOKUP(TableHandbook[[#This Row],[UDC]],TableSTRUVARTB[],7,FALSE),"")</f>
        <v/>
      </c>
      <c r="BM95" s="200" t="str">
        <f>IFERROR(VLOOKUP(TableHandbook[[#This Row],[UDC]],TableSTRUVARTM[],7,FALSE),"")</f>
        <v/>
      </c>
    </row>
    <row r="96" spans="1:65" x14ac:dyDescent="0.25">
      <c r="A96" s="262" t="s">
        <v>342</v>
      </c>
      <c r="B96" s="12">
        <v>2</v>
      </c>
      <c r="C96" s="11"/>
      <c r="D96" s="11" t="s">
        <v>669</v>
      </c>
      <c r="E96" s="12">
        <v>25</v>
      </c>
      <c r="F96" s="131" t="s">
        <v>319</v>
      </c>
      <c r="G96" s="126" t="str">
        <f>IFERROR(IF(VLOOKUP(TableHandbook[[#This Row],[UDC]],TableAvailabilities[],2,FALSE)&gt;0,"Y",""),"")</f>
        <v/>
      </c>
      <c r="H96" s="127" t="str">
        <f>IFERROR(IF(VLOOKUP(TableHandbook[[#This Row],[UDC]],TableAvailabilities[],3,FALSE)&gt;0,"Y",""),"")</f>
        <v/>
      </c>
      <c r="I96" s="127" t="str">
        <f>IFERROR(IF(VLOOKUP(TableHandbook[[#This Row],[UDC]],TableAvailabilities[],4,FALSE)&gt;0,"Y",""),"")</f>
        <v/>
      </c>
      <c r="J96" s="128" t="str">
        <f>IFERROR(IF(VLOOKUP(TableHandbook[[#This Row],[UDC]],TableAvailabilities[],5,FALSE)&gt;0,"Y",""),"")</f>
        <v>Y</v>
      </c>
      <c r="K96" s="128" t="str">
        <f>IFERROR(IF(VLOOKUP(TableHandbook[[#This Row],[UDC]],TableAvailabilities[],6,FALSE)&gt;0,"Y",""),"")</f>
        <v>Y</v>
      </c>
      <c r="L96" s="127" t="str">
        <f>IFERROR(IF(VLOOKUP(TableHandbook[[#This Row],[UDC]],TableAvailabilities[],7,FALSE)&gt;0,"Y",""),"")</f>
        <v/>
      </c>
      <c r="M96" s="207"/>
      <c r="N96" s="205" t="str">
        <f>IFERROR(VLOOKUP(TableHandbook[[#This Row],[UDC]],TableBEDUC[],7,FALSE),"")</f>
        <v/>
      </c>
      <c r="O96" s="200" t="str">
        <f>IFERROR(VLOOKUP(TableHandbook[[#This Row],[UDC]],TableBEDEC[],7,FALSE),"")</f>
        <v/>
      </c>
      <c r="P96" s="200" t="str">
        <f>IFERROR(VLOOKUP(TableHandbook[[#This Row],[UDC]],TableBEDPR[],7,FALSE),"")</f>
        <v/>
      </c>
      <c r="Q96" s="200" t="str">
        <f>IFERROR(VLOOKUP(TableHandbook[[#This Row],[UDC]],TableSTRUCATHL[],7,FALSE),"")</f>
        <v/>
      </c>
      <c r="R96" s="200" t="str">
        <f>IFERROR(VLOOKUP(TableHandbook[[#This Row],[UDC]],TableSTRUENGLL[],7,FALSE),"")</f>
        <v/>
      </c>
      <c r="S96" s="200" t="str">
        <f>IFERROR(VLOOKUP(TableHandbook[[#This Row],[UDC]],TableSTRUINTBC[],7,FALSE),"")</f>
        <v/>
      </c>
      <c r="T96" s="200" t="str">
        <f>IFERROR(VLOOKUP(TableHandbook[[#This Row],[UDC]],TableSTRUISTEM[],7,FALSE),"")</f>
        <v/>
      </c>
      <c r="U96" s="200" t="str">
        <f>IFERROR(VLOOKUP(TableHandbook[[#This Row],[UDC]],TableSTRULITNU[],7,FALSE),"")</f>
        <v/>
      </c>
      <c r="V96" s="200" t="str">
        <f>IFERROR(VLOOKUP(TableHandbook[[#This Row],[UDC]],TableSTRUTECHS[],7,FALSE),"")</f>
        <v/>
      </c>
      <c r="W96" s="200" t="str">
        <f>IFERROR(VLOOKUP(TableHandbook[[#This Row],[UDC]],TableBEDSC[],7,FALSE),"")</f>
        <v/>
      </c>
      <c r="X96" s="200" t="str">
        <f>IFERROR(VLOOKUP(TableHandbook[[#This Row],[UDC]],TableMJRUARTDR[],7,FALSE),"")</f>
        <v/>
      </c>
      <c r="Y96" s="200" t="str">
        <f>IFERROR(VLOOKUP(TableHandbook[[#This Row],[UDC]],TableMJRUARTME[],7,FALSE),"")</f>
        <v/>
      </c>
      <c r="Z96" s="200" t="str">
        <f>IFERROR(VLOOKUP(TableHandbook[[#This Row],[UDC]],TableMJRUARTVA[],7,FALSE),"")</f>
        <v/>
      </c>
      <c r="AA96" s="200" t="str">
        <f>IFERROR(VLOOKUP(TableHandbook[[#This Row],[UDC]],TableMJRUENGLT[],7,FALSE),"")</f>
        <v>Core</v>
      </c>
      <c r="AB96" s="200" t="str">
        <f>IFERROR(VLOOKUP(TableHandbook[[#This Row],[UDC]],TableMJRUHLTPE[],7,FALSE),"")</f>
        <v/>
      </c>
      <c r="AC96" s="200" t="str">
        <f>IFERROR(VLOOKUP(TableHandbook[[#This Row],[UDC]],TableMJRUHUSEC[],7,FALSE),"")</f>
        <v/>
      </c>
      <c r="AD96" s="200" t="str">
        <f>IFERROR(VLOOKUP(TableHandbook[[#This Row],[UDC]],TableMJRUHUSGE[],7,FALSE),"")</f>
        <v/>
      </c>
      <c r="AE96" s="200" t="str">
        <f>IFERROR(VLOOKUP(TableHandbook[[#This Row],[UDC]],TableMJRUHUSHI[],7,FALSE),"")</f>
        <v/>
      </c>
      <c r="AF96" s="200" t="str">
        <f>IFERROR(VLOOKUP(TableHandbook[[#This Row],[UDC]],TableMJRUHUSPL[],7,FALSE),"")</f>
        <v/>
      </c>
      <c r="AG96" s="200" t="str">
        <f>IFERROR(VLOOKUP(TableHandbook[[#This Row],[UDC]],TableMJRUMATHT[],7,FALSE),"")</f>
        <v/>
      </c>
      <c r="AH96" s="200" t="str">
        <f>IFERROR(VLOOKUP(TableHandbook[[#This Row],[UDC]],TableMJRUSCIBI[],7,FALSE),"")</f>
        <v/>
      </c>
      <c r="AI96" s="200" t="str">
        <f>IFERROR(VLOOKUP(TableHandbook[[#This Row],[UDC]],TableMJRUSCICH[],7,FALSE),"")</f>
        <v/>
      </c>
      <c r="AJ96" s="200" t="str">
        <f>IFERROR(VLOOKUP(TableHandbook[[#This Row],[UDC]],TableMJRUSCIHB[],7,FALSE),"")</f>
        <v/>
      </c>
      <c r="AK96" s="200" t="str">
        <f>IFERROR(VLOOKUP(TableHandbook[[#This Row],[UDC]],TableMJRUSCIPH[],7,FALSE),"")</f>
        <v/>
      </c>
      <c r="AL96" s="200" t="str">
        <f>IFERROR(VLOOKUP(TableHandbook[[#This Row],[UDC]],TableMJRUSCIPS[],7,FALSE),"")</f>
        <v/>
      </c>
      <c r="AM96" s="202"/>
      <c r="AN96" s="200" t="str">
        <f>IFERROR(VLOOKUP(TableHandbook[[#This Row],[UDC]],TableSTRUBIOLB[],7,FALSE),"")</f>
        <v/>
      </c>
      <c r="AO96" s="200" t="str">
        <f>IFERROR(VLOOKUP(TableHandbook[[#This Row],[UDC]],TableSTRUBSCIM[],7,FALSE),"")</f>
        <v/>
      </c>
      <c r="AP96" s="200" t="str">
        <f>IFERROR(VLOOKUP(TableHandbook[[#This Row],[UDC]],TableSTRUCHEMB[],7,FALSE),"")</f>
        <v/>
      </c>
      <c r="AQ96" s="200" t="str">
        <f>IFERROR(VLOOKUP(TableHandbook[[#This Row],[UDC]],TableSTRUECOB1[],7,FALSE),"")</f>
        <v/>
      </c>
      <c r="AR96" s="200" t="str">
        <f>IFERROR(VLOOKUP(TableHandbook[[#This Row],[UDC]],TableSTRUEDART[],7,FALSE),"")</f>
        <v/>
      </c>
      <c r="AS96" s="200" t="str">
        <f>IFERROR(VLOOKUP(TableHandbook[[#This Row],[UDC]],TableSTRUEDENG[],7,FALSE),"")</f>
        <v/>
      </c>
      <c r="AT96" s="200" t="str">
        <f>IFERROR(VLOOKUP(TableHandbook[[#This Row],[UDC]],TableSTRUEDHAS[],7,FALSE),"")</f>
        <v/>
      </c>
      <c r="AU96" s="200" t="str">
        <f>IFERROR(VLOOKUP(TableHandbook[[#This Row],[UDC]],TableSTRUEDMAT[],7,FALSE),"")</f>
        <v/>
      </c>
      <c r="AV96" s="200" t="str">
        <f>IFERROR(VLOOKUP(TableHandbook[[#This Row],[UDC]],TableSTRUEDSCI[],7,FALSE),"")</f>
        <v/>
      </c>
      <c r="AW96" s="200" t="str">
        <f>IFERROR(VLOOKUP(TableHandbook[[#This Row],[UDC]],TableSTRUENGLB[],7,FALSE),"")</f>
        <v/>
      </c>
      <c r="AX96" s="200" t="str">
        <f>IFERROR(VLOOKUP(TableHandbook[[#This Row],[UDC]],TableSTRUENGLM[],7,FALSE),"")</f>
        <v>Core</v>
      </c>
      <c r="AY96" s="200" t="str">
        <f>IFERROR(VLOOKUP(TableHandbook[[#This Row],[UDC]],TableSTRUGEOB1[],7,FALSE),"")</f>
        <v/>
      </c>
      <c r="AZ96" s="200" t="str">
        <f>IFERROR(VLOOKUP(TableHandbook[[#This Row],[UDC]],TableSTRUHISB1[],7,FALSE),"")</f>
        <v/>
      </c>
      <c r="BA96" s="200" t="str">
        <f>IFERROR(VLOOKUP(TableHandbook[[#This Row],[UDC]],TableSTRUHUMAM[],7,FALSE),"")</f>
        <v/>
      </c>
      <c r="BB96" s="200" t="str">
        <f>IFERROR(VLOOKUP(TableHandbook[[#This Row],[UDC]],TableSTRUHUMBB[],7,FALSE),"")</f>
        <v/>
      </c>
      <c r="BC96" s="200" t="str">
        <f>IFERROR(VLOOKUP(TableHandbook[[#This Row],[UDC]],TableSTRUMATHB[],7,FALSE),"")</f>
        <v/>
      </c>
      <c r="BD96" s="200" t="str">
        <f>IFERROR(VLOOKUP(TableHandbook[[#This Row],[UDC]],TableSTRUMATHM[],7,FALSE),"")</f>
        <v/>
      </c>
      <c r="BE96" s="200" t="str">
        <f>IFERROR(VLOOKUP(TableHandbook[[#This Row],[UDC]],TableSTRUPARTB[],7,FALSE),"")</f>
        <v/>
      </c>
      <c r="BF96" s="200" t="str">
        <f>IFERROR(VLOOKUP(TableHandbook[[#This Row],[UDC]],TableSTRUPARTM[],7,FALSE),"")</f>
        <v/>
      </c>
      <c r="BG96" s="200" t="str">
        <f>IFERROR(VLOOKUP(TableHandbook[[#This Row],[UDC]],TableSTRUPOLB1[],7,FALSE),"")</f>
        <v/>
      </c>
      <c r="BH96" s="200" t="str">
        <f>IFERROR(VLOOKUP(TableHandbook[[#This Row],[UDC]],TableSTRUPSCIM[],7,FALSE),"")</f>
        <v/>
      </c>
      <c r="BI96" s="200" t="str">
        <f>IFERROR(VLOOKUP(TableHandbook[[#This Row],[UDC]],TableSTRUPSYCB[],7,FALSE),"")</f>
        <v/>
      </c>
      <c r="BJ96" s="200" t="str">
        <f>IFERROR(VLOOKUP(TableHandbook[[#This Row],[UDC]],TableSTRUPSYCM[],7,FALSE),"")</f>
        <v/>
      </c>
      <c r="BK96" s="200" t="str">
        <f>IFERROR(VLOOKUP(TableHandbook[[#This Row],[UDC]],TableSTRUSOSCM[],7,FALSE),"")</f>
        <v/>
      </c>
      <c r="BL96" s="200" t="str">
        <f>IFERROR(VLOOKUP(TableHandbook[[#This Row],[UDC]],TableSTRUVARTB[],7,FALSE),"")</f>
        <v/>
      </c>
      <c r="BM96" s="200" t="str">
        <f>IFERROR(VLOOKUP(TableHandbook[[#This Row],[UDC]],TableSTRUVARTM[],7,FALSE),"")</f>
        <v/>
      </c>
    </row>
    <row r="97" spans="1:65" ht="39" x14ac:dyDescent="0.25">
      <c r="A97" s="262" t="s">
        <v>321</v>
      </c>
      <c r="B97" s="12">
        <v>1</v>
      </c>
      <c r="C97" s="11"/>
      <c r="D97" s="11" t="s">
        <v>670</v>
      </c>
      <c r="E97" s="12">
        <v>25</v>
      </c>
      <c r="F97" s="183" t="s">
        <v>671</v>
      </c>
      <c r="G97" s="126" t="str">
        <f>IFERROR(IF(VLOOKUP(TableHandbook[[#This Row],[UDC]],TableAvailabilities[],2,FALSE)&gt;0,"Y",""),"")</f>
        <v>Y</v>
      </c>
      <c r="H97" s="127" t="str">
        <f>IFERROR(IF(VLOOKUP(TableHandbook[[#This Row],[UDC]],TableAvailabilities[],3,FALSE)&gt;0,"Y",""),"")</f>
        <v>Y</v>
      </c>
      <c r="I97" s="127" t="str">
        <f>IFERROR(IF(VLOOKUP(TableHandbook[[#This Row],[UDC]],TableAvailabilities[],4,FALSE)&gt;0,"Y",""),"")</f>
        <v/>
      </c>
      <c r="J97" s="128" t="str">
        <f>IFERROR(IF(VLOOKUP(TableHandbook[[#This Row],[UDC]],TableAvailabilities[],5,FALSE)&gt;0,"Y",""),"")</f>
        <v/>
      </c>
      <c r="K97" s="128" t="str">
        <f>IFERROR(IF(VLOOKUP(TableHandbook[[#This Row],[UDC]],TableAvailabilities[],6,FALSE)&gt;0,"Y",""),"")</f>
        <v/>
      </c>
      <c r="L97" s="127" t="str">
        <f>IFERROR(IF(VLOOKUP(TableHandbook[[#This Row],[UDC]],TableAvailabilities[],7,FALSE)&gt;0,"Y",""),"")</f>
        <v/>
      </c>
      <c r="M97" s="209" t="s">
        <v>954</v>
      </c>
      <c r="N97" s="205" t="str">
        <f>IFERROR(VLOOKUP(TableHandbook[[#This Row],[UDC]],TableBEDUC[],7,FALSE),"")</f>
        <v/>
      </c>
      <c r="O97" s="200" t="str">
        <f>IFERROR(VLOOKUP(TableHandbook[[#This Row],[UDC]],TableBEDEC[],7,FALSE),"")</f>
        <v/>
      </c>
      <c r="P97" s="200" t="str">
        <f>IFERROR(VLOOKUP(TableHandbook[[#This Row],[UDC]],TableBEDPR[],7,FALSE),"")</f>
        <v/>
      </c>
      <c r="Q97" s="200" t="str">
        <f>IFERROR(VLOOKUP(TableHandbook[[#This Row],[UDC]],TableSTRUCATHL[],7,FALSE),"")</f>
        <v/>
      </c>
      <c r="R97" s="200" t="str">
        <f>IFERROR(VLOOKUP(TableHandbook[[#This Row],[UDC]],TableSTRUENGLL[],7,FALSE),"")</f>
        <v/>
      </c>
      <c r="S97" s="200" t="str">
        <f>IFERROR(VLOOKUP(TableHandbook[[#This Row],[UDC]],TableSTRUINTBC[],7,FALSE),"")</f>
        <v/>
      </c>
      <c r="T97" s="200" t="str">
        <f>IFERROR(VLOOKUP(TableHandbook[[#This Row],[UDC]],TableSTRUISTEM[],7,FALSE),"")</f>
        <v/>
      </c>
      <c r="U97" s="200" t="str">
        <f>IFERROR(VLOOKUP(TableHandbook[[#This Row],[UDC]],TableSTRULITNU[],7,FALSE),"")</f>
        <v/>
      </c>
      <c r="V97" s="200" t="str">
        <f>IFERROR(VLOOKUP(TableHandbook[[#This Row],[UDC]],TableSTRUTECHS[],7,FALSE),"")</f>
        <v/>
      </c>
      <c r="W97" s="200" t="str">
        <f>IFERROR(VLOOKUP(TableHandbook[[#This Row],[UDC]],TableBEDSC[],7,FALSE),"")</f>
        <v/>
      </c>
      <c r="X97" s="200" t="str">
        <f>IFERROR(VLOOKUP(TableHandbook[[#This Row],[UDC]],TableMJRUARTDR[],7,FALSE),"")</f>
        <v/>
      </c>
      <c r="Y97" s="200" t="str">
        <f>IFERROR(VLOOKUP(TableHandbook[[#This Row],[UDC]],TableMJRUARTME[],7,FALSE),"")</f>
        <v/>
      </c>
      <c r="Z97" s="200" t="str">
        <f>IFERROR(VLOOKUP(TableHandbook[[#This Row],[UDC]],TableMJRUARTVA[],7,FALSE),"")</f>
        <v/>
      </c>
      <c r="AA97" s="200" t="str">
        <f>IFERROR(VLOOKUP(TableHandbook[[#This Row],[UDC]],TableMJRUENGLT[],7,FALSE),"")</f>
        <v/>
      </c>
      <c r="AB97" s="200" t="str">
        <f>IFERROR(VLOOKUP(TableHandbook[[#This Row],[UDC]],TableMJRUHLTPE[],7,FALSE),"")</f>
        <v/>
      </c>
      <c r="AC97" s="200" t="str">
        <f>IFERROR(VLOOKUP(TableHandbook[[#This Row],[UDC]],TableMJRUHUSEC[],7,FALSE),"")</f>
        <v/>
      </c>
      <c r="AD97" s="200" t="str">
        <f>IFERROR(VLOOKUP(TableHandbook[[#This Row],[UDC]],TableMJRUHUSGE[],7,FALSE),"")</f>
        <v/>
      </c>
      <c r="AE97" s="200" t="str">
        <f>IFERROR(VLOOKUP(TableHandbook[[#This Row],[UDC]],TableMJRUHUSHI[],7,FALSE),"")</f>
        <v/>
      </c>
      <c r="AF97" s="200" t="str">
        <f>IFERROR(VLOOKUP(TableHandbook[[#This Row],[UDC]],TableMJRUHUSPL[],7,FALSE),"")</f>
        <v/>
      </c>
      <c r="AG97" s="200" t="str">
        <f>IFERROR(VLOOKUP(TableHandbook[[#This Row],[UDC]],TableMJRUMATHT[],7,FALSE),"")</f>
        <v>Core</v>
      </c>
      <c r="AH97" s="200" t="str">
        <f>IFERROR(VLOOKUP(TableHandbook[[#This Row],[UDC]],TableMJRUSCIBI[],7,FALSE),"")</f>
        <v/>
      </c>
      <c r="AI97" s="200" t="str">
        <f>IFERROR(VLOOKUP(TableHandbook[[#This Row],[UDC]],TableMJRUSCICH[],7,FALSE),"")</f>
        <v/>
      </c>
      <c r="AJ97" s="200" t="str">
        <f>IFERROR(VLOOKUP(TableHandbook[[#This Row],[UDC]],TableMJRUSCIHB[],7,FALSE),"")</f>
        <v/>
      </c>
      <c r="AK97" s="200" t="str">
        <f>IFERROR(VLOOKUP(TableHandbook[[#This Row],[UDC]],TableMJRUSCIPH[],7,FALSE),"")</f>
        <v>Core</v>
      </c>
      <c r="AL97" s="200" t="str">
        <f>IFERROR(VLOOKUP(TableHandbook[[#This Row],[UDC]],TableMJRUSCIPS[],7,FALSE),"")</f>
        <v/>
      </c>
      <c r="AM97" s="202"/>
      <c r="AN97" s="200" t="str">
        <f>IFERROR(VLOOKUP(TableHandbook[[#This Row],[UDC]],TableSTRUBIOLB[],7,FALSE),"")</f>
        <v/>
      </c>
      <c r="AO97" s="200" t="str">
        <f>IFERROR(VLOOKUP(TableHandbook[[#This Row],[UDC]],TableSTRUBSCIM[],7,FALSE),"")</f>
        <v/>
      </c>
      <c r="AP97" s="200" t="str">
        <f>IFERROR(VLOOKUP(TableHandbook[[#This Row],[UDC]],TableSTRUCHEMB[],7,FALSE),"")</f>
        <v/>
      </c>
      <c r="AQ97" s="200" t="str">
        <f>IFERROR(VLOOKUP(TableHandbook[[#This Row],[UDC]],TableSTRUECOB1[],7,FALSE),"")</f>
        <v/>
      </c>
      <c r="AR97" s="200" t="str">
        <f>IFERROR(VLOOKUP(TableHandbook[[#This Row],[UDC]],TableSTRUEDART[],7,FALSE),"")</f>
        <v/>
      </c>
      <c r="AS97" s="200" t="str">
        <f>IFERROR(VLOOKUP(TableHandbook[[#This Row],[UDC]],TableSTRUEDENG[],7,FALSE),"")</f>
        <v/>
      </c>
      <c r="AT97" s="200" t="str">
        <f>IFERROR(VLOOKUP(TableHandbook[[#This Row],[UDC]],TableSTRUEDHAS[],7,FALSE),"")</f>
        <v/>
      </c>
      <c r="AU97" s="200" t="str">
        <f>IFERROR(VLOOKUP(TableHandbook[[#This Row],[UDC]],TableSTRUEDMAT[],7,FALSE),"")</f>
        <v/>
      </c>
      <c r="AV97" s="200" t="str">
        <f>IFERROR(VLOOKUP(TableHandbook[[#This Row],[UDC]],TableSTRUEDSCI[],7,FALSE),"")</f>
        <v/>
      </c>
      <c r="AW97" s="200" t="str">
        <f>IFERROR(VLOOKUP(TableHandbook[[#This Row],[UDC]],TableSTRUENGLB[],7,FALSE),"")</f>
        <v/>
      </c>
      <c r="AX97" s="200" t="str">
        <f>IFERROR(VLOOKUP(TableHandbook[[#This Row],[UDC]],TableSTRUENGLM[],7,FALSE),"")</f>
        <v/>
      </c>
      <c r="AY97" s="200" t="str">
        <f>IFERROR(VLOOKUP(TableHandbook[[#This Row],[UDC]],TableSTRUGEOB1[],7,FALSE),"")</f>
        <v/>
      </c>
      <c r="AZ97" s="200" t="str">
        <f>IFERROR(VLOOKUP(TableHandbook[[#This Row],[UDC]],TableSTRUHISB1[],7,FALSE),"")</f>
        <v/>
      </c>
      <c r="BA97" s="200" t="str">
        <f>IFERROR(VLOOKUP(TableHandbook[[#This Row],[UDC]],TableSTRUHUMAM[],7,FALSE),"")</f>
        <v/>
      </c>
      <c r="BB97" s="200" t="str">
        <f>IFERROR(VLOOKUP(TableHandbook[[#This Row],[UDC]],TableSTRUHUMBB[],7,FALSE),"")</f>
        <v/>
      </c>
      <c r="BC97" s="200" t="str">
        <f>IFERROR(VLOOKUP(TableHandbook[[#This Row],[UDC]],TableSTRUMATHB[],7,FALSE),"")</f>
        <v/>
      </c>
      <c r="BD97" s="200" t="str">
        <f>IFERROR(VLOOKUP(TableHandbook[[#This Row],[UDC]],TableSTRUMATHM[],7,FALSE),"")</f>
        <v>Core</v>
      </c>
      <c r="BE97" s="200" t="str">
        <f>IFERROR(VLOOKUP(TableHandbook[[#This Row],[UDC]],TableSTRUPARTB[],7,FALSE),"")</f>
        <v/>
      </c>
      <c r="BF97" s="200" t="str">
        <f>IFERROR(VLOOKUP(TableHandbook[[#This Row],[UDC]],TableSTRUPARTM[],7,FALSE),"")</f>
        <v/>
      </c>
      <c r="BG97" s="200" t="str">
        <f>IFERROR(VLOOKUP(TableHandbook[[#This Row],[UDC]],TableSTRUPOLB1[],7,FALSE),"")</f>
        <v/>
      </c>
      <c r="BH97" s="200" t="str">
        <f>IFERROR(VLOOKUP(TableHandbook[[#This Row],[UDC]],TableSTRUPSCIM[],7,FALSE),"")</f>
        <v/>
      </c>
      <c r="BI97" s="200" t="str">
        <f>IFERROR(VLOOKUP(TableHandbook[[#This Row],[UDC]],TableSTRUPSYCB[],7,FALSE),"")</f>
        <v/>
      </c>
      <c r="BJ97" s="200" t="str">
        <f>IFERROR(VLOOKUP(TableHandbook[[#This Row],[UDC]],TableSTRUPSYCM[],7,FALSE),"")</f>
        <v/>
      </c>
      <c r="BK97" s="200" t="str">
        <f>IFERROR(VLOOKUP(TableHandbook[[#This Row],[UDC]],TableSTRUSOSCM[],7,FALSE),"")</f>
        <v/>
      </c>
      <c r="BL97" s="200" t="str">
        <f>IFERROR(VLOOKUP(TableHandbook[[#This Row],[UDC]],TableSTRUVARTB[],7,FALSE),"")</f>
        <v/>
      </c>
      <c r="BM97" s="200" t="str">
        <f>IFERROR(VLOOKUP(TableHandbook[[#This Row],[UDC]],TableSTRUVARTM[],7,FALSE),"")</f>
        <v/>
      </c>
    </row>
    <row r="98" spans="1:65" x14ac:dyDescent="0.25">
      <c r="A98" s="262" t="s">
        <v>344</v>
      </c>
      <c r="B98" s="12">
        <v>2</v>
      </c>
      <c r="C98" s="11"/>
      <c r="D98" s="11" t="s">
        <v>673</v>
      </c>
      <c r="E98" s="12">
        <v>25</v>
      </c>
      <c r="F98" s="131" t="s">
        <v>321</v>
      </c>
      <c r="G98" s="126" t="str">
        <f>IFERROR(IF(VLOOKUP(TableHandbook[[#This Row],[UDC]],TableAvailabilities[],2,FALSE)&gt;0,"Y",""),"")</f>
        <v/>
      </c>
      <c r="H98" s="127" t="str">
        <f>IFERROR(IF(VLOOKUP(TableHandbook[[#This Row],[UDC]],TableAvailabilities[],3,FALSE)&gt;0,"Y",""),"")</f>
        <v/>
      </c>
      <c r="I98" s="127" t="str">
        <f>IFERROR(IF(VLOOKUP(TableHandbook[[#This Row],[UDC]],TableAvailabilities[],4,FALSE)&gt;0,"Y",""),"")</f>
        <v/>
      </c>
      <c r="J98" s="128" t="str">
        <f>IFERROR(IF(VLOOKUP(TableHandbook[[#This Row],[UDC]],TableAvailabilities[],5,FALSE)&gt;0,"Y",""),"")</f>
        <v>Y</v>
      </c>
      <c r="K98" s="128" t="str">
        <f>IFERROR(IF(VLOOKUP(TableHandbook[[#This Row],[UDC]],TableAvailabilities[],6,FALSE)&gt;0,"Y",""),"")</f>
        <v>Y</v>
      </c>
      <c r="L98" s="127" t="str">
        <f>IFERROR(IF(VLOOKUP(TableHandbook[[#This Row],[UDC]],TableAvailabilities[],7,FALSE)&gt;0,"Y",""),"")</f>
        <v/>
      </c>
      <c r="M98" s="207"/>
      <c r="N98" s="205" t="str">
        <f>IFERROR(VLOOKUP(TableHandbook[[#This Row],[UDC]],TableBEDUC[],7,FALSE),"")</f>
        <v/>
      </c>
      <c r="O98" s="200" t="str">
        <f>IFERROR(VLOOKUP(TableHandbook[[#This Row],[UDC]],TableBEDEC[],7,FALSE),"")</f>
        <v/>
      </c>
      <c r="P98" s="200" t="str">
        <f>IFERROR(VLOOKUP(TableHandbook[[#This Row],[UDC]],TableBEDPR[],7,FALSE),"")</f>
        <v/>
      </c>
      <c r="Q98" s="200" t="str">
        <f>IFERROR(VLOOKUP(TableHandbook[[#This Row],[UDC]],TableSTRUCATHL[],7,FALSE),"")</f>
        <v/>
      </c>
      <c r="R98" s="200" t="str">
        <f>IFERROR(VLOOKUP(TableHandbook[[#This Row],[UDC]],TableSTRUENGLL[],7,FALSE),"")</f>
        <v/>
      </c>
      <c r="S98" s="200" t="str">
        <f>IFERROR(VLOOKUP(TableHandbook[[#This Row],[UDC]],TableSTRUINTBC[],7,FALSE),"")</f>
        <v/>
      </c>
      <c r="T98" s="200" t="str">
        <f>IFERROR(VLOOKUP(TableHandbook[[#This Row],[UDC]],TableSTRUISTEM[],7,FALSE),"")</f>
        <v/>
      </c>
      <c r="U98" s="200" t="str">
        <f>IFERROR(VLOOKUP(TableHandbook[[#This Row],[UDC]],TableSTRULITNU[],7,FALSE),"")</f>
        <v/>
      </c>
      <c r="V98" s="200" t="str">
        <f>IFERROR(VLOOKUP(TableHandbook[[#This Row],[UDC]],TableSTRUTECHS[],7,FALSE),"")</f>
        <v/>
      </c>
      <c r="W98" s="200" t="str">
        <f>IFERROR(VLOOKUP(TableHandbook[[#This Row],[UDC]],TableBEDSC[],7,FALSE),"")</f>
        <v/>
      </c>
      <c r="X98" s="200" t="str">
        <f>IFERROR(VLOOKUP(TableHandbook[[#This Row],[UDC]],TableMJRUARTDR[],7,FALSE),"")</f>
        <v/>
      </c>
      <c r="Y98" s="200" t="str">
        <f>IFERROR(VLOOKUP(TableHandbook[[#This Row],[UDC]],TableMJRUARTME[],7,FALSE),"")</f>
        <v/>
      </c>
      <c r="Z98" s="200" t="str">
        <f>IFERROR(VLOOKUP(TableHandbook[[#This Row],[UDC]],TableMJRUARTVA[],7,FALSE),"")</f>
        <v/>
      </c>
      <c r="AA98" s="200" t="str">
        <f>IFERROR(VLOOKUP(TableHandbook[[#This Row],[UDC]],TableMJRUENGLT[],7,FALSE),"")</f>
        <v/>
      </c>
      <c r="AB98" s="200" t="str">
        <f>IFERROR(VLOOKUP(TableHandbook[[#This Row],[UDC]],TableMJRUHLTPE[],7,FALSE),"")</f>
        <v/>
      </c>
      <c r="AC98" s="200" t="str">
        <f>IFERROR(VLOOKUP(TableHandbook[[#This Row],[UDC]],TableMJRUHUSEC[],7,FALSE),"")</f>
        <v/>
      </c>
      <c r="AD98" s="200" t="str">
        <f>IFERROR(VLOOKUP(TableHandbook[[#This Row],[UDC]],TableMJRUHUSGE[],7,FALSE),"")</f>
        <v/>
      </c>
      <c r="AE98" s="200" t="str">
        <f>IFERROR(VLOOKUP(TableHandbook[[#This Row],[UDC]],TableMJRUHUSHI[],7,FALSE),"")</f>
        <v/>
      </c>
      <c r="AF98" s="200" t="str">
        <f>IFERROR(VLOOKUP(TableHandbook[[#This Row],[UDC]],TableMJRUHUSPL[],7,FALSE),"")</f>
        <v/>
      </c>
      <c r="AG98" s="200" t="str">
        <f>IFERROR(VLOOKUP(TableHandbook[[#This Row],[UDC]],TableMJRUMATHT[],7,FALSE),"")</f>
        <v>Core</v>
      </c>
      <c r="AH98" s="200" t="str">
        <f>IFERROR(VLOOKUP(TableHandbook[[#This Row],[UDC]],TableMJRUSCIBI[],7,FALSE),"")</f>
        <v/>
      </c>
      <c r="AI98" s="200" t="str">
        <f>IFERROR(VLOOKUP(TableHandbook[[#This Row],[UDC]],TableMJRUSCICH[],7,FALSE),"")</f>
        <v/>
      </c>
      <c r="AJ98" s="200" t="str">
        <f>IFERROR(VLOOKUP(TableHandbook[[#This Row],[UDC]],TableMJRUSCIHB[],7,FALSE),"")</f>
        <v/>
      </c>
      <c r="AK98" s="200" t="str">
        <f>IFERROR(VLOOKUP(TableHandbook[[#This Row],[UDC]],TableMJRUSCIPH[],7,FALSE),"")</f>
        <v>Core</v>
      </c>
      <c r="AL98" s="200" t="str">
        <f>IFERROR(VLOOKUP(TableHandbook[[#This Row],[UDC]],TableMJRUSCIPS[],7,FALSE),"")</f>
        <v/>
      </c>
      <c r="AM98" s="202"/>
      <c r="AN98" s="200" t="str">
        <f>IFERROR(VLOOKUP(TableHandbook[[#This Row],[UDC]],TableSTRUBIOLB[],7,FALSE),"")</f>
        <v/>
      </c>
      <c r="AO98" s="200" t="str">
        <f>IFERROR(VLOOKUP(TableHandbook[[#This Row],[UDC]],TableSTRUBSCIM[],7,FALSE),"")</f>
        <v/>
      </c>
      <c r="AP98" s="200" t="str">
        <f>IFERROR(VLOOKUP(TableHandbook[[#This Row],[UDC]],TableSTRUCHEMB[],7,FALSE),"")</f>
        <v/>
      </c>
      <c r="AQ98" s="200" t="str">
        <f>IFERROR(VLOOKUP(TableHandbook[[#This Row],[UDC]],TableSTRUECOB1[],7,FALSE),"")</f>
        <v/>
      </c>
      <c r="AR98" s="200" t="str">
        <f>IFERROR(VLOOKUP(TableHandbook[[#This Row],[UDC]],TableSTRUEDART[],7,FALSE),"")</f>
        <v/>
      </c>
      <c r="AS98" s="200" t="str">
        <f>IFERROR(VLOOKUP(TableHandbook[[#This Row],[UDC]],TableSTRUEDENG[],7,FALSE),"")</f>
        <v/>
      </c>
      <c r="AT98" s="200" t="str">
        <f>IFERROR(VLOOKUP(TableHandbook[[#This Row],[UDC]],TableSTRUEDHAS[],7,FALSE),"")</f>
        <v/>
      </c>
      <c r="AU98" s="200" t="str">
        <f>IFERROR(VLOOKUP(TableHandbook[[#This Row],[UDC]],TableSTRUEDMAT[],7,FALSE),"")</f>
        <v/>
      </c>
      <c r="AV98" s="200" t="str">
        <f>IFERROR(VLOOKUP(TableHandbook[[#This Row],[UDC]],TableSTRUEDSCI[],7,FALSE),"")</f>
        <v/>
      </c>
      <c r="AW98" s="200" t="str">
        <f>IFERROR(VLOOKUP(TableHandbook[[#This Row],[UDC]],TableSTRUENGLB[],7,FALSE),"")</f>
        <v/>
      </c>
      <c r="AX98" s="200" t="str">
        <f>IFERROR(VLOOKUP(TableHandbook[[#This Row],[UDC]],TableSTRUENGLM[],7,FALSE),"")</f>
        <v/>
      </c>
      <c r="AY98" s="200" t="str">
        <f>IFERROR(VLOOKUP(TableHandbook[[#This Row],[UDC]],TableSTRUGEOB1[],7,FALSE),"")</f>
        <v/>
      </c>
      <c r="AZ98" s="200" t="str">
        <f>IFERROR(VLOOKUP(TableHandbook[[#This Row],[UDC]],TableSTRUHISB1[],7,FALSE),"")</f>
        <v/>
      </c>
      <c r="BA98" s="200" t="str">
        <f>IFERROR(VLOOKUP(TableHandbook[[#This Row],[UDC]],TableSTRUHUMAM[],7,FALSE),"")</f>
        <v/>
      </c>
      <c r="BB98" s="200" t="str">
        <f>IFERROR(VLOOKUP(TableHandbook[[#This Row],[UDC]],TableSTRUHUMBB[],7,FALSE),"")</f>
        <v/>
      </c>
      <c r="BC98" s="200" t="str">
        <f>IFERROR(VLOOKUP(TableHandbook[[#This Row],[UDC]],TableSTRUMATHB[],7,FALSE),"")</f>
        <v/>
      </c>
      <c r="BD98" s="200" t="str">
        <f>IFERROR(VLOOKUP(TableHandbook[[#This Row],[UDC]],TableSTRUMATHM[],7,FALSE),"")</f>
        <v>Core</v>
      </c>
      <c r="BE98" s="200" t="str">
        <f>IFERROR(VLOOKUP(TableHandbook[[#This Row],[UDC]],TableSTRUPARTB[],7,FALSE),"")</f>
        <v/>
      </c>
      <c r="BF98" s="200" t="str">
        <f>IFERROR(VLOOKUP(TableHandbook[[#This Row],[UDC]],TableSTRUPARTM[],7,FALSE),"")</f>
        <v/>
      </c>
      <c r="BG98" s="200" t="str">
        <f>IFERROR(VLOOKUP(TableHandbook[[#This Row],[UDC]],TableSTRUPOLB1[],7,FALSE),"")</f>
        <v/>
      </c>
      <c r="BH98" s="200" t="str">
        <f>IFERROR(VLOOKUP(TableHandbook[[#This Row],[UDC]],TableSTRUPSCIM[],7,FALSE),"")</f>
        <v/>
      </c>
      <c r="BI98" s="200" t="str">
        <f>IFERROR(VLOOKUP(TableHandbook[[#This Row],[UDC]],TableSTRUPSYCB[],7,FALSE),"")</f>
        <v/>
      </c>
      <c r="BJ98" s="200" t="str">
        <f>IFERROR(VLOOKUP(TableHandbook[[#This Row],[UDC]],TableSTRUPSYCM[],7,FALSE),"")</f>
        <v/>
      </c>
      <c r="BK98" s="200" t="str">
        <f>IFERROR(VLOOKUP(TableHandbook[[#This Row],[UDC]],TableSTRUSOSCM[],7,FALSE),"")</f>
        <v/>
      </c>
      <c r="BL98" s="200" t="str">
        <f>IFERROR(VLOOKUP(TableHandbook[[#This Row],[UDC]],TableSTRUVARTB[],7,FALSE),"")</f>
        <v/>
      </c>
      <c r="BM98" s="200" t="str">
        <f>IFERROR(VLOOKUP(TableHandbook[[#This Row],[UDC]],TableSTRUVARTM[],7,FALSE),"")</f>
        <v/>
      </c>
    </row>
    <row r="99" spans="1:65" x14ac:dyDescent="0.25">
      <c r="A99" s="262" t="s">
        <v>317</v>
      </c>
      <c r="B99" s="12">
        <v>1</v>
      </c>
      <c r="C99" s="11"/>
      <c r="D99" s="11" t="s">
        <v>674</v>
      </c>
      <c r="E99" s="12">
        <v>25</v>
      </c>
      <c r="F99" s="192" t="s">
        <v>671</v>
      </c>
      <c r="G99" s="126" t="str">
        <f>IFERROR(IF(VLOOKUP(TableHandbook[[#This Row],[UDC]],TableAvailabilities[],2,FALSE)&gt;0,"Y",""),"")</f>
        <v>Y</v>
      </c>
      <c r="H99" s="127" t="str">
        <f>IFERROR(IF(VLOOKUP(TableHandbook[[#This Row],[UDC]],TableAvailabilities[],3,FALSE)&gt;0,"Y",""),"")</f>
        <v>Y</v>
      </c>
      <c r="I99" s="127" t="str">
        <f>IFERROR(IF(VLOOKUP(TableHandbook[[#This Row],[UDC]],TableAvailabilities[],4,FALSE)&gt;0,"Y",""),"")</f>
        <v/>
      </c>
      <c r="J99" s="128" t="str">
        <f>IFERROR(IF(VLOOKUP(TableHandbook[[#This Row],[UDC]],TableAvailabilities[],5,FALSE)&gt;0,"Y",""),"")</f>
        <v/>
      </c>
      <c r="K99" s="128" t="str">
        <f>IFERROR(IF(VLOOKUP(TableHandbook[[#This Row],[UDC]],TableAvailabilities[],6,FALSE)&gt;0,"Y",""),"")</f>
        <v/>
      </c>
      <c r="L99" s="127" t="str">
        <f>IFERROR(IF(VLOOKUP(TableHandbook[[#This Row],[UDC]],TableAvailabilities[],7,FALSE)&gt;0,"Y",""),"")</f>
        <v/>
      </c>
      <c r="M99" s="207"/>
      <c r="N99" s="205" t="str">
        <f>IFERROR(VLOOKUP(TableHandbook[[#This Row],[UDC]],TableBEDUC[],7,FALSE),"")</f>
        <v/>
      </c>
      <c r="O99" s="200" t="str">
        <f>IFERROR(VLOOKUP(TableHandbook[[#This Row],[UDC]],TableBEDEC[],7,FALSE),"")</f>
        <v/>
      </c>
      <c r="P99" s="200" t="str">
        <f>IFERROR(VLOOKUP(TableHandbook[[#This Row],[UDC]],TableBEDPR[],7,FALSE),"")</f>
        <v/>
      </c>
      <c r="Q99" s="200" t="str">
        <f>IFERROR(VLOOKUP(TableHandbook[[#This Row],[UDC]],TableSTRUCATHL[],7,FALSE),"")</f>
        <v/>
      </c>
      <c r="R99" s="200" t="str">
        <f>IFERROR(VLOOKUP(TableHandbook[[#This Row],[UDC]],TableSTRUENGLL[],7,FALSE),"")</f>
        <v/>
      </c>
      <c r="S99" s="200" t="str">
        <f>IFERROR(VLOOKUP(TableHandbook[[#This Row],[UDC]],TableSTRUINTBC[],7,FALSE),"")</f>
        <v/>
      </c>
      <c r="T99" s="200" t="str">
        <f>IFERROR(VLOOKUP(TableHandbook[[#This Row],[UDC]],TableSTRUISTEM[],7,FALSE),"")</f>
        <v/>
      </c>
      <c r="U99" s="200" t="str">
        <f>IFERROR(VLOOKUP(TableHandbook[[#This Row],[UDC]],TableSTRULITNU[],7,FALSE),"")</f>
        <v/>
      </c>
      <c r="V99" s="200" t="str">
        <f>IFERROR(VLOOKUP(TableHandbook[[#This Row],[UDC]],TableSTRUTECHS[],7,FALSE),"")</f>
        <v/>
      </c>
      <c r="W99" s="200" t="str">
        <f>IFERROR(VLOOKUP(TableHandbook[[#This Row],[UDC]],TableBEDSC[],7,FALSE),"")</f>
        <v/>
      </c>
      <c r="X99" s="200" t="str">
        <f>IFERROR(VLOOKUP(TableHandbook[[#This Row],[UDC]],TableMJRUARTDR[],7,FALSE),"")</f>
        <v/>
      </c>
      <c r="Y99" s="200" t="str">
        <f>IFERROR(VLOOKUP(TableHandbook[[#This Row],[UDC]],TableMJRUARTME[],7,FALSE),"")</f>
        <v/>
      </c>
      <c r="Z99" s="200" t="str">
        <f>IFERROR(VLOOKUP(TableHandbook[[#This Row],[UDC]],TableMJRUARTVA[],7,FALSE),"")</f>
        <v/>
      </c>
      <c r="AA99" s="200" t="str">
        <f>IFERROR(VLOOKUP(TableHandbook[[#This Row],[UDC]],TableMJRUENGLT[],7,FALSE),"")</f>
        <v/>
      </c>
      <c r="AB99" s="200" t="str">
        <f>IFERROR(VLOOKUP(TableHandbook[[#This Row],[UDC]],TableMJRUHLTPE[],7,FALSE),"")</f>
        <v/>
      </c>
      <c r="AC99" s="200" t="str">
        <f>IFERROR(VLOOKUP(TableHandbook[[#This Row],[UDC]],TableMJRUHUSEC[],7,FALSE),"")</f>
        <v/>
      </c>
      <c r="AD99" s="200" t="str">
        <f>IFERROR(VLOOKUP(TableHandbook[[#This Row],[UDC]],TableMJRUHUSGE[],7,FALSE),"")</f>
        <v/>
      </c>
      <c r="AE99" s="200" t="str">
        <f>IFERROR(VLOOKUP(TableHandbook[[#This Row],[UDC]],TableMJRUHUSHI[],7,FALSE),"")</f>
        <v/>
      </c>
      <c r="AF99" s="200" t="str">
        <f>IFERROR(VLOOKUP(TableHandbook[[#This Row],[UDC]],TableMJRUHUSPL[],7,FALSE),"")</f>
        <v/>
      </c>
      <c r="AG99" s="200" t="str">
        <f>IFERROR(VLOOKUP(TableHandbook[[#This Row],[UDC]],TableMJRUMATHT[],7,FALSE),"")</f>
        <v/>
      </c>
      <c r="AH99" s="200" t="str">
        <f>IFERROR(VLOOKUP(TableHandbook[[#This Row],[UDC]],TableMJRUSCIBI[],7,FALSE),"")</f>
        <v>Core</v>
      </c>
      <c r="AI99" s="200" t="str">
        <f>IFERROR(VLOOKUP(TableHandbook[[#This Row],[UDC]],TableMJRUSCICH[],7,FALSE),"")</f>
        <v>Core</v>
      </c>
      <c r="AJ99" s="200" t="str">
        <f>IFERROR(VLOOKUP(TableHandbook[[#This Row],[UDC]],TableMJRUSCIHB[],7,FALSE),"")</f>
        <v>Core</v>
      </c>
      <c r="AK99" s="200" t="str">
        <f>IFERROR(VLOOKUP(TableHandbook[[#This Row],[UDC]],TableMJRUSCIPH[],7,FALSE),"")</f>
        <v>Core</v>
      </c>
      <c r="AL99" s="200" t="str">
        <f>IFERROR(VLOOKUP(TableHandbook[[#This Row],[UDC]],TableMJRUSCIPS[],7,FALSE),"")</f>
        <v>Core</v>
      </c>
      <c r="AM99" s="202"/>
      <c r="AN99" s="200" t="str">
        <f>IFERROR(VLOOKUP(TableHandbook[[#This Row],[UDC]],TableSTRUBIOLB[],7,FALSE),"")</f>
        <v/>
      </c>
      <c r="AO99" s="200" t="str">
        <f>IFERROR(VLOOKUP(TableHandbook[[#This Row],[UDC]],TableSTRUBSCIM[],7,FALSE),"")</f>
        <v>Core</v>
      </c>
      <c r="AP99" s="200" t="str">
        <f>IFERROR(VLOOKUP(TableHandbook[[#This Row],[UDC]],TableSTRUCHEMB[],7,FALSE),"")</f>
        <v/>
      </c>
      <c r="AQ99" s="200" t="str">
        <f>IFERROR(VLOOKUP(TableHandbook[[#This Row],[UDC]],TableSTRUECOB1[],7,FALSE),"")</f>
        <v/>
      </c>
      <c r="AR99" s="200" t="str">
        <f>IFERROR(VLOOKUP(TableHandbook[[#This Row],[UDC]],TableSTRUEDART[],7,FALSE),"")</f>
        <v/>
      </c>
      <c r="AS99" s="200" t="str">
        <f>IFERROR(VLOOKUP(TableHandbook[[#This Row],[UDC]],TableSTRUEDENG[],7,FALSE),"")</f>
        <v/>
      </c>
      <c r="AT99" s="200" t="str">
        <f>IFERROR(VLOOKUP(TableHandbook[[#This Row],[UDC]],TableSTRUEDHAS[],7,FALSE),"")</f>
        <v/>
      </c>
      <c r="AU99" s="200" t="str">
        <f>IFERROR(VLOOKUP(TableHandbook[[#This Row],[UDC]],TableSTRUEDMAT[],7,FALSE),"")</f>
        <v/>
      </c>
      <c r="AV99" s="200" t="str">
        <f>IFERROR(VLOOKUP(TableHandbook[[#This Row],[UDC]],TableSTRUEDSCI[],7,FALSE),"")</f>
        <v/>
      </c>
      <c r="AW99" s="200" t="str">
        <f>IFERROR(VLOOKUP(TableHandbook[[#This Row],[UDC]],TableSTRUENGLB[],7,FALSE),"")</f>
        <v/>
      </c>
      <c r="AX99" s="200" t="str">
        <f>IFERROR(VLOOKUP(TableHandbook[[#This Row],[UDC]],TableSTRUENGLM[],7,FALSE),"")</f>
        <v/>
      </c>
      <c r="AY99" s="200" t="str">
        <f>IFERROR(VLOOKUP(TableHandbook[[#This Row],[UDC]],TableSTRUGEOB1[],7,FALSE),"")</f>
        <v/>
      </c>
      <c r="AZ99" s="200" t="str">
        <f>IFERROR(VLOOKUP(TableHandbook[[#This Row],[UDC]],TableSTRUHISB1[],7,FALSE),"")</f>
        <v/>
      </c>
      <c r="BA99" s="200" t="str">
        <f>IFERROR(VLOOKUP(TableHandbook[[#This Row],[UDC]],TableSTRUHUMAM[],7,FALSE),"")</f>
        <v/>
      </c>
      <c r="BB99" s="200" t="str">
        <f>IFERROR(VLOOKUP(TableHandbook[[#This Row],[UDC]],TableSTRUHUMBB[],7,FALSE),"")</f>
        <v/>
      </c>
      <c r="BC99" s="200" t="str">
        <f>IFERROR(VLOOKUP(TableHandbook[[#This Row],[UDC]],TableSTRUMATHB[],7,FALSE),"")</f>
        <v/>
      </c>
      <c r="BD99" s="200" t="str">
        <f>IFERROR(VLOOKUP(TableHandbook[[#This Row],[UDC]],TableSTRUMATHM[],7,FALSE),"")</f>
        <v/>
      </c>
      <c r="BE99" s="200" t="str">
        <f>IFERROR(VLOOKUP(TableHandbook[[#This Row],[UDC]],TableSTRUPARTB[],7,FALSE),"")</f>
        <v/>
      </c>
      <c r="BF99" s="200" t="str">
        <f>IFERROR(VLOOKUP(TableHandbook[[#This Row],[UDC]],TableSTRUPARTM[],7,FALSE),"")</f>
        <v/>
      </c>
      <c r="BG99" s="200" t="str">
        <f>IFERROR(VLOOKUP(TableHandbook[[#This Row],[UDC]],TableSTRUPOLB1[],7,FALSE),"")</f>
        <v/>
      </c>
      <c r="BH99" s="200" t="str">
        <f>IFERROR(VLOOKUP(TableHandbook[[#This Row],[UDC]],TableSTRUPSCIM[],7,FALSE),"")</f>
        <v>Core</v>
      </c>
      <c r="BI99" s="200" t="str">
        <f>IFERROR(VLOOKUP(TableHandbook[[#This Row],[UDC]],TableSTRUPSYCB[],7,FALSE),"")</f>
        <v/>
      </c>
      <c r="BJ99" s="200" t="str">
        <f>IFERROR(VLOOKUP(TableHandbook[[#This Row],[UDC]],TableSTRUPSYCM[],7,FALSE),"")</f>
        <v>Core</v>
      </c>
      <c r="BK99" s="200" t="str">
        <f>IFERROR(VLOOKUP(TableHandbook[[#This Row],[UDC]],TableSTRUSOSCM[],7,FALSE),"")</f>
        <v/>
      </c>
      <c r="BL99" s="200" t="str">
        <f>IFERROR(VLOOKUP(TableHandbook[[#This Row],[UDC]],TableSTRUVARTB[],7,FALSE),"")</f>
        <v/>
      </c>
      <c r="BM99" s="200" t="str">
        <f>IFERROR(VLOOKUP(TableHandbook[[#This Row],[UDC]],TableSTRUVARTM[],7,FALSE),"")</f>
        <v/>
      </c>
    </row>
    <row r="100" spans="1:65" x14ac:dyDescent="0.25">
      <c r="A100" s="262" t="s">
        <v>340</v>
      </c>
      <c r="B100" s="12">
        <v>2</v>
      </c>
      <c r="C100" s="11"/>
      <c r="D100" s="11" t="s">
        <v>675</v>
      </c>
      <c r="E100" s="12">
        <v>25</v>
      </c>
      <c r="F100" s="131" t="s">
        <v>317</v>
      </c>
      <c r="G100" s="126" t="str">
        <f>IFERROR(IF(VLOOKUP(TableHandbook[[#This Row],[UDC]],TableAvailabilities[],2,FALSE)&gt;0,"Y",""),"")</f>
        <v/>
      </c>
      <c r="H100" s="127" t="str">
        <f>IFERROR(IF(VLOOKUP(TableHandbook[[#This Row],[UDC]],TableAvailabilities[],3,FALSE)&gt;0,"Y",""),"")</f>
        <v/>
      </c>
      <c r="I100" s="127" t="str">
        <f>IFERROR(IF(VLOOKUP(TableHandbook[[#This Row],[UDC]],TableAvailabilities[],4,FALSE)&gt;0,"Y",""),"")</f>
        <v/>
      </c>
      <c r="J100" s="128" t="str">
        <f>IFERROR(IF(VLOOKUP(TableHandbook[[#This Row],[UDC]],TableAvailabilities[],5,FALSE)&gt;0,"Y",""),"")</f>
        <v>Y</v>
      </c>
      <c r="K100" s="128" t="str">
        <f>IFERROR(IF(VLOOKUP(TableHandbook[[#This Row],[UDC]],TableAvailabilities[],6,FALSE)&gt;0,"Y",""),"")</f>
        <v>Y</v>
      </c>
      <c r="L100" s="127" t="str">
        <f>IFERROR(IF(VLOOKUP(TableHandbook[[#This Row],[UDC]],TableAvailabilities[],7,FALSE)&gt;0,"Y",""),"")</f>
        <v/>
      </c>
      <c r="M100" s="207"/>
      <c r="N100" s="205" t="str">
        <f>IFERROR(VLOOKUP(TableHandbook[[#This Row],[UDC]],TableBEDUC[],7,FALSE),"")</f>
        <v/>
      </c>
      <c r="O100" s="200" t="str">
        <f>IFERROR(VLOOKUP(TableHandbook[[#This Row],[UDC]],TableBEDEC[],7,FALSE),"")</f>
        <v/>
      </c>
      <c r="P100" s="200" t="str">
        <f>IFERROR(VLOOKUP(TableHandbook[[#This Row],[UDC]],TableBEDPR[],7,FALSE),"")</f>
        <v/>
      </c>
      <c r="Q100" s="200" t="str">
        <f>IFERROR(VLOOKUP(TableHandbook[[#This Row],[UDC]],TableSTRUCATHL[],7,FALSE),"")</f>
        <v/>
      </c>
      <c r="R100" s="200" t="str">
        <f>IFERROR(VLOOKUP(TableHandbook[[#This Row],[UDC]],TableSTRUENGLL[],7,FALSE),"")</f>
        <v/>
      </c>
      <c r="S100" s="200" t="str">
        <f>IFERROR(VLOOKUP(TableHandbook[[#This Row],[UDC]],TableSTRUINTBC[],7,FALSE),"")</f>
        <v/>
      </c>
      <c r="T100" s="200" t="str">
        <f>IFERROR(VLOOKUP(TableHandbook[[#This Row],[UDC]],TableSTRUISTEM[],7,FALSE),"")</f>
        <v/>
      </c>
      <c r="U100" s="200" t="str">
        <f>IFERROR(VLOOKUP(TableHandbook[[#This Row],[UDC]],TableSTRULITNU[],7,FALSE),"")</f>
        <v/>
      </c>
      <c r="V100" s="200" t="str">
        <f>IFERROR(VLOOKUP(TableHandbook[[#This Row],[UDC]],TableSTRUTECHS[],7,FALSE),"")</f>
        <v/>
      </c>
      <c r="W100" s="200" t="str">
        <f>IFERROR(VLOOKUP(TableHandbook[[#This Row],[UDC]],TableBEDSC[],7,FALSE),"")</f>
        <v/>
      </c>
      <c r="X100" s="200" t="str">
        <f>IFERROR(VLOOKUP(TableHandbook[[#This Row],[UDC]],TableMJRUARTDR[],7,FALSE),"")</f>
        <v/>
      </c>
      <c r="Y100" s="200" t="str">
        <f>IFERROR(VLOOKUP(TableHandbook[[#This Row],[UDC]],TableMJRUARTME[],7,FALSE),"")</f>
        <v/>
      </c>
      <c r="Z100" s="200" t="str">
        <f>IFERROR(VLOOKUP(TableHandbook[[#This Row],[UDC]],TableMJRUARTVA[],7,FALSE),"")</f>
        <v/>
      </c>
      <c r="AA100" s="200" t="str">
        <f>IFERROR(VLOOKUP(TableHandbook[[#This Row],[UDC]],TableMJRUENGLT[],7,FALSE),"")</f>
        <v/>
      </c>
      <c r="AB100" s="200" t="str">
        <f>IFERROR(VLOOKUP(TableHandbook[[#This Row],[UDC]],TableMJRUHLTPE[],7,FALSE),"")</f>
        <v/>
      </c>
      <c r="AC100" s="200" t="str">
        <f>IFERROR(VLOOKUP(TableHandbook[[#This Row],[UDC]],TableMJRUHUSEC[],7,FALSE),"")</f>
        <v/>
      </c>
      <c r="AD100" s="200" t="str">
        <f>IFERROR(VLOOKUP(TableHandbook[[#This Row],[UDC]],TableMJRUHUSGE[],7,FALSE),"")</f>
        <v/>
      </c>
      <c r="AE100" s="200" t="str">
        <f>IFERROR(VLOOKUP(TableHandbook[[#This Row],[UDC]],TableMJRUHUSHI[],7,FALSE),"")</f>
        <v/>
      </c>
      <c r="AF100" s="200" t="str">
        <f>IFERROR(VLOOKUP(TableHandbook[[#This Row],[UDC]],TableMJRUHUSPL[],7,FALSE),"")</f>
        <v/>
      </c>
      <c r="AG100" s="200" t="str">
        <f>IFERROR(VLOOKUP(TableHandbook[[#This Row],[UDC]],TableMJRUMATHT[],7,FALSE),"")</f>
        <v/>
      </c>
      <c r="AH100" s="200" t="str">
        <f>IFERROR(VLOOKUP(TableHandbook[[#This Row],[UDC]],TableMJRUSCIBI[],7,FALSE),"")</f>
        <v>Core</v>
      </c>
      <c r="AI100" s="200" t="str">
        <f>IFERROR(VLOOKUP(TableHandbook[[#This Row],[UDC]],TableMJRUSCICH[],7,FALSE),"")</f>
        <v>Core</v>
      </c>
      <c r="AJ100" s="200" t="str">
        <f>IFERROR(VLOOKUP(TableHandbook[[#This Row],[UDC]],TableMJRUSCIHB[],7,FALSE),"")</f>
        <v>Core</v>
      </c>
      <c r="AK100" s="200" t="str">
        <f>IFERROR(VLOOKUP(TableHandbook[[#This Row],[UDC]],TableMJRUSCIPH[],7,FALSE),"")</f>
        <v>Core</v>
      </c>
      <c r="AL100" s="200" t="str">
        <f>IFERROR(VLOOKUP(TableHandbook[[#This Row],[UDC]],TableMJRUSCIPS[],7,FALSE),"")</f>
        <v>Core</v>
      </c>
      <c r="AM100" s="202"/>
      <c r="AN100" s="200" t="str">
        <f>IFERROR(VLOOKUP(TableHandbook[[#This Row],[UDC]],TableSTRUBIOLB[],7,FALSE),"")</f>
        <v/>
      </c>
      <c r="AO100" s="200" t="str">
        <f>IFERROR(VLOOKUP(TableHandbook[[#This Row],[UDC]],TableSTRUBSCIM[],7,FALSE),"")</f>
        <v>Core</v>
      </c>
      <c r="AP100" s="200" t="str">
        <f>IFERROR(VLOOKUP(TableHandbook[[#This Row],[UDC]],TableSTRUCHEMB[],7,FALSE),"")</f>
        <v/>
      </c>
      <c r="AQ100" s="200" t="str">
        <f>IFERROR(VLOOKUP(TableHandbook[[#This Row],[UDC]],TableSTRUECOB1[],7,FALSE),"")</f>
        <v/>
      </c>
      <c r="AR100" s="200" t="str">
        <f>IFERROR(VLOOKUP(TableHandbook[[#This Row],[UDC]],TableSTRUEDART[],7,FALSE),"")</f>
        <v/>
      </c>
      <c r="AS100" s="200" t="str">
        <f>IFERROR(VLOOKUP(TableHandbook[[#This Row],[UDC]],TableSTRUEDENG[],7,FALSE),"")</f>
        <v/>
      </c>
      <c r="AT100" s="200" t="str">
        <f>IFERROR(VLOOKUP(TableHandbook[[#This Row],[UDC]],TableSTRUEDHAS[],7,FALSE),"")</f>
        <v/>
      </c>
      <c r="AU100" s="200" t="str">
        <f>IFERROR(VLOOKUP(TableHandbook[[#This Row],[UDC]],TableSTRUEDMAT[],7,FALSE),"")</f>
        <v/>
      </c>
      <c r="AV100" s="200" t="str">
        <f>IFERROR(VLOOKUP(TableHandbook[[#This Row],[UDC]],TableSTRUEDSCI[],7,FALSE),"")</f>
        <v/>
      </c>
      <c r="AW100" s="200" t="str">
        <f>IFERROR(VLOOKUP(TableHandbook[[#This Row],[UDC]],TableSTRUENGLB[],7,FALSE),"")</f>
        <v/>
      </c>
      <c r="AX100" s="200" t="str">
        <f>IFERROR(VLOOKUP(TableHandbook[[#This Row],[UDC]],TableSTRUENGLM[],7,FALSE),"")</f>
        <v/>
      </c>
      <c r="AY100" s="200" t="str">
        <f>IFERROR(VLOOKUP(TableHandbook[[#This Row],[UDC]],TableSTRUGEOB1[],7,FALSE),"")</f>
        <v/>
      </c>
      <c r="AZ100" s="200" t="str">
        <f>IFERROR(VLOOKUP(TableHandbook[[#This Row],[UDC]],TableSTRUHISB1[],7,FALSE),"")</f>
        <v/>
      </c>
      <c r="BA100" s="200" t="str">
        <f>IFERROR(VLOOKUP(TableHandbook[[#This Row],[UDC]],TableSTRUHUMAM[],7,FALSE),"")</f>
        <v/>
      </c>
      <c r="BB100" s="200" t="str">
        <f>IFERROR(VLOOKUP(TableHandbook[[#This Row],[UDC]],TableSTRUHUMBB[],7,FALSE),"")</f>
        <v/>
      </c>
      <c r="BC100" s="200" t="str">
        <f>IFERROR(VLOOKUP(TableHandbook[[#This Row],[UDC]],TableSTRUMATHB[],7,FALSE),"")</f>
        <v/>
      </c>
      <c r="BD100" s="200" t="str">
        <f>IFERROR(VLOOKUP(TableHandbook[[#This Row],[UDC]],TableSTRUMATHM[],7,FALSE),"")</f>
        <v/>
      </c>
      <c r="BE100" s="200" t="str">
        <f>IFERROR(VLOOKUP(TableHandbook[[#This Row],[UDC]],TableSTRUPARTB[],7,FALSE),"")</f>
        <v/>
      </c>
      <c r="BF100" s="200" t="str">
        <f>IFERROR(VLOOKUP(TableHandbook[[#This Row],[UDC]],TableSTRUPARTM[],7,FALSE),"")</f>
        <v/>
      </c>
      <c r="BG100" s="200" t="str">
        <f>IFERROR(VLOOKUP(TableHandbook[[#This Row],[UDC]],TableSTRUPOLB1[],7,FALSE),"")</f>
        <v/>
      </c>
      <c r="BH100" s="200" t="str">
        <f>IFERROR(VLOOKUP(TableHandbook[[#This Row],[UDC]],TableSTRUPSCIM[],7,FALSE),"")</f>
        <v>Core</v>
      </c>
      <c r="BI100" s="200" t="str">
        <f>IFERROR(VLOOKUP(TableHandbook[[#This Row],[UDC]],TableSTRUPSYCB[],7,FALSE),"")</f>
        <v/>
      </c>
      <c r="BJ100" s="200" t="str">
        <f>IFERROR(VLOOKUP(TableHandbook[[#This Row],[UDC]],TableSTRUPSYCM[],7,FALSE),"")</f>
        <v>Core</v>
      </c>
      <c r="BK100" s="200" t="str">
        <f>IFERROR(VLOOKUP(TableHandbook[[#This Row],[UDC]],TableSTRUSOSCM[],7,FALSE),"")</f>
        <v/>
      </c>
      <c r="BL100" s="200" t="str">
        <f>IFERROR(VLOOKUP(TableHandbook[[#This Row],[UDC]],TableSTRUVARTB[],7,FALSE),"")</f>
        <v/>
      </c>
      <c r="BM100" s="200" t="str">
        <f>IFERROR(VLOOKUP(TableHandbook[[#This Row],[UDC]],TableSTRUVARTM[],7,FALSE),"")</f>
        <v/>
      </c>
    </row>
    <row r="101" spans="1:65" ht="39" x14ac:dyDescent="0.25">
      <c r="A101" s="262" t="s">
        <v>320</v>
      </c>
      <c r="B101" s="12">
        <v>1</v>
      </c>
      <c r="C101" s="11"/>
      <c r="D101" s="11" t="s">
        <v>676</v>
      </c>
      <c r="E101" s="12">
        <v>25</v>
      </c>
      <c r="F101" s="183" t="s">
        <v>671</v>
      </c>
      <c r="G101" s="126" t="str">
        <f>IFERROR(IF(VLOOKUP(TableHandbook[[#This Row],[UDC]],TableAvailabilities[],2,FALSE)&gt;0,"Y",""),"")</f>
        <v>Y</v>
      </c>
      <c r="H101" s="127" t="str">
        <f>IFERROR(IF(VLOOKUP(TableHandbook[[#This Row],[UDC]],TableAvailabilities[],3,FALSE)&gt;0,"Y",""),"")</f>
        <v>Y</v>
      </c>
      <c r="I101" s="127" t="str">
        <f>IFERROR(IF(VLOOKUP(TableHandbook[[#This Row],[UDC]],TableAvailabilities[],4,FALSE)&gt;0,"Y",""),"")</f>
        <v/>
      </c>
      <c r="J101" s="128" t="str">
        <f>IFERROR(IF(VLOOKUP(TableHandbook[[#This Row],[UDC]],TableAvailabilities[],5,FALSE)&gt;0,"Y",""),"")</f>
        <v/>
      </c>
      <c r="K101" s="128" t="str">
        <f>IFERROR(IF(VLOOKUP(TableHandbook[[#This Row],[UDC]],TableAvailabilities[],6,FALSE)&gt;0,"Y",""),"")</f>
        <v/>
      </c>
      <c r="L101" s="127" t="str">
        <f>IFERROR(IF(VLOOKUP(TableHandbook[[#This Row],[UDC]],TableAvailabilities[],7,FALSE)&gt;0,"Y",""),"")</f>
        <v/>
      </c>
      <c r="M101" s="209" t="s">
        <v>672</v>
      </c>
      <c r="N101" s="205" t="str">
        <f>IFERROR(VLOOKUP(TableHandbook[[#This Row],[UDC]],TableBEDUC[],7,FALSE),"")</f>
        <v/>
      </c>
      <c r="O101" s="200" t="str">
        <f>IFERROR(VLOOKUP(TableHandbook[[#This Row],[UDC]],TableBEDEC[],7,FALSE),"")</f>
        <v/>
      </c>
      <c r="P101" s="200" t="str">
        <f>IFERROR(VLOOKUP(TableHandbook[[#This Row],[UDC]],TableBEDPR[],7,FALSE),"")</f>
        <v/>
      </c>
      <c r="Q101" s="200" t="str">
        <f>IFERROR(VLOOKUP(TableHandbook[[#This Row],[UDC]],TableSTRUCATHL[],7,FALSE),"")</f>
        <v/>
      </c>
      <c r="R101" s="200" t="str">
        <f>IFERROR(VLOOKUP(TableHandbook[[#This Row],[UDC]],TableSTRUENGLL[],7,FALSE),"")</f>
        <v/>
      </c>
      <c r="S101" s="200" t="str">
        <f>IFERROR(VLOOKUP(TableHandbook[[#This Row],[UDC]],TableSTRUINTBC[],7,FALSE),"")</f>
        <v/>
      </c>
      <c r="T101" s="200" t="str">
        <f>IFERROR(VLOOKUP(TableHandbook[[#This Row],[UDC]],TableSTRUISTEM[],7,FALSE),"")</f>
        <v/>
      </c>
      <c r="U101" s="200" t="str">
        <f>IFERROR(VLOOKUP(TableHandbook[[#This Row],[UDC]],TableSTRULITNU[],7,FALSE),"")</f>
        <v/>
      </c>
      <c r="V101" s="200" t="str">
        <f>IFERROR(VLOOKUP(TableHandbook[[#This Row],[UDC]],TableSTRUTECHS[],7,FALSE),"")</f>
        <v/>
      </c>
      <c r="W101" s="200" t="str">
        <f>IFERROR(VLOOKUP(TableHandbook[[#This Row],[UDC]],TableBEDSC[],7,FALSE),"")</f>
        <v/>
      </c>
      <c r="X101" s="200" t="str">
        <f>IFERROR(VLOOKUP(TableHandbook[[#This Row],[UDC]],TableMJRUARTDR[],7,FALSE),"")</f>
        <v/>
      </c>
      <c r="Y101" s="200" t="str">
        <f>IFERROR(VLOOKUP(TableHandbook[[#This Row],[UDC]],TableMJRUARTME[],7,FALSE),"")</f>
        <v/>
      </c>
      <c r="Z101" s="200" t="str">
        <f>IFERROR(VLOOKUP(TableHandbook[[#This Row],[UDC]],TableMJRUARTVA[],7,FALSE),"")</f>
        <v/>
      </c>
      <c r="AA101" s="200" t="str">
        <f>IFERROR(VLOOKUP(TableHandbook[[#This Row],[UDC]],TableMJRUENGLT[],7,FALSE),"")</f>
        <v/>
      </c>
      <c r="AB101" s="200" t="str">
        <f>IFERROR(VLOOKUP(TableHandbook[[#This Row],[UDC]],TableMJRUHLTPE[],7,FALSE),"")</f>
        <v/>
      </c>
      <c r="AC101" s="200" t="str">
        <f>IFERROR(VLOOKUP(TableHandbook[[#This Row],[UDC]],TableMJRUHUSEC[],7,FALSE),"")</f>
        <v>Core</v>
      </c>
      <c r="AD101" s="200" t="str">
        <f>IFERROR(VLOOKUP(TableHandbook[[#This Row],[UDC]],TableMJRUHUSGE[],7,FALSE),"")</f>
        <v>Core</v>
      </c>
      <c r="AE101" s="200" t="str">
        <f>IFERROR(VLOOKUP(TableHandbook[[#This Row],[UDC]],TableMJRUHUSHI[],7,FALSE),"")</f>
        <v>Core</v>
      </c>
      <c r="AF101" s="200" t="str">
        <f>IFERROR(VLOOKUP(TableHandbook[[#This Row],[UDC]],TableMJRUHUSPL[],7,FALSE),"")</f>
        <v>Core</v>
      </c>
      <c r="AG101" s="200" t="str">
        <f>IFERROR(VLOOKUP(TableHandbook[[#This Row],[UDC]],TableMJRUMATHT[],7,FALSE),"")</f>
        <v/>
      </c>
      <c r="AH101" s="200" t="str">
        <f>IFERROR(VLOOKUP(TableHandbook[[#This Row],[UDC]],TableMJRUSCIBI[],7,FALSE),"")</f>
        <v/>
      </c>
      <c r="AI101" s="200" t="str">
        <f>IFERROR(VLOOKUP(TableHandbook[[#This Row],[UDC]],TableMJRUSCICH[],7,FALSE),"")</f>
        <v/>
      </c>
      <c r="AJ101" s="200" t="str">
        <f>IFERROR(VLOOKUP(TableHandbook[[#This Row],[UDC]],TableMJRUSCIHB[],7,FALSE),"")</f>
        <v/>
      </c>
      <c r="AK101" s="200" t="str">
        <f>IFERROR(VLOOKUP(TableHandbook[[#This Row],[UDC]],TableMJRUSCIPH[],7,FALSE),"")</f>
        <v/>
      </c>
      <c r="AL101" s="200" t="str">
        <f>IFERROR(VLOOKUP(TableHandbook[[#This Row],[UDC]],TableMJRUSCIPS[],7,FALSE),"")</f>
        <v/>
      </c>
      <c r="AM101" s="202"/>
      <c r="AN101" s="200" t="str">
        <f>IFERROR(VLOOKUP(TableHandbook[[#This Row],[UDC]],TableSTRUBIOLB[],7,FALSE),"")</f>
        <v/>
      </c>
      <c r="AO101" s="200" t="str">
        <f>IFERROR(VLOOKUP(TableHandbook[[#This Row],[UDC]],TableSTRUBSCIM[],7,FALSE),"")</f>
        <v/>
      </c>
      <c r="AP101" s="200" t="str">
        <f>IFERROR(VLOOKUP(TableHandbook[[#This Row],[UDC]],TableSTRUCHEMB[],7,FALSE),"")</f>
        <v/>
      </c>
      <c r="AQ101" s="200" t="str">
        <f>IFERROR(VLOOKUP(TableHandbook[[#This Row],[UDC]],TableSTRUECOB1[],7,FALSE),"")</f>
        <v/>
      </c>
      <c r="AR101" s="200" t="str">
        <f>IFERROR(VLOOKUP(TableHandbook[[#This Row],[UDC]],TableSTRUEDART[],7,FALSE),"")</f>
        <v/>
      </c>
      <c r="AS101" s="200" t="str">
        <f>IFERROR(VLOOKUP(TableHandbook[[#This Row],[UDC]],TableSTRUEDENG[],7,FALSE),"")</f>
        <v/>
      </c>
      <c r="AT101" s="200" t="str">
        <f>IFERROR(VLOOKUP(TableHandbook[[#This Row],[UDC]],TableSTRUEDHAS[],7,FALSE),"")</f>
        <v/>
      </c>
      <c r="AU101" s="200" t="str">
        <f>IFERROR(VLOOKUP(TableHandbook[[#This Row],[UDC]],TableSTRUEDMAT[],7,FALSE),"")</f>
        <v/>
      </c>
      <c r="AV101" s="200" t="str">
        <f>IFERROR(VLOOKUP(TableHandbook[[#This Row],[UDC]],TableSTRUEDSCI[],7,FALSE),"")</f>
        <v/>
      </c>
      <c r="AW101" s="200" t="str">
        <f>IFERROR(VLOOKUP(TableHandbook[[#This Row],[UDC]],TableSTRUENGLB[],7,FALSE),"")</f>
        <v/>
      </c>
      <c r="AX101" s="200" t="str">
        <f>IFERROR(VLOOKUP(TableHandbook[[#This Row],[UDC]],TableSTRUENGLM[],7,FALSE),"")</f>
        <v/>
      </c>
      <c r="AY101" s="200" t="str">
        <f>IFERROR(VLOOKUP(TableHandbook[[#This Row],[UDC]],TableSTRUGEOB1[],7,FALSE),"")</f>
        <v/>
      </c>
      <c r="AZ101" s="200" t="str">
        <f>IFERROR(VLOOKUP(TableHandbook[[#This Row],[UDC]],TableSTRUHISB1[],7,FALSE),"")</f>
        <v/>
      </c>
      <c r="BA101" s="200" t="str">
        <f>IFERROR(VLOOKUP(TableHandbook[[#This Row],[UDC]],TableSTRUHUMAM[],7,FALSE),"")</f>
        <v>Core</v>
      </c>
      <c r="BB101" s="200" t="str">
        <f>IFERROR(VLOOKUP(TableHandbook[[#This Row],[UDC]],TableSTRUHUMBB[],7,FALSE),"")</f>
        <v/>
      </c>
      <c r="BC101" s="200" t="str">
        <f>IFERROR(VLOOKUP(TableHandbook[[#This Row],[UDC]],TableSTRUMATHB[],7,FALSE),"")</f>
        <v/>
      </c>
      <c r="BD101" s="200" t="str">
        <f>IFERROR(VLOOKUP(TableHandbook[[#This Row],[UDC]],TableSTRUMATHM[],7,FALSE),"")</f>
        <v/>
      </c>
      <c r="BE101" s="200" t="str">
        <f>IFERROR(VLOOKUP(TableHandbook[[#This Row],[UDC]],TableSTRUPARTB[],7,FALSE),"")</f>
        <v/>
      </c>
      <c r="BF101" s="200" t="str">
        <f>IFERROR(VLOOKUP(TableHandbook[[#This Row],[UDC]],TableSTRUPARTM[],7,FALSE),"")</f>
        <v/>
      </c>
      <c r="BG101" s="200" t="str">
        <f>IFERROR(VLOOKUP(TableHandbook[[#This Row],[UDC]],TableSTRUPOLB1[],7,FALSE),"")</f>
        <v/>
      </c>
      <c r="BH101" s="200" t="str">
        <f>IFERROR(VLOOKUP(TableHandbook[[#This Row],[UDC]],TableSTRUPSCIM[],7,FALSE),"")</f>
        <v/>
      </c>
      <c r="BI101" s="200" t="str">
        <f>IFERROR(VLOOKUP(TableHandbook[[#This Row],[UDC]],TableSTRUPSYCB[],7,FALSE),"")</f>
        <v/>
      </c>
      <c r="BJ101" s="200" t="str">
        <f>IFERROR(VLOOKUP(TableHandbook[[#This Row],[UDC]],TableSTRUPSYCM[],7,FALSE),"")</f>
        <v/>
      </c>
      <c r="BK101" s="200" t="str">
        <f>IFERROR(VLOOKUP(TableHandbook[[#This Row],[UDC]],TableSTRUSOSCM[],7,FALSE),"")</f>
        <v>Core</v>
      </c>
      <c r="BL101" s="200" t="str">
        <f>IFERROR(VLOOKUP(TableHandbook[[#This Row],[UDC]],TableSTRUVARTB[],7,FALSE),"")</f>
        <v/>
      </c>
      <c r="BM101" s="200" t="str">
        <f>IFERROR(VLOOKUP(TableHandbook[[#This Row],[UDC]],TableSTRUVARTM[],7,FALSE),"")</f>
        <v/>
      </c>
    </row>
    <row r="102" spans="1:65" x14ac:dyDescent="0.25">
      <c r="A102" s="262" t="s">
        <v>343</v>
      </c>
      <c r="B102" s="12">
        <v>2</v>
      </c>
      <c r="C102" s="11"/>
      <c r="D102" s="11" t="s">
        <v>677</v>
      </c>
      <c r="E102" s="12">
        <v>25</v>
      </c>
      <c r="F102" s="131" t="s">
        <v>320</v>
      </c>
      <c r="G102" s="126" t="str">
        <f>IFERROR(IF(VLOOKUP(TableHandbook[[#This Row],[UDC]],TableAvailabilities[],2,FALSE)&gt;0,"Y",""),"")</f>
        <v/>
      </c>
      <c r="H102" s="127" t="str">
        <f>IFERROR(IF(VLOOKUP(TableHandbook[[#This Row],[UDC]],TableAvailabilities[],3,FALSE)&gt;0,"Y",""),"")</f>
        <v/>
      </c>
      <c r="I102" s="127" t="str">
        <f>IFERROR(IF(VLOOKUP(TableHandbook[[#This Row],[UDC]],TableAvailabilities[],4,FALSE)&gt;0,"Y",""),"")</f>
        <v/>
      </c>
      <c r="J102" s="128" t="str">
        <f>IFERROR(IF(VLOOKUP(TableHandbook[[#This Row],[UDC]],TableAvailabilities[],5,FALSE)&gt;0,"Y",""),"")</f>
        <v>Y</v>
      </c>
      <c r="K102" s="128" t="str">
        <f>IFERROR(IF(VLOOKUP(TableHandbook[[#This Row],[UDC]],TableAvailabilities[],6,FALSE)&gt;0,"Y",""),"")</f>
        <v>Y</v>
      </c>
      <c r="L102" s="127" t="str">
        <f>IFERROR(IF(VLOOKUP(TableHandbook[[#This Row],[UDC]],TableAvailabilities[],7,FALSE)&gt;0,"Y",""),"")</f>
        <v/>
      </c>
      <c r="M102" s="207"/>
      <c r="N102" s="205" t="str">
        <f>IFERROR(VLOOKUP(TableHandbook[[#This Row],[UDC]],TableBEDUC[],7,FALSE),"")</f>
        <v/>
      </c>
      <c r="O102" s="200" t="str">
        <f>IFERROR(VLOOKUP(TableHandbook[[#This Row],[UDC]],TableBEDEC[],7,FALSE),"")</f>
        <v/>
      </c>
      <c r="P102" s="200" t="str">
        <f>IFERROR(VLOOKUP(TableHandbook[[#This Row],[UDC]],TableBEDPR[],7,FALSE),"")</f>
        <v/>
      </c>
      <c r="Q102" s="200" t="str">
        <f>IFERROR(VLOOKUP(TableHandbook[[#This Row],[UDC]],TableSTRUCATHL[],7,FALSE),"")</f>
        <v/>
      </c>
      <c r="R102" s="200" t="str">
        <f>IFERROR(VLOOKUP(TableHandbook[[#This Row],[UDC]],TableSTRUENGLL[],7,FALSE),"")</f>
        <v/>
      </c>
      <c r="S102" s="200" t="str">
        <f>IFERROR(VLOOKUP(TableHandbook[[#This Row],[UDC]],TableSTRUINTBC[],7,FALSE),"")</f>
        <v/>
      </c>
      <c r="T102" s="200" t="str">
        <f>IFERROR(VLOOKUP(TableHandbook[[#This Row],[UDC]],TableSTRUISTEM[],7,FALSE),"")</f>
        <v/>
      </c>
      <c r="U102" s="200" t="str">
        <f>IFERROR(VLOOKUP(TableHandbook[[#This Row],[UDC]],TableSTRULITNU[],7,FALSE),"")</f>
        <v/>
      </c>
      <c r="V102" s="200" t="str">
        <f>IFERROR(VLOOKUP(TableHandbook[[#This Row],[UDC]],TableSTRUTECHS[],7,FALSE),"")</f>
        <v/>
      </c>
      <c r="W102" s="200" t="str">
        <f>IFERROR(VLOOKUP(TableHandbook[[#This Row],[UDC]],TableBEDSC[],7,FALSE),"")</f>
        <v/>
      </c>
      <c r="X102" s="200" t="str">
        <f>IFERROR(VLOOKUP(TableHandbook[[#This Row],[UDC]],TableMJRUARTDR[],7,FALSE),"")</f>
        <v/>
      </c>
      <c r="Y102" s="200" t="str">
        <f>IFERROR(VLOOKUP(TableHandbook[[#This Row],[UDC]],TableMJRUARTME[],7,FALSE),"")</f>
        <v/>
      </c>
      <c r="Z102" s="200" t="str">
        <f>IFERROR(VLOOKUP(TableHandbook[[#This Row],[UDC]],TableMJRUARTVA[],7,FALSE),"")</f>
        <v/>
      </c>
      <c r="AA102" s="200" t="str">
        <f>IFERROR(VLOOKUP(TableHandbook[[#This Row],[UDC]],TableMJRUENGLT[],7,FALSE),"")</f>
        <v/>
      </c>
      <c r="AB102" s="200" t="str">
        <f>IFERROR(VLOOKUP(TableHandbook[[#This Row],[UDC]],TableMJRUHLTPE[],7,FALSE),"")</f>
        <v/>
      </c>
      <c r="AC102" s="200" t="str">
        <f>IFERROR(VLOOKUP(TableHandbook[[#This Row],[UDC]],TableMJRUHUSEC[],7,FALSE),"")</f>
        <v>Core</v>
      </c>
      <c r="AD102" s="200" t="str">
        <f>IFERROR(VLOOKUP(TableHandbook[[#This Row],[UDC]],TableMJRUHUSGE[],7,FALSE),"")</f>
        <v>Core</v>
      </c>
      <c r="AE102" s="200" t="str">
        <f>IFERROR(VLOOKUP(TableHandbook[[#This Row],[UDC]],TableMJRUHUSHI[],7,FALSE),"")</f>
        <v>Core</v>
      </c>
      <c r="AF102" s="200" t="str">
        <f>IFERROR(VLOOKUP(TableHandbook[[#This Row],[UDC]],TableMJRUHUSPL[],7,FALSE),"")</f>
        <v>Core</v>
      </c>
      <c r="AG102" s="200" t="str">
        <f>IFERROR(VLOOKUP(TableHandbook[[#This Row],[UDC]],TableMJRUMATHT[],7,FALSE),"")</f>
        <v/>
      </c>
      <c r="AH102" s="200" t="str">
        <f>IFERROR(VLOOKUP(TableHandbook[[#This Row],[UDC]],TableMJRUSCIBI[],7,FALSE),"")</f>
        <v/>
      </c>
      <c r="AI102" s="200" t="str">
        <f>IFERROR(VLOOKUP(TableHandbook[[#This Row],[UDC]],TableMJRUSCICH[],7,FALSE),"")</f>
        <v/>
      </c>
      <c r="AJ102" s="200" t="str">
        <f>IFERROR(VLOOKUP(TableHandbook[[#This Row],[UDC]],TableMJRUSCIHB[],7,FALSE),"")</f>
        <v/>
      </c>
      <c r="AK102" s="200" t="str">
        <f>IFERROR(VLOOKUP(TableHandbook[[#This Row],[UDC]],TableMJRUSCIPH[],7,FALSE),"")</f>
        <v/>
      </c>
      <c r="AL102" s="200" t="str">
        <f>IFERROR(VLOOKUP(TableHandbook[[#This Row],[UDC]],TableMJRUSCIPS[],7,FALSE),"")</f>
        <v/>
      </c>
      <c r="AM102" s="202"/>
      <c r="AN102" s="200" t="str">
        <f>IFERROR(VLOOKUP(TableHandbook[[#This Row],[UDC]],TableSTRUBIOLB[],7,FALSE),"")</f>
        <v/>
      </c>
      <c r="AO102" s="200" t="str">
        <f>IFERROR(VLOOKUP(TableHandbook[[#This Row],[UDC]],TableSTRUBSCIM[],7,FALSE),"")</f>
        <v/>
      </c>
      <c r="AP102" s="200" t="str">
        <f>IFERROR(VLOOKUP(TableHandbook[[#This Row],[UDC]],TableSTRUCHEMB[],7,FALSE),"")</f>
        <v/>
      </c>
      <c r="AQ102" s="200" t="str">
        <f>IFERROR(VLOOKUP(TableHandbook[[#This Row],[UDC]],TableSTRUECOB1[],7,FALSE),"")</f>
        <v/>
      </c>
      <c r="AR102" s="200" t="str">
        <f>IFERROR(VLOOKUP(TableHandbook[[#This Row],[UDC]],TableSTRUEDART[],7,FALSE),"")</f>
        <v/>
      </c>
      <c r="AS102" s="200" t="str">
        <f>IFERROR(VLOOKUP(TableHandbook[[#This Row],[UDC]],TableSTRUEDENG[],7,FALSE),"")</f>
        <v/>
      </c>
      <c r="AT102" s="200" t="str">
        <f>IFERROR(VLOOKUP(TableHandbook[[#This Row],[UDC]],TableSTRUEDHAS[],7,FALSE),"")</f>
        <v/>
      </c>
      <c r="AU102" s="200" t="str">
        <f>IFERROR(VLOOKUP(TableHandbook[[#This Row],[UDC]],TableSTRUEDMAT[],7,FALSE),"")</f>
        <v/>
      </c>
      <c r="AV102" s="200" t="str">
        <f>IFERROR(VLOOKUP(TableHandbook[[#This Row],[UDC]],TableSTRUEDSCI[],7,FALSE),"")</f>
        <v/>
      </c>
      <c r="AW102" s="200" t="str">
        <f>IFERROR(VLOOKUP(TableHandbook[[#This Row],[UDC]],TableSTRUENGLB[],7,FALSE),"")</f>
        <v/>
      </c>
      <c r="AX102" s="200" t="str">
        <f>IFERROR(VLOOKUP(TableHandbook[[#This Row],[UDC]],TableSTRUENGLM[],7,FALSE),"")</f>
        <v/>
      </c>
      <c r="AY102" s="200" t="str">
        <f>IFERROR(VLOOKUP(TableHandbook[[#This Row],[UDC]],TableSTRUGEOB1[],7,FALSE),"")</f>
        <v/>
      </c>
      <c r="AZ102" s="200" t="str">
        <f>IFERROR(VLOOKUP(TableHandbook[[#This Row],[UDC]],TableSTRUHISB1[],7,FALSE),"")</f>
        <v/>
      </c>
      <c r="BA102" s="200" t="str">
        <f>IFERROR(VLOOKUP(TableHandbook[[#This Row],[UDC]],TableSTRUHUMAM[],7,FALSE),"")</f>
        <v>Core</v>
      </c>
      <c r="BB102" s="200" t="str">
        <f>IFERROR(VLOOKUP(TableHandbook[[#This Row],[UDC]],TableSTRUHUMBB[],7,FALSE),"")</f>
        <v/>
      </c>
      <c r="BC102" s="200" t="str">
        <f>IFERROR(VLOOKUP(TableHandbook[[#This Row],[UDC]],TableSTRUMATHB[],7,FALSE),"")</f>
        <v/>
      </c>
      <c r="BD102" s="200" t="str">
        <f>IFERROR(VLOOKUP(TableHandbook[[#This Row],[UDC]],TableSTRUMATHM[],7,FALSE),"")</f>
        <v/>
      </c>
      <c r="BE102" s="200" t="str">
        <f>IFERROR(VLOOKUP(TableHandbook[[#This Row],[UDC]],TableSTRUPARTB[],7,FALSE),"")</f>
        <v/>
      </c>
      <c r="BF102" s="200" t="str">
        <f>IFERROR(VLOOKUP(TableHandbook[[#This Row],[UDC]],TableSTRUPARTM[],7,FALSE),"")</f>
        <v/>
      </c>
      <c r="BG102" s="200" t="str">
        <f>IFERROR(VLOOKUP(TableHandbook[[#This Row],[UDC]],TableSTRUPOLB1[],7,FALSE),"")</f>
        <v/>
      </c>
      <c r="BH102" s="200" t="str">
        <f>IFERROR(VLOOKUP(TableHandbook[[#This Row],[UDC]],TableSTRUPSCIM[],7,FALSE),"")</f>
        <v/>
      </c>
      <c r="BI102" s="200" t="str">
        <f>IFERROR(VLOOKUP(TableHandbook[[#This Row],[UDC]],TableSTRUPSYCB[],7,FALSE),"")</f>
        <v/>
      </c>
      <c r="BJ102" s="200" t="str">
        <f>IFERROR(VLOOKUP(TableHandbook[[#This Row],[UDC]],TableSTRUPSYCM[],7,FALSE),"")</f>
        <v/>
      </c>
      <c r="BK102" s="200" t="str">
        <f>IFERROR(VLOOKUP(TableHandbook[[#This Row],[UDC]],TableSTRUSOSCM[],7,FALSE),"")</f>
        <v>Core</v>
      </c>
      <c r="BL102" s="200" t="str">
        <f>IFERROR(VLOOKUP(TableHandbook[[#This Row],[UDC]],TableSTRUVARTB[],7,FALSE),"")</f>
        <v/>
      </c>
      <c r="BM102" s="200" t="str">
        <f>IFERROR(VLOOKUP(TableHandbook[[#This Row],[UDC]],TableSTRUVARTM[],7,FALSE),"")</f>
        <v/>
      </c>
    </row>
    <row r="103" spans="1:65" x14ac:dyDescent="0.25">
      <c r="A103" s="262" t="s">
        <v>341</v>
      </c>
      <c r="B103" s="12">
        <v>2</v>
      </c>
      <c r="C103" s="11"/>
      <c r="D103" s="11" t="s">
        <v>678</v>
      </c>
      <c r="E103" s="12">
        <v>25</v>
      </c>
      <c r="F103" s="131" t="s">
        <v>318</v>
      </c>
      <c r="G103" s="126" t="str">
        <f>IFERROR(IF(VLOOKUP(TableHandbook[[#This Row],[UDC]],TableAvailabilities[],2,FALSE)&gt;0,"Y",""),"")</f>
        <v/>
      </c>
      <c r="H103" s="127" t="str">
        <f>IFERROR(IF(VLOOKUP(TableHandbook[[#This Row],[UDC]],TableAvailabilities[],3,FALSE)&gt;0,"Y",""),"")</f>
        <v/>
      </c>
      <c r="I103" s="127" t="str">
        <f>IFERROR(IF(VLOOKUP(TableHandbook[[#This Row],[UDC]],TableAvailabilities[],4,FALSE)&gt;0,"Y",""),"")</f>
        <v/>
      </c>
      <c r="J103" s="128" t="str">
        <f>IFERROR(IF(VLOOKUP(TableHandbook[[#This Row],[UDC]],TableAvailabilities[],5,FALSE)&gt;0,"Y",""),"")</f>
        <v>Y</v>
      </c>
      <c r="K103" s="128" t="str">
        <f>IFERROR(IF(VLOOKUP(TableHandbook[[#This Row],[UDC]],TableAvailabilities[],6,FALSE)&gt;0,"Y",""),"")</f>
        <v>Y</v>
      </c>
      <c r="L103" s="127" t="str">
        <f>IFERROR(IF(VLOOKUP(TableHandbook[[#This Row],[UDC]],TableAvailabilities[],7,FALSE)&gt;0,"Y",""),"")</f>
        <v/>
      </c>
      <c r="M103" s="207"/>
      <c r="N103" s="205" t="str">
        <f>IFERROR(VLOOKUP(TableHandbook[[#This Row],[UDC]],TableBEDUC[],7,FALSE),"")</f>
        <v/>
      </c>
      <c r="O103" s="200" t="str">
        <f>IFERROR(VLOOKUP(TableHandbook[[#This Row],[UDC]],TableBEDEC[],7,FALSE),"")</f>
        <v/>
      </c>
      <c r="P103" s="200" t="str">
        <f>IFERROR(VLOOKUP(TableHandbook[[#This Row],[UDC]],TableBEDPR[],7,FALSE),"")</f>
        <v/>
      </c>
      <c r="Q103" s="200" t="str">
        <f>IFERROR(VLOOKUP(TableHandbook[[#This Row],[UDC]],TableSTRUCATHL[],7,FALSE),"")</f>
        <v/>
      </c>
      <c r="R103" s="200" t="str">
        <f>IFERROR(VLOOKUP(TableHandbook[[#This Row],[UDC]],TableSTRUENGLL[],7,FALSE),"")</f>
        <v/>
      </c>
      <c r="S103" s="200" t="str">
        <f>IFERROR(VLOOKUP(TableHandbook[[#This Row],[UDC]],TableSTRUINTBC[],7,FALSE),"")</f>
        <v/>
      </c>
      <c r="T103" s="200" t="str">
        <f>IFERROR(VLOOKUP(TableHandbook[[#This Row],[UDC]],TableSTRUISTEM[],7,FALSE),"")</f>
        <v/>
      </c>
      <c r="U103" s="200" t="str">
        <f>IFERROR(VLOOKUP(TableHandbook[[#This Row],[UDC]],TableSTRULITNU[],7,FALSE),"")</f>
        <v/>
      </c>
      <c r="V103" s="200" t="str">
        <f>IFERROR(VLOOKUP(TableHandbook[[#This Row],[UDC]],TableSTRUTECHS[],7,FALSE),"")</f>
        <v/>
      </c>
      <c r="W103" s="200" t="str">
        <f>IFERROR(VLOOKUP(TableHandbook[[#This Row],[UDC]],TableBEDSC[],7,FALSE),"")</f>
        <v/>
      </c>
      <c r="X103" s="200" t="str">
        <f>IFERROR(VLOOKUP(TableHandbook[[#This Row],[UDC]],TableMJRUARTDR[],7,FALSE),"")</f>
        <v>Core</v>
      </c>
      <c r="Y103" s="200" t="str">
        <f>IFERROR(VLOOKUP(TableHandbook[[#This Row],[UDC]],TableMJRUARTME[],7,FALSE),"")</f>
        <v>Core</v>
      </c>
      <c r="Z103" s="200" t="str">
        <f>IFERROR(VLOOKUP(TableHandbook[[#This Row],[UDC]],TableMJRUARTVA[],7,FALSE),"")</f>
        <v>Core</v>
      </c>
      <c r="AA103" s="200" t="str">
        <f>IFERROR(VLOOKUP(TableHandbook[[#This Row],[UDC]],TableMJRUENGLT[],7,FALSE),"")</f>
        <v/>
      </c>
      <c r="AB103" s="200" t="str">
        <f>IFERROR(VLOOKUP(TableHandbook[[#This Row],[UDC]],TableMJRUHLTPE[],7,FALSE),"")</f>
        <v/>
      </c>
      <c r="AC103" s="200" t="str">
        <f>IFERROR(VLOOKUP(TableHandbook[[#This Row],[UDC]],TableMJRUHUSEC[],7,FALSE),"")</f>
        <v/>
      </c>
      <c r="AD103" s="200" t="str">
        <f>IFERROR(VLOOKUP(TableHandbook[[#This Row],[UDC]],TableMJRUHUSGE[],7,FALSE),"")</f>
        <v/>
      </c>
      <c r="AE103" s="200" t="str">
        <f>IFERROR(VLOOKUP(TableHandbook[[#This Row],[UDC]],TableMJRUHUSHI[],7,FALSE),"")</f>
        <v/>
      </c>
      <c r="AF103" s="200" t="str">
        <f>IFERROR(VLOOKUP(TableHandbook[[#This Row],[UDC]],TableMJRUHUSPL[],7,FALSE),"")</f>
        <v/>
      </c>
      <c r="AG103" s="200" t="str">
        <f>IFERROR(VLOOKUP(TableHandbook[[#This Row],[UDC]],TableMJRUMATHT[],7,FALSE),"")</f>
        <v/>
      </c>
      <c r="AH103" s="200" t="str">
        <f>IFERROR(VLOOKUP(TableHandbook[[#This Row],[UDC]],TableMJRUSCIBI[],7,FALSE),"")</f>
        <v/>
      </c>
      <c r="AI103" s="200" t="str">
        <f>IFERROR(VLOOKUP(TableHandbook[[#This Row],[UDC]],TableMJRUSCICH[],7,FALSE),"")</f>
        <v/>
      </c>
      <c r="AJ103" s="200" t="str">
        <f>IFERROR(VLOOKUP(TableHandbook[[#This Row],[UDC]],TableMJRUSCIHB[],7,FALSE),"")</f>
        <v/>
      </c>
      <c r="AK103" s="200" t="str">
        <f>IFERROR(VLOOKUP(TableHandbook[[#This Row],[UDC]],TableMJRUSCIPH[],7,FALSE),"")</f>
        <v/>
      </c>
      <c r="AL103" s="200" t="str">
        <f>IFERROR(VLOOKUP(TableHandbook[[#This Row],[UDC]],TableMJRUSCIPS[],7,FALSE),"")</f>
        <v/>
      </c>
      <c r="AM103" s="202"/>
      <c r="AN103" s="200" t="str">
        <f>IFERROR(VLOOKUP(TableHandbook[[#This Row],[UDC]],TableSTRUBIOLB[],7,FALSE),"")</f>
        <v/>
      </c>
      <c r="AO103" s="200" t="str">
        <f>IFERROR(VLOOKUP(TableHandbook[[#This Row],[UDC]],TableSTRUBSCIM[],7,FALSE),"")</f>
        <v/>
      </c>
      <c r="AP103" s="200" t="str">
        <f>IFERROR(VLOOKUP(TableHandbook[[#This Row],[UDC]],TableSTRUCHEMB[],7,FALSE),"")</f>
        <v/>
      </c>
      <c r="AQ103" s="200" t="str">
        <f>IFERROR(VLOOKUP(TableHandbook[[#This Row],[UDC]],TableSTRUECOB1[],7,FALSE),"")</f>
        <v/>
      </c>
      <c r="AR103" s="200" t="str">
        <f>IFERROR(VLOOKUP(TableHandbook[[#This Row],[UDC]],TableSTRUEDART[],7,FALSE),"")</f>
        <v/>
      </c>
      <c r="AS103" s="200" t="str">
        <f>IFERROR(VLOOKUP(TableHandbook[[#This Row],[UDC]],TableSTRUEDENG[],7,FALSE),"")</f>
        <v/>
      </c>
      <c r="AT103" s="200" t="str">
        <f>IFERROR(VLOOKUP(TableHandbook[[#This Row],[UDC]],TableSTRUEDHAS[],7,FALSE),"")</f>
        <v/>
      </c>
      <c r="AU103" s="200" t="str">
        <f>IFERROR(VLOOKUP(TableHandbook[[#This Row],[UDC]],TableSTRUEDMAT[],7,FALSE),"")</f>
        <v/>
      </c>
      <c r="AV103" s="200" t="str">
        <f>IFERROR(VLOOKUP(TableHandbook[[#This Row],[UDC]],TableSTRUEDSCI[],7,FALSE),"")</f>
        <v/>
      </c>
      <c r="AW103" s="200" t="str">
        <f>IFERROR(VLOOKUP(TableHandbook[[#This Row],[UDC]],TableSTRUENGLB[],7,FALSE),"")</f>
        <v/>
      </c>
      <c r="AX103" s="200" t="str">
        <f>IFERROR(VLOOKUP(TableHandbook[[#This Row],[UDC]],TableSTRUENGLM[],7,FALSE),"")</f>
        <v/>
      </c>
      <c r="AY103" s="200" t="str">
        <f>IFERROR(VLOOKUP(TableHandbook[[#This Row],[UDC]],TableSTRUGEOB1[],7,FALSE),"")</f>
        <v/>
      </c>
      <c r="AZ103" s="200" t="str">
        <f>IFERROR(VLOOKUP(TableHandbook[[#This Row],[UDC]],TableSTRUHISB1[],7,FALSE),"")</f>
        <v/>
      </c>
      <c r="BA103" s="200" t="str">
        <f>IFERROR(VLOOKUP(TableHandbook[[#This Row],[UDC]],TableSTRUHUMAM[],7,FALSE),"")</f>
        <v/>
      </c>
      <c r="BB103" s="200" t="str">
        <f>IFERROR(VLOOKUP(TableHandbook[[#This Row],[UDC]],TableSTRUHUMBB[],7,FALSE),"")</f>
        <v/>
      </c>
      <c r="BC103" s="200" t="str">
        <f>IFERROR(VLOOKUP(TableHandbook[[#This Row],[UDC]],TableSTRUMATHB[],7,FALSE),"")</f>
        <v/>
      </c>
      <c r="BD103" s="200" t="str">
        <f>IFERROR(VLOOKUP(TableHandbook[[#This Row],[UDC]],TableSTRUMATHM[],7,FALSE),"")</f>
        <v/>
      </c>
      <c r="BE103" s="200" t="str">
        <f>IFERROR(VLOOKUP(TableHandbook[[#This Row],[UDC]],TableSTRUPARTB[],7,FALSE),"")</f>
        <v/>
      </c>
      <c r="BF103" s="200" t="str">
        <f>IFERROR(VLOOKUP(TableHandbook[[#This Row],[UDC]],TableSTRUPARTM[],7,FALSE),"")</f>
        <v>Core</v>
      </c>
      <c r="BG103" s="200" t="str">
        <f>IFERROR(VLOOKUP(TableHandbook[[#This Row],[UDC]],TableSTRUPOLB1[],7,FALSE),"")</f>
        <v/>
      </c>
      <c r="BH103" s="200" t="str">
        <f>IFERROR(VLOOKUP(TableHandbook[[#This Row],[UDC]],TableSTRUPSCIM[],7,FALSE),"")</f>
        <v/>
      </c>
      <c r="BI103" s="200" t="str">
        <f>IFERROR(VLOOKUP(TableHandbook[[#This Row],[UDC]],TableSTRUPSYCB[],7,FALSE),"")</f>
        <v/>
      </c>
      <c r="BJ103" s="200" t="str">
        <f>IFERROR(VLOOKUP(TableHandbook[[#This Row],[UDC]],TableSTRUPSYCM[],7,FALSE),"")</f>
        <v/>
      </c>
      <c r="BK103" s="200" t="str">
        <f>IFERROR(VLOOKUP(TableHandbook[[#This Row],[UDC]],TableSTRUSOSCM[],7,FALSE),"")</f>
        <v/>
      </c>
      <c r="BL103" s="200" t="str">
        <f>IFERROR(VLOOKUP(TableHandbook[[#This Row],[UDC]],TableSTRUVARTB[],7,FALSE),"")</f>
        <v/>
      </c>
      <c r="BM103" s="200" t="str">
        <f>IFERROR(VLOOKUP(TableHandbook[[#This Row],[UDC]],TableSTRUVARTM[],7,FALSE),"")</f>
        <v>Core</v>
      </c>
    </row>
    <row r="104" spans="1:65" ht="39" x14ac:dyDescent="0.25">
      <c r="A104" s="262" t="s">
        <v>319</v>
      </c>
      <c r="B104" s="12">
        <v>1</v>
      </c>
      <c r="C104" s="11"/>
      <c r="D104" s="11" t="s">
        <v>679</v>
      </c>
      <c r="E104" s="12">
        <v>25</v>
      </c>
      <c r="F104" s="183" t="s">
        <v>671</v>
      </c>
      <c r="G104" s="126" t="str">
        <f>IFERROR(IF(VLOOKUP(TableHandbook[[#This Row],[UDC]],TableAvailabilities[],2,FALSE)&gt;0,"Y",""),"")</f>
        <v>Y</v>
      </c>
      <c r="H104" s="127" t="str">
        <f>IFERROR(IF(VLOOKUP(TableHandbook[[#This Row],[UDC]],TableAvailabilities[],3,FALSE)&gt;0,"Y",""),"")</f>
        <v>Y</v>
      </c>
      <c r="I104" s="127" t="str">
        <f>IFERROR(IF(VLOOKUP(TableHandbook[[#This Row],[UDC]],TableAvailabilities[],4,FALSE)&gt;0,"Y",""),"")</f>
        <v/>
      </c>
      <c r="J104" s="128" t="str">
        <f>IFERROR(IF(VLOOKUP(TableHandbook[[#This Row],[UDC]],TableAvailabilities[],5,FALSE)&gt;0,"Y",""),"")</f>
        <v/>
      </c>
      <c r="K104" s="128" t="str">
        <f>IFERROR(IF(VLOOKUP(TableHandbook[[#This Row],[UDC]],TableAvailabilities[],6,FALSE)&gt;0,"Y",""),"")</f>
        <v/>
      </c>
      <c r="L104" s="127" t="str">
        <f>IFERROR(IF(VLOOKUP(TableHandbook[[#This Row],[UDC]],TableAvailabilities[],7,FALSE)&gt;0,"Y",""),"")</f>
        <v/>
      </c>
      <c r="M104" s="209" t="s">
        <v>672</v>
      </c>
      <c r="N104" s="205" t="str">
        <f>IFERROR(VLOOKUP(TableHandbook[[#This Row],[UDC]],TableBEDUC[],7,FALSE),"")</f>
        <v/>
      </c>
      <c r="O104" s="200" t="str">
        <f>IFERROR(VLOOKUP(TableHandbook[[#This Row],[UDC]],TableBEDEC[],7,FALSE),"")</f>
        <v/>
      </c>
      <c r="P104" s="200" t="str">
        <f>IFERROR(VLOOKUP(TableHandbook[[#This Row],[UDC]],TableBEDPR[],7,FALSE),"")</f>
        <v/>
      </c>
      <c r="Q104" s="200" t="str">
        <f>IFERROR(VLOOKUP(TableHandbook[[#This Row],[UDC]],TableSTRUCATHL[],7,FALSE),"")</f>
        <v/>
      </c>
      <c r="R104" s="200" t="str">
        <f>IFERROR(VLOOKUP(TableHandbook[[#This Row],[UDC]],TableSTRUENGLL[],7,FALSE),"")</f>
        <v/>
      </c>
      <c r="S104" s="200" t="str">
        <f>IFERROR(VLOOKUP(TableHandbook[[#This Row],[UDC]],TableSTRUINTBC[],7,FALSE),"")</f>
        <v/>
      </c>
      <c r="T104" s="200" t="str">
        <f>IFERROR(VLOOKUP(TableHandbook[[#This Row],[UDC]],TableSTRUISTEM[],7,FALSE),"")</f>
        <v/>
      </c>
      <c r="U104" s="200" t="str">
        <f>IFERROR(VLOOKUP(TableHandbook[[#This Row],[UDC]],TableSTRULITNU[],7,FALSE),"")</f>
        <v/>
      </c>
      <c r="V104" s="200" t="str">
        <f>IFERROR(VLOOKUP(TableHandbook[[#This Row],[UDC]],TableSTRUTECHS[],7,FALSE),"")</f>
        <v/>
      </c>
      <c r="W104" s="200" t="str">
        <f>IFERROR(VLOOKUP(TableHandbook[[#This Row],[UDC]],TableBEDSC[],7,FALSE),"")</f>
        <v/>
      </c>
      <c r="X104" s="200" t="str">
        <f>IFERROR(VLOOKUP(TableHandbook[[#This Row],[UDC]],TableMJRUARTDR[],7,FALSE),"")</f>
        <v/>
      </c>
      <c r="Y104" s="200" t="str">
        <f>IFERROR(VLOOKUP(TableHandbook[[#This Row],[UDC]],TableMJRUARTME[],7,FALSE),"")</f>
        <v/>
      </c>
      <c r="Z104" s="200" t="str">
        <f>IFERROR(VLOOKUP(TableHandbook[[#This Row],[UDC]],TableMJRUARTVA[],7,FALSE),"")</f>
        <v/>
      </c>
      <c r="AA104" s="200" t="str">
        <f>IFERROR(VLOOKUP(TableHandbook[[#This Row],[UDC]],TableMJRUENGLT[],7,FALSE),"")</f>
        <v>Core</v>
      </c>
      <c r="AB104" s="200" t="str">
        <f>IFERROR(VLOOKUP(TableHandbook[[#This Row],[UDC]],TableMJRUHLTPE[],7,FALSE),"")</f>
        <v/>
      </c>
      <c r="AC104" s="200" t="str">
        <f>IFERROR(VLOOKUP(TableHandbook[[#This Row],[UDC]],TableMJRUHUSEC[],7,FALSE),"")</f>
        <v/>
      </c>
      <c r="AD104" s="200" t="str">
        <f>IFERROR(VLOOKUP(TableHandbook[[#This Row],[UDC]],TableMJRUHUSGE[],7,FALSE),"")</f>
        <v/>
      </c>
      <c r="AE104" s="200" t="str">
        <f>IFERROR(VLOOKUP(TableHandbook[[#This Row],[UDC]],TableMJRUHUSHI[],7,FALSE),"")</f>
        <v/>
      </c>
      <c r="AF104" s="200" t="str">
        <f>IFERROR(VLOOKUP(TableHandbook[[#This Row],[UDC]],TableMJRUHUSPL[],7,FALSE),"")</f>
        <v/>
      </c>
      <c r="AG104" s="200" t="str">
        <f>IFERROR(VLOOKUP(TableHandbook[[#This Row],[UDC]],TableMJRUMATHT[],7,FALSE),"")</f>
        <v/>
      </c>
      <c r="AH104" s="200" t="str">
        <f>IFERROR(VLOOKUP(TableHandbook[[#This Row],[UDC]],TableMJRUSCIBI[],7,FALSE),"")</f>
        <v/>
      </c>
      <c r="AI104" s="200" t="str">
        <f>IFERROR(VLOOKUP(TableHandbook[[#This Row],[UDC]],TableMJRUSCICH[],7,FALSE),"")</f>
        <v/>
      </c>
      <c r="AJ104" s="200" t="str">
        <f>IFERROR(VLOOKUP(TableHandbook[[#This Row],[UDC]],TableMJRUSCIHB[],7,FALSE),"")</f>
        <v/>
      </c>
      <c r="AK104" s="200" t="str">
        <f>IFERROR(VLOOKUP(TableHandbook[[#This Row],[UDC]],TableMJRUSCIPH[],7,FALSE),"")</f>
        <v/>
      </c>
      <c r="AL104" s="200" t="str">
        <f>IFERROR(VLOOKUP(TableHandbook[[#This Row],[UDC]],TableMJRUSCIPS[],7,FALSE),"")</f>
        <v/>
      </c>
      <c r="AM104" s="202"/>
      <c r="AN104" s="200" t="str">
        <f>IFERROR(VLOOKUP(TableHandbook[[#This Row],[UDC]],TableSTRUBIOLB[],7,FALSE),"")</f>
        <v/>
      </c>
      <c r="AO104" s="200" t="str">
        <f>IFERROR(VLOOKUP(TableHandbook[[#This Row],[UDC]],TableSTRUBSCIM[],7,FALSE),"")</f>
        <v/>
      </c>
      <c r="AP104" s="200" t="str">
        <f>IFERROR(VLOOKUP(TableHandbook[[#This Row],[UDC]],TableSTRUCHEMB[],7,FALSE),"")</f>
        <v/>
      </c>
      <c r="AQ104" s="200" t="str">
        <f>IFERROR(VLOOKUP(TableHandbook[[#This Row],[UDC]],TableSTRUECOB1[],7,FALSE),"")</f>
        <v/>
      </c>
      <c r="AR104" s="200" t="str">
        <f>IFERROR(VLOOKUP(TableHandbook[[#This Row],[UDC]],TableSTRUEDART[],7,FALSE),"")</f>
        <v/>
      </c>
      <c r="AS104" s="200" t="str">
        <f>IFERROR(VLOOKUP(TableHandbook[[#This Row],[UDC]],TableSTRUEDENG[],7,FALSE),"")</f>
        <v/>
      </c>
      <c r="AT104" s="200" t="str">
        <f>IFERROR(VLOOKUP(TableHandbook[[#This Row],[UDC]],TableSTRUEDHAS[],7,FALSE),"")</f>
        <v/>
      </c>
      <c r="AU104" s="200" t="str">
        <f>IFERROR(VLOOKUP(TableHandbook[[#This Row],[UDC]],TableSTRUEDMAT[],7,FALSE),"")</f>
        <v/>
      </c>
      <c r="AV104" s="200" t="str">
        <f>IFERROR(VLOOKUP(TableHandbook[[#This Row],[UDC]],TableSTRUEDSCI[],7,FALSE),"")</f>
        <v/>
      </c>
      <c r="AW104" s="200" t="str">
        <f>IFERROR(VLOOKUP(TableHandbook[[#This Row],[UDC]],TableSTRUENGLB[],7,FALSE),"")</f>
        <v/>
      </c>
      <c r="AX104" s="200" t="str">
        <f>IFERROR(VLOOKUP(TableHandbook[[#This Row],[UDC]],TableSTRUENGLM[],7,FALSE),"")</f>
        <v>Core</v>
      </c>
      <c r="AY104" s="200" t="str">
        <f>IFERROR(VLOOKUP(TableHandbook[[#This Row],[UDC]],TableSTRUGEOB1[],7,FALSE),"")</f>
        <v/>
      </c>
      <c r="AZ104" s="200" t="str">
        <f>IFERROR(VLOOKUP(TableHandbook[[#This Row],[UDC]],TableSTRUHISB1[],7,FALSE),"")</f>
        <v/>
      </c>
      <c r="BA104" s="200" t="str">
        <f>IFERROR(VLOOKUP(TableHandbook[[#This Row],[UDC]],TableSTRUHUMAM[],7,FALSE),"")</f>
        <v/>
      </c>
      <c r="BB104" s="200" t="str">
        <f>IFERROR(VLOOKUP(TableHandbook[[#This Row],[UDC]],TableSTRUHUMBB[],7,FALSE),"")</f>
        <v/>
      </c>
      <c r="BC104" s="200" t="str">
        <f>IFERROR(VLOOKUP(TableHandbook[[#This Row],[UDC]],TableSTRUMATHB[],7,FALSE),"")</f>
        <v/>
      </c>
      <c r="BD104" s="200" t="str">
        <f>IFERROR(VLOOKUP(TableHandbook[[#This Row],[UDC]],TableSTRUMATHM[],7,FALSE),"")</f>
        <v/>
      </c>
      <c r="BE104" s="200" t="str">
        <f>IFERROR(VLOOKUP(TableHandbook[[#This Row],[UDC]],TableSTRUPARTB[],7,FALSE),"")</f>
        <v/>
      </c>
      <c r="BF104" s="200" t="str">
        <f>IFERROR(VLOOKUP(TableHandbook[[#This Row],[UDC]],TableSTRUPARTM[],7,FALSE),"")</f>
        <v/>
      </c>
      <c r="BG104" s="200" t="str">
        <f>IFERROR(VLOOKUP(TableHandbook[[#This Row],[UDC]],TableSTRUPOLB1[],7,FALSE),"")</f>
        <v/>
      </c>
      <c r="BH104" s="200" t="str">
        <f>IFERROR(VLOOKUP(TableHandbook[[#This Row],[UDC]],TableSTRUPSCIM[],7,FALSE),"")</f>
        <v/>
      </c>
      <c r="BI104" s="200" t="str">
        <f>IFERROR(VLOOKUP(TableHandbook[[#This Row],[UDC]],TableSTRUPSYCB[],7,FALSE),"")</f>
        <v/>
      </c>
      <c r="BJ104" s="200" t="str">
        <f>IFERROR(VLOOKUP(TableHandbook[[#This Row],[UDC]],TableSTRUPSYCM[],7,FALSE),"")</f>
        <v/>
      </c>
      <c r="BK104" s="200" t="str">
        <f>IFERROR(VLOOKUP(TableHandbook[[#This Row],[UDC]],TableSTRUSOSCM[],7,FALSE),"")</f>
        <v/>
      </c>
      <c r="BL104" s="200" t="str">
        <f>IFERROR(VLOOKUP(TableHandbook[[#This Row],[UDC]],TableSTRUVARTB[],7,FALSE),"")</f>
        <v/>
      </c>
      <c r="BM104" s="200" t="str">
        <f>IFERROR(VLOOKUP(TableHandbook[[#This Row],[UDC]],TableSTRUVARTM[],7,FALSE),"")</f>
        <v/>
      </c>
    </row>
    <row r="105" spans="1:65" x14ac:dyDescent="0.25">
      <c r="A105" s="262" t="s">
        <v>318</v>
      </c>
      <c r="B105" s="12">
        <v>1</v>
      </c>
      <c r="C105" s="11"/>
      <c r="D105" s="11" t="s">
        <v>680</v>
      </c>
      <c r="E105" s="12">
        <v>25</v>
      </c>
      <c r="F105" s="131" t="s">
        <v>671</v>
      </c>
      <c r="G105" s="126" t="str">
        <f>IFERROR(IF(VLOOKUP(TableHandbook[[#This Row],[UDC]],TableAvailabilities[],2,FALSE)&gt;0,"Y",""),"")</f>
        <v>Y</v>
      </c>
      <c r="H105" s="127" t="str">
        <f>IFERROR(IF(VLOOKUP(TableHandbook[[#This Row],[UDC]],TableAvailabilities[],3,FALSE)&gt;0,"Y",""),"")</f>
        <v>Y</v>
      </c>
      <c r="I105" s="127" t="str">
        <f>IFERROR(IF(VLOOKUP(TableHandbook[[#This Row],[UDC]],TableAvailabilities[],4,FALSE)&gt;0,"Y",""),"")</f>
        <v/>
      </c>
      <c r="J105" s="128" t="str">
        <f>IFERROR(IF(VLOOKUP(TableHandbook[[#This Row],[UDC]],TableAvailabilities[],5,FALSE)&gt;0,"Y",""),"")</f>
        <v/>
      </c>
      <c r="K105" s="128" t="str">
        <f>IFERROR(IF(VLOOKUP(TableHandbook[[#This Row],[UDC]],TableAvailabilities[],6,FALSE)&gt;0,"Y",""),"")</f>
        <v/>
      </c>
      <c r="L105" s="127" t="str">
        <f>IFERROR(IF(VLOOKUP(TableHandbook[[#This Row],[UDC]],TableAvailabilities[],7,FALSE)&gt;0,"Y",""),"")</f>
        <v/>
      </c>
      <c r="M105" s="207"/>
      <c r="N105" s="205" t="str">
        <f>IFERROR(VLOOKUP(TableHandbook[[#This Row],[UDC]],TableBEDUC[],7,FALSE),"")</f>
        <v/>
      </c>
      <c r="O105" s="200" t="str">
        <f>IFERROR(VLOOKUP(TableHandbook[[#This Row],[UDC]],TableBEDEC[],7,FALSE),"")</f>
        <v/>
      </c>
      <c r="P105" s="200" t="str">
        <f>IFERROR(VLOOKUP(TableHandbook[[#This Row],[UDC]],TableBEDPR[],7,FALSE),"")</f>
        <v/>
      </c>
      <c r="Q105" s="200" t="str">
        <f>IFERROR(VLOOKUP(TableHandbook[[#This Row],[UDC]],TableSTRUCATHL[],7,FALSE),"")</f>
        <v/>
      </c>
      <c r="R105" s="200" t="str">
        <f>IFERROR(VLOOKUP(TableHandbook[[#This Row],[UDC]],TableSTRUENGLL[],7,FALSE),"")</f>
        <v/>
      </c>
      <c r="S105" s="200" t="str">
        <f>IFERROR(VLOOKUP(TableHandbook[[#This Row],[UDC]],TableSTRUINTBC[],7,FALSE),"")</f>
        <v/>
      </c>
      <c r="T105" s="200" t="str">
        <f>IFERROR(VLOOKUP(TableHandbook[[#This Row],[UDC]],TableSTRUISTEM[],7,FALSE),"")</f>
        <v/>
      </c>
      <c r="U105" s="200" t="str">
        <f>IFERROR(VLOOKUP(TableHandbook[[#This Row],[UDC]],TableSTRULITNU[],7,FALSE),"")</f>
        <v/>
      </c>
      <c r="V105" s="200" t="str">
        <f>IFERROR(VLOOKUP(TableHandbook[[#This Row],[UDC]],TableSTRUTECHS[],7,FALSE),"")</f>
        <v/>
      </c>
      <c r="W105" s="200" t="str">
        <f>IFERROR(VLOOKUP(TableHandbook[[#This Row],[UDC]],TableBEDSC[],7,FALSE),"")</f>
        <v/>
      </c>
      <c r="X105" s="200" t="str">
        <f>IFERROR(VLOOKUP(TableHandbook[[#This Row],[UDC]],TableMJRUARTDR[],7,FALSE),"")</f>
        <v>Core</v>
      </c>
      <c r="Y105" s="200" t="str">
        <f>IFERROR(VLOOKUP(TableHandbook[[#This Row],[UDC]],TableMJRUARTME[],7,FALSE),"")</f>
        <v>Core</v>
      </c>
      <c r="Z105" s="200" t="str">
        <f>IFERROR(VLOOKUP(TableHandbook[[#This Row],[UDC]],TableMJRUARTVA[],7,FALSE),"")</f>
        <v>Core</v>
      </c>
      <c r="AA105" s="200" t="str">
        <f>IFERROR(VLOOKUP(TableHandbook[[#This Row],[UDC]],TableMJRUENGLT[],7,FALSE),"")</f>
        <v/>
      </c>
      <c r="AB105" s="200" t="str">
        <f>IFERROR(VLOOKUP(TableHandbook[[#This Row],[UDC]],TableMJRUHLTPE[],7,FALSE),"")</f>
        <v/>
      </c>
      <c r="AC105" s="200" t="str">
        <f>IFERROR(VLOOKUP(TableHandbook[[#This Row],[UDC]],TableMJRUHUSEC[],7,FALSE),"")</f>
        <v/>
      </c>
      <c r="AD105" s="200" t="str">
        <f>IFERROR(VLOOKUP(TableHandbook[[#This Row],[UDC]],TableMJRUHUSGE[],7,FALSE),"")</f>
        <v/>
      </c>
      <c r="AE105" s="200" t="str">
        <f>IFERROR(VLOOKUP(TableHandbook[[#This Row],[UDC]],TableMJRUHUSHI[],7,FALSE),"")</f>
        <v/>
      </c>
      <c r="AF105" s="200" t="str">
        <f>IFERROR(VLOOKUP(TableHandbook[[#This Row],[UDC]],TableMJRUHUSPL[],7,FALSE),"")</f>
        <v/>
      </c>
      <c r="AG105" s="200" t="str">
        <f>IFERROR(VLOOKUP(TableHandbook[[#This Row],[UDC]],TableMJRUMATHT[],7,FALSE),"")</f>
        <v/>
      </c>
      <c r="AH105" s="200" t="str">
        <f>IFERROR(VLOOKUP(TableHandbook[[#This Row],[UDC]],TableMJRUSCIBI[],7,FALSE),"")</f>
        <v/>
      </c>
      <c r="AI105" s="200" t="str">
        <f>IFERROR(VLOOKUP(TableHandbook[[#This Row],[UDC]],TableMJRUSCICH[],7,FALSE),"")</f>
        <v/>
      </c>
      <c r="AJ105" s="200" t="str">
        <f>IFERROR(VLOOKUP(TableHandbook[[#This Row],[UDC]],TableMJRUSCIHB[],7,FALSE),"")</f>
        <v/>
      </c>
      <c r="AK105" s="200" t="str">
        <f>IFERROR(VLOOKUP(TableHandbook[[#This Row],[UDC]],TableMJRUSCIPH[],7,FALSE),"")</f>
        <v/>
      </c>
      <c r="AL105" s="200" t="str">
        <f>IFERROR(VLOOKUP(TableHandbook[[#This Row],[UDC]],TableMJRUSCIPS[],7,FALSE),"")</f>
        <v/>
      </c>
      <c r="AM105" s="202"/>
      <c r="AN105" s="200" t="str">
        <f>IFERROR(VLOOKUP(TableHandbook[[#This Row],[UDC]],TableSTRUBIOLB[],7,FALSE),"")</f>
        <v/>
      </c>
      <c r="AO105" s="200" t="str">
        <f>IFERROR(VLOOKUP(TableHandbook[[#This Row],[UDC]],TableSTRUBSCIM[],7,FALSE),"")</f>
        <v/>
      </c>
      <c r="AP105" s="200" t="str">
        <f>IFERROR(VLOOKUP(TableHandbook[[#This Row],[UDC]],TableSTRUCHEMB[],7,FALSE),"")</f>
        <v/>
      </c>
      <c r="AQ105" s="200" t="str">
        <f>IFERROR(VLOOKUP(TableHandbook[[#This Row],[UDC]],TableSTRUECOB1[],7,FALSE),"")</f>
        <v/>
      </c>
      <c r="AR105" s="200" t="str">
        <f>IFERROR(VLOOKUP(TableHandbook[[#This Row],[UDC]],TableSTRUEDART[],7,FALSE),"")</f>
        <v/>
      </c>
      <c r="AS105" s="200" t="str">
        <f>IFERROR(VLOOKUP(TableHandbook[[#This Row],[UDC]],TableSTRUEDENG[],7,FALSE),"")</f>
        <v/>
      </c>
      <c r="AT105" s="200" t="str">
        <f>IFERROR(VLOOKUP(TableHandbook[[#This Row],[UDC]],TableSTRUEDHAS[],7,FALSE),"")</f>
        <v/>
      </c>
      <c r="AU105" s="200" t="str">
        <f>IFERROR(VLOOKUP(TableHandbook[[#This Row],[UDC]],TableSTRUEDMAT[],7,FALSE),"")</f>
        <v/>
      </c>
      <c r="AV105" s="200" t="str">
        <f>IFERROR(VLOOKUP(TableHandbook[[#This Row],[UDC]],TableSTRUEDSCI[],7,FALSE),"")</f>
        <v/>
      </c>
      <c r="AW105" s="200" t="str">
        <f>IFERROR(VLOOKUP(TableHandbook[[#This Row],[UDC]],TableSTRUENGLB[],7,FALSE),"")</f>
        <v/>
      </c>
      <c r="AX105" s="200" t="str">
        <f>IFERROR(VLOOKUP(TableHandbook[[#This Row],[UDC]],TableSTRUENGLM[],7,FALSE),"")</f>
        <v/>
      </c>
      <c r="AY105" s="200" t="str">
        <f>IFERROR(VLOOKUP(TableHandbook[[#This Row],[UDC]],TableSTRUGEOB1[],7,FALSE),"")</f>
        <v/>
      </c>
      <c r="AZ105" s="200" t="str">
        <f>IFERROR(VLOOKUP(TableHandbook[[#This Row],[UDC]],TableSTRUHISB1[],7,FALSE),"")</f>
        <v/>
      </c>
      <c r="BA105" s="200" t="str">
        <f>IFERROR(VLOOKUP(TableHandbook[[#This Row],[UDC]],TableSTRUHUMAM[],7,FALSE),"")</f>
        <v/>
      </c>
      <c r="BB105" s="200" t="str">
        <f>IFERROR(VLOOKUP(TableHandbook[[#This Row],[UDC]],TableSTRUHUMBB[],7,FALSE),"")</f>
        <v/>
      </c>
      <c r="BC105" s="200" t="str">
        <f>IFERROR(VLOOKUP(TableHandbook[[#This Row],[UDC]],TableSTRUMATHB[],7,FALSE),"")</f>
        <v/>
      </c>
      <c r="BD105" s="200" t="str">
        <f>IFERROR(VLOOKUP(TableHandbook[[#This Row],[UDC]],TableSTRUMATHM[],7,FALSE),"")</f>
        <v/>
      </c>
      <c r="BE105" s="200" t="str">
        <f>IFERROR(VLOOKUP(TableHandbook[[#This Row],[UDC]],TableSTRUPARTB[],7,FALSE),"")</f>
        <v/>
      </c>
      <c r="BF105" s="200" t="str">
        <f>IFERROR(VLOOKUP(TableHandbook[[#This Row],[UDC]],TableSTRUPARTM[],7,FALSE),"")</f>
        <v>Core</v>
      </c>
      <c r="BG105" s="200" t="str">
        <f>IFERROR(VLOOKUP(TableHandbook[[#This Row],[UDC]],TableSTRUPOLB1[],7,FALSE),"")</f>
        <v/>
      </c>
      <c r="BH105" s="200" t="str">
        <f>IFERROR(VLOOKUP(TableHandbook[[#This Row],[UDC]],TableSTRUPSCIM[],7,FALSE),"")</f>
        <v/>
      </c>
      <c r="BI105" s="200" t="str">
        <f>IFERROR(VLOOKUP(TableHandbook[[#This Row],[UDC]],TableSTRUPSYCB[],7,FALSE),"")</f>
        <v/>
      </c>
      <c r="BJ105" s="200" t="str">
        <f>IFERROR(VLOOKUP(TableHandbook[[#This Row],[UDC]],TableSTRUPSYCM[],7,FALSE),"")</f>
        <v/>
      </c>
      <c r="BK105" s="200" t="str">
        <f>IFERROR(VLOOKUP(TableHandbook[[#This Row],[UDC]],TableSTRUSOSCM[],7,FALSE),"")</f>
        <v/>
      </c>
      <c r="BL105" s="200" t="str">
        <f>IFERROR(VLOOKUP(TableHandbook[[#This Row],[UDC]],TableSTRUVARTB[],7,FALSE),"")</f>
        <v/>
      </c>
      <c r="BM105" s="200" t="str">
        <f>IFERROR(VLOOKUP(TableHandbook[[#This Row],[UDC]],TableSTRUVARTM[],7,FALSE),"")</f>
        <v>Core</v>
      </c>
    </row>
    <row r="106" spans="1:65" x14ac:dyDescent="0.25">
      <c r="A106" s="262" t="s">
        <v>316</v>
      </c>
      <c r="B106" s="12">
        <v>1</v>
      </c>
      <c r="C106" s="11"/>
      <c r="D106" s="11" t="s">
        <v>681</v>
      </c>
      <c r="E106" s="12">
        <v>25</v>
      </c>
      <c r="F106" s="131" t="s">
        <v>544</v>
      </c>
      <c r="G106" s="126" t="str">
        <f>IFERROR(IF(VLOOKUP(TableHandbook[[#This Row],[UDC]],TableAvailabilities[],2,FALSE)&gt;0,"Y",""),"")</f>
        <v>Y</v>
      </c>
      <c r="H106" s="127" t="str">
        <f>IFERROR(IF(VLOOKUP(TableHandbook[[#This Row],[UDC]],TableAvailabilities[],3,FALSE)&gt;0,"Y",""),"")</f>
        <v>Y</v>
      </c>
      <c r="I106" s="127" t="str">
        <f>IFERROR(IF(VLOOKUP(TableHandbook[[#This Row],[UDC]],TableAvailabilities[],4,FALSE)&gt;0,"Y",""),"")</f>
        <v/>
      </c>
      <c r="J106" s="128" t="str">
        <f>IFERROR(IF(VLOOKUP(TableHandbook[[#This Row],[UDC]],TableAvailabilities[],5,FALSE)&gt;0,"Y",""),"")</f>
        <v/>
      </c>
      <c r="K106" s="128" t="str">
        <f>IFERROR(IF(VLOOKUP(TableHandbook[[#This Row],[UDC]],TableAvailabilities[],6,FALSE)&gt;0,"Y",""),"")</f>
        <v/>
      </c>
      <c r="L106" s="127" t="str">
        <f>IFERROR(IF(VLOOKUP(TableHandbook[[#This Row],[UDC]],TableAvailabilities[],7,FALSE)&gt;0,"Y",""),"")</f>
        <v/>
      </c>
      <c r="M106" s="207"/>
      <c r="N106" s="205" t="str">
        <f>IFERROR(VLOOKUP(TableHandbook[[#This Row],[UDC]],TableBEDUC[],7,FALSE),"")</f>
        <v/>
      </c>
      <c r="O106" s="200" t="str">
        <f>IFERROR(VLOOKUP(TableHandbook[[#This Row],[UDC]],TableBEDEC[],7,FALSE),"")</f>
        <v/>
      </c>
      <c r="P106" s="200" t="str">
        <f>IFERROR(VLOOKUP(TableHandbook[[#This Row],[UDC]],TableBEDPR[],7,FALSE),"")</f>
        <v/>
      </c>
      <c r="Q106" s="200" t="str">
        <f>IFERROR(VLOOKUP(TableHandbook[[#This Row],[UDC]],TableSTRUCATHL[],7,FALSE),"")</f>
        <v/>
      </c>
      <c r="R106" s="200" t="str">
        <f>IFERROR(VLOOKUP(TableHandbook[[#This Row],[UDC]],TableSTRUENGLL[],7,FALSE),"")</f>
        <v/>
      </c>
      <c r="S106" s="200" t="str">
        <f>IFERROR(VLOOKUP(TableHandbook[[#This Row],[UDC]],TableSTRUINTBC[],7,FALSE),"")</f>
        <v/>
      </c>
      <c r="T106" s="200" t="str">
        <f>IFERROR(VLOOKUP(TableHandbook[[#This Row],[UDC]],TableSTRUISTEM[],7,FALSE),"")</f>
        <v/>
      </c>
      <c r="U106" s="200" t="str">
        <f>IFERROR(VLOOKUP(TableHandbook[[#This Row],[UDC]],TableSTRULITNU[],7,FALSE),"")</f>
        <v/>
      </c>
      <c r="V106" s="200" t="str">
        <f>IFERROR(VLOOKUP(TableHandbook[[#This Row],[UDC]],TableSTRUTECHS[],7,FALSE),"")</f>
        <v/>
      </c>
      <c r="W106" s="200" t="str">
        <f>IFERROR(VLOOKUP(TableHandbook[[#This Row],[UDC]],TableBEDSC[],7,FALSE),"")</f>
        <v/>
      </c>
      <c r="X106" s="200" t="str">
        <f>IFERROR(VLOOKUP(TableHandbook[[#This Row],[UDC]],TableMJRUARTDR[],7,FALSE),"")</f>
        <v/>
      </c>
      <c r="Y106" s="200" t="str">
        <f>IFERROR(VLOOKUP(TableHandbook[[#This Row],[UDC]],TableMJRUARTME[],7,FALSE),"")</f>
        <v/>
      </c>
      <c r="Z106" s="200" t="str">
        <f>IFERROR(VLOOKUP(TableHandbook[[#This Row],[UDC]],TableMJRUARTVA[],7,FALSE),"")</f>
        <v/>
      </c>
      <c r="AA106" s="200" t="str">
        <f>IFERROR(VLOOKUP(TableHandbook[[#This Row],[UDC]],TableMJRUENGLT[],7,FALSE),"")</f>
        <v/>
      </c>
      <c r="AB106" s="200" t="str">
        <f>IFERROR(VLOOKUP(TableHandbook[[#This Row],[UDC]],TableMJRUHLTPE[],7,FALSE),"")</f>
        <v>Core</v>
      </c>
      <c r="AC106" s="200" t="str">
        <f>IFERROR(VLOOKUP(TableHandbook[[#This Row],[UDC]],TableMJRUHUSEC[],7,FALSE),"")</f>
        <v/>
      </c>
      <c r="AD106" s="200" t="str">
        <f>IFERROR(VLOOKUP(TableHandbook[[#This Row],[UDC]],TableMJRUHUSGE[],7,FALSE),"")</f>
        <v/>
      </c>
      <c r="AE106" s="200" t="str">
        <f>IFERROR(VLOOKUP(TableHandbook[[#This Row],[UDC]],TableMJRUHUSHI[],7,FALSE),"")</f>
        <v/>
      </c>
      <c r="AF106" s="200" t="str">
        <f>IFERROR(VLOOKUP(TableHandbook[[#This Row],[UDC]],TableMJRUHUSPL[],7,FALSE),"")</f>
        <v/>
      </c>
      <c r="AG106" s="200" t="str">
        <f>IFERROR(VLOOKUP(TableHandbook[[#This Row],[UDC]],TableMJRUMATHT[],7,FALSE),"")</f>
        <v/>
      </c>
      <c r="AH106" s="200" t="str">
        <f>IFERROR(VLOOKUP(TableHandbook[[#This Row],[UDC]],TableMJRUSCIBI[],7,FALSE),"")</f>
        <v/>
      </c>
      <c r="AI106" s="200" t="str">
        <f>IFERROR(VLOOKUP(TableHandbook[[#This Row],[UDC]],TableMJRUSCICH[],7,FALSE),"")</f>
        <v/>
      </c>
      <c r="AJ106" s="200" t="str">
        <f>IFERROR(VLOOKUP(TableHandbook[[#This Row],[UDC]],TableMJRUSCIHB[],7,FALSE),"")</f>
        <v/>
      </c>
      <c r="AK106" s="200" t="str">
        <f>IFERROR(VLOOKUP(TableHandbook[[#This Row],[UDC]],TableMJRUSCIPH[],7,FALSE),"")</f>
        <v/>
      </c>
      <c r="AL106" s="200" t="str">
        <f>IFERROR(VLOOKUP(TableHandbook[[#This Row],[UDC]],TableMJRUSCIPS[],7,FALSE),"")</f>
        <v/>
      </c>
      <c r="AM106" s="202"/>
      <c r="AN106" s="200" t="str">
        <f>IFERROR(VLOOKUP(TableHandbook[[#This Row],[UDC]],TableSTRUBIOLB[],7,FALSE),"")</f>
        <v/>
      </c>
      <c r="AO106" s="200" t="str">
        <f>IFERROR(VLOOKUP(TableHandbook[[#This Row],[UDC]],TableSTRUBSCIM[],7,FALSE),"")</f>
        <v/>
      </c>
      <c r="AP106" s="200" t="str">
        <f>IFERROR(VLOOKUP(TableHandbook[[#This Row],[UDC]],TableSTRUCHEMB[],7,FALSE),"")</f>
        <v/>
      </c>
      <c r="AQ106" s="200" t="str">
        <f>IFERROR(VLOOKUP(TableHandbook[[#This Row],[UDC]],TableSTRUECOB1[],7,FALSE),"")</f>
        <v/>
      </c>
      <c r="AR106" s="200" t="str">
        <f>IFERROR(VLOOKUP(TableHandbook[[#This Row],[UDC]],TableSTRUEDART[],7,FALSE),"")</f>
        <v/>
      </c>
      <c r="AS106" s="200" t="str">
        <f>IFERROR(VLOOKUP(TableHandbook[[#This Row],[UDC]],TableSTRUEDENG[],7,FALSE),"")</f>
        <v/>
      </c>
      <c r="AT106" s="200" t="str">
        <f>IFERROR(VLOOKUP(TableHandbook[[#This Row],[UDC]],TableSTRUEDHAS[],7,FALSE),"")</f>
        <v/>
      </c>
      <c r="AU106" s="200" t="str">
        <f>IFERROR(VLOOKUP(TableHandbook[[#This Row],[UDC]],TableSTRUEDMAT[],7,FALSE),"")</f>
        <v/>
      </c>
      <c r="AV106" s="200" t="str">
        <f>IFERROR(VLOOKUP(TableHandbook[[#This Row],[UDC]],TableSTRUEDSCI[],7,FALSE),"")</f>
        <v/>
      </c>
      <c r="AW106" s="200" t="str">
        <f>IFERROR(VLOOKUP(TableHandbook[[#This Row],[UDC]],TableSTRUENGLB[],7,FALSE),"")</f>
        <v/>
      </c>
      <c r="AX106" s="200" t="str">
        <f>IFERROR(VLOOKUP(TableHandbook[[#This Row],[UDC]],TableSTRUENGLM[],7,FALSE),"")</f>
        <v/>
      </c>
      <c r="AY106" s="200" t="str">
        <f>IFERROR(VLOOKUP(TableHandbook[[#This Row],[UDC]],TableSTRUGEOB1[],7,FALSE),"")</f>
        <v/>
      </c>
      <c r="AZ106" s="200" t="str">
        <f>IFERROR(VLOOKUP(TableHandbook[[#This Row],[UDC]],TableSTRUHISB1[],7,FALSE),"")</f>
        <v/>
      </c>
      <c r="BA106" s="200" t="str">
        <f>IFERROR(VLOOKUP(TableHandbook[[#This Row],[UDC]],TableSTRUHUMAM[],7,FALSE),"")</f>
        <v/>
      </c>
      <c r="BB106" s="200" t="str">
        <f>IFERROR(VLOOKUP(TableHandbook[[#This Row],[UDC]],TableSTRUHUMBB[],7,FALSE),"")</f>
        <v/>
      </c>
      <c r="BC106" s="200" t="str">
        <f>IFERROR(VLOOKUP(TableHandbook[[#This Row],[UDC]],TableSTRUMATHB[],7,FALSE),"")</f>
        <v/>
      </c>
      <c r="BD106" s="200" t="str">
        <f>IFERROR(VLOOKUP(TableHandbook[[#This Row],[UDC]],TableSTRUMATHM[],7,FALSE),"")</f>
        <v/>
      </c>
      <c r="BE106" s="200" t="str">
        <f>IFERROR(VLOOKUP(TableHandbook[[#This Row],[UDC]],TableSTRUPARTB[],7,FALSE),"")</f>
        <v/>
      </c>
      <c r="BF106" s="200" t="str">
        <f>IFERROR(VLOOKUP(TableHandbook[[#This Row],[UDC]],TableSTRUPARTM[],7,FALSE),"")</f>
        <v/>
      </c>
      <c r="BG106" s="200" t="str">
        <f>IFERROR(VLOOKUP(TableHandbook[[#This Row],[UDC]],TableSTRUPOLB1[],7,FALSE),"")</f>
        <v/>
      </c>
      <c r="BH106" s="200" t="str">
        <f>IFERROR(VLOOKUP(TableHandbook[[#This Row],[UDC]],TableSTRUPSCIM[],7,FALSE),"")</f>
        <v/>
      </c>
      <c r="BI106" s="200" t="str">
        <f>IFERROR(VLOOKUP(TableHandbook[[#This Row],[UDC]],TableSTRUPSYCB[],7,FALSE),"")</f>
        <v/>
      </c>
      <c r="BJ106" s="200" t="str">
        <f>IFERROR(VLOOKUP(TableHandbook[[#This Row],[UDC]],TableSTRUPSYCM[],7,FALSE),"")</f>
        <v/>
      </c>
      <c r="BK106" s="200" t="str">
        <f>IFERROR(VLOOKUP(TableHandbook[[#This Row],[UDC]],TableSTRUSOSCM[],7,FALSE),"")</f>
        <v/>
      </c>
      <c r="BL106" s="200" t="str">
        <f>IFERROR(VLOOKUP(TableHandbook[[#This Row],[UDC]],TableSTRUVARTB[],7,FALSE),"")</f>
        <v/>
      </c>
      <c r="BM106" s="200" t="str">
        <f>IFERROR(VLOOKUP(TableHandbook[[#This Row],[UDC]],TableSTRUVARTM[],7,FALSE),"")</f>
        <v/>
      </c>
    </row>
    <row r="107" spans="1:65" x14ac:dyDescent="0.25">
      <c r="A107" s="262" t="s">
        <v>339</v>
      </c>
      <c r="B107" s="12">
        <v>1</v>
      </c>
      <c r="C107" s="11"/>
      <c r="D107" s="11" t="s">
        <v>682</v>
      </c>
      <c r="E107" s="12">
        <v>25</v>
      </c>
      <c r="F107" s="131" t="s">
        <v>316</v>
      </c>
      <c r="G107" s="126" t="str">
        <f>IFERROR(IF(VLOOKUP(TableHandbook[[#This Row],[UDC]],TableAvailabilities[],2,FALSE)&gt;0,"Y",""),"")</f>
        <v/>
      </c>
      <c r="H107" s="127" t="str">
        <f>IFERROR(IF(VLOOKUP(TableHandbook[[#This Row],[UDC]],TableAvailabilities[],3,FALSE)&gt;0,"Y",""),"")</f>
        <v/>
      </c>
      <c r="I107" s="127" t="str">
        <f>IFERROR(IF(VLOOKUP(TableHandbook[[#This Row],[UDC]],TableAvailabilities[],4,FALSE)&gt;0,"Y",""),"")</f>
        <v/>
      </c>
      <c r="J107" s="128" t="str">
        <f>IFERROR(IF(VLOOKUP(TableHandbook[[#This Row],[UDC]],TableAvailabilities[],5,FALSE)&gt;0,"Y",""),"")</f>
        <v>Y</v>
      </c>
      <c r="K107" s="128" t="str">
        <f>IFERROR(IF(VLOOKUP(TableHandbook[[#This Row],[UDC]],TableAvailabilities[],6,FALSE)&gt;0,"Y",""),"")</f>
        <v>Y</v>
      </c>
      <c r="L107" s="127" t="str">
        <f>IFERROR(IF(VLOOKUP(TableHandbook[[#This Row],[UDC]],TableAvailabilities[],7,FALSE)&gt;0,"Y",""),"")</f>
        <v/>
      </c>
      <c r="M107" s="207"/>
      <c r="N107" s="205" t="str">
        <f>IFERROR(VLOOKUP(TableHandbook[[#This Row],[UDC]],TableBEDUC[],7,FALSE),"")</f>
        <v/>
      </c>
      <c r="O107" s="200" t="str">
        <f>IFERROR(VLOOKUP(TableHandbook[[#This Row],[UDC]],TableBEDEC[],7,FALSE),"")</f>
        <v/>
      </c>
      <c r="P107" s="200" t="str">
        <f>IFERROR(VLOOKUP(TableHandbook[[#This Row],[UDC]],TableBEDPR[],7,FALSE),"")</f>
        <v/>
      </c>
      <c r="Q107" s="200" t="str">
        <f>IFERROR(VLOOKUP(TableHandbook[[#This Row],[UDC]],TableSTRUCATHL[],7,FALSE),"")</f>
        <v/>
      </c>
      <c r="R107" s="200" t="str">
        <f>IFERROR(VLOOKUP(TableHandbook[[#This Row],[UDC]],TableSTRUENGLL[],7,FALSE),"")</f>
        <v/>
      </c>
      <c r="S107" s="200" t="str">
        <f>IFERROR(VLOOKUP(TableHandbook[[#This Row],[UDC]],TableSTRUINTBC[],7,FALSE),"")</f>
        <v/>
      </c>
      <c r="T107" s="200" t="str">
        <f>IFERROR(VLOOKUP(TableHandbook[[#This Row],[UDC]],TableSTRUISTEM[],7,FALSE),"")</f>
        <v/>
      </c>
      <c r="U107" s="200" t="str">
        <f>IFERROR(VLOOKUP(TableHandbook[[#This Row],[UDC]],TableSTRULITNU[],7,FALSE),"")</f>
        <v/>
      </c>
      <c r="V107" s="200" t="str">
        <f>IFERROR(VLOOKUP(TableHandbook[[#This Row],[UDC]],TableSTRUTECHS[],7,FALSE),"")</f>
        <v/>
      </c>
      <c r="W107" s="200" t="str">
        <f>IFERROR(VLOOKUP(TableHandbook[[#This Row],[UDC]],TableBEDSC[],7,FALSE),"")</f>
        <v/>
      </c>
      <c r="X107" s="200" t="str">
        <f>IFERROR(VLOOKUP(TableHandbook[[#This Row],[UDC]],TableMJRUARTDR[],7,FALSE),"")</f>
        <v/>
      </c>
      <c r="Y107" s="200" t="str">
        <f>IFERROR(VLOOKUP(TableHandbook[[#This Row],[UDC]],TableMJRUARTME[],7,FALSE),"")</f>
        <v/>
      </c>
      <c r="Z107" s="200" t="str">
        <f>IFERROR(VLOOKUP(TableHandbook[[#This Row],[UDC]],TableMJRUARTVA[],7,FALSE),"")</f>
        <v/>
      </c>
      <c r="AA107" s="200" t="str">
        <f>IFERROR(VLOOKUP(TableHandbook[[#This Row],[UDC]],TableMJRUENGLT[],7,FALSE),"")</f>
        <v/>
      </c>
      <c r="AB107" s="200" t="str">
        <f>IFERROR(VLOOKUP(TableHandbook[[#This Row],[UDC]],TableMJRUHLTPE[],7,FALSE),"")</f>
        <v>Core</v>
      </c>
      <c r="AC107" s="200" t="str">
        <f>IFERROR(VLOOKUP(TableHandbook[[#This Row],[UDC]],TableMJRUHUSEC[],7,FALSE),"")</f>
        <v/>
      </c>
      <c r="AD107" s="200" t="str">
        <f>IFERROR(VLOOKUP(TableHandbook[[#This Row],[UDC]],TableMJRUHUSGE[],7,FALSE),"")</f>
        <v/>
      </c>
      <c r="AE107" s="200" t="str">
        <f>IFERROR(VLOOKUP(TableHandbook[[#This Row],[UDC]],TableMJRUHUSHI[],7,FALSE),"")</f>
        <v/>
      </c>
      <c r="AF107" s="200" t="str">
        <f>IFERROR(VLOOKUP(TableHandbook[[#This Row],[UDC]],TableMJRUHUSPL[],7,FALSE),"")</f>
        <v/>
      </c>
      <c r="AG107" s="200" t="str">
        <f>IFERROR(VLOOKUP(TableHandbook[[#This Row],[UDC]],TableMJRUMATHT[],7,FALSE),"")</f>
        <v/>
      </c>
      <c r="AH107" s="200" t="str">
        <f>IFERROR(VLOOKUP(TableHandbook[[#This Row],[UDC]],TableMJRUSCIBI[],7,FALSE),"")</f>
        <v/>
      </c>
      <c r="AI107" s="200" t="str">
        <f>IFERROR(VLOOKUP(TableHandbook[[#This Row],[UDC]],TableMJRUSCICH[],7,FALSE),"")</f>
        <v/>
      </c>
      <c r="AJ107" s="200" t="str">
        <f>IFERROR(VLOOKUP(TableHandbook[[#This Row],[UDC]],TableMJRUSCIHB[],7,FALSE),"")</f>
        <v/>
      </c>
      <c r="AK107" s="200" t="str">
        <f>IFERROR(VLOOKUP(TableHandbook[[#This Row],[UDC]],TableMJRUSCIPH[],7,FALSE),"")</f>
        <v/>
      </c>
      <c r="AL107" s="200" t="str">
        <f>IFERROR(VLOOKUP(TableHandbook[[#This Row],[UDC]],TableMJRUSCIPS[],7,FALSE),"")</f>
        <v/>
      </c>
      <c r="AM107" s="202"/>
      <c r="AN107" s="200" t="str">
        <f>IFERROR(VLOOKUP(TableHandbook[[#This Row],[UDC]],TableSTRUBIOLB[],7,FALSE),"")</f>
        <v/>
      </c>
      <c r="AO107" s="200" t="str">
        <f>IFERROR(VLOOKUP(TableHandbook[[#This Row],[UDC]],TableSTRUBSCIM[],7,FALSE),"")</f>
        <v/>
      </c>
      <c r="AP107" s="200" t="str">
        <f>IFERROR(VLOOKUP(TableHandbook[[#This Row],[UDC]],TableSTRUCHEMB[],7,FALSE),"")</f>
        <v/>
      </c>
      <c r="AQ107" s="200" t="str">
        <f>IFERROR(VLOOKUP(TableHandbook[[#This Row],[UDC]],TableSTRUECOB1[],7,FALSE),"")</f>
        <v/>
      </c>
      <c r="AR107" s="200" t="str">
        <f>IFERROR(VLOOKUP(TableHandbook[[#This Row],[UDC]],TableSTRUEDART[],7,FALSE),"")</f>
        <v/>
      </c>
      <c r="AS107" s="200" t="str">
        <f>IFERROR(VLOOKUP(TableHandbook[[#This Row],[UDC]],TableSTRUEDENG[],7,FALSE),"")</f>
        <v/>
      </c>
      <c r="AT107" s="200" t="str">
        <f>IFERROR(VLOOKUP(TableHandbook[[#This Row],[UDC]],TableSTRUEDHAS[],7,FALSE),"")</f>
        <v/>
      </c>
      <c r="AU107" s="200" t="str">
        <f>IFERROR(VLOOKUP(TableHandbook[[#This Row],[UDC]],TableSTRUEDMAT[],7,FALSE),"")</f>
        <v/>
      </c>
      <c r="AV107" s="200" t="str">
        <f>IFERROR(VLOOKUP(TableHandbook[[#This Row],[UDC]],TableSTRUEDSCI[],7,FALSE),"")</f>
        <v/>
      </c>
      <c r="AW107" s="200" t="str">
        <f>IFERROR(VLOOKUP(TableHandbook[[#This Row],[UDC]],TableSTRUENGLB[],7,FALSE),"")</f>
        <v/>
      </c>
      <c r="AX107" s="200" t="str">
        <f>IFERROR(VLOOKUP(TableHandbook[[#This Row],[UDC]],TableSTRUENGLM[],7,FALSE),"")</f>
        <v/>
      </c>
      <c r="AY107" s="200" t="str">
        <f>IFERROR(VLOOKUP(TableHandbook[[#This Row],[UDC]],TableSTRUGEOB1[],7,FALSE),"")</f>
        <v/>
      </c>
      <c r="AZ107" s="200" t="str">
        <f>IFERROR(VLOOKUP(TableHandbook[[#This Row],[UDC]],TableSTRUHISB1[],7,FALSE),"")</f>
        <v/>
      </c>
      <c r="BA107" s="200" t="str">
        <f>IFERROR(VLOOKUP(TableHandbook[[#This Row],[UDC]],TableSTRUHUMAM[],7,FALSE),"")</f>
        <v/>
      </c>
      <c r="BB107" s="200" t="str">
        <f>IFERROR(VLOOKUP(TableHandbook[[#This Row],[UDC]],TableSTRUHUMBB[],7,FALSE),"")</f>
        <v/>
      </c>
      <c r="BC107" s="200" t="str">
        <f>IFERROR(VLOOKUP(TableHandbook[[#This Row],[UDC]],TableSTRUMATHB[],7,FALSE),"")</f>
        <v/>
      </c>
      <c r="BD107" s="200" t="str">
        <f>IFERROR(VLOOKUP(TableHandbook[[#This Row],[UDC]],TableSTRUMATHM[],7,FALSE),"")</f>
        <v/>
      </c>
      <c r="BE107" s="200" t="str">
        <f>IFERROR(VLOOKUP(TableHandbook[[#This Row],[UDC]],TableSTRUPARTB[],7,FALSE),"")</f>
        <v/>
      </c>
      <c r="BF107" s="200" t="str">
        <f>IFERROR(VLOOKUP(TableHandbook[[#This Row],[UDC]],TableSTRUPARTM[],7,FALSE),"")</f>
        <v/>
      </c>
      <c r="BG107" s="200" t="str">
        <f>IFERROR(VLOOKUP(TableHandbook[[#This Row],[UDC]],TableSTRUPOLB1[],7,FALSE),"")</f>
        <v/>
      </c>
      <c r="BH107" s="200" t="str">
        <f>IFERROR(VLOOKUP(TableHandbook[[#This Row],[UDC]],TableSTRUPSCIM[],7,FALSE),"")</f>
        <v/>
      </c>
      <c r="BI107" s="200" t="str">
        <f>IFERROR(VLOOKUP(TableHandbook[[#This Row],[UDC]],TableSTRUPSYCB[],7,FALSE),"")</f>
        <v/>
      </c>
      <c r="BJ107" s="200" t="str">
        <f>IFERROR(VLOOKUP(TableHandbook[[#This Row],[UDC]],TableSTRUPSYCM[],7,FALSE),"")</f>
        <v/>
      </c>
      <c r="BK107" s="200" t="str">
        <f>IFERROR(VLOOKUP(TableHandbook[[#This Row],[UDC]],TableSTRUSOSCM[],7,FALSE),"")</f>
        <v/>
      </c>
      <c r="BL107" s="200" t="str">
        <f>IFERROR(VLOOKUP(TableHandbook[[#This Row],[UDC]],TableSTRUVARTB[],7,FALSE),"")</f>
        <v/>
      </c>
      <c r="BM107" s="200" t="str">
        <f>IFERROR(VLOOKUP(TableHandbook[[#This Row],[UDC]],TableSTRUVARTM[],7,FALSE),"")</f>
        <v/>
      </c>
    </row>
    <row r="108" spans="1:65" x14ac:dyDescent="0.25">
      <c r="A108" s="11" t="s">
        <v>56</v>
      </c>
      <c r="B108" s="12">
        <v>1</v>
      </c>
      <c r="C108" s="11"/>
      <c r="D108" s="11" t="s">
        <v>683</v>
      </c>
      <c r="E108" s="12">
        <v>25</v>
      </c>
      <c r="F108" s="131" t="s">
        <v>544</v>
      </c>
      <c r="G108" s="126" t="str">
        <f>IFERROR(IF(VLOOKUP(TableHandbook[[#This Row],[UDC]],TableAvailabilities[],2,FALSE)&gt;0,"Y",""),"")</f>
        <v>Y</v>
      </c>
      <c r="H108" s="127" t="str">
        <f>IFERROR(IF(VLOOKUP(TableHandbook[[#This Row],[UDC]],TableAvailabilities[],3,FALSE)&gt;0,"Y",""),"")</f>
        <v>Y</v>
      </c>
      <c r="I108" s="127" t="str">
        <f>IFERROR(IF(VLOOKUP(TableHandbook[[#This Row],[UDC]],TableAvailabilities[],4,FALSE)&gt;0,"Y",""),"")</f>
        <v>Y</v>
      </c>
      <c r="J108" s="128" t="str">
        <f>IFERROR(IF(VLOOKUP(TableHandbook[[#This Row],[UDC]],TableAvailabilities[],5,FALSE)&gt;0,"Y",""),"")</f>
        <v>Y</v>
      </c>
      <c r="K108" s="128" t="str">
        <f>IFERROR(IF(VLOOKUP(TableHandbook[[#This Row],[UDC]],TableAvailabilities[],6,FALSE)&gt;0,"Y",""),"")</f>
        <v>Y</v>
      </c>
      <c r="L108" s="127" t="str">
        <f>IFERROR(IF(VLOOKUP(TableHandbook[[#This Row],[UDC]],TableAvailabilities[],7,FALSE)&gt;0,"Y",""),"")</f>
        <v/>
      </c>
      <c r="M108" s="207"/>
      <c r="N108" s="205" t="str">
        <f>IFERROR(VLOOKUP(TableHandbook[[#This Row],[UDC]],TableBEDUC[],7,FALSE),"")</f>
        <v>Core</v>
      </c>
      <c r="O108" s="200" t="str">
        <f>IFERROR(VLOOKUP(TableHandbook[[#This Row],[UDC]],TableBEDEC[],7,FALSE),"")</f>
        <v>Core</v>
      </c>
      <c r="P108" s="200" t="str">
        <f>IFERROR(VLOOKUP(TableHandbook[[#This Row],[UDC]],TableBEDPR[],7,FALSE),"")</f>
        <v>Core</v>
      </c>
      <c r="Q108" s="200" t="str">
        <f>IFERROR(VLOOKUP(TableHandbook[[#This Row],[UDC]],TableSTRUCATHL[],7,FALSE),"")</f>
        <v/>
      </c>
      <c r="R108" s="200" t="str">
        <f>IFERROR(VLOOKUP(TableHandbook[[#This Row],[UDC]],TableSTRUENGLL[],7,FALSE),"")</f>
        <v/>
      </c>
      <c r="S108" s="200" t="str">
        <f>IFERROR(VLOOKUP(TableHandbook[[#This Row],[UDC]],TableSTRUINTBC[],7,FALSE),"")</f>
        <v/>
      </c>
      <c r="T108" s="200" t="str">
        <f>IFERROR(VLOOKUP(TableHandbook[[#This Row],[UDC]],TableSTRUISTEM[],7,FALSE),"")</f>
        <v/>
      </c>
      <c r="U108" s="200" t="str">
        <f>IFERROR(VLOOKUP(TableHandbook[[#This Row],[UDC]],TableSTRULITNU[],7,FALSE),"")</f>
        <v/>
      </c>
      <c r="V108" s="200" t="str">
        <f>IFERROR(VLOOKUP(TableHandbook[[#This Row],[UDC]],TableSTRUTECHS[],7,FALSE),"")</f>
        <v/>
      </c>
      <c r="W108" s="200" t="str">
        <f>IFERROR(VLOOKUP(TableHandbook[[#This Row],[UDC]],TableBEDSC[],7,FALSE),"")</f>
        <v>Core</v>
      </c>
      <c r="X108" s="200" t="str">
        <f>IFERROR(VLOOKUP(TableHandbook[[#This Row],[UDC]],TableMJRUARTDR[],7,FALSE),"")</f>
        <v/>
      </c>
      <c r="Y108" s="200" t="str">
        <f>IFERROR(VLOOKUP(TableHandbook[[#This Row],[UDC]],TableMJRUARTME[],7,FALSE),"")</f>
        <v/>
      </c>
      <c r="Z108" s="200" t="str">
        <f>IFERROR(VLOOKUP(TableHandbook[[#This Row],[UDC]],TableMJRUARTVA[],7,FALSE),"")</f>
        <v/>
      </c>
      <c r="AA108" s="200" t="str">
        <f>IFERROR(VLOOKUP(TableHandbook[[#This Row],[UDC]],TableMJRUENGLT[],7,FALSE),"")</f>
        <v/>
      </c>
      <c r="AB108" s="200" t="str">
        <f>IFERROR(VLOOKUP(TableHandbook[[#This Row],[UDC]],TableMJRUHLTPE[],7,FALSE),"")</f>
        <v/>
      </c>
      <c r="AC108" s="200" t="str">
        <f>IFERROR(VLOOKUP(TableHandbook[[#This Row],[UDC]],TableMJRUHUSEC[],7,FALSE),"")</f>
        <v/>
      </c>
      <c r="AD108" s="200" t="str">
        <f>IFERROR(VLOOKUP(TableHandbook[[#This Row],[UDC]],TableMJRUHUSGE[],7,FALSE),"")</f>
        <v/>
      </c>
      <c r="AE108" s="200" t="str">
        <f>IFERROR(VLOOKUP(TableHandbook[[#This Row],[UDC]],TableMJRUHUSHI[],7,FALSE),"")</f>
        <v/>
      </c>
      <c r="AF108" s="200" t="str">
        <f>IFERROR(VLOOKUP(TableHandbook[[#This Row],[UDC]],TableMJRUHUSPL[],7,FALSE),"")</f>
        <v/>
      </c>
      <c r="AG108" s="200" t="str">
        <f>IFERROR(VLOOKUP(TableHandbook[[#This Row],[UDC]],TableMJRUMATHT[],7,FALSE),"")</f>
        <v/>
      </c>
      <c r="AH108" s="200" t="str">
        <f>IFERROR(VLOOKUP(TableHandbook[[#This Row],[UDC]],TableMJRUSCIBI[],7,FALSE),"")</f>
        <v/>
      </c>
      <c r="AI108" s="200" t="str">
        <f>IFERROR(VLOOKUP(TableHandbook[[#This Row],[UDC]],TableMJRUSCICH[],7,FALSE),"")</f>
        <v/>
      </c>
      <c r="AJ108" s="200" t="str">
        <f>IFERROR(VLOOKUP(TableHandbook[[#This Row],[UDC]],TableMJRUSCIHB[],7,FALSE),"")</f>
        <v/>
      </c>
      <c r="AK108" s="200" t="str">
        <f>IFERROR(VLOOKUP(TableHandbook[[#This Row],[UDC]],TableMJRUSCIPH[],7,FALSE),"")</f>
        <v/>
      </c>
      <c r="AL108" s="200" t="str">
        <f>IFERROR(VLOOKUP(TableHandbook[[#This Row],[UDC]],TableMJRUSCIPS[],7,FALSE),"")</f>
        <v/>
      </c>
      <c r="AM108" s="202"/>
      <c r="AN108" s="200" t="str">
        <f>IFERROR(VLOOKUP(TableHandbook[[#This Row],[UDC]],TableSTRUBIOLB[],7,FALSE),"")</f>
        <v/>
      </c>
      <c r="AO108" s="200" t="str">
        <f>IFERROR(VLOOKUP(TableHandbook[[#This Row],[UDC]],TableSTRUBSCIM[],7,FALSE),"")</f>
        <v/>
      </c>
      <c r="AP108" s="200" t="str">
        <f>IFERROR(VLOOKUP(TableHandbook[[#This Row],[UDC]],TableSTRUCHEMB[],7,FALSE),"")</f>
        <v/>
      </c>
      <c r="AQ108" s="200" t="str">
        <f>IFERROR(VLOOKUP(TableHandbook[[#This Row],[UDC]],TableSTRUECOB1[],7,FALSE),"")</f>
        <v/>
      </c>
      <c r="AR108" s="200" t="str">
        <f>IFERROR(VLOOKUP(TableHandbook[[#This Row],[UDC]],TableSTRUEDART[],7,FALSE),"")</f>
        <v/>
      </c>
      <c r="AS108" s="200" t="str">
        <f>IFERROR(VLOOKUP(TableHandbook[[#This Row],[UDC]],TableSTRUEDENG[],7,FALSE),"")</f>
        <v/>
      </c>
      <c r="AT108" s="200" t="str">
        <f>IFERROR(VLOOKUP(TableHandbook[[#This Row],[UDC]],TableSTRUEDHAS[],7,FALSE),"")</f>
        <v/>
      </c>
      <c r="AU108" s="200" t="str">
        <f>IFERROR(VLOOKUP(TableHandbook[[#This Row],[UDC]],TableSTRUEDMAT[],7,FALSE),"")</f>
        <v/>
      </c>
      <c r="AV108" s="200" t="str">
        <f>IFERROR(VLOOKUP(TableHandbook[[#This Row],[UDC]],TableSTRUEDSCI[],7,FALSE),"")</f>
        <v/>
      </c>
      <c r="AW108" s="200" t="str">
        <f>IFERROR(VLOOKUP(TableHandbook[[#This Row],[UDC]],TableSTRUENGLB[],7,FALSE),"")</f>
        <v/>
      </c>
      <c r="AX108" s="200" t="str">
        <f>IFERROR(VLOOKUP(TableHandbook[[#This Row],[UDC]],TableSTRUENGLM[],7,FALSE),"")</f>
        <v/>
      </c>
      <c r="AY108" s="200" t="str">
        <f>IFERROR(VLOOKUP(TableHandbook[[#This Row],[UDC]],TableSTRUGEOB1[],7,FALSE),"")</f>
        <v/>
      </c>
      <c r="AZ108" s="200" t="str">
        <f>IFERROR(VLOOKUP(TableHandbook[[#This Row],[UDC]],TableSTRUHISB1[],7,FALSE),"")</f>
        <v/>
      </c>
      <c r="BA108" s="200" t="str">
        <f>IFERROR(VLOOKUP(TableHandbook[[#This Row],[UDC]],TableSTRUHUMAM[],7,FALSE),"")</f>
        <v/>
      </c>
      <c r="BB108" s="200" t="str">
        <f>IFERROR(VLOOKUP(TableHandbook[[#This Row],[UDC]],TableSTRUHUMBB[],7,FALSE),"")</f>
        <v/>
      </c>
      <c r="BC108" s="200" t="str">
        <f>IFERROR(VLOOKUP(TableHandbook[[#This Row],[UDC]],TableSTRUMATHB[],7,FALSE),"")</f>
        <v/>
      </c>
      <c r="BD108" s="200" t="str">
        <f>IFERROR(VLOOKUP(TableHandbook[[#This Row],[UDC]],TableSTRUMATHM[],7,FALSE),"")</f>
        <v/>
      </c>
      <c r="BE108" s="200" t="str">
        <f>IFERROR(VLOOKUP(TableHandbook[[#This Row],[UDC]],TableSTRUPARTB[],7,FALSE),"")</f>
        <v/>
      </c>
      <c r="BF108" s="200" t="str">
        <f>IFERROR(VLOOKUP(TableHandbook[[#This Row],[UDC]],TableSTRUPARTM[],7,FALSE),"")</f>
        <v/>
      </c>
      <c r="BG108" s="200" t="str">
        <f>IFERROR(VLOOKUP(TableHandbook[[#This Row],[UDC]],TableSTRUPOLB1[],7,FALSE),"")</f>
        <v/>
      </c>
      <c r="BH108" s="200" t="str">
        <f>IFERROR(VLOOKUP(TableHandbook[[#This Row],[UDC]],TableSTRUPSCIM[],7,FALSE),"")</f>
        <v/>
      </c>
      <c r="BI108" s="200" t="str">
        <f>IFERROR(VLOOKUP(TableHandbook[[#This Row],[UDC]],TableSTRUPSYCB[],7,FALSE),"")</f>
        <v/>
      </c>
      <c r="BJ108" s="200" t="str">
        <f>IFERROR(VLOOKUP(TableHandbook[[#This Row],[UDC]],TableSTRUPSYCM[],7,FALSE),"")</f>
        <v/>
      </c>
      <c r="BK108" s="200" t="str">
        <f>IFERROR(VLOOKUP(TableHandbook[[#This Row],[UDC]],TableSTRUSOSCM[],7,FALSE),"")</f>
        <v/>
      </c>
      <c r="BL108" s="200" t="str">
        <f>IFERROR(VLOOKUP(TableHandbook[[#This Row],[UDC]],TableSTRUVARTB[],7,FALSE),"")</f>
        <v/>
      </c>
      <c r="BM108" s="200" t="str">
        <f>IFERROR(VLOOKUP(TableHandbook[[#This Row],[UDC]],TableSTRUVARTM[],7,FALSE),"")</f>
        <v/>
      </c>
    </row>
    <row r="109" spans="1:65" x14ac:dyDescent="0.25">
      <c r="A109" s="11" t="s">
        <v>54</v>
      </c>
      <c r="B109" s="12">
        <v>1</v>
      </c>
      <c r="C109" s="11"/>
      <c r="D109" s="11" t="s">
        <v>684</v>
      </c>
      <c r="E109" s="12">
        <v>25</v>
      </c>
      <c r="F109" s="131" t="s">
        <v>544</v>
      </c>
      <c r="G109" s="126" t="str">
        <f>IFERROR(IF(VLOOKUP(TableHandbook[[#This Row],[UDC]],TableAvailabilities[],2,FALSE)&gt;0,"Y",""),"")</f>
        <v>Y</v>
      </c>
      <c r="H109" s="127" t="str">
        <f>IFERROR(IF(VLOOKUP(TableHandbook[[#This Row],[UDC]],TableAvailabilities[],3,FALSE)&gt;0,"Y",""),"")</f>
        <v>Y</v>
      </c>
      <c r="I109" s="127" t="str">
        <f>IFERROR(IF(VLOOKUP(TableHandbook[[#This Row],[UDC]],TableAvailabilities[],4,FALSE)&gt;0,"Y",""),"")</f>
        <v>Y</v>
      </c>
      <c r="J109" s="128" t="str">
        <f>IFERROR(IF(VLOOKUP(TableHandbook[[#This Row],[UDC]],TableAvailabilities[],5,FALSE)&gt;0,"Y",""),"")</f>
        <v>Y</v>
      </c>
      <c r="K109" s="128" t="str">
        <f>IFERROR(IF(VLOOKUP(TableHandbook[[#This Row],[UDC]],TableAvailabilities[],6,FALSE)&gt;0,"Y",""),"")</f>
        <v>Y</v>
      </c>
      <c r="L109" s="127" t="str">
        <f>IFERROR(IF(VLOOKUP(TableHandbook[[#This Row],[UDC]],TableAvailabilities[],7,FALSE)&gt;0,"Y",""),"")</f>
        <v/>
      </c>
      <c r="M109" s="207"/>
      <c r="N109" s="205" t="str">
        <f>IFERROR(VLOOKUP(TableHandbook[[#This Row],[UDC]],TableBEDUC[],7,FALSE),"")</f>
        <v>Core</v>
      </c>
      <c r="O109" s="200" t="str">
        <f>IFERROR(VLOOKUP(TableHandbook[[#This Row],[UDC]],TableBEDEC[],7,FALSE),"")</f>
        <v>Core</v>
      </c>
      <c r="P109" s="200" t="str">
        <f>IFERROR(VLOOKUP(TableHandbook[[#This Row],[UDC]],TableBEDPR[],7,FALSE),"")</f>
        <v>Core</v>
      </c>
      <c r="Q109" s="200" t="str">
        <f>IFERROR(VLOOKUP(TableHandbook[[#This Row],[UDC]],TableSTRUCATHL[],7,FALSE),"")</f>
        <v/>
      </c>
      <c r="R109" s="200" t="str">
        <f>IFERROR(VLOOKUP(TableHandbook[[#This Row],[UDC]],TableSTRUENGLL[],7,FALSE),"")</f>
        <v/>
      </c>
      <c r="S109" s="200" t="str">
        <f>IFERROR(VLOOKUP(TableHandbook[[#This Row],[UDC]],TableSTRUINTBC[],7,FALSE),"")</f>
        <v/>
      </c>
      <c r="T109" s="200" t="str">
        <f>IFERROR(VLOOKUP(TableHandbook[[#This Row],[UDC]],TableSTRUISTEM[],7,FALSE),"")</f>
        <v/>
      </c>
      <c r="U109" s="200" t="str">
        <f>IFERROR(VLOOKUP(TableHandbook[[#This Row],[UDC]],TableSTRULITNU[],7,FALSE),"")</f>
        <v/>
      </c>
      <c r="V109" s="200" t="str">
        <f>IFERROR(VLOOKUP(TableHandbook[[#This Row],[UDC]],TableSTRUTECHS[],7,FALSE),"")</f>
        <v/>
      </c>
      <c r="W109" s="200" t="str">
        <f>IFERROR(VLOOKUP(TableHandbook[[#This Row],[UDC]],TableBEDSC[],7,FALSE),"")</f>
        <v>Core</v>
      </c>
      <c r="X109" s="200" t="str">
        <f>IFERROR(VLOOKUP(TableHandbook[[#This Row],[UDC]],TableMJRUARTDR[],7,FALSE),"")</f>
        <v/>
      </c>
      <c r="Y109" s="200" t="str">
        <f>IFERROR(VLOOKUP(TableHandbook[[#This Row],[UDC]],TableMJRUARTME[],7,FALSE),"")</f>
        <v/>
      </c>
      <c r="Z109" s="200" t="str">
        <f>IFERROR(VLOOKUP(TableHandbook[[#This Row],[UDC]],TableMJRUARTVA[],7,FALSE),"")</f>
        <v/>
      </c>
      <c r="AA109" s="200" t="str">
        <f>IFERROR(VLOOKUP(TableHandbook[[#This Row],[UDC]],TableMJRUENGLT[],7,FALSE),"")</f>
        <v/>
      </c>
      <c r="AB109" s="200" t="str">
        <f>IFERROR(VLOOKUP(TableHandbook[[#This Row],[UDC]],TableMJRUHLTPE[],7,FALSE),"")</f>
        <v/>
      </c>
      <c r="AC109" s="200" t="str">
        <f>IFERROR(VLOOKUP(TableHandbook[[#This Row],[UDC]],TableMJRUHUSEC[],7,FALSE),"")</f>
        <v/>
      </c>
      <c r="AD109" s="200" t="str">
        <f>IFERROR(VLOOKUP(TableHandbook[[#This Row],[UDC]],TableMJRUHUSGE[],7,FALSE),"")</f>
        <v/>
      </c>
      <c r="AE109" s="200" t="str">
        <f>IFERROR(VLOOKUP(TableHandbook[[#This Row],[UDC]],TableMJRUHUSHI[],7,FALSE),"")</f>
        <v/>
      </c>
      <c r="AF109" s="200" t="str">
        <f>IFERROR(VLOOKUP(TableHandbook[[#This Row],[UDC]],TableMJRUHUSPL[],7,FALSE),"")</f>
        <v/>
      </c>
      <c r="AG109" s="200" t="str">
        <f>IFERROR(VLOOKUP(TableHandbook[[#This Row],[UDC]],TableMJRUMATHT[],7,FALSE),"")</f>
        <v/>
      </c>
      <c r="AH109" s="200" t="str">
        <f>IFERROR(VLOOKUP(TableHandbook[[#This Row],[UDC]],TableMJRUSCIBI[],7,FALSE),"")</f>
        <v/>
      </c>
      <c r="AI109" s="200" t="str">
        <f>IFERROR(VLOOKUP(TableHandbook[[#This Row],[UDC]],TableMJRUSCICH[],7,FALSE),"")</f>
        <v/>
      </c>
      <c r="AJ109" s="200" t="str">
        <f>IFERROR(VLOOKUP(TableHandbook[[#This Row],[UDC]],TableMJRUSCIHB[],7,FALSE),"")</f>
        <v/>
      </c>
      <c r="AK109" s="200" t="str">
        <f>IFERROR(VLOOKUP(TableHandbook[[#This Row],[UDC]],TableMJRUSCIPH[],7,FALSE),"")</f>
        <v/>
      </c>
      <c r="AL109" s="200" t="str">
        <f>IFERROR(VLOOKUP(TableHandbook[[#This Row],[UDC]],TableMJRUSCIPS[],7,FALSE),"")</f>
        <v/>
      </c>
      <c r="AM109" s="202"/>
      <c r="AN109" s="200" t="str">
        <f>IFERROR(VLOOKUP(TableHandbook[[#This Row],[UDC]],TableSTRUBIOLB[],7,FALSE),"")</f>
        <v/>
      </c>
      <c r="AO109" s="200" t="str">
        <f>IFERROR(VLOOKUP(TableHandbook[[#This Row],[UDC]],TableSTRUBSCIM[],7,FALSE),"")</f>
        <v/>
      </c>
      <c r="AP109" s="200" t="str">
        <f>IFERROR(VLOOKUP(TableHandbook[[#This Row],[UDC]],TableSTRUCHEMB[],7,FALSE),"")</f>
        <v/>
      </c>
      <c r="AQ109" s="200" t="str">
        <f>IFERROR(VLOOKUP(TableHandbook[[#This Row],[UDC]],TableSTRUECOB1[],7,FALSE),"")</f>
        <v/>
      </c>
      <c r="AR109" s="200" t="str">
        <f>IFERROR(VLOOKUP(TableHandbook[[#This Row],[UDC]],TableSTRUEDART[],7,FALSE),"")</f>
        <v/>
      </c>
      <c r="AS109" s="200" t="str">
        <f>IFERROR(VLOOKUP(TableHandbook[[#This Row],[UDC]],TableSTRUEDENG[],7,FALSE),"")</f>
        <v/>
      </c>
      <c r="AT109" s="200" t="str">
        <f>IFERROR(VLOOKUP(TableHandbook[[#This Row],[UDC]],TableSTRUEDHAS[],7,FALSE),"")</f>
        <v/>
      </c>
      <c r="AU109" s="200" t="str">
        <f>IFERROR(VLOOKUP(TableHandbook[[#This Row],[UDC]],TableSTRUEDMAT[],7,FALSE),"")</f>
        <v/>
      </c>
      <c r="AV109" s="200" t="str">
        <f>IFERROR(VLOOKUP(TableHandbook[[#This Row],[UDC]],TableSTRUEDSCI[],7,FALSE),"")</f>
        <v/>
      </c>
      <c r="AW109" s="200" t="str">
        <f>IFERROR(VLOOKUP(TableHandbook[[#This Row],[UDC]],TableSTRUENGLB[],7,FALSE),"")</f>
        <v/>
      </c>
      <c r="AX109" s="200" t="str">
        <f>IFERROR(VLOOKUP(TableHandbook[[#This Row],[UDC]],TableSTRUENGLM[],7,FALSE),"")</f>
        <v/>
      </c>
      <c r="AY109" s="200" t="str">
        <f>IFERROR(VLOOKUP(TableHandbook[[#This Row],[UDC]],TableSTRUGEOB1[],7,FALSE),"")</f>
        <v/>
      </c>
      <c r="AZ109" s="200" t="str">
        <f>IFERROR(VLOOKUP(TableHandbook[[#This Row],[UDC]],TableSTRUHISB1[],7,FALSE),"")</f>
        <v/>
      </c>
      <c r="BA109" s="200" t="str">
        <f>IFERROR(VLOOKUP(TableHandbook[[#This Row],[UDC]],TableSTRUHUMAM[],7,FALSE),"")</f>
        <v/>
      </c>
      <c r="BB109" s="200" t="str">
        <f>IFERROR(VLOOKUP(TableHandbook[[#This Row],[UDC]],TableSTRUHUMBB[],7,FALSE),"")</f>
        <v/>
      </c>
      <c r="BC109" s="200" t="str">
        <f>IFERROR(VLOOKUP(TableHandbook[[#This Row],[UDC]],TableSTRUMATHB[],7,FALSE),"")</f>
        <v/>
      </c>
      <c r="BD109" s="200" t="str">
        <f>IFERROR(VLOOKUP(TableHandbook[[#This Row],[UDC]],TableSTRUMATHM[],7,FALSE),"")</f>
        <v/>
      </c>
      <c r="BE109" s="200" t="str">
        <f>IFERROR(VLOOKUP(TableHandbook[[#This Row],[UDC]],TableSTRUPARTB[],7,FALSE),"")</f>
        <v/>
      </c>
      <c r="BF109" s="200" t="str">
        <f>IFERROR(VLOOKUP(TableHandbook[[#This Row],[UDC]],TableSTRUPARTM[],7,FALSE),"")</f>
        <v/>
      </c>
      <c r="BG109" s="200" t="str">
        <f>IFERROR(VLOOKUP(TableHandbook[[#This Row],[UDC]],TableSTRUPOLB1[],7,FALSE),"")</f>
        <v/>
      </c>
      <c r="BH109" s="200" t="str">
        <f>IFERROR(VLOOKUP(TableHandbook[[#This Row],[UDC]],TableSTRUPSCIM[],7,FALSE),"")</f>
        <v/>
      </c>
      <c r="BI109" s="200" t="str">
        <f>IFERROR(VLOOKUP(TableHandbook[[#This Row],[UDC]],TableSTRUPSYCB[],7,FALSE),"")</f>
        <v/>
      </c>
      <c r="BJ109" s="200" t="str">
        <f>IFERROR(VLOOKUP(TableHandbook[[#This Row],[UDC]],TableSTRUPSYCM[],7,FALSE),"")</f>
        <v/>
      </c>
      <c r="BK109" s="200" t="str">
        <f>IFERROR(VLOOKUP(TableHandbook[[#This Row],[UDC]],TableSTRUSOSCM[],7,FALSE),"")</f>
        <v/>
      </c>
      <c r="BL109" s="200" t="str">
        <f>IFERROR(VLOOKUP(TableHandbook[[#This Row],[UDC]],TableSTRUVARTB[],7,FALSE),"")</f>
        <v/>
      </c>
      <c r="BM109" s="200" t="str">
        <f>IFERROR(VLOOKUP(TableHandbook[[#This Row],[UDC]],TableSTRUVARTM[],7,FALSE),"")</f>
        <v/>
      </c>
    </row>
    <row r="110" spans="1:65" x14ac:dyDescent="0.25">
      <c r="A110" s="11" t="s">
        <v>51</v>
      </c>
      <c r="B110" s="12">
        <v>1</v>
      </c>
      <c r="C110" s="11"/>
      <c r="D110" s="11" t="s">
        <v>685</v>
      </c>
      <c r="E110" s="12">
        <v>25</v>
      </c>
      <c r="F110" s="131" t="s">
        <v>544</v>
      </c>
      <c r="G110" s="126" t="str">
        <f>IFERROR(IF(VLOOKUP(TableHandbook[[#This Row],[UDC]],TableAvailabilities[],2,FALSE)&gt;0,"Y",""),"")</f>
        <v>Y</v>
      </c>
      <c r="H110" s="127" t="str">
        <f>IFERROR(IF(VLOOKUP(TableHandbook[[#This Row],[UDC]],TableAvailabilities[],3,FALSE)&gt;0,"Y",""),"")</f>
        <v>Y</v>
      </c>
      <c r="I110" s="127" t="str">
        <f>IFERROR(IF(VLOOKUP(TableHandbook[[#This Row],[UDC]],TableAvailabilities[],4,FALSE)&gt;0,"Y",""),"")</f>
        <v>Y</v>
      </c>
      <c r="J110" s="128" t="str">
        <f>IFERROR(IF(VLOOKUP(TableHandbook[[#This Row],[UDC]],TableAvailabilities[],5,FALSE)&gt;0,"Y",""),"")</f>
        <v/>
      </c>
      <c r="K110" s="128" t="str">
        <f>IFERROR(IF(VLOOKUP(TableHandbook[[#This Row],[UDC]],TableAvailabilities[],6,FALSE)&gt;0,"Y",""),"")</f>
        <v/>
      </c>
      <c r="L110" s="127" t="str">
        <f>IFERROR(IF(VLOOKUP(TableHandbook[[#This Row],[UDC]],TableAvailabilities[],7,FALSE)&gt;0,"Y",""),"")</f>
        <v/>
      </c>
      <c r="M110" s="207"/>
      <c r="N110" s="205" t="str">
        <f>IFERROR(VLOOKUP(TableHandbook[[#This Row],[UDC]],TableBEDUC[],7,FALSE),"")</f>
        <v>Core</v>
      </c>
      <c r="O110" s="200" t="str">
        <f>IFERROR(VLOOKUP(TableHandbook[[#This Row],[UDC]],TableBEDEC[],7,FALSE),"")</f>
        <v>Core</v>
      </c>
      <c r="P110" s="200" t="str">
        <f>IFERROR(VLOOKUP(TableHandbook[[#This Row],[UDC]],TableBEDPR[],7,FALSE),"")</f>
        <v>Core</v>
      </c>
      <c r="Q110" s="200" t="str">
        <f>IFERROR(VLOOKUP(TableHandbook[[#This Row],[UDC]],TableSTRUCATHL[],7,FALSE),"")</f>
        <v/>
      </c>
      <c r="R110" s="200" t="str">
        <f>IFERROR(VLOOKUP(TableHandbook[[#This Row],[UDC]],TableSTRUENGLL[],7,FALSE),"")</f>
        <v/>
      </c>
      <c r="S110" s="200" t="str">
        <f>IFERROR(VLOOKUP(TableHandbook[[#This Row],[UDC]],TableSTRUINTBC[],7,FALSE),"")</f>
        <v/>
      </c>
      <c r="T110" s="200" t="str">
        <f>IFERROR(VLOOKUP(TableHandbook[[#This Row],[UDC]],TableSTRUISTEM[],7,FALSE),"")</f>
        <v/>
      </c>
      <c r="U110" s="200" t="str">
        <f>IFERROR(VLOOKUP(TableHandbook[[#This Row],[UDC]],TableSTRULITNU[],7,FALSE),"")</f>
        <v/>
      </c>
      <c r="V110" s="200" t="str">
        <f>IFERROR(VLOOKUP(TableHandbook[[#This Row],[UDC]],TableSTRUTECHS[],7,FALSE),"")</f>
        <v/>
      </c>
      <c r="W110" s="200" t="str">
        <f>IFERROR(VLOOKUP(TableHandbook[[#This Row],[UDC]],TableBEDSC[],7,FALSE),"")</f>
        <v>Core</v>
      </c>
      <c r="X110" s="200" t="str">
        <f>IFERROR(VLOOKUP(TableHandbook[[#This Row],[UDC]],TableMJRUARTDR[],7,FALSE),"")</f>
        <v/>
      </c>
      <c r="Y110" s="200" t="str">
        <f>IFERROR(VLOOKUP(TableHandbook[[#This Row],[UDC]],TableMJRUARTME[],7,FALSE),"")</f>
        <v/>
      </c>
      <c r="Z110" s="200" t="str">
        <f>IFERROR(VLOOKUP(TableHandbook[[#This Row],[UDC]],TableMJRUARTVA[],7,FALSE),"")</f>
        <v/>
      </c>
      <c r="AA110" s="200" t="str">
        <f>IFERROR(VLOOKUP(TableHandbook[[#This Row],[UDC]],TableMJRUENGLT[],7,FALSE),"")</f>
        <v/>
      </c>
      <c r="AB110" s="200" t="str">
        <f>IFERROR(VLOOKUP(TableHandbook[[#This Row],[UDC]],TableMJRUHLTPE[],7,FALSE),"")</f>
        <v/>
      </c>
      <c r="AC110" s="200" t="str">
        <f>IFERROR(VLOOKUP(TableHandbook[[#This Row],[UDC]],TableMJRUHUSEC[],7,FALSE),"")</f>
        <v/>
      </c>
      <c r="AD110" s="200" t="str">
        <f>IFERROR(VLOOKUP(TableHandbook[[#This Row],[UDC]],TableMJRUHUSGE[],7,FALSE),"")</f>
        <v/>
      </c>
      <c r="AE110" s="200" t="str">
        <f>IFERROR(VLOOKUP(TableHandbook[[#This Row],[UDC]],TableMJRUHUSHI[],7,FALSE),"")</f>
        <v/>
      </c>
      <c r="AF110" s="200" t="str">
        <f>IFERROR(VLOOKUP(TableHandbook[[#This Row],[UDC]],TableMJRUHUSPL[],7,FALSE),"")</f>
        <v/>
      </c>
      <c r="AG110" s="200" t="str">
        <f>IFERROR(VLOOKUP(TableHandbook[[#This Row],[UDC]],TableMJRUMATHT[],7,FALSE),"")</f>
        <v/>
      </c>
      <c r="AH110" s="200" t="str">
        <f>IFERROR(VLOOKUP(TableHandbook[[#This Row],[UDC]],TableMJRUSCIBI[],7,FALSE),"")</f>
        <v/>
      </c>
      <c r="AI110" s="200" t="str">
        <f>IFERROR(VLOOKUP(TableHandbook[[#This Row],[UDC]],TableMJRUSCICH[],7,FALSE),"")</f>
        <v/>
      </c>
      <c r="AJ110" s="200" t="str">
        <f>IFERROR(VLOOKUP(TableHandbook[[#This Row],[UDC]],TableMJRUSCIHB[],7,FALSE),"")</f>
        <v/>
      </c>
      <c r="AK110" s="200" t="str">
        <f>IFERROR(VLOOKUP(TableHandbook[[#This Row],[UDC]],TableMJRUSCIPH[],7,FALSE),"")</f>
        <v/>
      </c>
      <c r="AL110" s="200" t="str">
        <f>IFERROR(VLOOKUP(TableHandbook[[#This Row],[UDC]],TableMJRUSCIPS[],7,FALSE),"")</f>
        <v/>
      </c>
      <c r="AM110" s="202"/>
      <c r="AN110" s="200" t="str">
        <f>IFERROR(VLOOKUP(TableHandbook[[#This Row],[UDC]],TableSTRUBIOLB[],7,FALSE),"")</f>
        <v/>
      </c>
      <c r="AO110" s="200" t="str">
        <f>IFERROR(VLOOKUP(TableHandbook[[#This Row],[UDC]],TableSTRUBSCIM[],7,FALSE),"")</f>
        <v/>
      </c>
      <c r="AP110" s="200" t="str">
        <f>IFERROR(VLOOKUP(TableHandbook[[#This Row],[UDC]],TableSTRUCHEMB[],7,FALSE),"")</f>
        <v/>
      </c>
      <c r="AQ110" s="200" t="str">
        <f>IFERROR(VLOOKUP(TableHandbook[[#This Row],[UDC]],TableSTRUECOB1[],7,FALSE),"")</f>
        <v/>
      </c>
      <c r="AR110" s="200" t="str">
        <f>IFERROR(VLOOKUP(TableHandbook[[#This Row],[UDC]],TableSTRUEDART[],7,FALSE),"")</f>
        <v/>
      </c>
      <c r="AS110" s="200" t="str">
        <f>IFERROR(VLOOKUP(TableHandbook[[#This Row],[UDC]],TableSTRUEDENG[],7,FALSE),"")</f>
        <v/>
      </c>
      <c r="AT110" s="200" t="str">
        <f>IFERROR(VLOOKUP(TableHandbook[[#This Row],[UDC]],TableSTRUEDHAS[],7,FALSE),"")</f>
        <v/>
      </c>
      <c r="AU110" s="200" t="str">
        <f>IFERROR(VLOOKUP(TableHandbook[[#This Row],[UDC]],TableSTRUEDMAT[],7,FALSE),"")</f>
        <v/>
      </c>
      <c r="AV110" s="200" t="str">
        <f>IFERROR(VLOOKUP(TableHandbook[[#This Row],[UDC]],TableSTRUEDSCI[],7,FALSE),"")</f>
        <v/>
      </c>
      <c r="AW110" s="200" t="str">
        <f>IFERROR(VLOOKUP(TableHandbook[[#This Row],[UDC]],TableSTRUENGLB[],7,FALSE),"")</f>
        <v/>
      </c>
      <c r="AX110" s="200" t="str">
        <f>IFERROR(VLOOKUP(TableHandbook[[#This Row],[UDC]],TableSTRUENGLM[],7,FALSE),"")</f>
        <v/>
      </c>
      <c r="AY110" s="200" t="str">
        <f>IFERROR(VLOOKUP(TableHandbook[[#This Row],[UDC]],TableSTRUGEOB1[],7,FALSE),"")</f>
        <v/>
      </c>
      <c r="AZ110" s="200" t="str">
        <f>IFERROR(VLOOKUP(TableHandbook[[#This Row],[UDC]],TableSTRUHISB1[],7,FALSE),"")</f>
        <v/>
      </c>
      <c r="BA110" s="200" t="str">
        <f>IFERROR(VLOOKUP(TableHandbook[[#This Row],[UDC]],TableSTRUHUMAM[],7,FALSE),"")</f>
        <v/>
      </c>
      <c r="BB110" s="200" t="str">
        <f>IFERROR(VLOOKUP(TableHandbook[[#This Row],[UDC]],TableSTRUHUMBB[],7,FALSE),"")</f>
        <v/>
      </c>
      <c r="BC110" s="200" t="str">
        <f>IFERROR(VLOOKUP(TableHandbook[[#This Row],[UDC]],TableSTRUMATHB[],7,FALSE),"")</f>
        <v/>
      </c>
      <c r="BD110" s="200" t="str">
        <f>IFERROR(VLOOKUP(TableHandbook[[#This Row],[UDC]],TableSTRUMATHM[],7,FALSE),"")</f>
        <v/>
      </c>
      <c r="BE110" s="200" t="str">
        <f>IFERROR(VLOOKUP(TableHandbook[[#This Row],[UDC]],TableSTRUPARTB[],7,FALSE),"")</f>
        <v/>
      </c>
      <c r="BF110" s="200" t="str">
        <f>IFERROR(VLOOKUP(TableHandbook[[#This Row],[UDC]],TableSTRUPARTM[],7,FALSE),"")</f>
        <v/>
      </c>
      <c r="BG110" s="200" t="str">
        <f>IFERROR(VLOOKUP(TableHandbook[[#This Row],[UDC]],TableSTRUPOLB1[],7,FALSE),"")</f>
        <v/>
      </c>
      <c r="BH110" s="200" t="str">
        <f>IFERROR(VLOOKUP(TableHandbook[[#This Row],[UDC]],TableSTRUPSCIM[],7,FALSE),"")</f>
        <v/>
      </c>
      <c r="BI110" s="200" t="str">
        <f>IFERROR(VLOOKUP(TableHandbook[[#This Row],[UDC]],TableSTRUPSYCB[],7,FALSE),"")</f>
        <v/>
      </c>
      <c r="BJ110" s="200" t="str">
        <f>IFERROR(VLOOKUP(TableHandbook[[#This Row],[UDC]],TableSTRUPSYCM[],7,FALSE),"")</f>
        <v/>
      </c>
      <c r="BK110" s="200" t="str">
        <f>IFERROR(VLOOKUP(TableHandbook[[#This Row],[UDC]],TableSTRUSOSCM[],7,FALSE),"")</f>
        <v/>
      </c>
      <c r="BL110" s="200" t="str">
        <f>IFERROR(VLOOKUP(TableHandbook[[#This Row],[UDC]],TableSTRUVARTB[],7,FALSE),"")</f>
        <v/>
      </c>
      <c r="BM110" s="200" t="str">
        <f>IFERROR(VLOOKUP(TableHandbook[[#This Row],[UDC]],TableSTRUVARTM[],7,FALSE),"")</f>
        <v/>
      </c>
    </row>
    <row r="111" spans="1:65" x14ac:dyDescent="0.25">
      <c r="A111" s="11" t="s">
        <v>64</v>
      </c>
      <c r="B111" s="12">
        <v>1</v>
      </c>
      <c r="C111" s="11"/>
      <c r="D111" s="11" t="s">
        <v>686</v>
      </c>
      <c r="E111" s="12">
        <v>25</v>
      </c>
      <c r="F111" s="131" t="s">
        <v>544</v>
      </c>
      <c r="G111" s="126" t="str">
        <f>IFERROR(IF(VLOOKUP(TableHandbook[[#This Row],[UDC]],TableAvailabilities[],2,FALSE)&gt;0,"Y",""),"")</f>
        <v>Y</v>
      </c>
      <c r="H111" s="127" t="str">
        <f>IFERROR(IF(VLOOKUP(TableHandbook[[#This Row],[UDC]],TableAvailabilities[],3,FALSE)&gt;0,"Y",""),"")</f>
        <v>Y</v>
      </c>
      <c r="I111" s="127" t="str">
        <f>IFERROR(IF(VLOOKUP(TableHandbook[[#This Row],[UDC]],TableAvailabilities[],4,FALSE)&gt;0,"Y",""),"")</f>
        <v>Y</v>
      </c>
      <c r="J111" s="128" t="str">
        <f>IFERROR(IF(VLOOKUP(TableHandbook[[#This Row],[UDC]],TableAvailabilities[],5,FALSE)&gt;0,"Y",""),"")</f>
        <v/>
      </c>
      <c r="K111" s="128" t="str">
        <f>IFERROR(IF(VLOOKUP(TableHandbook[[#This Row],[UDC]],TableAvailabilities[],6,FALSE)&gt;0,"Y",""),"")</f>
        <v/>
      </c>
      <c r="L111" s="127" t="str">
        <f>IFERROR(IF(VLOOKUP(TableHandbook[[#This Row],[UDC]],TableAvailabilities[],7,FALSE)&gt;0,"Y",""),"")</f>
        <v/>
      </c>
      <c r="M111" s="207"/>
      <c r="N111" s="205" t="str">
        <f>IFERROR(VLOOKUP(TableHandbook[[#This Row],[UDC]],TableBEDUC[],7,FALSE),"")</f>
        <v>AltCore</v>
      </c>
      <c r="O111" s="200" t="str">
        <f>IFERROR(VLOOKUP(TableHandbook[[#This Row],[UDC]],TableBEDEC[],7,FALSE),"")</f>
        <v>Core</v>
      </c>
      <c r="P111" s="200" t="str">
        <f>IFERROR(VLOOKUP(TableHandbook[[#This Row],[UDC]],TableBEDPR[],7,FALSE),"")</f>
        <v>Core</v>
      </c>
      <c r="Q111" s="200" t="str">
        <f>IFERROR(VLOOKUP(TableHandbook[[#This Row],[UDC]],TableSTRUCATHL[],7,FALSE),"")</f>
        <v/>
      </c>
      <c r="R111" s="200" t="str">
        <f>IFERROR(VLOOKUP(TableHandbook[[#This Row],[UDC]],TableSTRUENGLL[],7,FALSE),"")</f>
        <v/>
      </c>
      <c r="S111" s="200" t="str">
        <f>IFERROR(VLOOKUP(TableHandbook[[#This Row],[UDC]],TableSTRUINTBC[],7,FALSE),"")</f>
        <v/>
      </c>
      <c r="T111" s="200" t="str">
        <f>IFERROR(VLOOKUP(TableHandbook[[#This Row],[UDC]],TableSTRUISTEM[],7,FALSE),"")</f>
        <v/>
      </c>
      <c r="U111" s="200" t="str">
        <f>IFERROR(VLOOKUP(TableHandbook[[#This Row],[UDC]],TableSTRULITNU[],7,FALSE),"")</f>
        <v/>
      </c>
      <c r="V111" s="200" t="str">
        <f>IFERROR(VLOOKUP(TableHandbook[[#This Row],[UDC]],TableSTRUTECHS[],7,FALSE),"")</f>
        <v/>
      </c>
      <c r="W111" s="200" t="str">
        <f>IFERROR(VLOOKUP(TableHandbook[[#This Row],[UDC]],TableBEDSC[],7,FALSE),"")</f>
        <v/>
      </c>
      <c r="X111" s="200" t="str">
        <f>IFERROR(VLOOKUP(TableHandbook[[#This Row],[UDC]],TableMJRUARTDR[],7,FALSE),"")</f>
        <v/>
      </c>
      <c r="Y111" s="200" t="str">
        <f>IFERROR(VLOOKUP(TableHandbook[[#This Row],[UDC]],TableMJRUARTME[],7,FALSE),"")</f>
        <v/>
      </c>
      <c r="Z111" s="200" t="str">
        <f>IFERROR(VLOOKUP(TableHandbook[[#This Row],[UDC]],TableMJRUARTVA[],7,FALSE),"")</f>
        <v/>
      </c>
      <c r="AA111" s="200" t="str">
        <f>IFERROR(VLOOKUP(TableHandbook[[#This Row],[UDC]],TableMJRUENGLT[],7,FALSE),"")</f>
        <v/>
      </c>
      <c r="AB111" s="200" t="str">
        <f>IFERROR(VLOOKUP(TableHandbook[[#This Row],[UDC]],TableMJRUHLTPE[],7,FALSE),"")</f>
        <v/>
      </c>
      <c r="AC111" s="200" t="str">
        <f>IFERROR(VLOOKUP(TableHandbook[[#This Row],[UDC]],TableMJRUHUSEC[],7,FALSE),"")</f>
        <v/>
      </c>
      <c r="AD111" s="200" t="str">
        <f>IFERROR(VLOOKUP(TableHandbook[[#This Row],[UDC]],TableMJRUHUSGE[],7,FALSE),"")</f>
        <v/>
      </c>
      <c r="AE111" s="200" t="str">
        <f>IFERROR(VLOOKUP(TableHandbook[[#This Row],[UDC]],TableMJRUHUSHI[],7,FALSE),"")</f>
        <v/>
      </c>
      <c r="AF111" s="200" t="str">
        <f>IFERROR(VLOOKUP(TableHandbook[[#This Row],[UDC]],TableMJRUHUSPL[],7,FALSE),"")</f>
        <v/>
      </c>
      <c r="AG111" s="200" t="str">
        <f>IFERROR(VLOOKUP(TableHandbook[[#This Row],[UDC]],TableMJRUMATHT[],7,FALSE),"")</f>
        <v/>
      </c>
      <c r="AH111" s="200" t="str">
        <f>IFERROR(VLOOKUP(TableHandbook[[#This Row],[UDC]],TableMJRUSCIBI[],7,FALSE),"")</f>
        <v/>
      </c>
      <c r="AI111" s="200" t="str">
        <f>IFERROR(VLOOKUP(TableHandbook[[#This Row],[UDC]],TableMJRUSCICH[],7,FALSE),"")</f>
        <v/>
      </c>
      <c r="AJ111" s="200" t="str">
        <f>IFERROR(VLOOKUP(TableHandbook[[#This Row],[UDC]],TableMJRUSCIHB[],7,FALSE),"")</f>
        <v/>
      </c>
      <c r="AK111" s="200" t="str">
        <f>IFERROR(VLOOKUP(TableHandbook[[#This Row],[UDC]],TableMJRUSCIPH[],7,FALSE),"")</f>
        <v/>
      </c>
      <c r="AL111" s="200" t="str">
        <f>IFERROR(VLOOKUP(TableHandbook[[#This Row],[UDC]],TableMJRUSCIPS[],7,FALSE),"")</f>
        <v/>
      </c>
      <c r="AM111" s="202"/>
      <c r="AN111" s="200" t="str">
        <f>IFERROR(VLOOKUP(TableHandbook[[#This Row],[UDC]],TableSTRUBIOLB[],7,FALSE),"")</f>
        <v/>
      </c>
      <c r="AO111" s="200" t="str">
        <f>IFERROR(VLOOKUP(TableHandbook[[#This Row],[UDC]],TableSTRUBSCIM[],7,FALSE),"")</f>
        <v/>
      </c>
      <c r="AP111" s="200" t="str">
        <f>IFERROR(VLOOKUP(TableHandbook[[#This Row],[UDC]],TableSTRUCHEMB[],7,FALSE),"")</f>
        <v/>
      </c>
      <c r="AQ111" s="200" t="str">
        <f>IFERROR(VLOOKUP(TableHandbook[[#This Row],[UDC]],TableSTRUECOB1[],7,FALSE),"")</f>
        <v/>
      </c>
      <c r="AR111" s="200" t="str">
        <f>IFERROR(VLOOKUP(TableHandbook[[#This Row],[UDC]],TableSTRUEDART[],7,FALSE),"")</f>
        <v/>
      </c>
      <c r="AS111" s="200" t="str">
        <f>IFERROR(VLOOKUP(TableHandbook[[#This Row],[UDC]],TableSTRUEDENG[],7,FALSE),"")</f>
        <v/>
      </c>
      <c r="AT111" s="200" t="str">
        <f>IFERROR(VLOOKUP(TableHandbook[[#This Row],[UDC]],TableSTRUEDHAS[],7,FALSE),"")</f>
        <v/>
      </c>
      <c r="AU111" s="200" t="str">
        <f>IFERROR(VLOOKUP(TableHandbook[[#This Row],[UDC]],TableSTRUEDMAT[],7,FALSE),"")</f>
        <v/>
      </c>
      <c r="AV111" s="200" t="str">
        <f>IFERROR(VLOOKUP(TableHandbook[[#This Row],[UDC]],TableSTRUEDSCI[],7,FALSE),"")</f>
        <v/>
      </c>
      <c r="AW111" s="200" t="str">
        <f>IFERROR(VLOOKUP(TableHandbook[[#This Row],[UDC]],TableSTRUENGLB[],7,FALSE),"")</f>
        <v/>
      </c>
      <c r="AX111" s="200" t="str">
        <f>IFERROR(VLOOKUP(TableHandbook[[#This Row],[UDC]],TableSTRUENGLM[],7,FALSE),"")</f>
        <v/>
      </c>
      <c r="AY111" s="200" t="str">
        <f>IFERROR(VLOOKUP(TableHandbook[[#This Row],[UDC]],TableSTRUGEOB1[],7,FALSE),"")</f>
        <v/>
      </c>
      <c r="AZ111" s="200" t="str">
        <f>IFERROR(VLOOKUP(TableHandbook[[#This Row],[UDC]],TableSTRUHISB1[],7,FALSE),"")</f>
        <v/>
      </c>
      <c r="BA111" s="200" t="str">
        <f>IFERROR(VLOOKUP(TableHandbook[[#This Row],[UDC]],TableSTRUHUMAM[],7,FALSE),"")</f>
        <v/>
      </c>
      <c r="BB111" s="200" t="str">
        <f>IFERROR(VLOOKUP(TableHandbook[[#This Row],[UDC]],TableSTRUHUMBB[],7,FALSE),"")</f>
        <v/>
      </c>
      <c r="BC111" s="200" t="str">
        <f>IFERROR(VLOOKUP(TableHandbook[[#This Row],[UDC]],TableSTRUMATHB[],7,FALSE),"")</f>
        <v/>
      </c>
      <c r="BD111" s="200" t="str">
        <f>IFERROR(VLOOKUP(TableHandbook[[#This Row],[UDC]],TableSTRUMATHM[],7,FALSE),"")</f>
        <v/>
      </c>
      <c r="BE111" s="200" t="str">
        <f>IFERROR(VLOOKUP(TableHandbook[[#This Row],[UDC]],TableSTRUPARTB[],7,FALSE),"")</f>
        <v/>
      </c>
      <c r="BF111" s="200" t="str">
        <f>IFERROR(VLOOKUP(TableHandbook[[#This Row],[UDC]],TableSTRUPARTM[],7,FALSE),"")</f>
        <v/>
      </c>
      <c r="BG111" s="200" t="str">
        <f>IFERROR(VLOOKUP(TableHandbook[[#This Row],[UDC]],TableSTRUPOLB1[],7,FALSE),"")</f>
        <v/>
      </c>
      <c r="BH111" s="200" t="str">
        <f>IFERROR(VLOOKUP(TableHandbook[[#This Row],[UDC]],TableSTRUPSCIM[],7,FALSE),"")</f>
        <v/>
      </c>
      <c r="BI111" s="200" t="str">
        <f>IFERROR(VLOOKUP(TableHandbook[[#This Row],[UDC]],TableSTRUPSYCB[],7,FALSE),"")</f>
        <v/>
      </c>
      <c r="BJ111" s="200" t="str">
        <f>IFERROR(VLOOKUP(TableHandbook[[#This Row],[UDC]],TableSTRUPSYCM[],7,FALSE),"")</f>
        <v/>
      </c>
      <c r="BK111" s="200" t="str">
        <f>IFERROR(VLOOKUP(TableHandbook[[#This Row],[UDC]],TableSTRUSOSCM[],7,FALSE),"")</f>
        <v/>
      </c>
      <c r="BL111" s="200" t="str">
        <f>IFERROR(VLOOKUP(TableHandbook[[#This Row],[UDC]],TableSTRUVARTB[],7,FALSE),"")</f>
        <v/>
      </c>
      <c r="BM111" s="200" t="str">
        <f>IFERROR(VLOOKUP(TableHandbook[[#This Row],[UDC]],TableSTRUVARTM[],7,FALSE),"")</f>
        <v/>
      </c>
    </row>
    <row r="112" spans="1:65" x14ac:dyDescent="0.25">
      <c r="A112" s="11" t="s">
        <v>58</v>
      </c>
      <c r="B112" s="12">
        <v>1</v>
      </c>
      <c r="C112" s="11"/>
      <c r="D112" s="11" t="s">
        <v>687</v>
      </c>
      <c r="E112" s="12">
        <v>25</v>
      </c>
      <c r="F112" s="131" t="s">
        <v>544</v>
      </c>
      <c r="G112" s="126" t="str">
        <f>IFERROR(IF(VLOOKUP(TableHandbook[[#This Row],[UDC]],TableAvailabilities[],2,FALSE)&gt;0,"Y",""),"")</f>
        <v/>
      </c>
      <c r="H112" s="127" t="str">
        <f>IFERROR(IF(VLOOKUP(TableHandbook[[#This Row],[UDC]],TableAvailabilities[],3,FALSE)&gt;0,"Y",""),"")</f>
        <v/>
      </c>
      <c r="I112" s="127" t="str">
        <f>IFERROR(IF(VLOOKUP(TableHandbook[[#This Row],[UDC]],TableAvailabilities[],4,FALSE)&gt;0,"Y",""),"")</f>
        <v/>
      </c>
      <c r="J112" s="128" t="str">
        <f>IFERROR(IF(VLOOKUP(TableHandbook[[#This Row],[UDC]],TableAvailabilities[],5,FALSE)&gt;0,"Y",""),"")</f>
        <v>Y</v>
      </c>
      <c r="K112" s="128" t="str">
        <f>IFERROR(IF(VLOOKUP(TableHandbook[[#This Row],[UDC]],TableAvailabilities[],6,FALSE)&gt;0,"Y",""),"")</f>
        <v>Y</v>
      </c>
      <c r="L112" s="127" t="str">
        <f>IFERROR(IF(VLOOKUP(TableHandbook[[#This Row],[UDC]],TableAvailabilities[],7,FALSE)&gt;0,"Y",""),"")</f>
        <v>Y</v>
      </c>
      <c r="M112" s="207"/>
      <c r="N112" s="205" t="str">
        <f>IFERROR(VLOOKUP(TableHandbook[[#This Row],[UDC]],TableBEDUC[],7,FALSE),"")</f>
        <v>Core</v>
      </c>
      <c r="O112" s="200" t="str">
        <f>IFERROR(VLOOKUP(TableHandbook[[#This Row],[UDC]],TableBEDEC[],7,FALSE),"")</f>
        <v>Core</v>
      </c>
      <c r="P112" s="200" t="str">
        <f>IFERROR(VLOOKUP(TableHandbook[[#This Row],[UDC]],TableBEDPR[],7,FALSE),"")</f>
        <v>Core</v>
      </c>
      <c r="Q112" s="200" t="str">
        <f>IFERROR(VLOOKUP(TableHandbook[[#This Row],[UDC]],TableSTRUCATHL[],7,FALSE),"")</f>
        <v/>
      </c>
      <c r="R112" s="200" t="str">
        <f>IFERROR(VLOOKUP(TableHandbook[[#This Row],[UDC]],TableSTRUENGLL[],7,FALSE),"")</f>
        <v/>
      </c>
      <c r="S112" s="200" t="str">
        <f>IFERROR(VLOOKUP(TableHandbook[[#This Row],[UDC]],TableSTRUINTBC[],7,FALSE),"")</f>
        <v/>
      </c>
      <c r="T112" s="200" t="str">
        <f>IFERROR(VLOOKUP(TableHandbook[[#This Row],[UDC]],TableSTRUISTEM[],7,FALSE),"")</f>
        <v/>
      </c>
      <c r="U112" s="200" t="str">
        <f>IFERROR(VLOOKUP(TableHandbook[[#This Row],[UDC]],TableSTRULITNU[],7,FALSE),"")</f>
        <v/>
      </c>
      <c r="V112" s="200" t="str">
        <f>IFERROR(VLOOKUP(TableHandbook[[#This Row],[UDC]],TableSTRUTECHS[],7,FALSE),"")</f>
        <v/>
      </c>
      <c r="W112" s="200" t="str">
        <f>IFERROR(VLOOKUP(TableHandbook[[#This Row],[UDC]],TableBEDSC[],7,FALSE),"")</f>
        <v/>
      </c>
      <c r="X112" s="200" t="str">
        <f>IFERROR(VLOOKUP(TableHandbook[[#This Row],[UDC]],TableMJRUARTDR[],7,FALSE),"")</f>
        <v/>
      </c>
      <c r="Y112" s="200" t="str">
        <f>IFERROR(VLOOKUP(TableHandbook[[#This Row],[UDC]],TableMJRUARTME[],7,FALSE),"")</f>
        <v/>
      </c>
      <c r="Z112" s="200" t="str">
        <f>IFERROR(VLOOKUP(TableHandbook[[#This Row],[UDC]],TableMJRUARTVA[],7,FALSE),"")</f>
        <v/>
      </c>
      <c r="AA112" s="200" t="str">
        <f>IFERROR(VLOOKUP(TableHandbook[[#This Row],[UDC]],TableMJRUENGLT[],7,FALSE),"")</f>
        <v/>
      </c>
      <c r="AB112" s="200" t="str">
        <f>IFERROR(VLOOKUP(TableHandbook[[#This Row],[UDC]],TableMJRUHLTPE[],7,FALSE),"")</f>
        <v/>
      </c>
      <c r="AC112" s="200" t="str">
        <f>IFERROR(VLOOKUP(TableHandbook[[#This Row],[UDC]],TableMJRUHUSEC[],7,FALSE),"")</f>
        <v/>
      </c>
      <c r="AD112" s="200" t="str">
        <f>IFERROR(VLOOKUP(TableHandbook[[#This Row],[UDC]],TableMJRUHUSGE[],7,FALSE),"")</f>
        <v/>
      </c>
      <c r="AE112" s="200" t="str">
        <f>IFERROR(VLOOKUP(TableHandbook[[#This Row],[UDC]],TableMJRUHUSHI[],7,FALSE),"")</f>
        <v/>
      </c>
      <c r="AF112" s="200" t="str">
        <f>IFERROR(VLOOKUP(TableHandbook[[#This Row],[UDC]],TableMJRUHUSPL[],7,FALSE),"")</f>
        <v/>
      </c>
      <c r="AG112" s="200" t="str">
        <f>IFERROR(VLOOKUP(TableHandbook[[#This Row],[UDC]],TableMJRUMATHT[],7,FALSE),"")</f>
        <v/>
      </c>
      <c r="AH112" s="200" t="str">
        <f>IFERROR(VLOOKUP(TableHandbook[[#This Row],[UDC]],TableMJRUSCIBI[],7,FALSE),"")</f>
        <v/>
      </c>
      <c r="AI112" s="200" t="str">
        <f>IFERROR(VLOOKUP(TableHandbook[[#This Row],[UDC]],TableMJRUSCICH[],7,FALSE),"")</f>
        <v/>
      </c>
      <c r="AJ112" s="200" t="str">
        <f>IFERROR(VLOOKUP(TableHandbook[[#This Row],[UDC]],TableMJRUSCIHB[],7,FALSE),"")</f>
        <v/>
      </c>
      <c r="AK112" s="200" t="str">
        <f>IFERROR(VLOOKUP(TableHandbook[[#This Row],[UDC]],TableMJRUSCIPH[],7,FALSE),"")</f>
        <v/>
      </c>
      <c r="AL112" s="200" t="str">
        <f>IFERROR(VLOOKUP(TableHandbook[[#This Row],[UDC]],TableMJRUSCIPS[],7,FALSE),"")</f>
        <v/>
      </c>
      <c r="AM112" s="202"/>
      <c r="AN112" s="200" t="str">
        <f>IFERROR(VLOOKUP(TableHandbook[[#This Row],[UDC]],TableSTRUBIOLB[],7,FALSE),"")</f>
        <v/>
      </c>
      <c r="AO112" s="200" t="str">
        <f>IFERROR(VLOOKUP(TableHandbook[[#This Row],[UDC]],TableSTRUBSCIM[],7,FALSE),"")</f>
        <v/>
      </c>
      <c r="AP112" s="200" t="str">
        <f>IFERROR(VLOOKUP(TableHandbook[[#This Row],[UDC]],TableSTRUCHEMB[],7,FALSE),"")</f>
        <v/>
      </c>
      <c r="AQ112" s="200" t="str">
        <f>IFERROR(VLOOKUP(TableHandbook[[#This Row],[UDC]],TableSTRUECOB1[],7,FALSE),"")</f>
        <v/>
      </c>
      <c r="AR112" s="200" t="str">
        <f>IFERROR(VLOOKUP(TableHandbook[[#This Row],[UDC]],TableSTRUEDART[],7,FALSE),"")</f>
        <v/>
      </c>
      <c r="AS112" s="200" t="str">
        <f>IFERROR(VLOOKUP(TableHandbook[[#This Row],[UDC]],TableSTRUEDENG[],7,FALSE),"")</f>
        <v/>
      </c>
      <c r="AT112" s="200" t="str">
        <f>IFERROR(VLOOKUP(TableHandbook[[#This Row],[UDC]],TableSTRUEDHAS[],7,FALSE),"")</f>
        <v/>
      </c>
      <c r="AU112" s="200" t="str">
        <f>IFERROR(VLOOKUP(TableHandbook[[#This Row],[UDC]],TableSTRUEDMAT[],7,FALSE),"")</f>
        <v/>
      </c>
      <c r="AV112" s="200" t="str">
        <f>IFERROR(VLOOKUP(TableHandbook[[#This Row],[UDC]],TableSTRUEDSCI[],7,FALSE),"")</f>
        <v/>
      </c>
      <c r="AW112" s="200" t="str">
        <f>IFERROR(VLOOKUP(TableHandbook[[#This Row],[UDC]],TableSTRUENGLB[],7,FALSE),"")</f>
        <v/>
      </c>
      <c r="AX112" s="200" t="str">
        <f>IFERROR(VLOOKUP(TableHandbook[[#This Row],[UDC]],TableSTRUENGLM[],7,FALSE),"")</f>
        <v/>
      </c>
      <c r="AY112" s="200" t="str">
        <f>IFERROR(VLOOKUP(TableHandbook[[#This Row],[UDC]],TableSTRUGEOB1[],7,FALSE),"")</f>
        <v/>
      </c>
      <c r="AZ112" s="200" t="str">
        <f>IFERROR(VLOOKUP(TableHandbook[[#This Row],[UDC]],TableSTRUHISB1[],7,FALSE),"")</f>
        <v/>
      </c>
      <c r="BA112" s="200" t="str">
        <f>IFERROR(VLOOKUP(TableHandbook[[#This Row],[UDC]],TableSTRUHUMAM[],7,FALSE),"")</f>
        <v/>
      </c>
      <c r="BB112" s="200" t="str">
        <f>IFERROR(VLOOKUP(TableHandbook[[#This Row],[UDC]],TableSTRUHUMBB[],7,FALSE),"")</f>
        <v/>
      </c>
      <c r="BC112" s="200" t="str">
        <f>IFERROR(VLOOKUP(TableHandbook[[#This Row],[UDC]],TableSTRUMATHB[],7,FALSE),"")</f>
        <v/>
      </c>
      <c r="BD112" s="200" t="str">
        <f>IFERROR(VLOOKUP(TableHandbook[[#This Row],[UDC]],TableSTRUMATHM[],7,FALSE),"")</f>
        <v/>
      </c>
      <c r="BE112" s="200" t="str">
        <f>IFERROR(VLOOKUP(TableHandbook[[#This Row],[UDC]],TableSTRUPARTB[],7,FALSE),"")</f>
        <v/>
      </c>
      <c r="BF112" s="200" t="str">
        <f>IFERROR(VLOOKUP(TableHandbook[[#This Row],[UDC]],TableSTRUPARTM[],7,FALSE),"")</f>
        <v/>
      </c>
      <c r="BG112" s="200" t="str">
        <f>IFERROR(VLOOKUP(TableHandbook[[#This Row],[UDC]],TableSTRUPOLB1[],7,FALSE),"")</f>
        <v/>
      </c>
      <c r="BH112" s="200" t="str">
        <f>IFERROR(VLOOKUP(TableHandbook[[#This Row],[UDC]],TableSTRUPSCIM[],7,FALSE),"")</f>
        <v/>
      </c>
      <c r="BI112" s="200" t="str">
        <f>IFERROR(VLOOKUP(TableHandbook[[#This Row],[UDC]],TableSTRUPSYCB[],7,FALSE),"")</f>
        <v/>
      </c>
      <c r="BJ112" s="200" t="str">
        <f>IFERROR(VLOOKUP(TableHandbook[[#This Row],[UDC]],TableSTRUPSYCM[],7,FALSE),"")</f>
        <v/>
      </c>
      <c r="BK112" s="200" t="str">
        <f>IFERROR(VLOOKUP(TableHandbook[[#This Row],[UDC]],TableSTRUSOSCM[],7,FALSE),"")</f>
        <v/>
      </c>
      <c r="BL112" s="200" t="str">
        <f>IFERROR(VLOOKUP(TableHandbook[[#This Row],[UDC]],TableSTRUVARTB[],7,FALSE),"")</f>
        <v/>
      </c>
      <c r="BM112" s="200" t="str">
        <f>IFERROR(VLOOKUP(TableHandbook[[#This Row],[UDC]],TableSTRUVARTM[],7,FALSE),"")</f>
        <v/>
      </c>
    </row>
    <row r="113" spans="1:65" x14ac:dyDescent="0.25">
      <c r="A113" s="11" t="s">
        <v>53</v>
      </c>
      <c r="B113" s="12">
        <v>1</v>
      </c>
      <c r="C113" s="11"/>
      <c r="D113" s="11" t="s">
        <v>688</v>
      </c>
      <c r="E113" s="12">
        <v>25</v>
      </c>
      <c r="F113" s="131" t="s">
        <v>544</v>
      </c>
      <c r="G113" s="126" t="str">
        <f>IFERROR(IF(VLOOKUP(TableHandbook[[#This Row],[UDC]],TableAvailabilities[],2,FALSE)&gt;0,"Y",""),"")</f>
        <v/>
      </c>
      <c r="H113" s="127" t="str">
        <f>IFERROR(IF(VLOOKUP(TableHandbook[[#This Row],[UDC]],TableAvailabilities[],3,FALSE)&gt;0,"Y",""),"")</f>
        <v/>
      </c>
      <c r="I113" s="127" t="str">
        <f>IFERROR(IF(VLOOKUP(TableHandbook[[#This Row],[UDC]],TableAvailabilities[],4,FALSE)&gt;0,"Y",""),"")</f>
        <v/>
      </c>
      <c r="J113" s="128" t="str">
        <f>IFERROR(IF(VLOOKUP(TableHandbook[[#This Row],[UDC]],TableAvailabilities[],5,FALSE)&gt;0,"Y",""),"")</f>
        <v>Y</v>
      </c>
      <c r="K113" s="128" t="str">
        <f>IFERROR(IF(VLOOKUP(TableHandbook[[#This Row],[UDC]],TableAvailabilities[],6,FALSE)&gt;0,"Y",""),"")</f>
        <v>Y</v>
      </c>
      <c r="L113" s="127" t="str">
        <f>IFERROR(IF(VLOOKUP(TableHandbook[[#This Row],[UDC]],TableAvailabilities[],7,FALSE)&gt;0,"Y",""),"")</f>
        <v>Y</v>
      </c>
      <c r="M113" s="207"/>
      <c r="N113" s="205" t="str">
        <f>IFERROR(VLOOKUP(TableHandbook[[#This Row],[UDC]],TableBEDUC[],7,FALSE),"")</f>
        <v>Core</v>
      </c>
      <c r="O113" s="200" t="str">
        <f>IFERROR(VLOOKUP(TableHandbook[[#This Row],[UDC]],TableBEDEC[],7,FALSE),"")</f>
        <v>Core</v>
      </c>
      <c r="P113" s="200" t="str">
        <f>IFERROR(VLOOKUP(TableHandbook[[#This Row],[UDC]],TableBEDPR[],7,FALSE),"")</f>
        <v>Core</v>
      </c>
      <c r="Q113" s="200" t="str">
        <f>IFERROR(VLOOKUP(TableHandbook[[#This Row],[UDC]],TableSTRUCATHL[],7,FALSE),"")</f>
        <v/>
      </c>
      <c r="R113" s="200" t="str">
        <f>IFERROR(VLOOKUP(TableHandbook[[#This Row],[UDC]],TableSTRUENGLL[],7,FALSE),"")</f>
        <v/>
      </c>
      <c r="S113" s="200" t="str">
        <f>IFERROR(VLOOKUP(TableHandbook[[#This Row],[UDC]],TableSTRUINTBC[],7,FALSE),"")</f>
        <v/>
      </c>
      <c r="T113" s="200" t="str">
        <f>IFERROR(VLOOKUP(TableHandbook[[#This Row],[UDC]],TableSTRUISTEM[],7,FALSE),"")</f>
        <v/>
      </c>
      <c r="U113" s="200" t="str">
        <f>IFERROR(VLOOKUP(TableHandbook[[#This Row],[UDC]],TableSTRULITNU[],7,FALSE),"")</f>
        <v/>
      </c>
      <c r="V113" s="200" t="str">
        <f>IFERROR(VLOOKUP(TableHandbook[[#This Row],[UDC]],TableSTRUTECHS[],7,FALSE),"")</f>
        <v/>
      </c>
      <c r="W113" s="200" t="str">
        <f>IFERROR(VLOOKUP(TableHandbook[[#This Row],[UDC]],TableBEDSC[],7,FALSE),"")</f>
        <v/>
      </c>
      <c r="X113" s="200" t="str">
        <f>IFERROR(VLOOKUP(TableHandbook[[#This Row],[UDC]],TableMJRUARTDR[],7,FALSE),"")</f>
        <v/>
      </c>
      <c r="Y113" s="200" t="str">
        <f>IFERROR(VLOOKUP(TableHandbook[[#This Row],[UDC]],TableMJRUARTME[],7,FALSE),"")</f>
        <v/>
      </c>
      <c r="Z113" s="200" t="str">
        <f>IFERROR(VLOOKUP(TableHandbook[[#This Row],[UDC]],TableMJRUARTVA[],7,FALSE),"")</f>
        <v/>
      </c>
      <c r="AA113" s="200" t="str">
        <f>IFERROR(VLOOKUP(TableHandbook[[#This Row],[UDC]],TableMJRUENGLT[],7,FALSE),"")</f>
        <v/>
      </c>
      <c r="AB113" s="200" t="str">
        <f>IFERROR(VLOOKUP(TableHandbook[[#This Row],[UDC]],TableMJRUHLTPE[],7,FALSE),"")</f>
        <v/>
      </c>
      <c r="AC113" s="200" t="str">
        <f>IFERROR(VLOOKUP(TableHandbook[[#This Row],[UDC]],TableMJRUHUSEC[],7,FALSE),"")</f>
        <v/>
      </c>
      <c r="AD113" s="200" t="str">
        <f>IFERROR(VLOOKUP(TableHandbook[[#This Row],[UDC]],TableMJRUHUSGE[],7,FALSE),"")</f>
        <v/>
      </c>
      <c r="AE113" s="200" t="str">
        <f>IFERROR(VLOOKUP(TableHandbook[[#This Row],[UDC]],TableMJRUHUSHI[],7,FALSE),"")</f>
        <v/>
      </c>
      <c r="AF113" s="200" t="str">
        <f>IFERROR(VLOOKUP(TableHandbook[[#This Row],[UDC]],TableMJRUHUSPL[],7,FALSE),"")</f>
        <v/>
      </c>
      <c r="AG113" s="200" t="str">
        <f>IFERROR(VLOOKUP(TableHandbook[[#This Row],[UDC]],TableMJRUMATHT[],7,FALSE),"")</f>
        <v/>
      </c>
      <c r="AH113" s="200" t="str">
        <f>IFERROR(VLOOKUP(TableHandbook[[#This Row],[UDC]],TableMJRUSCIBI[],7,FALSE),"")</f>
        <v/>
      </c>
      <c r="AI113" s="200" t="str">
        <f>IFERROR(VLOOKUP(TableHandbook[[#This Row],[UDC]],TableMJRUSCICH[],7,FALSE),"")</f>
        <v/>
      </c>
      <c r="AJ113" s="200" t="str">
        <f>IFERROR(VLOOKUP(TableHandbook[[#This Row],[UDC]],TableMJRUSCIHB[],7,FALSE),"")</f>
        <v/>
      </c>
      <c r="AK113" s="200" t="str">
        <f>IFERROR(VLOOKUP(TableHandbook[[#This Row],[UDC]],TableMJRUSCIPH[],7,FALSE),"")</f>
        <v/>
      </c>
      <c r="AL113" s="200" t="str">
        <f>IFERROR(VLOOKUP(TableHandbook[[#This Row],[UDC]],TableMJRUSCIPS[],7,FALSE),"")</f>
        <v/>
      </c>
      <c r="AM113" s="202"/>
      <c r="AN113" s="200" t="str">
        <f>IFERROR(VLOOKUP(TableHandbook[[#This Row],[UDC]],TableSTRUBIOLB[],7,FALSE),"")</f>
        <v>Core</v>
      </c>
      <c r="AO113" s="200" t="str">
        <f>IFERROR(VLOOKUP(TableHandbook[[#This Row],[UDC]],TableSTRUBSCIM[],7,FALSE),"")</f>
        <v/>
      </c>
      <c r="AP113" s="200" t="str">
        <f>IFERROR(VLOOKUP(TableHandbook[[#This Row],[UDC]],TableSTRUCHEMB[],7,FALSE),"")</f>
        <v>Core</v>
      </c>
      <c r="AQ113" s="200" t="str">
        <f>IFERROR(VLOOKUP(TableHandbook[[#This Row],[UDC]],TableSTRUECOB1[],7,FALSE),"")</f>
        <v>Core</v>
      </c>
      <c r="AR113" s="200" t="str">
        <f>IFERROR(VLOOKUP(TableHandbook[[#This Row],[UDC]],TableSTRUEDART[],7,FALSE),"")</f>
        <v/>
      </c>
      <c r="AS113" s="200" t="str">
        <f>IFERROR(VLOOKUP(TableHandbook[[#This Row],[UDC]],TableSTRUEDENG[],7,FALSE),"")</f>
        <v/>
      </c>
      <c r="AT113" s="200" t="str">
        <f>IFERROR(VLOOKUP(TableHandbook[[#This Row],[UDC]],TableSTRUEDHAS[],7,FALSE),"")</f>
        <v>Core</v>
      </c>
      <c r="AU113" s="200" t="str">
        <f>IFERROR(VLOOKUP(TableHandbook[[#This Row],[UDC]],TableSTRUEDMAT[],7,FALSE),"")</f>
        <v/>
      </c>
      <c r="AV113" s="200" t="str">
        <f>IFERROR(VLOOKUP(TableHandbook[[#This Row],[UDC]],TableSTRUEDSCI[],7,FALSE),"")</f>
        <v>Core</v>
      </c>
      <c r="AW113" s="200" t="str">
        <f>IFERROR(VLOOKUP(TableHandbook[[#This Row],[UDC]],TableSTRUENGLB[],7,FALSE),"")</f>
        <v/>
      </c>
      <c r="AX113" s="200" t="str">
        <f>IFERROR(VLOOKUP(TableHandbook[[#This Row],[UDC]],TableSTRUENGLM[],7,FALSE),"")</f>
        <v/>
      </c>
      <c r="AY113" s="200" t="str">
        <f>IFERROR(VLOOKUP(TableHandbook[[#This Row],[UDC]],TableSTRUGEOB1[],7,FALSE),"")</f>
        <v>Core</v>
      </c>
      <c r="AZ113" s="200" t="str">
        <f>IFERROR(VLOOKUP(TableHandbook[[#This Row],[UDC]],TableSTRUHISB1[],7,FALSE),"")</f>
        <v>Core</v>
      </c>
      <c r="BA113" s="200" t="str">
        <f>IFERROR(VLOOKUP(TableHandbook[[#This Row],[UDC]],TableSTRUHUMAM[],7,FALSE),"")</f>
        <v/>
      </c>
      <c r="BB113" s="200" t="str">
        <f>IFERROR(VLOOKUP(TableHandbook[[#This Row],[UDC]],TableSTRUHUMBB[],7,FALSE),"")</f>
        <v>Core</v>
      </c>
      <c r="BC113" s="200" t="str">
        <f>IFERROR(VLOOKUP(TableHandbook[[#This Row],[UDC]],TableSTRUMATHB[],7,FALSE),"")</f>
        <v/>
      </c>
      <c r="BD113" s="200" t="str">
        <f>IFERROR(VLOOKUP(TableHandbook[[#This Row],[UDC]],TableSTRUMATHM[],7,FALSE),"")</f>
        <v/>
      </c>
      <c r="BE113" s="200" t="str">
        <f>IFERROR(VLOOKUP(TableHandbook[[#This Row],[UDC]],TableSTRUPARTB[],7,FALSE),"")</f>
        <v/>
      </c>
      <c r="BF113" s="200" t="str">
        <f>IFERROR(VLOOKUP(TableHandbook[[#This Row],[UDC]],TableSTRUPARTM[],7,FALSE),"")</f>
        <v/>
      </c>
      <c r="BG113" s="200" t="str">
        <f>IFERROR(VLOOKUP(TableHandbook[[#This Row],[UDC]],TableSTRUPOLB1[],7,FALSE),"")</f>
        <v>Core</v>
      </c>
      <c r="BH113" s="200" t="str">
        <f>IFERROR(VLOOKUP(TableHandbook[[#This Row],[UDC]],TableSTRUPSCIM[],7,FALSE),"")</f>
        <v/>
      </c>
      <c r="BI113" s="200" t="str">
        <f>IFERROR(VLOOKUP(TableHandbook[[#This Row],[UDC]],TableSTRUPSYCB[],7,FALSE),"")</f>
        <v>Core</v>
      </c>
      <c r="BJ113" s="200" t="str">
        <f>IFERROR(VLOOKUP(TableHandbook[[#This Row],[UDC]],TableSTRUPSYCM[],7,FALSE),"")</f>
        <v/>
      </c>
      <c r="BK113" s="200" t="str">
        <f>IFERROR(VLOOKUP(TableHandbook[[#This Row],[UDC]],TableSTRUSOSCM[],7,FALSE),"")</f>
        <v/>
      </c>
      <c r="BL113" s="200" t="str">
        <f>IFERROR(VLOOKUP(TableHandbook[[#This Row],[UDC]],TableSTRUVARTB[],7,FALSE),"")</f>
        <v/>
      </c>
      <c r="BM113" s="200" t="str">
        <f>IFERROR(VLOOKUP(TableHandbook[[#This Row],[UDC]],TableSTRUVARTM[],7,FALSE),"")</f>
        <v/>
      </c>
    </row>
    <row r="114" spans="1:65" x14ac:dyDescent="0.25">
      <c r="A114" s="11" t="s">
        <v>55</v>
      </c>
      <c r="B114" s="12">
        <v>1</v>
      </c>
      <c r="C114" s="11"/>
      <c r="D114" s="11" t="s">
        <v>689</v>
      </c>
      <c r="E114" s="12">
        <v>25</v>
      </c>
      <c r="F114" s="131" t="s">
        <v>544</v>
      </c>
      <c r="G114" s="126" t="str">
        <f>IFERROR(IF(VLOOKUP(TableHandbook[[#This Row],[UDC]],TableAvailabilities[],2,FALSE)&gt;0,"Y",""),"")</f>
        <v/>
      </c>
      <c r="H114" s="127" t="str">
        <f>IFERROR(IF(VLOOKUP(TableHandbook[[#This Row],[UDC]],TableAvailabilities[],3,FALSE)&gt;0,"Y",""),"")</f>
        <v/>
      </c>
      <c r="I114" s="127" t="str">
        <f>IFERROR(IF(VLOOKUP(TableHandbook[[#This Row],[UDC]],TableAvailabilities[],4,FALSE)&gt;0,"Y",""),"")</f>
        <v/>
      </c>
      <c r="J114" s="128" t="str">
        <f>IFERROR(IF(VLOOKUP(TableHandbook[[#This Row],[UDC]],TableAvailabilities[],5,FALSE)&gt;0,"Y",""),"")</f>
        <v>Y</v>
      </c>
      <c r="K114" s="128" t="str">
        <f>IFERROR(IF(VLOOKUP(TableHandbook[[#This Row],[UDC]],TableAvailabilities[],6,FALSE)&gt;0,"Y",""),"")</f>
        <v>Y</v>
      </c>
      <c r="L114" s="127" t="str">
        <f>IFERROR(IF(VLOOKUP(TableHandbook[[#This Row],[UDC]],TableAvailabilities[],7,FALSE)&gt;0,"Y",""),"")</f>
        <v>Y</v>
      </c>
      <c r="M114" s="251"/>
      <c r="N114" s="200" t="str">
        <f>IFERROR(VLOOKUP(TableHandbook[[#This Row],[UDC]],TableBEDUC[],7,FALSE),"")</f>
        <v>Core</v>
      </c>
      <c r="O114" s="200" t="str">
        <f>IFERROR(VLOOKUP(TableHandbook[[#This Row],[UDC]],TableBEDEC[],7,FALSE),"")</f>
        <v>Core</v>
      </c>
      <c r="P114" s="200" t="str">
        <f>IFERROR(VLOOKUP(TableHandbook[[#This Row],[UDC]],TableBEDPR[],7,FALSE),"")</f>
        <v>Core</v>
      </c>
      <c r="Q114" s="200" t="str">
        <f>IFERROR(VLOOKUP(TableHandbook[[#This Row],[UDC]],TableSTRUCATHL[],7,FALSE),"")</f>
        <v/>
      </c>
      <c r="R114" s="200" t="str">
        <f>IFERROR(VLOOKUP(TableHandbook[[#This Row],[UDC]],TableSTRUENGLL[],7,FALSE),"")</f>
        <v/>
      </c>
      <c r="S114" s="200" t="str">
        <f>IFERROR(VLOOKUP(TableHandbook[[#This Row],[UDC]],TableSTRUINTBC[],7,FALSE),"")</f>
        <v/>
      </c>
      <c r="T114" s="200" t="str">
        <f>IFERROR(VLOOKUP(TableHandbook[[#This Row],[UDC]],TableSTRUISTEM[],7,FALSE),"")</f>
        <v/>
      </c>
      <c r="U114" s="200" t="str">
        <f>IFERROR(VLOOKUP(TableHandbook[[#This Row],[UDC]],TableSTRULITNU[],7,FALSE),"")</f>
        <v/>
      </c>
      <c r="V114" s="200" t="str">
        <f>IFERROR(VLOOKUP(TableHandbook[[#This Row],[UDC]],TableSTRUTECHS[],7,FALSE),"")</f>
        <v/>
      </c>
      <c r="W114" s="200" t="str">
        <f>IFERROR(VLOOKUP(TableHandbook[[#This Row],[UDC]],TableBEDSC[],7,FALSE),"")</f>
        <v/>
      </c>
      <c r="X114" s="200" t="str">
        <f>IFERROR(VLOOKUP(TableHandbook[[#This Row],[UDC]],TableMJRUARTDR[],7,FALSE),"")</f>
        <v/>
      </c>
      <c r="Y114" s="200" t="str">
        <f>IFERROR(VLOOKUP(TableHandbook[[#This Row],[UDC]],TableMJRUARTME[],7,FALSE),"")</f>
        <v/>
      </c>
      <c r="Z114" s="200" t="str">
        <f>IFERROR(VLOOKUP(TableHandbook[[#This Row],[UDC]],TableMJRUARTVA[],7,FALSE),"")</f>
        <v/>
      </c>
      <c r="AA114" s="200" t="str">
        <f>IFERROR(VLOOKUP(TableHandbook[[#This Row],[UDC]],TableMJRUENGLT[],7,FALSE),"")</f>
        <v/>
      </c>
      <c r="AB114" s="200" t="str">
        <f>IFERROR(VLOOKUP(TableHandbook[[#This Row],[UDC]],TableMJRUHLTPE[],7,FALSE),"")</f>
        <v/>
      </c>
      <c r="AC114" s="200" t="str">
        <f>IFERROR(VLOOKUP(TableHandbook[[#This Row],[UDC]],TableMJRUHUSEC[],7,FALSE),"")</f>
        <v/>
      </c>
      <c r="AD114" s="200" t="str">
        <f>IFERROR(VLOOKUP(TableHandbook[[#This Row],[UDC]],TableMJRUHUSGE[],7,FALSE),"")</f>
        <v/>
      </c>
      <c r="AE114" s="200" t="str">
        <f>IFERROR(VLOOKUP(TableHandbook[[#This Row],[UDC]],TableMJRUHUSHI[],7,FALSE),"")</f>
        <v/>
      </c>
      <c r="AF114" s="200" t="str">
        <f>IFERROR(VLOOKUP(TableHandbook[[#This Row],[UDC]],TableMJRUHUSPL[],7,FALSE),"")</f>
        <v/>
      </c>
      <c r="AG114" s="200" t="str">
        <f>IFERROR(VLOOKUP(TableHandbook[[#This Row],[UDC]],TableMJRUMATHT[],7,FALSE),"")</f>
        <v/>
      </c>
      <c r="AH114" s="200" t="str">
        <f>IFERROR(VLOOKUP(TableHandbook[[#This Row],[UDC]],TableMJRUSCIBI[],7,FALSE),"")</f>
        <v/>
      </c>
      <c r="AI114" s="200" t="str">
        <f>IFERROR(VLOOKUP(TableHandbook[[#This Row],[UDC]],TableMJRUSCICH[],7,FALSE),"")</f>
        <v/>
      </c>
      <c r="AJ114" s="200" t="str">
        <f>IFERROR(VLOOKUP(TableHandbook[[#This Row],[UDC]],TableMJRUSCIHB[],7,FALSE),"")</f>
        <v/>
      </c>
      <c r="AK114" s="200" t="str">
        <f>IFERROR(VLOOKUP(TableHandbook[[#This Row],[UDC]],TableMJRUSCIPH[],7,FALSE),"")</f>
        <v/>
      </c>
      <c r="AL114" s="200" t="str">
        <f>IFERROR(VLOOKUP(TableHandbook[[#This Row],[UDC]],TableMJRUSCIPS[],7,FALSE),"")</f>
        <v/>
      </c>
      <c r="AM114" s="202"/>
      <c r="AN114" s="200" t="str">
        <f>IFERROR(VLOOKUP(TableHandbook[[#This Row],[UDC]],TableSTRUBIOLB[],7,FALSE),"")</f>
        <v/>
      </c>
      <c r="AO114" s="200" t="str">
        <f>IFERROR(VLOOKUP(TableHandbook[[#This Row],[UDC]],TableSTRUBSCIM[],7,FALSE),"")</f>
        <v/>
      </c>
      <c r="AP114" s="200" t="str">
        <f>IFERROR(VLOOKUP(TableHandbook[[#This Row],[UDC]],TableSTRUCHEMB[],7,FALSE),"")</f>
        <v/>
      </c>
      <c r="AQ114" s="200" t="str">
        <f>IFERROR(VLOOKUP(TableHandbook[[#This Row],[UDC]],TableSTRUECOB1[],7,FALSE),"")</f>
        <v/>
      </c>
      <c r="AR114" s="200" t="str">
        <f>IFERROR(VLOOKUP(TableHandbook[[#This Row],[UDC]],TableSTRUEDART[],7,FALSE),"")</f>
        <v>Core</v>
      </c>
      <c r="AS114" s="200" t="str">
        <f>IFERROR(VLOOKUP(TableHandbook[[#This Row],[UDC]],TableSTRUEDENG[],7,FALSE),"")</f>
        <v/>
      </c>
      <c r="AT114" s="200" t="str">
        <f>IFERROR(VLOOKUP(TableHandbook[[#This Row],[UDC]],TableSTRUEDHAS[],7,FALSE),"")</f>
        <v/>
      </c>
      <c r="AU114" s="200" t="str">
        <f>IFERROR(VLOOKUP(TableHandbook[[#This Row],[UDC]],TableSTRUEDMAT[],7,FALSE),"")</f>
        <v/>
      </c>
      <c r="AV114" s="200" t="str">
        <f>IFERROR(VLOOKUP(TableHandbook[[#This Row],[UDC]],TableSTRUEDSCI[],7,FALSE),"")</f>
        <v/>
      </c>
      <c r="AW114" s="200" t="str">
        <f>IFERROR(VLOOKUP(TableHandbook[[#This Row],[UDC]],TableSTRUENGLB[],7,FALSE),"")</f>
        <v/>
      </c>
      <c r="AX114" s="200" t="str">
        <f>IFERROR(VLOOKUP(TableHandbook[[#This Row],[UDC]],TableSTRUENGLM[],7,FALSE),"")</f>
        <v/>
      </c>
      <c r="AY114" s="200" t="str">
        <f>IFERROR(VLOOKUP(TableHandbook[[#This Row],[UDC]],TableSTRUGEOB1[],7,FALSE),"")</f>
        <v/>
      </c>
      <c r="AZ114" s="200" t="str">
        <f>IFERROR(VLOOKUP(TableHandbook[[#This Row],[UDC]],TableSTRUHISB1[],7,FALSE),"")</f>
        <v/>
      </c>
      <c r="BA114" s="200" t="str">
        <f>IFERROR(VLOOKUP(TableHandbook[[#This Row],[UDC]],TableSTRUHUMAM[],7,FALSE),"")</f>
        <v/>
      </c>
      <c r="BB114" s="200" t="str">
        <f>IFERROR(VLOOKUP(TableHandbook[[#This Row],[UDC]],TableSTRUHUMBB[],7,FALSE),"")</f>
        <v/>
      </c>
      <c r="BC114" s="200" t="str">
        <f>IFERROR(VLOOKUP(TableHandbook[[#This Row],[UDC]],TableSTRUMATHB[],7,FALSE),"")</f>
        <v/>
      </c>
      <c r="BD114" s="200" t="str">
        <f>IFERROR(VLOOKUP(TableHandbook[[#This Row],[UDC]],TableSTRUMATHM[],7,FALSE),"")</f>
        <v/>
      </c>
      <c r="BE114" s="200" t="str">
        <f>IFERROR(VLOOKUP(TableHandbook[[#This Row],[UDC]],TableSTRUPARTB[],7,FALSE),"")</f>
        <v>Core</v>
      </c>
      <c r="BF114" s="200" t="str">
        <f>IFERROR(VLOOKUP(TableHandbook[[#This Row],[UDC]],TableSTRUPARTM[],7,FALSE),"")</f>
        <v/>
      </c>
      <c r="BG114" s="200" t="str">
        <f>IFERROR(VLOOKUP(TableHandbook[[#This Row],[UDC]],TableSTRUPOLB1[],7,FALSE),"")</f>
        <v/>
      </c>
      <c r="BH114" s="200" t="str">
        <f>IFERROR(VLOOKUP(TableHandbook[[#This Row],[UDC]],TableSTRUPSCIM[],7,FALSE),"")</f>
        <v/>
      </c>
      <c r="BI114" s="200" t="str">
        <f>IFERROR(VLOOKUP(TableHandbook[[#This Row],[UDC]],TableSTRUPSYCB[],7,FALSE),"")</f>
        <v/>
      </c>
      <c r="BJ114" s="200" t="str">
        <f>IFERROR(VLOOKUP(TableHandbook[[#This Row],[UDC]],TableSTRUPSYCM[],7,FALSE),"")</f>
        <v/>
      </c>
      <c r="BK114" s="200" t="str">
        <f>IFERROR(VLOOKUP(TableHandbook[[#This Row],[UDC]],TableSTRUSOSCM[],7,FALSE),"")</f>
        <v/>
      </c>
      <c r="BL114" s="200" t="str">
        <f>IFERROR(VLOOKUP(TableHandbook[[#This Row],[UDC]],TableSTRUVARTB[],7,FALSE),"")</f>
        <v>Core</v>
      </c>
      <c r="BM114" s="200" t="str">
        <f>IFERROR(VLOOKUP(TableHandbook[[#This Row],[UDC]],TableSTRUVARTM[],7,FALSE),"")</f>
        <v/>
      </c>
    </row>
    <row r="115" spans="1:65" x14ac:dyDescent="0.25">
      <c r="A115" s="11" t="s">
        <v>59</v>
      </c>
      <c r="B115" s="12">
        <v>1</v>
      </c>
      <c r="C115" s="11"/>
      <c r="D115" s="11" t="s">
        <v>690</v>
      </c>
      <c r="E115" s="12">
        <v>25</v>
      </c>
      <c r="F115" s="131" t="s">
        <v>544</v>
      </c>
      <c r="G115" s="126" t="str">
        <f>IFERROR(IF(VLOOKUP(TableHandbook[[#This Row],[UDC]],TableAvailabilities[],2,FALSE)&gt;0,"Y",""),"")</f>
        <v/>
      </c>
      <c r="H115" s="127" t="str">
        <f>IFERROR(IF(VLOOKUP(TableHandbook[[#This Row],[UDC]],TableAvailabilities[],3,FALSE)&gt;0,"Y",""),"")</f>
        <v/>
      </c>
      <c r="I115" s="127" t="str">
        <f>IFERROR(IF(VLOOKUP(TableHandbook[[#This Row],[UDC]],TableAvailabilities[],4,FALSE)&gt;0,"Y",""),"")</f>
        <v/>
      </c>
      <c r="J115" s="128" t="str">
        <f>IFERROR(IF(VLOOKUP(TableHandbook[[#This Row],[UDC]],TableAvailabilities[],5,FALSE)&gt;0,"Y",""),"")</f>
        <v>Y</v>
      </c>
      <c r="K115" s="128" t="str">
        <f>IFERROR(IF(VLOOKUP(TableHandbook[[#This Row],[UDC]],TableAvailabilities[],6,FALSE)&gt;0,"Y",""),"")</f>
        <v>Y</v>
      </c>
      <c r="L115" s="127" t="str">
        <f>IFERROR(IF(VLOOKUP(TableHandbook[[#This Row],[UDC]],TableAvailabilities[],7,FALSE)&gt;0,"Y",""),"")</f>
        <v>Y</v>
      </c>
      <c r="M115" s="207"/>
      <c r="N115" s="205" t="str">
        <f>IFERROR(VLOOKUP(TableHandbook[[#This Row],[UDC]],TableBEDUC[],7,FALSE),"")</f>
        <v>Core</v>
      </c>
      <c r="O115" s="200" t="str">
        <f>IFERROR(VLOOKUP(TableHandbook[[#This Row],[UDC]],TableBEDEC[],7,FALSE),"")</f>
        <v>Core</v>
      </c>
      <c r="P115" s="200" t="str">
        <f>IFERROR(VLOOKUP(TableHandbook[[#This Row],[UDC]],TableBEDPR[],7,FALSE),"")</f>
        <v>Core</v>
      </c>
      <c r="Q115" s="200" t="str">
        <f>IFERROR(VLOOKUP(TableHandbook[[#This Row],[UDC]],TableSTRUCATHL[],7,FALSE),"")</f>
        <v/>
      </c>
      <c r="R115" s="200" t="str">
        <f>IFERROR(VLOOKUP(TableHandbook[[#This Row],[UDC]],TableSTRUENGLL[],7,FALSE),"")</f>
        <v/>
      </c>
      <c r="S115" s="200" t="str">
        <f>IFERROR(VLOOKUP(TableHandbook[[#This Row],[UDC]],TableSTRUINTBC[],7,FALSE),"")</f>
        <v/>
      </c>
      <c r="T115" s="200" t="str">
        <f>IFERROR(VLOOKUP(TableHandbook[[#This Row],[UDC]],TableSTRUISTEM[],7,FALSE),"")</f>
        <v/>
      </c>
      <c r="U115" s="200" t="str">
        <f>IFERROR(VLOOKUP(TableHandbook[[#This Row],[UDC]],TableSTRULITNU[],7,FALSE),"")</f>
        <v/>
      </c>
      <c r="V115" s="200" t="str">
        <f>IFERROR(VLOOKUP(TableHandbook[[#This Row],[UDC]],TableSTRUTECHS[],7,FALSE),"")</f>
        <v/>
      </c>
      <c r="W115" s="200" t="str">
        <f>IFERROR(VLOOKUP(TableHandbook[[#This Row],[UDC]],TableBEDSC[],7,FALSE),"")</f>
        <v/>
      </c>
      <c r="X115" s="200" t="str">
        <f>IFERROR(VLOOKUP(TableHandbook[[#This Row],[UDC]],TableMJRUARTDR[],7,FALSE),"")</f>
        <v/>
      </c>
      <c r="Y115" s="200" t="str">
        <f>IFERROR(VLOOKUP(TableHandbook[[#This Row],[UDC]],TableMJRUARTME[],7,FALSE),"")</f>
        <v/>
      </c>
      <c r="Z115" s="200" t="str">
        <f>IFERROR(VLOOKUP(TableHandbook[[#This Row],[UDC]],TableMJRUARTVA[],7,FALSE),"")</f>
        <v/>
      </c>
      <c r="AA115" s="200" t="str">
        <f>IFERROR(VLOOKUP(TableHandbook[[#This Row],[UDC]],TableMJRUENGLT[],7,FALSE),"")</f>
        <v/>
      </c>
      <c r="AB115" s="200" t="str">
        <f>IFERROR(VLOOKUP(TableHandbook[[#This Row],[UDC]],TableMJRUHLTPE[],7,FALSE),"")</f>
        <v/>
      </c>
      <c r="AC115" s="200" t="str">
        <f>IFERROR(VLOOKUP(TableHandbook[[#This Row],[UDC]],TableMJRUHUSEC[],7,FALSE),"")</f>
        <v/>
      </c>
      <c r="AD115" s="200" t="str">
        <f>IFERROR(VLOOKUP(TableHandbook[[#This Row],[UDC]],TableMJRUHUSGE[],7,FALSE),"")</f>
        <v/>
      </c>
      <c r="AE115" s="200" t="str">
        <f>IFERROR(VLOOKUP(TableHandbook[[#This Row],[UDC]],TableMJRUHUSHI[],7,FALSE),"")</f>
        <v/>
      </c>
      <c r="AF115" s="200" t="str">
        <f>IFERROR(VLOOKUP(TableHandbook[[#This Row],[UDC]],TableMJRUHUSPL[],7,FALSE),"")</f>
        <v/>
      </c>
      <c r="AG115" s="200" t="str">
        <f>IFERROR(VLOOKUP(TableHandbook[[#This Row],[UDC]],TableMJRUMATHT[],7,FALSE),"")</f>
        <v/>
      </c>
      <c r="AH115" s="200" t="str">
        <f>IFERROR(VLOOKUP(TableHandbook[[#This Row],[UDC]],TableMJRUSCIBI[],7,FALSE),"")</f>
        <v/>
      </c>
      <c r="AI115" s="200" t="str">
        <f>IFERROR(VLOOKUP(TableHandbook[[#This Row],[UDC]],TableMJRUSCICH[],7,FALSE),"")</f>
        <v/>
      </c>
      <c r="AJ115" s="200" t="str">
        <f>IFERROR(VLOOKUP(TableHandbook[[#This Row],[UDC]],TableMJRUSCIHB[],7,FALSE),"")</f>
        <v/>
      </c>
      <c r="AK115" s="200" t="str">
        <f>IFERROR(VLOOKUP(TableHandbook[[#This Row],[UDC]],TableMJRUSCIPH[],7,FALSE),"")</f>
        <v/>
      </c>
      <c r="AL115" s="200" t="str">
        <f>IFERROR(VLOOKUP(TableHandbook[[#This Row],[UDC]],TableMJRUSCIPS[],7,FALSE),"")</f>
        <v/>
      </c>
      <c r="AM115" s="202"/>
      <c r="AN115" s="200" t="str">
        <f>IFERROR(VLOOKUP(TableHandbook[[#This Row],[UDC]],TableSTRUBIOLB[],7,FALSE),"")</f>
        <v/>
      </c>
      <c r="AO115" s="200" t="str">
        <f>IFERROR(VLOOKUP(TableHandbook[[#This Row],[UDC]],TableSTRUBSCIM[],7,FALSE),"")</f>
        <v/>
      </c>
      <c r="AP115" s="200" t="str">
        <f>IFERROR(VLOOKUP(TableHandbook[[#This Row],[UDC]],TableSTRUCHEMB[],7,FALSE),"")</f>
        <v/>
      </c>
      <c r="AQ115" s="200" t="str">
        <f>IFERROR(VLOOKUP(TableHandbook[[#This Row],[UDC]],TableSTRUECOB1[],7,FALSE),"")</f>
        <v/>
      </c>
      <c r="AR115" s="200" t="str">
        <f>IFERROR(VLOOKUP(TableHandbook[[#This Row],[UDC]],TableSTRUEDART[],7,FALSE),"")</f>
        <v/>
      </c>
      <c r="AS115" s="200" t="str">
        <f>IFERROR(VLOOKUP(TableHandbook[[#This Row],[UDC]],TableSTRUEDENG[],7,FALSE),"")</f>
        <v/>
      </c>
      <c r="AT115" s="200" t="str">
        <f>IFERROR(VLOOKUP(TableHandbook[[#This Row],[UDC]],TableSTRUEDHAS[],7,FALSE),"")</f>
        <v/>
      </c>
      <c r="AU115" s="200" t="str">
        <f>IFERROR(VLOOKUP(TableHandbook[[#This Row],[UDC]],TableSTRUEDMAT[],7,FALSE),"")</f>
        <v/>
      </c>
      <c r="AV115" s="200" t="str">
        <f>IFERROR(VLOOKUP(TableHandbook[[#This Row],[UDC]],TableSTRUEDSCI[],7,FALSE),"")</f>
        <v/>
      </c>
      <c r="AW115" s="200" t="str">
        <f>IFERROR(VLOOKUP(TableHandbook[[#This Row],[UDC]],TableSTRUENGLB[],7,FALSE),"")</f>
        <v/>
      </c>
      <c r="AX115" s="200" t="str">
        <f>IFERROR(VLOOKUP(TableHandbook[[#This Row],[UDC]],TableSTRUENGLM[],7,FALSE),"")</f>
        <v/>
      </c>
      <c r="AY115" s="200" t="str">
        <f>IFERROR(VLOOKUP(TableHandbook[[#This Row],[UDC]],TableSTRUGEOB1[],7,FALSE),"")</f>
        <v/>
      </c>
      <c r="AZ115" s="200" t="str">
        <f>IFERROR(VLOOKUP(TableHandbook[[#This Row],[UDC]],TableSTRUHISB1[],7,FALSE),"")</f>
        <v/>
      </c>
      <c r="BA115" s="200" t="str">
        <f>IFERROR(VLOOKUP(TableHandbook[[#This Row],[UDC]],TableSTRUHUMAM[],7,FALSE),"")</f>
        <v/>
      </c>
      <c r="BB115" s="200" t="str">
        <f>IFERROR(VLOOKUP(TableHandbook[[#This Row],[UDC]],TableSTRUHUMBB[],7,FALSE),"")</f>
        <v/>
      </c>
      <c r="BC115" s="200" t="str">
        <f>IFERROR(VLOOKUP(TableHandbook[[#This Row],[UDC]],TableSTRUMATHB[],7,FALSE),"")</f>
        <v/>
      </c>
      <c r="BD115" s="200" t="str">
        <f>IFERROR(VLOOKUP(TableHandbook[[#This Row],[UDC]],TableSTRUMATHM[],7,FALSE),"")</f>
        <v/>
      </c>
      <c r="BE115" s="200" t="str">
        <f>IFERROR(VLOOKUP(TableHandbook[[#This Row],[UDC]],TableSTRUPARTB[],7,FALSE),"")</f>
        <v/>
      </c>
      <c r="BF115" s="200" t="str">
        <f>IFERROR(VLOOKUP(TableHandbook[[#This Row],[UDC]],TableSTRUPARTM[],7,FALSE),"")</f>
        <v/>
      </c>
      <c r="BG115" s="200" t="str">
        <f>IFERROR(VLOOKUP(TableHandbook[[#This Row],[UDC]],TableSTRUPOLB1[],7,FALSE),"")</f>
        <v/>
      </c>
      <c r="BH115" s="200" t="str">
        <f>IFERROR(VLOOKUP(TableHandbook[[#This Row],[UDC]],TableSTRUPSCIM[],7,FALSE),"")</f>
        <v/>
      </c>
      <c r="BI115" s="200" t="str">
        <f>IFERROR(VLOOKUP(TableHandbook[[#This Row],[UDC]],TableSTRUPSYCB[],7,FALSE),"")</f>
        <v/>
      </c>
      <c r="BJ115" s="200" t="str">
        <f>IFERROR(VLOOKUP(TableHandbook[[#This Row],[UDC]],TableSTRUPSYCM[],7,FALSE),"")</f>
        <v/>
      </c>
      <c r="BK115" s="200" t="str">
        <f>IFERROR(VLOOKUP(TableHandbook[[#This Row],[UDC]],TableSTRUSOSCM[],7,FALSE),"")</f>
        <v/>
      </c>
      <c r="BL115" s="200" t="str">
        <f>IFERROR(VLOOKUP(TableHandbook[[#This Row],[UDC]],TableSTRUVARTB[],7,FALSE),"")</f>
        <v/>
      </c>
      <c r="BM115" s="200" t="str">
        <f>IFERROR(VLOOKUP(TableHandbook[[#This Row],[UDC]],TableSTRUVARTM[],7,FALSE),"")</f>
        <v/>
      </c>
    </row>
    <row r="116" spans="1:65" x14ac:dyDescent="0.25">
      <c r="A116" s="11" t="s">
        <v>90</v>
      </c>
      <c r="B116" s="12">
        <v>1</v>
      </c>
      <c r="C116" s="11"/>
      <c r="D116" s="11" t="s">
        <v>691</v>
      </c>
      <c r="E116" s="12">
        <v>25</v>
      </c>
      <c r="F116" s="131" t="s">
        <v>692</v>
      </c>
      <c r="G116" s="126" t="str">
        <f>IFERROR(IF(VLOOKUP(TableHandbook[[#This Row],[UDC]],TableAvailabilities[],2,FALSE)&gt;0,"Y",""),"")</f>
        <v>Y</v>
      </c>
      <c r="H116" s="127" t="str">
        <f>IFERROR(IF(VLOOKUP(TableHandbook[[#This Row],[UDC]],TableAvailabilities[],3,FALSE)&gt;0,"Y",""),"")</f>
        <v>Y</v>
      </c>
      <c r="I116" s="127" t="str">
        <f>IFERROR(IF(VLOOKUP(TableHandbook[[#This Row],[UDC]],TableAvailabilities[],4,FALSE)&gt;0,"Y",""),"")</f>
        <v>Y</v>
      </c>
      <c r="J116" s="128" t="str">
        <f>IFERROR(IF(VLOOKUP(TableHandbook[[#This Row],[UDC]],TableAvailabilities[],5,FALSE)&gt;0,"Y",""),"")</f>
        <v>Y</v>
      </c>
      <c r="K116" s="128" t="str">
        <f>IFERROR(IF(VLOOKUP(TableHandbook[[#This Row],[UDC]],TableAvailabilities[],6,FALSE)&gt;0,"Y",""),"")</f>
        <v>Y</v>
      </c>
      <c r="L116" s="127" t="str">
        <f>IFERROR(IF(VLOOKUP(TableHandbook[[#This Row],[UDC]],TableAvailabilities[],7,FALSE)&gt;0,"Y",""),"")</f>
        <v/>
      </c>
      <c r="M116" s="207"/>
      <c r="N116" s="205" t="str">
        <f>IFERROR(VLOOKUP(TableHandbook[[#This Row],[UDC]],TableBEDUC[],7,FALSE),"")</f>
        <v>Core</v>
      </c>
      <c r="O116" s="200" t="str">
        <f>IFERROR(VLOOKUP(TableHandbook[[#This Row],[UDC]],TableBEDEC[],7,FALSE),"")</f>
        <v>Core</v>
      </c>
      <c r="P116" s="200" t="str">
        <f>IFERROR(VLOOKUP(TableHandbook[[#This Row],[UDC]],TableBEDPR[],7,FALSE),"")</f>
        <v>Core</v>
      </c>
      <c r="Q116" s="200" t="str">
        <f>IFERROR(VLOOKUP(TableHandbook[[#This Row],[UDC]],TableSTRUCATHL[],7,FALSE),"")</f>
        <v/>
      </c>
      <c r="R116" s="200" t="str">
        <f>IFERROR(VLOOKUP(TableHandbook[[#This Row],[UDC]],TableSTRUENGLL[],7,FALSE),"")</f>
        <v/>
      </c>
      <c r="S116" s="200" t="str">
        <f>IFERROR(VLOOKUP(TableHandbook[[#This Row],[UDC]],TableSTRUINTBC[],7,FALSE),"")</f>
        <v/>
      </c>
      <c r="T116" s="200" t="str">
        <f>IFERROR(VLOOKUP(TableHandbook[[#This Row],[UDC]],TableSTRUISTEM[],7,FALSE),"")</f>
        <v/>
      </c>
      <c r="U116" s="200" t="str">
        <f>IFERROR(VLOOKUP(TableHandbook[[#This Row],[UDC]],TableSTRULITNU[],7,FALSE),"")</f>
        <v/>
      </c>
      <c r="V116" s="200" t="str">
        <f>IFERROR(VLOOKUP(TableHandbook[[#This Row],[UDC]],TableSTRUTECHS[],7,FALSE),"")</f>
        <v/>
      </c>
      <c r="W116" s="200" t="str">
        <f>IFERROR(VLOOKUP(TableHandbook[[#This Row],[UDC]],TableBEDSC[],7,FALSE),"")</f>
        <v>Core</v>
      </c>
      <c r="X116" s="200" t="str">
        <f>IFERROR(VLOOKUP(TableHandbook[[#This Row],[UDC]],TableMJRUARTDR[],7,FALSE),"")</f>
        <v/>
      </c>
      <c r="Y116" s="200" t="str">
        <f>IFERROR(VLOOKUP(TableHandbook[[#This Row],[UDC]],TableMJRUARTME[],7,FALSE),"")</f>
        <v/>
      </c>
      <c r="Z116" s="200" t="str">
        <f>IFERROR(VLOOKUP(TableHandbook[[#This Row],[UDC]],TableMJRUARTVA[],7,FALSE),"")</f>
        <v/>
      </c>
      <c r="AA116" s="200" t="str">
        <f>IFERROR(VLOOKUP(TableHandbook[[#This Row],[UDC]],TableMJRUENGLT[],7,FALSE),"")</f>
        <v/>
      </c>
      <c r="AB116" s="200" t="str">
        <f>IFERROR(VLOOKUP(TableHandbook[[#This Row],[UDC]],TableMJRUHLTPE[],7,FALSE),"")</f>
        <v/>
      </c>
      <c r="AC116" s="200" t="str">
        <f>IFERROR(VLOOKUP(TableHandbook[[#This Row],[UDC]],TableMJRUHUSEC[],7,FALSE),"")</f>
        <v/>
      </c>
      <c r="AD116" s="200" t="str">
        <f>IFERROR(VLOOKUP(TableHandbook[[#This Row],[UDC]],TableMJRUHUSGE[],7,FALSE),"")</f>
        <v/>
      </c>
      <c r="AE116" s="200" t="str">
        <f>IFERROR(VLOOKUP(TableHandbook[[#This Row],[UDC]],TableMJRUHUSHI[],7,FALSE),"")</f>
        <v/>
      </c>
      <c r="AF116" s="200" t="str">
        <f>IFERROR(VLOOKUP(TableHandbook[[#This Row],[UDC]],TableMJRUHUSPL[],7,FALSE),"")</f>
        <v/>
      </c>
      <c r="AG116" s="200" t="str">
        <f>IFERROR(VLOOKUP(TableHandbook[[#This Row],[UDC]],TableMJRUMATHT[],7,FALSE),"")</f>
        <v/>
      </c>
      <c r="AH116" s="200" t="str">
        <f>IFERROR(VLOOKUP(TableHandbook[[#This Row],[UDC]],TableMJRUSCIBI[],7,FALSE),"")</f>
        <v/>
      </c>
      <c r="AI116" s="200" t="str">
        <f>IFERROR(VLOOKUP(TableHandbook[[#This Row],[UDC]],TableMJRUSCICH[],7,FALSE),"")</f>
        <v/>
      </c>
      <c r="AJ116" s="200" t="str">
        <f>IFERROR(VLOOKUP(TableHandbook[[#This Row],[UDC]],TableMJRUSCIHB[],7,FALSE),"")</f>
        <v/>
      </c>
      <c r="AK116" s="200" t="str">
        <f>IFERROR(VLOOKUP(TableHandbook[[#This Row],[UDC]],TableMJRUSCIPH[],7,FALSE),"")</f>
        <v/>
      </c>
      <c r="AL116" s="200" t="str">
        <f>IFERROR(VLOOKUP(TableHandbook[[#This Row],[UDC]],TableMJRUSCIPS[],7,FALSE),"")</f>
        <v/>
      </c>
      <c r="AM116" s="202"/>
      <c r="AN116" s="200" t="str">
        <f>IFERROR(VLOOKUP(TableHandbook[[#This Row],[UDC]],TableSTRUBIOLB[],7,FALSE),"")</f>
        <v/>
      </c>
      <c r="AO116" s="200" t="str">
        <f>IFERROR(VLOOKUP(TableHandbook[[#This Row],[UDC]],TableSTRUBSCIM[],7,FALSE),"")</f>
        <v/>
      </c>
      <c r="AP116" s="200" t="str">
        <f>IFERROR(VLOOKUP(TableHandbook[[#This Row],[UDC]],TableSTRUCHEMB[],7,FALSE),"")</f>
        <v/>
      </c>
      <c r="AQ116" s="200" t="str">
        <f>IFERROR(VLOOKUP(TableHandbook[[#This Row],[UDC]],TableSTRUECOB1[],7,FALSE),"")</f>
        <v/>
      </c>
      <c r="AR116" s="200" t="str">
        <f>IFERROR(VLOOKUP(TableHandbook[[#This Row],[UDC]],TableSTRUEDART[],7,FALSE),"")</f>
        <v/>
      </c>
      <c r="AS116" s="200" t="str">
        <f>IFERROR(VLOOKUP(TableHandbook[[#This Row],[UDC]],TableSTRUEDENG[],7,FALSE),"")</f>
        <v/>
      </c>
      <c r="AT116" s="200" t="str">
        <f>IFERROR(VLOOKUP(TableHandbook[[#This Row],[UDC]],TableSTRUEDHAS[],7,FALSE),"")</f>
        <v/>
      </c>
      <c r="AU116" s="200" t="str">
        <f>IFERROR(VLOOKUP(TableHandbook[[#This Row],[UDC]],TableSTRUEDMAT[],7,FALSE),"")</f>
        <v/>
      </c>
      <c r="AV116" s="200" t="str">
        <f>IFERROR(VLOOKUP(TableHandbook[[#This Row],[UDC]],TableSTRUEDSCI[],7,FALSE),"")</f>
        <v/>
      </c>
      <c r="AW116" s="200" t="str">
        <f>IFERROR(VLOOKUP(TableHandbook[[#This Row],[UDC]],TableSTRUENGLB[],7,FALSE),"")</f>
        <v/>
      </c>
      <c r="AX116" s="200" t="str">
        <f>IFERROR(VLOOKUP(TableHandbook[[#This Row],[UDC]],TableSTRUENGLM[],7,FALSE),"")</f>
        <v/>
      </c>
      <c r="AY116" s="200" t="str">
        <f>IFERROR(VLOOKUP(TableHandbook[[#This Row],[UDC]],TableSTRUGEOB1[],7,FALSE),"")</f>
        <v/>
      </c>
      <c r="AZ116" s="200" t="str">
        <f>IFERROR(VLOOKUP(TableHandbook[[#This Row],[UDC]],TableSTRUHISB1[],7,FALSE),"")</f>
        <v/>
      </c>
      <c r="BA116" s="200" t="str">
        <f>IFERROR(VLOOKUP(TableHandbook[[#This Row],[UDC]],TableSTRUHUMAM[],7,FALSE),"")</f>
        <v/>
      </c>
      <c r="BB116" s="200" t="str">
        <f>IFERROR(VLOOKUP(TableHandbook[[#This Row],[UDC]],TableSTRUHUMBB[],7,FALSE),"")</f>
        <v/>
      </c>
      <c r="BC116" s="200" t="str">
        <f>IFERROR(VLOOKUP(TableHandbook[[#This Row],[UDC]],TableSTRUMATHB[],7,FALSE),"")</f>
        <v/>
      </c>
      <c r="BD116" s="200" t="str">
        <f>IFERROR(VLOOKUP(TableHandbook[[#This Row],[UDC]],TableSTRUMATHM[],7,FALSE),"")</f>
        <v/>
      </c>
      <c r="BE116" s="200" t="str">
        <f>IFERROR(VLOOKUP(TableHandbook[[#This Row],[UDC]],TableSTRUPARTB[],7,FALSE),"")</f>
        <v/>
      </c>
      <c r="BF116" s="200" t="str">
        <f>IFERROR(VLOOKUP(TableHandbook[[#This Row],[UDC]],TableSTRUPARTM[],7,FALSE),"")</f>
        <v/>
      </c>
      <c r="BG116" s="200" t="str">
        <f>IFERROR(VLOOKUP(TableHandbook[[#This Row],[UDC]],TableSTRUPOLB1[],7,FALSE),"")</f>
        <v/>
      </c>
      <c r="BH116" s="200" t="str">
        <f>IFERROR(VLOOKUP(TableHandbook[[#This Row],[UDC]],TableSTRUPSCIM[],7,FALSE),"")</f>
        <v/>
      </c>
      <c r="BI116" s="200" t="str">
        <f>IFERROR(VLOOKUP(TableHandbook[[#This Row],[UDC]],TableSTRUPSYCB[],7,FALSE),"")</f>
        <v/>
      </c>
      <c r="BJ116" s="200" t="str">
        <f>IFERROR(VLOOKUP(TableHandbook[[#This Row],[UDC]],TableSTRUPSYCM[],7,FALSE),"")</f>
        <v/>
      </c>
      <c r="BK116" s="200" t="str">
        <f>IFERROR(VLOOKUP(TableHandbook[[#This Row],[UDC]],TableSTRUSOSCM[],7,FALSE),"")</f>
        <v/>
      </c>
      <c r="BL116" s="200" t="str">
        <f>IFERROR(VLOOKUP(TableHandbook[[#This Row],[UDC]],TableSTRUVARTB[],7,FALSE),"")</f>
        <v/>
      </c>
      <c r="BM116" s="200" t="str">
        <f>IFERROR(VLOOKUP(TableHandbook[[#This Row],[UDC]],TableSTRUVARTM[],7,FALSE),"")</f>
        <v/>
      </c>
    </row>
    <row r="117" spans="1:65" x14ac:dyDescent="0.25">
      <c r="A117" s="11" t="s">
        <v>88</v>
      </c>
      <c r="B117" s="12">
        <v>1</v>
      </c>
      <c r="C117" s="11"/>
      <c r="D117" s="11" t="s">
        <v>693</v>
      </c>
      <c r="E117" s="12">
        <v>25</v>
      </c>
      <c r="F117" s="131" t="s">
        <v>694</v>
      </c>
      <c r="G117" s="126" t="str">
        <f>IFERROR(IF(VLOOKUP(TableHandbook[[#This Row],[UDC]],TableAvailabilities[],2,FALSE)&gt;0,"Y",""),"")</f>
        <v>Y</v>
      </c>
      <c r="H117" s="127" t="str">
        <f>IFERROR(IF(VLOOKUP(TableHandbook[[#This Row],[UDC]],TableAvailabilities[],3,FALSE)&gt;0,"Y",""),"")</f>
        <v>Y</v>
      </c>
      <c r="I117" s="127" t="str">
        <f>IFERROR(IF(VLOOKUP(TableHandbook[[#This Row],[UDC]],TableAvailabilities[],4,FALSE)&gt;0,"Y",""),"")</f>
        <v>Y</v>
      </c>
      <c r="J117" s="128" t="str">
        <f>IFERROR(IF(VLOOKUP(TableHandbook[[#This Row],[UDC]],TableAvailabilities[],5,FALSE)&gt;0,"Y",""),"")</f>
        <v/>
      </c>
      <c r="K117" s="128" t="str">
        <f>IFERROR(IF(VLOOKUP(TableHandbook[[#This Row],[UDC]],TableAvailabilities[],6,FALSE)&gt;0,"Y",""),"")</f>
        <v/>
      </c>
      <c r="L117" s="127" t="str">
        <f>IFERROR(IF(VLOOKUP(TableHandbook[[#This Row],[UDC]],TableAvailabilities[],7,FALSE)&gt;0,"Y",""),"")</f>
        <v/>
      </c>
      <c r="M117" s="207"/>
      <c r="N117" s="205" t="str">
        <f>IFERROR(VLOOKUP(TableHandbook[[#This Row],[UDC]],TableBEDUC[],7,FALSE),"")</f>
        <v>Core</v>
      </c>
      <c r="O117" s="200" t="str">
        <f>IFERROR(VLOOKUP(TableHandbook[[#This Row],[UDC]],TableBEDEC[],7,FALSE),"")</f>
        <v>Core</v>
      </c>
      <c r="P117" s="200" t="str">
        <f>IFERROR(VLOOKUP(TableHandbook[[#This Row],[UDC]],TableBEDPR[],7,FALSE),"")</f>
        <v>Core</v>
      </c>
      <c r="Q117" s="200" t="str">
        <f>IFERROR(VLOOKUP(TableHandbook[[#This Row],[UDC]],TableSTRUCATHL[],7,FALSE),"")</f>
        <v/>
      </c>
      <c r="R117" s="200" t="str">
        <f>IFERROR(VLOOKUP(TableHandbook[[#This Row],[UDC]],TableSTRUENGLL[],7,FALSE),"")</f>
        <v/>
      </c>
      <c r="S117" s="200" t="str">
        <f>IFERROR(VLOOKUP(TableHandbook[[#This Row],[UDC]],TableSTRUINTBC[],7,FALSE),"")</f>
        <v/>
      </c>
      <c r="T117" s="200" t="str">
        <f>IFERROR(VLOOKUP(TableHandbook[[#This Row],[UDC]],TableSTRUISTEM[],7,FALSE),"")</f>
        <v/>
      </c>
      <c r="U117" s="200" t="str">
        <f>IFERROR(VLOOKUP(TableHandbook[[#This Row],[UDC]],TableSTRULITNU[],7,FALSE),"")</f>
        <v/>
      </c>
      <c r="V117" s="200" t="str">
        <f>IFERROR(VLOOKUP(TableHandbook[[#This Row],[UDC]],TableSTRUTECHS[],7,FALSE),"")</f>
        <v/>
      </c>
      <c r="W117" s="200" t="str">
        <f>IFERROR(VLOOKUP(TableHandbook[[#This Row],[UDC]],TableBEDSC[],7,FALSE),"")</f>
        <v/>
      </c>
      <c r="X117" s="200" t="str">
        <f>IFERROR(VLOOKUP(TableHandbook[[#This Row],[UDC]],TableMJRUARTDR[],7,FALSE),"")</f>
        <v/>
      </c>
      <c r="Y117" s="200" t="str">
        <f>IFERROR(VLOOKUP(TableHandbook[[#This Row],[UDC]],TableMJRUARTME[],7,FALSE),"")</f>
        <v/>
      </c>
      <c r="Z117" s="200" t="str">
        <f>IFERROR(VLOOKUP(TableHandbook[[#This Row],[UDC]],TableMJRUARTVA[],7,FALSE),"")</f>
        <v/>
      </c>
      <c r="AA117" s="200" t="str">
        <f>IFERROR(VLOOKUP(TableHandbook[[#This Row],[UDC]],TableMJRUENGLT[],7,FALSE),"")</f>
        <v/>
      </c>
      <c r="AB117" s="200" t="str">
        <f>IFERROR(VLOOKUP(TableHandbook[[#This Row],[UDC]],TableMJRUHLTPE[],7,FALSE),"")</f>
        <v/>
      </c>
      <c r="AC117" s="200" t="str">
        <f>IFERROR(VLOOKUP(TableHandbook[[#This Row],[UDC]],TableMJRUHUSEC[],7,FALSE),"")</f>
        <v/>
      </c>
      <c r="AD117" s="200" t="str">
        <f>IFERROR(VLOOKUP(TableHandbook[[#This Row],[UDC]],TableMJRUHUSGE[],7,FALSE),"")</f>
        <v/>
      </c>
      <c r="AE117" s="200" t="str">
        <f>IFERROR(VLOOKUP(TableHandbook[[#This Row],[UDC]],TableMJRUHUSHI[],7,FALSE),"")</f>
        <v/>
      </c>
      <c r="AF117" s="200" t="str">
        <f>IFERROR(VLOOKUP(TableHandbook[[#This Row],[UDC]],TableMJRUHUSPL[],7,FALSE),"")</f>
        <v/>
      </c>
      <c r="AG117" s="200" t="str">
        <f>IFERROR(VLOOKUP(TableHandbook[[#This Row],[UDC]],TableMJRUMATHT[],7,FALSE),"")</f>
        <v/>
      </c>
      <c r="AH117" s="200" t="str">
        <f>IFERROR(VLOOKUP(TableHandbook[[#This Row],[UDC]],TableMJRUSCIBI[],7,FALSE),"")</f>
        <v/>
      </c>
      <c r="AI117" s="200" t="str">
        <f>IFERROR(VLOOKUP(TableHandbook[[#This Row],[UDC]],TableMJRUSCICH[],7,FALSE),"")</f>
        <v/>
      </c>
      <c r="AJ117" s="200" t="str">
        <f>IFERROR(VLOOKUP(TableHandbook[[#This Row],[UDC]],TableMJRUSCIHB[],7,FALSE),"")</f>
        <v/>
      </c>
      <c r="AK117" s="200" t="str">
        <f>IFERROR(VLOOKUP(TableHandbook[[#This Row],[UDC]],TableMJRUSCIPH[],7,FALSE),"")</f>
        <v/>
      </c>
      <c r="AL117" s="200" t="str">
        <f>IFERROR(VLOOKUP(TableHandbook[[#This Row],[UDC]],TableMJRUSCIPS[],7,FALSE),"")</f>
        <v/>
      </c>
      <c r="AM117" s="202"/>
      <c r="AN117" s="200" t="str">
        <f>IFERROR(VLOOKUP(TableHandbook[[#This Row],[UDC]],TableSTRUBIOLB[],7,FALSE),"")</f>
        <v/>
      </c>
      <c r="AO117" s="200" t="str">
        <f>IFERROR(VLOOKUP(TableHandbook[[#This Row],[UDC]],TableSTRUBSCIM[],7,FALSE),"")</f>
        <v/>
      </c>
      <c r="AP117" s="200" t="str">
        <f>IFERROR(VLOOKUP(TableHandbook[[#This Row],[UDC]],TableSTRUCHEMB[],7,FALSE),"")</f>
        <v/>
      </c>
      <c r="AQ117" s="200" t="str">
        <f>IFERROR(VLOOKUP(TableHandbook[[#This Row],[UDC]],TableSTRUECOB1[],7,FALSE),"")</f>
        <v/>
      </c>
      <c r="AR117" s="200" t="str">
        <f>IFERROR(VLOOKUP(TableHandbook[[#This Row],[UDC]],TableSTRUEDART[],7,FALSE),"")</f>
        <v/>
      </c>
      <c r="AS117" s="200" t="str">
        <f>IFERROR(VLOOKUP(TableHandbook[[#This Row],[UDC]],TableSTRUEDENG[],7,FALSE),"")</f>
        <v>Core</v>
      </c>
      <c r="AT117" s="200" t="str">
        <f>IFERROR(VLOOKUP(TableHandbook[[#This Row],[UDC]],TableSTRUEDHAS[],7,FALSE),"")</f>
        <v/>
      </c>
      <c r="AU117" s="200" t="str">
        <f>IFERROR(VLOOKUP(TableHandbook[[#This Row],[UDC]],TableSTRUEDMAT[],7,FALSE),"")</f>
        <v/>
      </c>
      <c r="AV117" s="200" t="str">
        <f>IFERROR(VLOOKUP(TableHandbook[[#This Row],[UDC]],TableSTRUEDSCI[],7,FALSE),"")</f>
        <v/>
      </c>
      <c r="AW117" s="200" t="str">
        <f>IFERROR(VLOOKUP(TableHandbook[[#This Row],[UDC]],TableSTRUENGLB[],7,FALSE),"")</f>
        <v>Core</v>
      </c>
      <c r="AX117" s="200" t="str">
        <f>IFERROR(VLOOKUP(TableHandbook[[#This Row],[UDC]],TableSTRUENGLM[],7,FALSE),"")</f>
        <v/>
      </c>
      <c r="AY117" s="200" t="str">
        <f>IFERROR(VLOOKUP(TableHandbook[[#This Row],[UDC]],TableSTRUGEOB1[],7,FALSE),"")</f>
        <v/>
      </c>
      <c r="AZ117" s="200" t="str">
        <f>IFERROR(VLOOKUP(TableHandbook[[#This Row],[UDC]],TableSTRUHISB1[],7,FALSE),"")</f>
        <v/>
      </c>
      <c r="BA117" s="200" t="str">
        <f>IFERROR(VLOOKUP(TableHandbook[[#This Row],[UDC]],TableSTRUHUMAM[],7,FALSE),"")</f>
        <v/>
      </c>
      <c r="BB117" s="200" t="str">
        <f>IFERROR(VLOOKUP(TableHandbook[[#This Row],[UDC]],TableSTRUHUMBB[],7,FALSE),"")</f>
        <v/>
      </c>
      <c r="BC117" s="200" t="str">
        <f>IFERROR(VLOOKUP(TableHandbook[[#This Row],[UDC]],TableSTRUMATHB[],7,FALSE),"")</f>
        <v/>
      </c>
      <c r="BD117" s="200" t="str">
        <f>IFERROR(VLOOKUP(TableHandbook[[#This Row],[UDC]],TableSTRUMATHM[],7,FALSE),"")</f>
        <v/>
      </c>
      <c r="BE117" s="200" t="str">
        <f>IFERROR(VLOOKUP(TableHandbook[[#This Row],[UDC]],TableSTRUPARTB[],7,FALSE),"")</f>
        <v/>
      </c>
      <c r="BF117" s="200" t="str">
        <f>IFERROR(VLOOKUP(TableHandbook[[#This Row],[UDC]],TableSTRUPARTM[],7,FALSE),"")</f>
        <v/>
      </c>
      <c r="BG117" s="200" t="str">
        <f>IFERROR(VLOOKUP(TableHandbook[[#This Row],[UDC]],TableSTRUPOLB1[],7,FALSE),"")</f>
        <v/>
      </c>
      <c r="BH117" s="200" t="str">
        <f>IFERROR(VLOOKUP(TableHandbook[[#This Row],[UDC]],TableSTRUPSCIM[],7,FALSE),"")</f>
        <v/>
      </c>
      <c r="BI117" s="200" t="str">
        <f>IFERROR(VLOOKUP(TableHandbook[[#This Row],[UDC]],TableSTRUPSYCB[],7,FALSE),"")</f>
        <v/>
      </c>
      <c r="BJ117" s="200" t="str">
        <f>IFERROR(VLOOKUP(TableHandbook[[#This Row],[UDC]],TableSTRUPSYCM[],7,FALSE),"")</f>
        <v/>
      </c>
      <c r="BK117" s="200" t="str">
        <f>IFERROR(VLOOKUP(TableHandbook[[#This Row],[UDC]],TableSTRUSOSCM[],7,FALSE),"")</f>
        <v/>
      </c>
      <c r="BL117" s="200" t="str">
        <f>IFERROR(VLOOKUP(TableHandbook[[#This Row],[UDC]],TableSTRUVARTB[],7,FALSE),"")</f>
        <v/>
      </c>
      <c r="BM117" s="200" t="str">
        <f>IFERROR(VLOOKUP(TableHandbook[[#This Row],[UDC]],TableSTRUVARTM[],7,FALSE),"")</f>
        <v/>
      </c>
    </row>
    <row r="118" spans="1:65" x14ac:dyDescent="0.25">
      <c r="A118" s="11" t="s">
        <v>122</v>
      </c>
      <c r="B118" s="12">
        <v>1</v>
      </c>
      <c r="C118" s="11"/>
      <c r="D118" s="11" t="s">
        <v>695</v>
      </c>
      <c r="E118" s="12">
        <v>25</v>
      </c>
      <c r="F118" s="131" t="s">
        <v>696</v>
      </c>
      <c r="G118" s="126" t="str">
        <f>IFERROR(IF(VLOOKUP(TableHandbook[[#This Row],[UDC]],TableAvailabilities[],2,FALSE)&gt;0,"Y",""),"")</f>
        <v/>
      </c>
      <c r="H118" s="127" t="str">
        <f>IFERROR(IF(VLOOKUP(TableHandbook[[#This Row],[UDC]],TableAvailabilities[],3,FALSE)&gt;0,"Y",""),"")</f>
        <v>Y</v>
      </c>
      <c r="I118" s="127" t="str">
        <f>IFERROR(IF(VLOOKUP(TableHandbook[[#This Row],[UDC]],TableAvailabilities[],4,FALSE)&gt;0,"Y",""),"")</f>
        <v/>
      </c>
      <c r="J118" s="128" t="str">
        <f>IFERROR(IF(VLOOKUP(TableHandbook[[#This Row],[UDC]],TableAvailabilities[],5,FALSE)&gt;0,"Y",""),"")</f>
        <v/>
      </c>
      <c r="K118" s="128" t="str">
        <f>IFERROR(IF(VLOOKUP(TableHandbook[[#This Row],[UDC]],TableAvailabilities[],6,FALSE)&gt;0,"Y",""),"")</f>
        <v>Y</v>
      </c>
      <c r="L118" s="127" t="str">
        <f>IFERROR(IF(VLOOKUP(TableHandbook[[#This Row],[UDC]],TableAvailabilities[],7,FALSE)&gt;0,"Y",""),"")</f>
        <v/>
      </c>
      <c r="M118" s="207"/>
      <c r="N118" s="205" t="str">
        <f>IFERROR(VLOOKUP(TableHandbook[[#This Row],[UDC]],TableBEDUC[],7,FALSE),"")</f>
        <v>Core</v>
      </c>
      <c r="O118" s="200" t="str">
        <f>IFERROR(VLOOKUP(TableHandbook[[#This Row],[UDC]],TableBEDEC[],7,FALSE),"")</f>
        <v/>
      </c>
      <c r="P118" s="200" t="str">
        <f>IFERROR(VLOOKUP(TableHandbook[[#This Row],[UDC]],TableBEDPR[],7,FALSE),"")</f>
        <v/>
      </c>
      <c r="Q118" s="200" t="str">
        <f>IFERROR(VLOOKUP(TableHandbook[[#This Row],[UDC]],TableSTRUCATHL[],7,FALSE),"")</f>
        <v/>
      </c>
      <c r="R118" s="200" t="str">
        <f>IFERROR(VLOOKUP(TableHandbook[[#This Row],[UDC]],TableSTRUENGLL[],7,FALSE),"")</f>
        <v/>
      </c>
      <c r="S118" s="200" t="str">
        <f>IFERROR(VLOOKUP(TableHandbook[[#This Row],[UDC]],TableSTRUINTBC[],7,FALSE),"")</f>
        <v/>
      </c>
      <c r="T118" s="200" t="str">
        <f>IFERROR(VLOOKUP(TableHandbook[[#This Row],[UDC]],TableSTRUISTEM[],7,FALSE),"")</f>
        <v/>
      </c>
      <c r="U118" s="200" t="str">
        <f>IFERROR(VLOOKUP(TableHandbook[[#This Row],[UDC]],TableSTRULITNU[],7,FALSE),"")</f>
        <v/>
      </c>
      <c r="V118" s="200" t="str">
        <f>IFERROR(VLOOKUP(TableHandbook[[#This Row],[UDC]],TableSTRUTECHS[],7,FALSE),"")</f>
        <v/>
      </c>
      <c r="W118" s="200" t="str">
        <f>IFERROR(VLOOKUP(TableHandbook[[#This Row],[UDC]],TableBEDSC[],7,FALSE),"")</f>
        <v/>
      </c>
      <c r="X118" s="200" t="str">
        <f>IFERROR(VLOOKUP(TableHandbook[[#This Row],[UDC]],TableMJRUARTDR[],7,FALSE),"")</f>
        <v/>
      </c>
      <c r="Y118" s="200" t="str">
        <f>IFERROR(VLOOKUP(TableHandbook[[#This Row],[UDC]],TableMJRUARTME[],7,FALSE),"")</f>
        <v/>
      </c>
      <c r="Z118" s="200" t="str">
        <f>IFERROR(VLOOKUP(TableHandbook[[#This Row],[UDC]],TableMJRUARTVA[],7,FALSE),"")</f>
        <v/>
      </c>
      <c r="AA118" s="200" t="str">
        <f>IFERROR(VLOOKUP(TableHandbook[[#This Row],[UDC]],TableMJRUENGLT[],7,FALSE),"")</f>
        <v/>
      </c>
      <c r="AB118" s="200" t="str">
        <f>IFERROR(VLOOKUP(TableHandbook[[#This Row],[UDC]],TableMJRUHLTPE[],7,FALSE),"")</f>
        <v/>
      </c>
      <c r="AC118" s="200" t="str">
        <f>IFERROR(VLOOKUP(TableHandbook[[#This Row],[UDC]],TableMJRUHUSEC[],7,FALSE),"")</f>
        <v/>
      </c>
      <c r="AD118" s="200" t="str">
        <f>IFERROR(VLOOKUP(TableHandbook[[#This Row],[UDC]],TableMJRUHUSGE[],7,FALSE),"")</f>
        <v/>
      </c>
      <c r="AE118" s="200" t="str">
        <f>IFERROR(VLOOKUP(TableHandbook[[#This Row],[UDC]],TableMJRUHUSHI[],7,FALSE),"")</f>
        <v/>
      </c>
      <c r="AF118" s="200" t="str">
        <f>IFERROR(VLOOKUP(TableHandbook[[#This Row],[UDC]],TableMJRUHUSPL[],7,FALSE),"")</f>
        <v/>
      </c>
      <c r="AG118" s="200" t="str">
        <f>IFERROR(VLOOKUP(TableHandbook[[#This Row],[UDC]],TableMJRUMATHT[],7,FALSE),"")</f>
        <v/>
      </c>
      <c r="AH118" s="200" t="str">
        <f>IFERROR(VLOOKUP(TableHandbook[[#This Row],[UDC]],TableMJRUSCIBI[],7,FALSE),"")</f>
        <v/>
      </c>
      <c r="AI118" s="200" t="str">
        <f>IFERROR(VLOOKUP(TableHandbook[[#This Row],[UDC]],TableMJRUSCICH[],7,FALSE),"")</f>
        <v/>
      </c>
      <c r="AJ118" s="200" t="str">
        <f>IFERROR(VLOOKUP(TableHandbook[[#This Row],[UDC]],TableMJRUSCIHB[],7,FALSE),"")</f>
        <v/>
      </c>
      <c r="AK118" s="200" t="str">
        <f>IFERROR(VLOOKUP(TableHandbook[[#This Row],[UDC]],TableMJRUSCIPH[],7,FALSE),"")</f>
        <v/>
      </c>
      <c r="AL118" s="200" t="str">
        <f>IFERROR(VLOOKUP(TableHandbook[[#This Row],[UDC]],TableMJRUSCIPS[],7,FALSE),"")</f>
        <v/>
      </c>
      <c r="AM118" s="202"/>
      <c r="AN118" s="200" t="str">
        <f>IFERROR(VLOOKUP(TableHandbook[[#This Row],[UDC]],TableSTRUBIOLB[],7,FALSE),"")</f>
        <v/>
      </c>
      <c r="AO118" s="200" t="str">
        <f>IFERROR(VLOOKUP(TableHandbook[[#This Row],[UDC]],TableSTRUBSCIM[],7,FALSE),"")</f>
        <v/>
      </c>
      <c r="AP118" s="200" t="str">
        <f>IFERROR(VLOOKUP(TableHandbook[[#This Row],[UDC]],TableSTRUCHEMB[],7,FALSE),"")</f>
        <v/>
      </c>
      <c r="AQ118" s="200" t="str">
        <f>IFERROR(VLOOKUP(TableHandbook[[#This Row],[UDC]],TableSTRUECOB1[],7,FALSE),"")</f>
        <v/>
      </c>
      <c r="AR118" s="200" t="str">
        <f>IFERROR(VLOOKUP(TableHandbook[[#This Row],[UDC]],TableSTRUEDART[],7,FALSE),"")</f>
        <v/>
      </c>
      <c r="AS118" s="200" t="str">
        <f>IFERROR(VLOOKUP(TableHandbook[[#This Row],[UDC]],TableSTRUEDENG[],7,FALSE),"")</f>
        <v/>
      </c>
      <c r="AT118" s="200" t="str">
        <f>IFERROR(VLOOKUP(TableHandbook[[#This Row],[UDC]],TableSTRUEDHAS[],7,FALSE),"")</f>
        <v/>
      </c>
      <c r="AU118" s="200" t="str">
        <f>IFERROR(VLOOKUP(TableHandbook[[#This Row],[UDC]],TableSTRUEDMAT[],7,FALSE),"")</f>
        <v/>
      </c>
      <c r="AV118" s="200" t="str">
        <f>IFERROR(VLOOKUP(TableHandbook[[#This Row],[UDC]],TableSTRUEDSCI[],7,FALSE),"")</f>
        <v/>
      </c>
      <c r="AW118" s="200" t="str">
        <f>IFERROR(VLOOKUP(TableHandbook[[#This Row],[UDC]],TableSTRUENGLB[],7,FALSE),"")</f>
        <v/>
      </c>
      <c r="AX118" s="200" t="str">
        <f>IFERROR(VLOOKUP(TableHandbook[[#This Row],[UDC]],TableSTRUENGLM[],7,FALSE),"")</f>
        <v/>
      </c>
      <c r="AY118" s="200" t="str">
        <f>IFERROR(VLOOKUP(TableHandbook[[#This Row],[UDC]],TableSTRUGEOB1[],7,FALSE),"")</f>
        <v/>
      </c>
      <c r="AZ118" s="200" t="str">
        <f>IFERROR(VLOOKUP(TableHandbook[[#This Row],[UDC]],TableSTRUHISB1[],7,FALSE),"")</f>
        <v/>
      </c>
      <c r="BA118" s="200" t="str">
        <f>IFERROR(VLOOKUP(TableHandbook[[#This Row],[UDC]],TableSTRUHUMAM[],7,FALSE),"")</f>
        <v/>
      </c>
      <c r="BB118" s="200" t="str">
        <f>IFERROR(VLOOKUP(TableHandbook[[#This Row],[UDC]],TableSTRUHUMBB[],7,FALSE),"")</f>
        <v/>
      </c>
      <c r="BC118" s="200" t="str">
        <f>IFERROR(VLOOKUP(TableHandbook[[#This Row],[UDC]],TableSTRUMATHB[],7,FALSE),"")</f>
        <v/>
      </c>
      <c r="BD118" s="200" t="str">
        <f>IFERROR(VLOOKUP(TableHandbook[[#This Row],[UDC]],TableSTRUMATHM[],7,FALSE),"")</f>
        <v/>
      </c>
      <c r="BE118" s="200" t="str">
        <f>IFERROR(VLOOKUP(TableHandbook[[#This Row],[UDC]],TableSTRUPARTB[],7,FALSE),"")</f>
        <v/>
      </c>
      <c r="BF118" s="200" t="str">
        <f>IFERROR(VLOOKUP(TableHandbook[[#This Row],[UDC]],TableSTRUPARTM[],7,FALSE),"")</f>
        <v/>
      </c>
      <c r="BG118" s="200" t="str">
        <f>IFERROR(VLOOKUP(TableHandbook[[#This Row],[UDC]],TableSTRUPOLB1[],7,FALSE),"")</f>
        <v/>
      </c>
      <c r="BH118" s="200" t="str">
        <f>IFERROR(VLOOKUP(TableHandbook[[#This Row],[UDC]],TableSTRUPSCIM[],7,FALSE),"")</f>
        <v/>
      </c>
      <c r="BI118" s="200" t="str">
        <f>IFERROR(VLOOKUP(TableHandbook[[#This Row],[UDC]],TableSTRUPSYCB[],7,FALSE),"")</f>
        <v/>
      </c>
      <c r="BJ118" s="200" t="str">
        <f>IFERROR(VLOOKUP(TableHandbook[[#This Row],[UDC]],TableSTRUPSYCM[],7,FALSE),"")</f>
        <v/>
      </c>
      <c r="BK118" s="200" t="str">
        <f>IFERROR(VLOOKUP(TableHandbook[[#This Row],[UDC]],TableSTRUSOSCM[],7,FALSE),"")</f>
        <v/>
      </c>
      <c r="BL118" s="200" t="str">
        <f>IFERROR(VLOOKUP(TableHandbook[[#This Row],[UDC]],TableSTRUVARTB[],7,FALSE),"")</f>
        <v/>
      </c>
      <c r="BM118" s="200" t="str">
        <f>IFERROR(VLOOKUP(TableHandbook[[#This Row],[UDC]],TableSTRUVARTM[],7,FALSE),"")</f>
        <v/>
      </c>
    </row>
    <row r="119" spans="1:65" x14ac:dyDescent="0.25">
      <c r="A119" s="11" t="s">
        <v>156</v>
      </c>
      <c r="B119" s="12">
        <v>2</v>
      </c>
      <c r="C119" s="11"/>
      <c r="D119" s="11" t="s">
        <v>697</v>
      </c>
      <c r="E119" s="12">
        <v>25</v>
      </c>
      <c r="F119" s="131" t="s">
        <v>544</v>
      </c>
      <c r="G119" s="126" t="str">
        <f>IFERROR(IF(VLOOKUP(TableHandbook[[#This Row],[UDC]],TableAvailabilities[],2,FALSE)&gt;0,"Y",""),"")</f>
        <v>Y</v>
      </c>
      <c r="H119" s="127" t="str">
        <f>IFERROR(IF(VLOOKUP(TableHandbook[[#This Row],[UDC]],TableAvailabilities[],3,FALSE)&gt;0,"Y",""),"")</f>
        <v>Y</v>
      </c>
      <c r="I119" s="127" t="str">
        <f>IFERROR(IF(VLOOKUP(TableHandbook[[#This Row],[UDC]],TableAvailabilities[],4,FALSE)&gt;0,"Y",""),"")</f>
        <v/>
      </c>
      <c r="J119" s="128" t="str">
        <f>IFERROR(IF(VLOOKUP(TableHandbook[[#This Row],[UDC]],TableAvailabilities[],5,FALSE)&gt;0,"Y",""),"")</f>
        <v/>
      </c>
      <c r="K119" s="128" t="str">
        <f>IFERROR(IF(VLOOKUP(TableHandbook[[#This Row],[UDC]],TableAvailabilities[],6,FALSE)&gt;0,"Y",""),"")</f>
        <v/>
      </c>
      <c r="L119" s="127" t="str">
        <f>IFERROR(IF(VLOOKUP(TableHandbook[[#This Row],[UDC]],TableAvailabilities[],7,FALSE)&gt;0,"Y",""),"")</f>
        <v/>
      </c>
      <c r="M119" s="207"/>
      <c r="N119" s="205" t="str">
        <f>IFERROR(VLOOKUP(TableHandbook[[#This Row],[UDC]],TableBEDUC[],7,FALSE),"")</f>
        <v>Option</v>
      </c>
      <c r="O119" s="200" t="str">
        <f>IFERROR(VLOOKUP(TableHandbook[[#This Row],[UDC]],TableBEDEC[],7,FALSE),"")</f>
        <v>Option</v>
      </c>
      <c r="P119" s="200" t="str">
        <f>IFERROR(VLOOKUP(TableHandbook[[#This Row],[UDC]],TableBEDPR[],7,FALSE),"")</f>
        <v/>
      </c>
      <c r="Q119" s="200" t="str">
        <f>IFERROR(VLOOKUP(TableHandbook[[#This Row],[UDC]],TableSTRUCATHL[],7,FALSE),"")</f>
        <v/>
      </c>
      <c r="R119" s="200" t="str">
        <f>IFERROR(VLOOKUP(TableHandbook[[#This Row],[UDC]],TableSTRUENGLL[],7,FALSE),"")</f>
        <v/>
      </c>
      <c r="S119" s="200" t="str">
        <f>IFERROR(VLOOKUP(TableHandbook[[#This Row],[UDC]],TableSTRUINTBC[],7,FALSE),"")</f>
        <v/>
      </c>
      <c r="T119" s="200" t="str">
        <f>IFERROR(VLOOKUP(TableHandbook[[#This Row],[UDC]],TableSTRUISTEM[],7,FALSE),"")</f>
        <v/>
      </c>
      <c r="U119" s="200" t="str">
        <f>IFERROR(VLOOKUP(TableHandbook[[#This Row],[UDC]],TableSTRULITNU[],7,FALSE),"")</f>
        <v/>
      </c>
      <c r="V119" s="200" t="str">
        <f>IFERROR(VLOOKUP(TableHandbook[[#This Row],[UDC]],TableSTRUTECHS[],7,FALSE),"")</f>
        <v/>
      </c>
      <c r="W119" s="200" t="str">
        <f>IFERROR(VLOOKUP(TableHandbook[[#This Row],[UDC]],TableBEDSC[],7,FALSE),"")</f>
        <v/>
      </c>
      <c r="X119" s="200" t="str">
        <f>IFERROR(VLOOKUP(TableHandbook[[#This Row],[UDC]],TableMJRUARTDR[],7,FALSE),"")</f>
        <v/>
      </c>
      <c r="Y119" s="200" t="str">
        <f>IFERROR(VLOOKUP(TableHandbook[[#This Row],[UDC]],TableMJRUARTME[],7,FALSE),"")</f>
        <v/>
      </c>
      <c r="Z119" s="200" t="str">
        <f>IFERROR(VLOOKUP(TableHandbook[[#This Row],[UDC]],TableMJRUARTVA[],7,FALSE),"")</f>
        <v/>
      </c>
      <c r="AA119" s="200" t="str">
        <f>IFERROR(VLOOKUP(TableHandbook[[#This Row],[UDC]],TableMJRUENGLT[],7,FALSE),"")</f>
        <v/>
      </c>
      <c r="AB119" s="200" t="str">
        <f>IFERROR(VLOOKUP(TableHandbook[[#This Row],[UDC]],TableMJRUHLTPE[],7,FALSE),"")</f>
        <v>Core</v>
      </c>
      <c r="AC119" s="200" t="str">
        <f>IFERROR(VLOOKUP(TableHandbook[[#This Row],[UDC]],TableMJRUHUSEC[],7,FALSE),"")</f>
        <v/>
      </c>
      <c r="AD119" s="200" t="str">
        <f>IFERROR(VLOOKUP(TableHandbook[[#This Row],[UDC]],TableMJRUHUSGE[],7,FALSE),"")</f>
        <v/>
      </c>
      <c r="AE119" s="200" t="str">
        <f>IFERROR(VLOOKUP(TableHandbook[[#This Row],[UDC]],TableMJRUHUSHI[],7,FALSE),"")</f>
        <v/>
      </c>
      <c r="AF119" s="200" t="str">
        <f>IFERROR(VLOOKUP(TableHandbook[[#This Row],[UDC]],TableMJRUHUSPL[],7,FALSE),"")</f>
        <v/>
      </c>
      <c r="AG119" s="200" t="str">
        <f>IFERROR(VLOOKUP(TableHandbook[[#This Row],[UDC]],TableMJRUMATHT[],7,FALSE),"")</f>
        <v/>
      </c>
      <c r="AH119" s="200" t="str">
        <f>IFERROR(VLOOKUP(TableHandbook[[#This Row],[UDC]],TableMJRUSCIBI[],7,FALSE),"")</f>
        <v/>
      </c>
      <c r="AI119" s="200" t="str">
        <f>IFERROR(VLOOKUP(TableHandbook[[#This Row],[UDC]],TableMJRUSCICH[],7,FALSE),"")</f>
        <v/>
      </c>
      <c r="AJ119" s="200" t="str">
        <f>IFERROR(VLOOKUP(TableHandbook[[#This Row],[UDC]],TableMJRUSCIHB[],7,FALSE),"")</f>
        <v/>
      </c>
      <c r="AK119" s="200" t="str">
        <f>IFERROR(VLOOKUP(TableHandbook[[#This Row],[UDC]],TableMJRUSCIPH[],7,FALSE),"")</f>
        <v/>
      </c>
      <c r="AL119" s="200" t="str">
        <f>IFERROR(VLOOKUP(TableHandbook[[#This Row],[UDC]],TableMJRUSCIPS[],7,FALSE),"")</f>
        <v/>
      </c>
      <c r="AM119" s="202"/>
      <c r="AN119" s="200" t="str">
        <f>IFERROR(VLOOKUP(TableHandbook[[#This Row],[UDC]],TableSTRUBIOLB[],7,FALSE),"")</f>
        <v>Option</v>
      </c>
      <c r="AO119" s="200" t="str">
        <f>IFERROR(VLOOKUP(TableHandbook[[#This Row],[UDC]],TableSTRUBSCIM[],7,FALSE),"")</f>
        <v/>
      </c>
      <c r="AP119" s="200" t="str">
        <f>IFERROR(VLOOKUP(TableHandbook[[#This Row],[UDC]],TableSTRUCHEMB[],7,FALSE),"")</f>
        <v>Option</v>
      </c>
      <c r="AQ119" s="200" t="str">
        <f>IFERROR(VLOOKUP(TableHandbook[[#This Row],[UDC]],TableSTRUECOB1[],7,FALSE),"")</f>
        <v>Option</v>
      </c>
      <c r="AR119" s="200" t="str">
        <f>IFERROR(VLOOKUP(TableHandbook[[#This Row],[UDC]],TableSTRUEDART[],7,FALSE),"")</f>
        <v>Option</v>
      </c>
      <c r="AS119" s="200" t="str">
        <f>IFERROR(VLOOKUP(TableHandbook[[#This Row],[UDC]],TableSTRUEDENG[],7,FALSE),"")</f>
        <v>Option</v>
      </c>
      <c r="AT119" s="200" t="str">
        <f>IFERROR(VLOOKUP(TableHandbook[[#This Row],[UDC]],TableSTRUEDHAS[],7,FALSE),"")</f>
        <v>Option</v>
      </c>
      <c r="AU119" s="200" t="str">
        <f>IFERROR(VLOOKUP(TableHandbook[[#This Row],[UDC]],TableSTRUEDMAT[],7,FALSE),"")</f>
        <v>Option</v>
      </c>
      <c r="AV119" s="200" t="str">
        <f>IFERROR(VLOOKUP(TableHandbook[[#This Row],[UDC]],TableSTRUEDSCI[],7,FALSE),"")</f>
        <v>Option</v>
      </c>
      <c r="AW119" s="200" t="str">
        <f>IFERROR(VLOOKUP(TableHandbook[[#This Row],[UDC]],TableSTRUENGLB[],7,FALSE),"")</f>
        <v>Option</v>
      </c>
      <c r="AX119" s="200" t="str">
        <f>IFERROR(VLOOKUP(TableHandbook[[#This Row],[UDC]],TableSTRUENGLM[],7,FALSE),"")</f>
        <v/>
      </c>
      <c r="AY119" s="200" t="str">
        <f>IFERROR(VLOOKUP(TableHandbook[[#This Row],[UDC]],TableSTRUGEOB1[],7,FALSE),"")</f>
        <v>Option</v>
      </c>
      <c r="AZ119" s="200" t="str">
        <f>IFERROR(VLOOKUP(TableHandbook[[#This Row],[UDC]],TableSTRUHISB1[],7,FALSE),"")</f>
        <v>Option</v>
      </c>
      <c r="BA119" s="200" t="str">
        <f>IFERROR(VLOOKUP(TableHandbook[[#This Row],[UDC]],TableSTRUHUMAM[],7,FALSE),"")</f>
        <v/>
      </c>
      <c r="BB119" s="200" t="str">
        <f>IFERROR(VLOOKUP(TableHandbook[[#This Row],[UDC]],TableSTRUHUMBB[],7,FALSE),"")</f>
        <v>Option</v>
      </c>
      <c r="BC119" s="200" t="str">
        <f>IFERROR(VLOOKUP(TableHandbook[[#This Row],[UDC]],TableSTRUMATHB[],7,FALSE),"")</f>
        <v>Option</v>
      </c>
      <c r="BD119" s="200" t="str">
        <f>IFERROR(VLOOKUP(TableHandbook[[#This Row],[UDC]],TableSTRUMATHM[],7,FALSE),"")</f>
        <v/>
      </c>
      <c r="BE119" s="200" t="str">
        <f>IFERROR(VLOOKUP(TableHandbook[[#This Row],[UDC]],TableSTRUPARTB[],7,FALSE),"")</f>
        <v>Option</v>
      </c>
      <c r="BF119" s="200" t="str">
        <f>IFERROR(VLOOKUP(TableHandbook[[#This Row],[UDC]],TableSTRUPARTM[],7,FALSE),"")</f>
        <v/>
      </c>
      <c r="BG119" s="200" t="str">
        <f>IFERROR(VLOOKUP(TableHandbook[[#This Row],[UDC]],TableSTRUPOLB1[],7,FALSE),"")</f>
        <v>Option</v>
      </c>
      <c r="BH119" s="200" t="str">
        <f>IFERROR(VLOOKUP(TableHandbook[[#This Row],[UDC]],TableSTRUPSCIM[],7,FALSE),"")</f>
        <v/>
      </c>
      <c r="BI119" s="200" t="str">
        <f>IFERROR(VLOOKUP(TableHandbook[[#This Row],[UDC]],TableSTRUPSYCB[],7,FALSE),"")</f>
        <v>Option</v>
      </c>
      <c r="BJ119" s="200" t="str">
        <f>IFERROR(VLOOKUP(TableHandbook[[#This Row],[UDC]],TableSTRUPSYCM[],7,FALSE),"")</f>
        <v/>
      </c>
      <c r="BK119" s="200" t="str">
        <f>IFERROR(VLOOKUP(TableHandbook[[#This Row],[UDC]],TableSTRUSOSCM[],7,FALSE),"")</f>
        <v/>
      </c>
      <c r="BL119" s="200" t="str">
        <f>IFERROR(VLOOKUP(TableHandbook[[#This Row],[UDC]],TableSTRUVARTB[],7,FALSE),"")</f>
        <v>Option</v>
      </c>
      <c r="BM119" s="200" t="str">
        <f>IFERROR(VLOOKUP(TableHandbook[[#This Row],[UDC]],TableSTRUVARTM[],7,FALSE),"")</f>
        <v/>
      </c>
    </row>
    <row r="120" spans="1:65" x14ac:dyDescent="0.25">
      <c r="A120" s="11" t="s">
        <v>158</v>
      </c>
      <c r="B120" s="12">
        <v>1</v>
      </c>
      <c r="C120" s="11"/>
      <c r="D120" s="11" t="s">
        <v>698</v>
      </c>
      <c r="E120" s="12">
        <v>25</v>
      </c>
      <c r="F120" s="131" t="s">
        <v>544</v>
      </c>
      <c r="G120" s="126" t="str">
        <f>IFERROR(IF(VLOOKUP(TableHandbook[[#This Row],[UDC]],TableAvailabilities[],2,FALSE)&gt;0,"Y",""),"")</f>
        <v/>
      </c>
      <c r="H120" s="127" t="str">
        <f>IFERROR(IF(VLOOKUP(TableHandbook[[#This Row],[UDC]],TableAvailabilities[],3,FALSE)&gt;0,"Y",""),"")</f>
        <v>Y</v>
      </c>
      <c r="I120" s="127" t="str">
        <f>IFERROR(IF(VLOOKUP(TableHandbook[[#This Row],[UDC]],TableAvailabilities[],4,FALSE)&gt;0,"Y",""),"")</f>
        <v/>
      </c>
      <c r="J120" s="128" t="str">
        <f>IFERROR(IF(VLOOKUP(TableHandbook[[#This Row],[UDC]],TableAvailabilities[],5,FALSE)&gt;0,"Y",""),"")</f>
        <v/>
      </c>
      <c r="K120" s="128" t="str">
        <f>IFERROR(IF(VLOOKUP(TableHandbook[[#This Row],[UDC]],TableAvailabilities[],6,FALSE)&gt;0,"Y",""),"")</f>
        <v/>
      </c>
      <c r="L120" s="127" t="str">
        <f>IFERROR(IF(VLOOKUP(TableHandbook[[#This Row],[UDC]],TableAvailabilities[],7,FALSE)&gt;0,"Y",""),"")</f>
        <v/>
      </c>
      <c r="M120" s="207"/>
      <c r="N120" s="205" t="str">
        <f>IFERROR(VLOOKUP(TableHandbook[[#This Row],[UDC]],TableBEDUC[],7,FALSE),"")</f>
        <v>Option</v>
      </c>
      <c r="O120" s="200" t="str">
        <f>IFERROR(VLOOKUP(TableHandbook[[#This Row],[UDC]],TableBEDEC[],7,FALSE),"")</f>
        <v>Option</v>
      </c>
      <c r="P120" s="200" t="str">
        <f>IFERROR(VLOOKUP(TableHandbook[[#This Row],[UDC]],TableBEDPR[],7,FALSE),"")</f>
        <v/>
      </c>
      <c r="Q120" s="200" t="str">
        <f>IFERROR(VLOOKUP(TableHandbook[[#This Row],[UDC]],TableSTRUCATHL[],7,FALSE),"")</f>
        <v/>
      </c>
      <c r="R120" s="200" t="str">
        <f>IFERROR(VLOOKUP(TableHandbook[[#This Row],[UDC]],TableSTRUENGLL[],7,FALSE),"")</f>
        <v/>
      </c>
      <c r="S120" s="200" t="str">
        <f>IFERROR(VLOOKUP(TableHandbook[[#This Row],[UDC]],TableSTRUINTBC[],7,FALSE),"")</f>
        <v/>
      </c>
      <c r="T120" s="200" t="str">
        <f>IFERROR(VLOOKUP(TableHandbook[[#This Row],[UDC]],TableSTRUISTEM[],7,FALSE),"")</f>
        <v/>
      </c>
      <c r="U120" s="200" t="str">
        <f>IFERROR(VLOOKUP(TableHandbook[[#This Row],[UDC]],TableSTRULITNU[],7,FALSE),"")</f>
        <v/>
      </c>
      <c r="V120" s="200" t="str">
        <f>IFERROR(VLOOKUP(TableHandbook[[#This Row],[UDC]],TableSTRUTECHS[],7,FALSE),"")</f>
        <v/>
      </c>
      <c r="W120" s="200" t="str">
        <f>IFERROR(VLOOKUP(TableHandbook[[#This Row],[UDC]],TableBEDSC[],7,FALSE),"")</f>
        <v/>
      </c>
      <c r="X120" s="200" t="str">
        <f>IFERROR(VLOOKUP(TableHandbook[[#This Row],[UDC]],TableMJRUARTDR[],7,FALSE),"")</f>
        <v/>
      </c>
      <c r="Y120" s="200" t="str">
        <f>IFERROR(VLOOKUP(TableHandbook[[#This Row],[UDC]],TableMJRUARTME[],7,FALSE),"")</f>
        <v/>
      </c>
      <c r="Z120" s="200" t="str">
        <f>IFERROR(VLOOKUP(TableHandbook[[#This Row],[UDC]],TableMJRUARTVA[],7,FALSE),"")</f>
        <v/>
      </c>
      <c r="AA120" s="200" t="str">
        <f>IFERROR(VLOOKUP(TableHandbook[[#This Row],[UDC]],TableMJRUENGLT[],7,FALSE),"")</f>
        <v/>
      </c>
      <c r="AB120" s="200" t="str">
        <f>IFERROR(VLOOKUP(TableHandbook[[#This Row],[UDC]],TableMJRUHLTPE[],7,FALSE),"")</f>
        <v/>
      </c>
      <c r="AC120" s="200" t="str">
        <f>IFERROR(VLOOKUP(TableHandbook[[#This Row],[UDC]],TableMJRUHUSEC[],7,FALSE),"")</f>
        <v/>
      </c>
      <c r="AD120" s="200" t="str">
        <f>IFERROR(VLOOKUP(TableHandbook[[#This Row],[UDC]],TableMJRUHUSGE[],7,FALSE),"")</f>
        <v/>
      </c>
      <c r="AE120" s="200" t="str">
        <f>IFERROR(VLOOKUP(TableHandbook[[#This Row],[UDC]],TableMJRUHUSHI[],7,FALSE),"")</f>
        <v/>
      </c>
      <c r="AF120" s="200" t="str">
        <f>IFERROR(VLOOKUP(TableHandbook[[#This Row],[UDC]],TableMJRUHUSPL[],7,FALSE),"")</f>
        <v/>
      </c>
      <c r="AG120" s="200" t="str">
        <f>IFERROR(VLOOKUP(TableHandbook[[#This Row],[UDC]],TableMJRUMATHT[],7,FALSE),"")</f>
        <v/>
      </c>
      <c r="AH120" s="200" t="str">
        <f>IFERROR(VLOOKUP(TableHandbook[[#This Row],[UDC]],TableMJRUSCIBI[],7,FALSE),"")</f>
        <v/>
      </c>
      <c r="AI120" s="200" t="str">
        <f>IFERROR(VLOOKUP(TableHandbook[[#This Row],[UDC]],TableMJRUSCICH[],7,FALSE),"")</f>
        <v/>
      </c>
      <c r="AJ120" s="200" t="str">
        <f>IFERROR(VLOOKUP(TableHandbook[[#This Row],[UDC]],TableMJRUSCIHB[],7,FALSE),"")</f>
        <v/>
      </c>
      <c r="AK120" s="200" t="str">
        <f>IFERROR(VLOOKUP(TableHandbook[[#This Row],[UDC]],TableMJRUSCIPH[],7,FALSE),"")</f>
        <v/>
      </c>
      <c r="AL120" s="200" t="str">
        <f>IFERROR(VLOOKUP(TableHandbook[[#This Row],[UDC]],TableMJRUSCIPS[],7,FALSE),"")</f>
        <v/>
      </c>
      <c r="AM120" s="202"/>
      <c r="AN120" s="200" t="str">
        <f>IFERROR(VLOOKUP(TableHandbook[[#This Row],[UDC]],TableSTRUBIOLB[],7,FALSE),"")</f>
        <v>Option</v>
      </c>
      <c r="AO120" s="200" t="str">
        <f>IFERROR(VLOOKUP(TableHandbook[[#This Row],[UDC]],TableSTRUBSCIM[],7,FALSE),"")</f>
        <v/>
      </c>
      <c r="AP120" s="200" t="str">
        <f>IFERROR(VLOOKUP(TableHandbook[[#This Row],[UDC]],TableSTRUCHEMB[],7,FALSE),"")</f>
        <v>Option</v>
      </c>
      <c r="AQ120" s="200" t="str">
        <f>IFERROR(VLOOKUP(TableHandbook[[#This Row],[UDC]],TableSTRUECOB1[],7,FALSE),"")</f>
        <v>Option</v>
      </c>
      <c r="AR120" s="200" t="str">
        <f>IFERROR(VLOOKUP(TableHandbook[[#This Row],[UDC]],TableSTRUEDART[],7,FALSE),"")</f>
        <v>Option</v>
      </c>
      <c r="AS120" s="200" t="str">
        <f>IFERROR(VLOOKUP(TableHandbook[[#This Row],[UDC]],TableSTRUEDENG[],7,FALSE),"")</f>
        <v>Option</v>
      </c>
      <c r="AT120" s="200" t="str">
        <f>IFERROR(VLOOKUP(TableHandbook[[#This Row],[UDC]],TableSTRUEDHAS[],7,FALSE),"")</f>
        <v>Option</v>
      </c>
      <c r="AU120" s="200" t="str">
        <f>IFERROR(VLOOKUP(TableHandbook[[#This Row],[UDC]],TableSTRUEDMAT[],7,FALSE),"")</f>
        <v>Option</v>
      </c>
      <c r="AV120" s="200" t="str">
        <f>IFERROR(VLOOKUP(TableHandbook[[#This Row],[UDC]],TableSTRUEDSCI[],7,FALSE),"")</f>
        <v>Option</v>
      </c>
      <c r="AW120" s="200" t="str">
        <f>IFERROR(VLOOKUP(TableHandbook[[#This Row],[UDC]],TableSTRUENGLB[],7,FALSE),"")</f>
        <v>Option</v>
      </c>
      <c r="AX120" s="200" t="str">
        <f>IFERROR(VLOOKUP(TableHandbook[[#This Row],[UDC]],TableSTRUENGLM[],7,FALSE),"")</f>
        <v/>
      </c>
      <c r="AY120" s="200" t="str">
        <f>IFERROR(VLOOKUP(TableHandbook[[#This Row],[UDC]],TableSTRUGEOB1[],7,FALSE),"")</f>
        <v>Option</v>
      </c>
      <c r="AZ120" s="200" t="str">
        <f>IFERROR(VLOOKUP(TableHandbook[[#This Row],[UDC]],TableSTRUHISB1[],7,FALSE),"")</f>
        <v>Option</v>
      </c>
      <c r="BA120" s="200" t="str">
        <f>IFERROR(VLOOKUP(TableHandbook[[#This Row],[UDC]],TableSTRUHUMAM[],7,FALSE),"")</f>
        <v/>
      </c>
      <c r="BB120" s="200" t="str">
        <f>IFERROR(VLOOKUP(TableHandbook[[#This Row],[UDC]],TableSTRUHUMBB[],7,FALSE),"")</f>
        <v>Option</v>
      </c>
      <c r="BC120" s="200" t="str">
        <f>IFERROR(VLOOKUP(TableHandbook[[#This Row],[UDC]],TableSTRUMATHB[],7,FALSE),"")</f>
        <v>Option</v>
      </c>
      <c r="BD120" s="200" t="str">
        <f>IFERROR(VLOOKUP(TableHandbook[[#This Row],[UDC]],TableSTRUMATHM[],7,FALSE),"")</f>
        <v/>
      </c>
      <c r="BE120" s="200" t="str">
        <f>IFERROR(VLOOKUP(TableHandbook[[#This Row],[UDC]],TableSTRUPARTB[],7,FALSE),"")</f>
        <v>Option</v>
      </c>
      <c r="BF120" s="200" t="str">
        <f>IFERROR(VLOOKUP(TableHandbook[[#This Row],[UDC]],TableSTRUPARTM[],7,FALSE),"")</f>
        <v/>
      </c>
      <c r="BG120" s="200" t="str">
        <f>IFERROR(VLOOKUP(TableHandbook[[#This Row],[UDC]],TableSTRUPOLB1[],7,FALSE),"")</f>
        <v>Option</v>
      </c>
      <c r="BH120" s="200" t="str">
        <f>IFERROR(VLOOKUP(TableHandbook[[#This Row],[UDC]],TableSTRUPSCIM[],7,FALSE),"")</f>
        <v/>
      </c>
      <c r="BI120" s="200" t="str">
        <f>IFERROR(VLOOKUP(TableHandbook[[#This Row],[UDC]],TableSTRUPSYCB[],7,FALSE),"")</f>
        <v>Option</v>
      </c>
      <c r="BJ120" s="200" t="str">
        <f>IFERROR(VLOOKUP(TableHandbook[[#This Row],[UDC]],TableSTRUPSYCM[],7,FALSE),"")</f>
        <v/>
      </c>
      <c r="BK120" s="200" t="str">
        <f>IFERROR(VLOOKUP(TableHandbook[[#This Row],[UDC]],TableSTRUSOSCM[],7,FALSE),"")</f>
        <v/>
      </c>
      <c r="BL120" s="200" t="str">
        <f>IFERROR(VLOOKUP(TableHandbook[[#This Row],[UDC]],TableSTRUVARTB[],7,FALSE),"")</f>
        <v>Option</v>
      </c>
      <c r="BM120" s="200" t="str">
        <f>IFERROR(VLOOKUP(TableHandbook[[#This Row],[UDC]],TableSTRUVARTM[],7,FALSE),"")</f>
        <v/>
      </c>
    </row>
    <row r="121" spans="1:65" x14ac:dyDescent="0.25">
      <c r="A121" s="11" t="s">
        <v>153</v>
      </c>
      <c r="B121" s="12">
        <v>1</v>
      </c>
      <c r="C121" s="11"/>
      <c r="D121" s="11" t="s">
        <v>699</v>
      </c>
      <c r="E121" s="12">
        <v>25</v>
      </c>
      <c r="F121" s="131" t="s">
        <v>544</v>
      </c>
      <c r="G121" s="126" t="str">
        <f>IFERROR(IF(VLOOKUP(TableHandbook[[#This Row],[UDC]],TableAvailabilities[],2,FALSE)&gt;0,"Y",""),"")</f>
        <v/>
      </c>
      <c r="H121" s="127" t="str">
        <f>IFERROR(IF(VLOOKUP(TableHandbook[[#This Row],[UDC]],TableAvailabilities[],3,FALSE)&gt;0,"Y",""),"")</f>
        <v/>
      </c>
      <c r="I121" s="127" t="str">
        <f>IFERROR(IF(VLOOKUP(TableHandbook[[#This Row],[UDC]],TableAvailabilities[],4,FALSE)&gt;0,"Y",""),"")</f>
        <v/>
      </c>
      <c r="J121" s="128" t="str">
        <f>IFERROR(IF(VLOOKUP(TableHandbook[[#This Row],[UDC]],TableAvailabilities[],5,FALSE)&gt;0,"Y",""),"")</f>
        <v>Y</v>
      </c>
      <c r="K121" s="128" t="str">
        <f>IFERROR(IF(VLOOKUP(TableHandbook[[#This Row],[UDC]],TableAvailabilities[],6,FALSE)&gt;0,"Y",""),"")</f>
        <v>Y</v>
      </c>
      <c r="L121" s="127" t="str">
        <f>IFERROR(IF(VLOOKUP(TableHandbook[[#This Row],[UDC]],TableAvailabilities[],7,FALSE)&gt;0,"Y",""),"")</f>
        <v/>
      </c>
      <c r="M121" s="207"/>
      <c r="N121" s="205" t="str">
        <f>IFERROR(VLOOKUP(TableHandbook[[#This Row],[UDC]],TableBEDUC[],7,FALSE),"")</f>
        <v>Option</v>
      </c>
      <c r="O121" s="200" t="str">
        <f>IFERROR(VLOOKUP(TableHandbook[[#This Row],[UDC]],TableBEDEC[],7,FALSE),"")</f>
        <v>Option</v>
      </c>
      <c r="P121" s="200" t="str">
        <f>IFERROR(VLOOKUP(TableHandbook[[#This Row],[UDC]],TableBEDPR[],7,FALSE),"")</f>
        <v/>
      </c>
      <c r="Q121" s="200" t="str">
        <f>IFERROR(VLOOKUP(TableHandbook[[#This Row],[UDC]],TableSTRUCATHL[],7,FALSE),"")</f>
        <v/>
      </c>
      <c r="R121" s="200" t="str">
        <f>IFERROR(VLOOKUP(TableHandbook[[#This Row],[UDC]],TableSTRUENGLL[],7,FALSE),"")</f>
        <v/>
      </c>
      <c r="S121" s="200" t="str">
        <f>IFERROR(VLOOKUP(TableHandbook[[#This Row],[UDC]],TableSTRUINTBC[],7,FALSE),"")</f>
        <v/>
      </c>
      <c r="T121" s="200" t="str">
        <f>IFERROR(VLOOKUP(TableHandbook[[#This Row],[UDC]],TableSTRUISTEM[],7,FALSE),"")</f>
        <v/>
      </c>
      <c r="U121" s="200" t="str">
        <f>IFERROR(VLOOKUP(TableHandbook[[#This Row],[UDC]],TableSTRULITNU[],7,FALSE),"")</f>
        <v>Core</v>
      </c>
      <c r="V121" s="200" t="str">
        <f>IFERROR(VLOOKUP(TableHandbook[[#This Row],[UDC]],TableSTRUTECHS[],7,FALSE),"")</f>
        <v/>
      </c>
      <c r="W121" s="200" t="str">
        <f>IFERROR(VLOOKUP(TableHandbook[[#This Row],[UDC]],TableBEDSC[],7,FALSE),"")</f>
        <v/>
      </c>
      <c r="X121" s="200" t="str">
        <f>IFERROR(VLOOKUP(TableHandbook[[#This Row],[UDC]],TableMJRUARTDR[],7,FALSE),"")</f>
        <v/>
      </c>
      <c r="Y121" s="200" t="str">
        <f>IFERROR(VLOOKUP(TableHandbook[[#This Row],[UDC]],TableMJRUARTME[],7,FALSE),"")</f>
        <v/>
      </c>
      <c r="Z121" s="200" t="str">
        <f>IFERROR(VLOOKUP(TableHandbook[[#This Row],[UDC]],TableMJRUARTVA[],7,FALSE),"")</f>
        <v/>
      </c>
      <c r="AA121" s="200" t="str">
        <f>IFERROR(VLOOKUP(TableHandbook[[#This Row],[UDC]],TableMJRUENGLT[],7,FALSE),"")</f>
        <v/>
      </c>
      <c r="AB121" s="200" t="str">
        <f>IFERROR(VLOOKUP(TableHandbook[[#This Row],[UDC]],TableMJRUHLTPE[],7,FALSE),"")</f>
        <v/>
      </c>
      <c r="AC121" s="200" t="str">
        <f>IFERROR(VLOOKUP(TableHandbook[[#This Row],[UDC]],TableMJRUHUSEC[],7,FALSE),"")</f>
        <v/>
      </c>
      <c r="AD121" s="200" t="str">
        <f>IFERROR(VLOOKUP(TableHandbook[[#This Row],[UDC]],TableMJRUHUSGE[],7,FALSE),"")</f>
        <v/>
      </c>
      <c r="AE121" s="200" t="str">
        <f>IFERROR(VLOOKUP(TableHandbook[[#This Row],[UDC]],TableMJRUHUSHI[],7,FALSE),"")</f>
        <v/>
      </c>
      <c r="AF121" s="200" t="str">
        <f>IFERROR(VLOOKUP(TableHandbook[[#This Row],[UDC]],TableMJRUHUSPL[],7,FALSE),"")</f>
        <v/>
      </c>
      <c r="AG121" s="200" t="str">
        <f>IFERROR(VLOOKUP(TableHandbook[[#This Row],[UDC]],TableMJRUMATHT[],7,FALSE),"")</f>
        <v/>
      </c>
      <c r="AH121" s="200" t="str">
        <f>IFERROR(VLOOKUP(TableHandbook[[#This Row],[UDC]],TableMJRUSCIBI[],7,FALSE),"")</f>
        <v/>
      </c>
      <c r="AI121" s="200" t="str">
        <f>IFERROR(VLOOKUP(TableHandbook[[#This Row],[UDC]],TableMJRUSCICH[],7,FALSE),"")</f>
        <v/>
      </c>
      <c r="AJ121" s="200" t="str">
        <f>IFERROR(VLOOKUP(TableHandbook[[#This Row],[UDC]],TableMJRUSCIHB[],7,FALSE),"")</f>
        <v/>
      </c>
      <c r="AK121" s="200" t="str">
        <f>IFERROR(VLOOKUP(TableHandbook[[#This Row],[UDC]],TableMJRUSCIPH[],7,FALSE),"")</f>
        <v/>
      </c>
      <c r="AL121" s="200" t="str">
        <f>IFERROR(VLOOKUP(TableHandbook[[#This Row],[UDC]],TableMJRUSCIPS[],7,FALSE),"")</f>
        <v/>
      </c>
      <c r="AM121" s="202"/>
      <c r="AN121" s="200" t="str">
        <f>IFERROR(VLOOKUP(TableHandbook[[#This Row],[UDC]],TableSTRUBIOLB[],7,FALSE),"")</f>
        <v>Option</v>
      </c>
      <c r="AO121" s="200" t="str">
        <f>IFERROR(VLOOKUP(TableHandbook[[#This Row],[UDC]],TableSTRUBSCIM[],7,FALSE),"")</f>
        <v/>
      </c>
      <c r="AP121" s="200" t="str">
        <f>IFERROR(VLOOKUP(TableHandbook[[#This Row],[UDC]],TableSTRUCHEMB[],7,FALSE),"")</f>
        <v>Option</v>
      </c>
      <c r="AQ121" s="200" t="str">
        <f>IFERROR(VLOOKUP(TableHandbook[[#This Row],[UDC]],TableSTRUECOB1[],7,FALSE),"")</f>
        <v>Option</v>
      </c>
      <c r="AR121" s="200" t="str">
        <f>IFERROR(VLOOKUP(TableHandbook[[#This Row],[UDC]],TableSTRUEDART[],7,FALSE),"")</f>
        <v>Option</v>
      </c>
      <c r="AS121" s="200" t="str">
        <f>IFERROR(VLOOKUP(TableHandbook[[#This Row],[UDC]],TableSTRUEDENG[],7,FALSE),"")</f>
        <v>Option</v>
      </c>
      <c r="AT121" s="200" t="str">
        <f>IFERROR(VLOOKUP(TableHandbook[[#This Row],[UDC]],TableSTRUEDHAS[],7,FALSE),"")</f>
        <v>Option</v>
      </c>
      <c r="AU121" s="200" t="str">
        <f>IFERROR(VLOOKUP(TableHandbook[[#This Row],[UDC]],TableSTRUEDMAT[],7,FALSE),"")</f>
        <v>Option</v>
      </c>
      <c r="AV121" s="200" t="str">
        <f>IFERROR(VLOOKUP(TableHandbook[[#This Row],[UDC]],TableSTRUEDSCI[],7,FALSE),"")</f>
        <v>Option</v>
      </c>
      <c r="AW121" s="200" t="str">
        <f>IFERROR(VLOOKUP(TableHandbook[[#This Row],[UDC]],TableSTRUENGLB[],7,FALSE),"")</f>
        <v>Option</v>
      </c>
      <c r="AX121" s="200" t="str">
        <f>IFERROR(VLOOKUP(TableHandbook[[#This Row],[UDC]],TableSTRUENGLM[],7,FALSE),"")</f>
        <v/>
      </c>
      <c r="AY121" s="200" t="str">
        <f>IFERROR(VLOOKUP(TableHandbook[[#This Row],[UDC]],TableSTRUGEOB1[],7,FALSE),"")</f>
        <v>Option</v>
      </c>
      <c r="AZ121" s="200" t="str">
        <f>IFERROR(VLOOKUP(TableHandbook[[#This Row],[UDC]],TableSTRUHISB1[],7,FALSE),"")</f>
        <v>Option</v>
      </c>
      <c r="BA121" s="200" t="str">
        <f>IFERROR(VLOOKUP(TableHandbook[[#This Row],[UDC]],TableSTRUHUMAM[],7,FALSE),"")</f>
        <v/>
      </c>
      <c r="BB121" s="200" t="str">
        <f>IFERROR(VLOOKUP(TableHandbook[[#This Row],[UDC]],TableSTRUHUMBB[],7,FALSE),"")</f>
        <v>Option</v>
      </c>
      <c r="BC121" s="200" t="str">
        <f>IFERROR(VLOOKUP(TableHandbook[[#This Row],[UDC]],TableSTRUMATHB[],7,FALSE),"")</f>
        <v>Option</v>
      </c>
      <c r="BD121" s="200" t="str">
        <f>IFERROR(VLOOKUP(TableHandbook[[#This Row],[UDC]],TableSTRUMATHM[],7,FALSE),"")</f>
        <v/>
      </c>
      <c r="BE121" s="200" t="str">
        <f>IFERROR(VLOOKUP(TableHandbook[[#This Row],[UDC]],TableSTRUPARTB[],7,FALSE),"")</f>
        <v>Option</v>
      </c>
      <c r="BF121" s="200" t="str">
        <f>IFERROR(VLOOKUP(TableHandbook[[#This Row],[UDC]],TableSTRUPARTM[],7,FALSE),"")</f>
        <v/>
      </c>
      <c r="BG121" s="200" t="str">
        <f>IFERROR(VLOOKUP(TableHandbook[[#This Row],[UDC]],TableSTRUPOLB1[],7,FALSE),"")</f>
        <v>Option</v>
      </c>
      <c r="BH121" s="200" t="str">
        <f>IFERROR(VLOOKUP(TableHandbook[[#This Row],[UDC]],TableSTRUPSCIM[],7,FALSE),"")</f>
        <v/>
      </c>
      <c r="BI121" s="200" t="str">
        <f>IFERROR(VLOOKUP(TableHandbook[[#This Row],[UDC]],TableSTRUPSYCB[],7,FALSE),"")</f>
        <v>Option</v>
      </c>
      <c r="BJ121" s="200" t="str">
        <f>IFERROR(VLOOKUP(TableHandbook[[#This Row],[UDC]],TableSTRUPSYCM[],7,FALSE),"")</f>
        <v/>
      </c>
      <c r="BK121" s="200" t="str">
        <f>IFERROR(VLOOKUP(TableHandbook[[#This Row],[UDC]],TableSTRUSOSCM[],7,FALSE),"")</f>
        <v/>
      </c>
      <c r="BL121" s="200" t="str">
        <f>IFERROR(VLOOKUP(TableHandbook[[#This Row],[UDC]],TableSTRUVARTB[],7,FALSE),"")</f>
        <v>Option</v>
      </c>
      <c r="BM121" s="200" t="str">
        <f>IFERROR(VLOOKUP(TableHandbook[[#This Row],[UDC]],TableSTRUVARTM[],7,FALSE),"")</f>
        <v/>
      </c>
    </row>
    <row r="122" spans="1:65" x14ac:dyDescent="0.25">
      <c r="A122" s="11" t="s">
        <v>142</v>
      </c>
      <c r="B122" s="12">
        <v>1</v>
      </c>
      <c r="C122" s="11"/>
      <c r="D122" s="11" t="s">
        <v>700</v>
      </c>
      <c r="E122" s="12">
        <v>25</v>
      </c>
      <c r="F122" s="131" t="s">
        <v>544</v>
      </c>
      <c r="G122" s="126" t="str">
        <f>IFERROR(IF(VLOOKUP(TableHandbook[[#This Row],[UDC]],TableAvailabilities[],2,FALSE)&gt;0,"Y",""),"")</f>
        <v/>
      </c>
      <c r="H122" s="127" t="str">
        <f>IFERROR(IF(VLOOKUP(TableHandbook[[#This Row],[UDC]],TableAvailabilities[],3,FALSE)&gt;0,"Y",""),"")</f>
        <v/>
      </c>
      <c r="I122" s="127" t="str">
        <f>IFERROR(IF(VLOOKUP(TableHandbook[[#This Row],[UDC]],TableAvailabilities[],4,FALSE)&gt;0,"Y",""),"")</f>
        <v/>
      </c>
      <c r="J122" s="128" t="str">
        <f>IFERROR(IF(VLOOKUP(TableHandbook[[#This Row],[UDC]],TableAvailabilities[],5,FALSE)&gt;0,"Y",""),"")</f>
        <v>Y</v>
      </c>
      <c r="K122" s="128" t="str">
        <f>IFERROR(IF(VLOOKUP(TableHandbook[[#This Row],[UDC]],TableAvailabilities[],6,FALSE)&gt;0,"Y",""),"")</f>
        <v>Y</v>
      </c>
      <c r="L122" s="127" t="str">
        <f>IFERROR(IF(VLOOKUP(TableHandbook[[#This Row],[UDC]],TableAvailabilities[],7,FALSE)&gt;0,"Y",""),"")</f>
        <v/>
      </c>
      <c r="M122" s="207"/>
      <c r="N122" s="205" t="str">
        <f>IFERROR(VLOOKUP(TableHandbook[[#This Row],[UDC]],TableBEDUC[],7,FALSE),"")</f>
        <v>Option</v>
      </c>
      <c r="O122" s="200" t="str">
        <f>IFERROR(VLOOKUP(TableHandbook[[#This Row],[UDC]],TableBEDEC[],7,FALSE),"")</f>
        <v>Option</v>
      </c>
      <c r="P122" s="200" t="str">
        <f>IFERROR(VLOOKUP(TableHandbook[[#This Row],[UDC]],TableBEDPR[],7,FALSE),"")</f>
        <v/>
      </c>
      <c r="Q122" s="200" t="str">
        <f>IFERROR(VLOOKUP(TableHandbook[[#This Row],[UDC]],TableSTRUCATHL[],7,FALSE),"")</f>
        <v/>
      </c>
      <c r="R122" s="200" t="str">
        <f>IFERROR(VLOOKUP(TableHandbook[[#This Row],[UDC]],TableSTRUENGLL[],7,FALSE),"")</f>
        <v/>
      </c>
      <c r="S122" s="200" t="str">
        <f>IFERROR(VLOOKUP(TableHandbook[[#This Row],[UDC]],TableSTRUINTBC[],7,FALSE),"")</f>
        <v/>
      </c>
      <c r="T122" s="200" t="str">
        <f>IFERROR(VLOOKUP(TableHandbook[[#This Row],[UDC]],TableSTRUISTEM[],7,FALSE),"")</f>
        <v>Core</v>
      </c>
      <c r="U122" s="200" t="str">
        <f>IFERROR(VLOOKUP(TableHandbook[[#This Row],[UDC]],TableSTRULITNU[],7,FALSE),"")</f>
        <v/>
      </c>
      <c r="V122" s="200" t="str">
        <f>IFERROR(VLOOKUP(TableHandbook[[#This Row],[UDC]],TableSTRUTECHS[],7,FALSE),"")</f>
        <v/>
      </c>
      <c r="W122" s="200" t="str">
        <f>IFERROR(VLOOKUP(TableHandbook[[#This Row],[UDC]],TableBEDSC[],7,FALSE),"")</f>
        <v/>
      </c>
      <c r="X122" s="200" t="str">
        <f>IFERROR(VLOOKUP(TableHandbook[[#This Row],[UDC]],TableMJRUARTDR[],7,FALSE),"")</f>
        <v/>
      </c>
      <c r="Y122" s="200" t="str">
        <f>IFERROR(VLOOKUP(TableHandbook[[#This Row],[UDC]],TableMJRUARTME[],7,FALSE),"")</f>
        <v/>
      </c>
      <c r="Z122" s="200" t="str">
        <f>IFERROR(VLOOKUP(TableHandbook[[#This Row],[UDC]],TableMJRUARTVA[],7,FALSE),"")</f>
        <v/>
      </c>
      <c r="AA122" s="200" t="str">
        <f>IFERROR(VLOOKUP(TableHandbook[[#This Row],[UDC]],TableMJRUENGLT[],7,FALSE),"")</f>
        <v/>
      </c>
      <c r="AB122" s="200" t="str">
        <f>IFERROR(VLOOKUP(TableHandbook[[#This Row],[UDC]],TableMJRUHLTPE[],7,FALSE),"")</f>
        <v/>
      </c>
      <c r="AC122" s="200" t="str">
        <f>IFERROR(VLOOKUP(TableHandbook[[#This Row],[UDC]],TableMJRUHUSEC[],7,FALSE),"")</f>
        <v/>
      </c>
      <c r="AD122" s="200" t="str">
        <f>IFERROR(VLOOKUP(TableHandbook[[#This Row],[UDC]],TableMJRUHUSGE[],7,FALSE),"")</f>
        <v/>
      </c>
      <c r="AE122" s="200" t="str">
        <f>IFERROR(VLOOKUP(TableHandbook[[#This Row],[UDC]],TableMJRUHUSHI[],7,FALSE),"")</f>
        <v/>
      </c>
      <c r="AF122" s="200" t="str">
        <f>IFERROR(VLOOKUP(TableHandbook[[#This Row],[UDC]],TableMJRUHUSPL[],7,FALSE),"")</f>
        <v/>
      </c>
      <c r="AG122" s="200" t="str">
        <f>IFERROR(VLOOKUP(TableHandbook[[#This Row],[UDC]],TableMJRUMATHT[],7,FALSE),"")</f>
        <v/>
      </c>
      <c r="AH122" s="200" t="str">
        <f>IFERROR(VLOOKUP(TableHandbook[[#This Row],[UDC]],TableMJRUSCIBI[],7,FALSE),"")</f>
        <v/>
      </c>
      <c r="AI122" s="200" t="str">
        <f>IFERROR(VLOOKUP(TableHandbook[[#This Row],[UDC]],TableMJRUSCICH[],7,FALSE),"")</f>
        <v/>
      </c>
      <c r="AJ122" s="200" t="str">
        <f>IFERROR(VLOOKUP(TableHandbook[[#This Row],[UDC]],TableMJRUSCIHB[],7,FALSE),"")</f>
        <v/>
      </c>
      <c r="AK122" s="200" t="str">
        <f>IFERROR(VLOOKUP(TableHandbook[[#This Row],[UDC]],TableMJRUSCIPH[],7,FALSE),"")</f>
        <v/>
      </c>
      <c r="AL122" s="200" t="str">
        <f>IFERROR(VLOOKUP(TableHandbook[[#This Row],[UDC]],TableMJRUSCIPS[],7,FALSE),"")</f>
        <v/>
      </c>
      <c r="AM122" s="202"/>
      <c r="AN122" s="200" t="str">
        <f>IFERROR(VLOOKUP(TableHandbook[[#This Row],[UDC]],TableSTRUBIOLB[],7,FALSE),"")</f>
        <v>Option</v>
      </c>
      <c r="AO122" s="200" t="str">
        <f>IFERROR(VLOOKUP(TableHandbook[[#This Row],[UDC]],TableSTRUBSCIM[],7,FALSE),"")</f>
        <v/>
      </c>
      <c r="AP122" s="200" t="str">
        <f>IFERROR(VLOOKUP(TableHandbook[[#This Row],[UDC]],TableSTRUCHEMB[],7,FALSE),"")</f>
        <v>Option</v>
      </c>
      <c r="AQ122" s="200" t="str">
        <f>IFERROR(VLOOKUP(TableHandbook[[#This Row],[UDC]],TableSTRUECOB1[],7,FALSE),"")</f>
        <v>Option</v>
      </c>
      <c r="AR122" s="200" t="str">
        <f>IFERROR(VLOOKUP(TableHandbook[[#This Row],[UDC]],TableSTRUEDART[],7,FALSE),"")</f>
        <v>Option</v>
      </c>
      <c r="AS122" s="200" t="str">
        <f>IFERROR(VLOOKUP(TableHandbook[[#This Row],[UDC]],TableSTRUEDENG[],7,FALSE),"")</f>
        <v>Option</v>
      </c>
      <c r="AT122" s="200" t="str">
        <f>IFERROR(VLOOKUP(TableHandbook[[#This Row],[UDC]],TableSTRUEDHAS[],7,FALSE),"")</f>
        <v>Option</v>
      </c>
      <c r="AU122" s="200" t="str">
        <f>IFERROR(VLOOKUP(TableHandbook[[#This Row],[UDC]],TableSTRUEDMAT[],7,FALSE),"")</f>
        <v>Option</v>
      </c>
      <c r="AV122" s="200" t="str">
        <f>IFERROR(VLOOKUP(TableHandbook[[#This Row],[UDC]],TableSTRUEDSCI[],7,FALSE),"")</f>
        <v>Option</v>
      </c>
      <c r="AW122" s="200" t="str">
        <f>IFERROR(VLOOKUP(TableHandbook[[#This Row],[UDC]],TableSTRUENGLB[],7,FALSE),"")</f>
        <v>Option</v>
      </c>
      <c r="AX122" s="200" t="str">
        <f>IFERROR(VLOOKUP(TableHandbook[[#This Row],[UDC]],TableSTRUENGLM[],7,FALSE),"")</f>
        <v/>
      </c>
      <c r="AY122" s="200" t="str">
        <f>IFERROR(VLOOKUP(TableHandbook[[#This Row],[UDC]],TableSTRUGEOB1[],7,FALSE),"")</f>
        <v>Option</v>
      </c>
      <c r="AZ122" s="200" t="str">
        <f>IFERROR(VLOOKUP(TableHandbook[[#This Row],[UDC]],TableSTRUHISB1[],7,FALSE),"")</f>
        <v>Option</v>
      </c>
      <c r="BA122" s="200" t="str">
        <f>IFERROR(VLOOKUP(TableHandbook[[#This Row],[UDC]],TableSTRUHUMAM[],7,FALSE),"")</f>
        <v/>
      </c>
      <c r="BB122" s="200" t="str">
        <f>IFERROR(VLOOKUP(TableHandbook[[#This Row],[UDC]],TableSTRUHUMBB[],7,FALSE),"")</f>
        <v>Option</v>
      </c>
      <c r="BC122" s="200" t="str">
        <f>IFERROR(VLOOKUP(TableHandbook[[#This Row],[UDC]],TableSTRUMATHB[],7,FALSE),"")</f>
        <v>Option</v>
      </c>
      <c r="BD122" s="200" t="str">
        <f>IFERROR(VLOOKUP(TableHandbook[[#This Row],[UDC]],TableSTRUMATHM[],7,FALSE),"")</f>
        <v/>
      </c>
      <c r="BE122" s="200" t="str">
        <f>IFERROR(VLOOKUP(TableHandbook[[#This Row],[UDC]],TableSTRUPARTB[],7,FALSE),"")</f>
        <v>Option</v>
      </c>
      <c r="BF122" s="200" t="str">
        <f>IFERROR(VLOOKUP(TableHandbook[[#This Row],[UDC]],TableSTRUPARTM[],7,FALSE),"")</f>
        <v/>
      </c>
      <c r="BG122" s="200" t="str">
        <f>IFERROR(VLOOKUP(TableHandbook[[#This Row],[UDC]],TableSTRUPOLB1[],7,FALSE),"")</f>
        <v>Option</v>
      </c>
      <c r="BH122" s="200" t="str">
        <f>IFERROR(VLOOKUP(TableHandbook[[#This Row],[UDC]],TableSTRUPSCIM[],7,FALSE),"")</f>
        <v/>
      </c>
      <c r="BI122" s="200" t="str">
        <f>IFERROR(VLOOKUP(TableHandbook[[#This Row],[UDC]],TableSTRUPSYCB[],7,FALSE),"")</f>
        <v>Option</v>
      </c>
      <c r="BJ122" s="200" t="str">
        <f>IFERROR(VLOOKUP(TableHandbook[[#This Row],[UDC]],TableSTRUPSYCM[],7,FALSE),"")</f>
        <v/>
      </c>
      <c r="BK122" s="200" t="str">
        <f>IFERROR(VLOOKUP(TableHandbook[[#This Row],[UDC]],TableSTRUSOSCM[],7,FALSE),"")</f>
        <v/>
      </c>
      <c r="BL122" s="200" t="str">
        <f>IFERROR(VLOOKUP(TableHandbook[[#This Row],[UDC]],TableSTRUVARTB[],7,FALSE),"")</f>
        <v>Option</v>
      </c>
      <c r="BM122" s="200" t="str">
        <f>IFERROR(VLOOKUP(TableHandbook[[#This Row],[UDC]],TableSTRUVARTM[],7,FALSE),"")</f>
        <v/>
      </c>
    </row>
    <row r="123" spans="1:65" x14ac:dyDescent="0.25">
      <c r="A123" s="11" t="s">
        <v>147</v>
      </c>
      <c r="B123" s="12">
        <v>1</v>
      </c>
      <c r="C123" s="11"/>
      <c r="D123" s="11" t="s">
        <v>701</v>
      </c>
      <c r="E123" s="12">
        <v>25</v>
      </c>
      <c r="F123" s="131" t="s">
        <v>544</v>
      </c>
      <c r="G123" s="126" t="str">
        <f>IFERROR(IF(VLOOKUP(TableHandbook[[#This Row],[UDC]],TableAvailabilities[],2,FALSE)&gt;0,"Y",""),"")</f>
        <v>Y</v>
      </c>
      <c r="H123" s="127" t="str">
        <f>IFERROR(IF(VLOOKUP(TableHandbook[[#This Row],[UDC]],TableAvailabilities[],3,FALSE)&gt;0,"Y",""),"")</f>
        <v>Y</v>
      </c>
      <c r="I123" s="127" t="str">
        <f>IFERROR(IF(VLOOKUP(TableHandbook[[#This Row],[UDC]],TableAvailabilities[],4,FALSE)&gt;0,"Y",""),"")</f>
        <v/>
      </c>
      <c r="J123" s="128" t="str">
        <f>IFERROR(IF(VLOOKUP(TableHandbook[[#This Row],[UDC]],TableAvailabilities[],5,FALSE)&gt;0,"Y",""),"")</f>
        <v/>
      </c>
      <c r="K123" s="128" t="str">
        <f>IFERROR(IF(VLOOKUP(TableHandbook[[#This Row],[UDC]],TableAvailabilities[],6,FALSE)&gt;0,"Y",""),"")</f>
        <v/>
      </c>
      <c r="L123" s="127" t="str">
        <f>IFERROR(IF(VLOOKUP(TableHandbook[[#This Row],[UDC]],TableAvailabilities[],7,FALSE)&gt;0,"Y",""),"")</f>
        <v/>
      </c>
      <c r="M123" s="207"/>
      <c r="N123" s="205" t="str">
        <f>IFERROR(VLOOKUP(TableHandbook[[#This Row],[UDC]],TableBEDUC[],7,FALSE),"")</f>
        <v>Option</v>
      </c>
      <c r="O123" s="200" t="str">
        <f>IFERROR(VLOOKUP(TableHandbook[[#This Row],[UDC]],TableBEDEC[],7,FALSE),"")</f>
        <v>Option</v>
      </c>
      <c r="P123" s="200" t="str">
        <f>IFERROR(VLOOKUP(TableHandbook[[#This Row],[UDC]],TableBEDPR[],7,FALSE),"")</f>
        <v/>
      </c>
      <c r="Q123" s="200" t="str">
        <f>IFERROR(VLOOKUP(TableHandbook[[#This Row],[UDC]],TableSTRUCATHL[],7,FALSE),"")</f>
        <v/>
      </c>
      <c r="R123" s="200" t="str">
        <f>IFERROR(VLOOKUP(TableHandbook[[#This Row],[UDC]],TableSTRUENGLL[],7,FALSE),"")</f>
        <v>Core</v>
      </c>
      <c r="S123" s="200" t="str">
        <f>IFERROR(VLOOKUP(TableHandbook[[#This Row],[UDC]],TableSTRUINTBC[],7,FALSE),"")</f>
        <v/>
      </c>
      <c r="T123" s="200" t="str">
        <f>IFERROR(VLOOKUP(TableHandbook[[#This Row],[UDC]],TableSTRUISTEM[],7,FALSE),"")</f>
        <v/>
      </c>
      <c r="U123" s="200" t="str">
        <f>IFERROR(VLOOKUP(TableHandbook[[#This Row],[UDC]],TableSTRULITNU[],7,FALSE),"")</f>
        <v/>
      </c>
      <c r="V123" s="200" t="str">
        <f>IFERROR(VLOOKUP(TableHandbook[[#This Row],[UDC]],TableSTRUTECHS[],7,FALSE),"")</f>
        <v/>
      </c>
      <c r="W123" s="200" t="str">
        <f>IFERROR(VLOOKUP(TableHandbook[[#This Row],[UDC]],TableBEDSC[],7,FALSE),"")</f>
        <v/>
      </c>
      <c r="X123" s="200" t="str">
        <f>IFERROR(VLOOKUP(TableHandbook[[#This Row],[UDC]],TableMJRUARTDR[],7,FALSE),"")</f>
        <v/>
      </c>
      <c r="Y123" s="200" t="str">
        <f>IFERROR(VLOOKUP(TableHandbook[[#This Row],[UDC]],TableMJRUARTME[],7,FALSE),"")</f>
        <v/>
      </c>
      <c r="Z123" s="200" t="str">
        <f>IFERROR(VLOOKUP(TableHandbook[[#This Row],[UDC]],TableMJRUARTVA[],7,FALSE),"")</f>
        <v/>
      </c>
      <c r="AA123" s="200" t="str">
        <f>IFERROR(VLOOKUP(TableHandbook[[#This Row],[UDC]],TableMJRUENGLT[],7,FALSE),"")</f>
        <v/>
      </c>
      <c r="AB123" s="200" t="str">
        <f>IFERROR(VLOOKUP(TableHandbook[[#This Row],[UDC]],TableMJRUHLTPE[],7,FALSE),"")</f>
        <v/>
      </c>
      <c r="AC123" s="200" t="str">
        <f>IFERROR(VLOOKUP(TableHandbook[[#This Row],[UDC]],TableMJRUHUSEC[],7,FALSE),"")</f>
        <v/>
      </c>
      <c r="AD123" s="200" t="str">
        <f>IFERROR(VLOOKUP(TableHandbook[[#This Row],[UDC]],TableMJRUHUSGE[],7,FALSE),"")</f>
        <v/>
      </c>
      <c r="AE123" s="200" t="str">
        <f>IFERROR(VLOOKUP(TableHandbook[[#This Row],[UDC]],TableMJRUHUSHI[],7,FALSE),"")</f>
        <v/>
      </c>
      <c r="AF123" s="200" t="str">
        <f>IFERROR(VLOOKUP(TableHandbook[[#This Row],[UDC]],TableMJRUHUSPL[],7,FALSE),"")</f>
        <v/>
      </c>
      <c r="AG123" s="200" t="str">
        <f>IFERROR(VLOOKUP(TableHandbook[[#This Row],[UDC]],TableMJRUMATHT[],7,FALSE),"")</f>
        <v/>
      </c>
      <c r="AH123" s="200" t="str">
        <f>IFERROR(VLOOKUP(TableHandbook[[#This Row],[UDC]],TableMJRUSCIBI[],7,FALSE),"")</f>
        <v/>
      </c>
      <c r="AI123" s="200" t="str">
        <f>IFERROR(VLOOKUP(TableHandbook[[#This Row],[UDC]],TableMJRUSCICH[],7,FALSE),"")</f>
        <v/>
      </c>
      <c r="AJ123" s="200" t="str">
        <f>IFERROR(VLOOKUP(TableHandbook[[#This Row],[UDC]],TableMJRUSCIHB[],7,FALSE),"")</f>
        <v/>
      </c>
      <c r="AK123" s="200" t="str">
        <f>IFERROR(VLOOKUP(TableHandbook[[#This Row],[UDC]],TableMJRUSCIPH[],7,FALSE),"")</f>
        <v/>
      </c>
      <c r="AL123" s="200" t="str">
        <f>IFERROR(VLOOKUP(TableHandbook[[#This Row],[UDC]],TableMJRUSCIPS[],7,FALSE),"")</f>
        <v/>
      </c>
      <c r="AM123" s="202"/>
      <c r="AN123" s="200" t="str">
        <f>IFERROR(VLOOKUP(TableHandbook[[#This Row],[UDC]],TableSTRUBIOLB[],7,FALSE),"")</f>
        <v>Option</v>
      </c>
      <c r="AO123" s="200" t="str">
        <f>IFERROR(VLOOKUP(TableHandbook[[#This Row],[UDC]],TableSTRUBSCIM[],7,FALSE),"")</f>
        <v/>
      </c>
      <c r="AP123" s="200" t="str">
        <f>IFERROR(VLOOKUP(TableHandbook[[#This Row],[UDC]],TableSTRUCHEMB[],7,FALSE),"")</f>
        <v>Option</v>
      </c>
      <c r="AQ123" s="200" t="str">
        <f>IFERROR(VLOOKUP(TableHandbook[[#This Row],[UDC]],TableSTRUECOB1[],7,FALSE),"")</f>
        <v>Option</v>
      </c>
      <c r="AR123" s="200" t="str">
        <f>IFERROR(VLOOKUP(TableHandbook[[#This Row],[UDC]],TableSTRUEDART[],7,FALSE),"")</f>
        <v>Option</v>
      </c>
      <c r="AS123" s="200" t="str">
        <f>IFERROR(VLOOKUP(TableHandbook[[#This Row],[UDC]],TableSTRUEDENG[],7,FALSE),"")</f>
        <v>Option</v>
      </c>
      <c r="AT123" s="200" t="str">
        <f>IFERROR(VLOOKUP(TableHandbook[[#This Row],[UDC]],TableSTRUEDHAS[],7,FALSE),"")</f>
        <v>Option</v>
      </c>
      <c r="AU123" s="200" t="str">
        <f>IFERROR(VLOOKUP(TableHandbook[[#This Row],[UDC]],TableSTRUEDMAT[],7,FALSE),"")</f>
        <v>Option</v>
      </c>
      <c r="AV123" s="200" t="str">
        <f>IFERROR(VLOOKUP(TableHandbook[[#This Row],[UDC]],TableSTRUEDSCI[],7,FALSE),"")</f>
        <v>Option</v>
      </c>
      <c r="AW123" s="200" t="str">
        <f>IFERROR(VLOOKUP(TableHandbook[[#This Row],[UDC]],TableSTRUENGLB[],7,FALSE),"")</f>
        <v>Option</v>
      </c>
      <c r="AX123" s="200" t="str">
        <f>IFERROR(VLOOKUP(TableHandbook[[#This Row],[UDC]],TableSTRUENGLM[],7,FALSE),"")</f>
        <v/>
      </c>
      <c r="AY123" s="200" t="str">
        <f>IFERROR(VLOOKUP(TableHandbook[[#This Row],[UDC]],TableSTRUGEOB1[],7,FALSE),"")</f>
        <v>Option</v>
      </c>
      <c r="AZ123" s="200" t="str">
        <f>IFERROR(VLOOKUP(TableHandbook[[#This Row],[UDC]],TableSTRUHISB1[],7,FALSE),"")</f>
        <v>Option</v>
      </c>
      <c r="BA123" s="200" t="str">
        <f>IFERROR(VLOOKUP(TableHandbook[[#This Row],[UDC]],TableSTRUHUMAM[],7,FALSE),"")</f>
        <v/>
      </c>
      <c r="BB123" s="200" t="str">
        <f>IFERROR(VLOOKUP(TableHandbook[[#This Row],[UDC]],TableSTRUHUMBB[],7,FALSE),"")</f>
        <v>Option</v>
      </c>
      <c r="BC123" s="200" t="str">
        <f>IFERROR(VLOOKUP(TableHandbook[[#This Row],[UDC]],TableSTRUMATHB[],7,FALSE),"")</f>
        <v>Option</v>
      </c>
      <c r="BD123" s="200" t="str">
        <f>IFERROR(VLOOKUP(TableHandbook[[#This Row],[UDC]],TableSTRUMATHM[],7,FALSE),"")</f>
        <v/>
      </c>
      <c r="BE123" s="200" t="str">
        <f>IFERROR(VLOOKUP(TableHandbook[[#This Row],[UDC]],TableSTRUPARTB[],7,FALSE),"")</f>
        <v>Option</v>
      </c>
      <c r="BF123" s="200" t="str">
        <f>IFERROR(VLOOKUP(TableHandbook[[#This Row],[UDC]],TableSTRUPARTM[],7,FALSE),"")</f>
        <v/>
      </c>
      <c r="BG123" s="200" t="str">
        <f>IFERROR(VLOOKUP(TableHandbook[[#This Row],[UDC]],TableSTRUPOLB1[],7,FALSE),"")</f>
        <v>Option</v>
      </c>
      <c r="BH123" s="200" t="str">
        <f>IFERROR(VLOOKUP(TableHandbook[[#This Row],[UDC]],TableSTRUPSCIM[],7,FALSE),"")</f>
        <v/>
      </c>
      <c r="BI123" s="200" t="str">
        <f>IFERROR(VLOOKUP(TableHandbook[[#This Row],[UDC]],TableSTRUPSYCB[],7,FALSE),"")</f>
        <v>Option</v>
      </c>
      <c r="BJ123" s="200" t="str">
        <f>IFERROR(VLOOKUP(TableHandbook[[#This Row],[UDC]],TableSTRUPSYCM[],7,FALSE),"")</f>
        <v/>
      </c>
      <c r="BK123" s="200" t="str">
        <f>IFERROR(VLOOKUP(TableHandbook[[#This Row],[UDC]],TableSTRUSOSCM[],7,FALSE),"")</f>
        <v/>
      </c>
      <c r="BL123" s="200" t="str">
        <f>IFERROR(VLOOKUP(TableHandbook[[#This Row],[UDC]],TableSTRUVARTB[],7,FALSE),"")</f>
        <v>Option</v>
      </c>
      <c r="BM123" s="200" t="str">
        <f>IFERROR(VLOOKUP(TableHandbook[[#This Row],[UDC]],TableSTRUVARTM[],7,FALSE),"")</f>
        <v/>
      </c>
    </row>
    <row r="124" spans="1:65" x14ac:dyDescent="0.25">
      <c r="A124" s="11" t="s">
        <v>148</v>
      </c>
      <c r="B124" s="12">
        <v>1</v>
      </c>
      <c r="C124" s="11"/>
      <c r="D124" s="11" t="s">
        <v>702</v>
      </c>
      <c r="E124" s="12">
        <v>25</v>
      </c>
      <c r="F124" s="131" t="s">
        <v>544</v>
      </c>
      <c r="G124" s="126" t="str">
        <f>IFERROR(IF(VLOOKUP(TableHandbook[[#This Row],[UDC]],TableAvailabilities[],2,FALSE)&gt;0,"Y",""),"")</f>
        <v/>
      </c>
      <c r="H124" s="127" t="str">
        <f>IFERROR(IF(VLOOKUP(TableHandbook[[#This Row],[UDC]],TableAvailabilities[],3,FALSE)&gt;0,"Y",""),"")</f>
        <v/>
      </c>
      <c r="I124" s="127" t="str">
        <f>IFERROR(IF(VLOOKUP(TableHandbook[[#This Row],[UDC]],TableAvailabilities[],4,FALSE)&gt;0,"Y",""),"")</f>
        <v/>
      </c>
      <c r="J124" s="128" t="str">
        <f>IFERROR(IF(VLOOKUP(TableHandbook[[#This Row],[UDC]],TableAvailabilities[],5,FALSE)&gt;0,"Y",""),"")</f>
        <v>Y</v>
      </c>
      <c r="K124" s="128" t="str">
        <f>IFERROR(IF(VLOOKUP(TableHandbook[[#This Row],[UDC]],TableAvailabilities[],6,FALSE)&gt;0,"Y",""),"")</f>
        <v>Y</v>
      </c>
      <c r="L124" s="127" t="str">
        <f>IFERROR(IF(VLOOKUP(TableHandbook[[#This Row],[UDC]],TableAvailabilities[],7,FALSE)&gt;0,"Y",""),"")</f>
        <v/>
      </c>
      <c r="M124" s="207"/>
      <c r="N124" s="205" t="str">
        <f>IFERROR(VLOOKUP(TableHandbook[[#This Row],[UDC]],TableBEDUC[],7,FALSE),"")</f>
        <v>Option</v>
      </c>
      <c r="O124" s="200" t="str">
        <f>IFERROR(VLOOKUP(TableHandbook[[#This Row],[UDC]],TableBEDEC[],7,FALSE),"")</f>
        <v>Option</v>
      </c>
      <c r="P124" s="200" t="str">
        <f>IFERROR(VLOOKUP(TableHandbook[[#This Row],[UDC]],TableBEDPR[],7,FALSE),"")</f>
        <v/>
      </c>
      <c r="Q124" s="200" t="str">
        <f>IFERROR(VLOOKUP(TableHandbook[[#This Row],[UDC]],TableSTRUCATHL[],7,FALSE),"")</f>
        <v/>
      </c>
      <c r="R124" s="200" t="str">
        <f>IFERROR(VLOOKUP(TableHandbook[[#This Row],[UDC]],TableSTRUENGLL[],7,FALSE),"")</f>
        <v>Core</v>
      </c>
      <c r="S124" s="200" t="str">
        <f>IFERROR(VLOOKUP(TableHandbook[[#This Row],[UDC]],TableSTRUINTBC[],7,FALSE),"")</f>
        <v/>
      </c>
      <c r="T124" s="200" t="str">
        <f>IFERROR(VLOOKUP(TableHandbook[[#This Row],[UDC]],TableSTRUISTEM[],7,FALSE),"")</f>
        <v/>
      </c>
      <c r="U124" s="200" t="str">
        <f>IFERROR(VLOOKUP(TableHandbook[[#This Row],[UDC]],TableSTRULITNU[],7,FALSE),"")</f>
        <v/>
      </c>
      <c r="V124" s="200" t="str">
        <f>IFERROR(VLOOKUP(TableHandbook[[#This Row],[UDC]],TableSTRUTECHS[],7,FALSE),"")</f>
        <v/>
      </c>
      <c r="W124" s="200" t="str">
        <f>IFERROR(VLOOKUP(TableHandbook[[#This Row],[UDC]],TableBEDSC[],7,FALSE),"")</f>
        <v/>
      </c>
      <c r="X124" s="200" t="str">
        <f>IFERROR(VLOOKUP(TableHandbook[[#This Row],[UDC]],TableMJRUARTDR[],7,FALSE),"")</f>
        <v/>
      </c>
      <c r="Y124" s="200" t="str">
        <f>IFERROR(VLOOKUP(TableHandbook[[#This Row],[UDC]],TableMJRUARTME[],7,FALSE),"")</f>
        <v/>
      </c>
      <c r="Z124" s="200" t="str">
        <f>IFERROR(VLOOKUP(TableHandbook[[#This Row],[UDC]],TableMJRUARTVA[],7,FALSE),"")</f>
        <v/>
      </c>
      <c r="AA124" s="200" t="str">
        <f>IFERROR(VLOOKUP(TableHandbook[[#This Row],[UDC]],TableMJRUENGLT[],7,FALSE),"")</f>
        <v/>
      </c>
      <c r="AB124" s="200" t="str">
        <f>IFERROR(VLOOKUP(TableHandbook[[#This Row],[UDC]],TableMJRUHLTPE[],7,FALSE),"")</f>
        <v/>
      </c>
      <c r="AC124" s="200" t="str">
        <f>IFERROR(VLOOKUP(TableHandbook[[#This Row],[UDC]],TableMJRUHUSEC[],7,FALSE),"")</f>
        <v/>
      </c>
      <c r="AD124" s="200" t="str">
        <f>IFERROR(VLOOKUP(TableHandbook[[#This Row],[UDC]],TableMJRUHUSGE[],7,FALSE),"")</f>
        <v/>
      </c>
      <c r="AE124" s="200" t="str">
        <f>IFERROR(VLOOKUP(TableHandbook[[#This Row],[UDC]],TableMJRUHUSHI[],7,FALSE),"")</f>
        <v/>
      </c>
      <c r="AF124" s="200" t="str">
        <f>IFERROR(VLOOKUP(TableHandbook[[#This Row],[UDC]],TableMJRUHUSPL[],7,FALSE),"")</f>
        <v/>
      </c>
      <c r="AG124" s="200" t="str">
        <f>IFERROR(VLOOKUP(TableHandbook[[#This Row],[UDC]],TableMJRUMATHT[],7,FALSE),"")</f>
        <v/>
      </c>
      <c r="AH124" s="200" t="str">
        <f>IFERROR(VLOOKUP(TableHandbook[[#This Row],[UDC]],TableMJRUSCIBI[],7,FALSE),"")</f>
        <v/>
      </c>
      <c r="AI124" s="200" t="str">
        <f>IFERROR(VLOOKUP(TableHandbook[[#This Row],[UDC]],TableMJRUSCICH[],7,FALSE),"")</f>
        <v/>
      </c>
      <c r="AJ124" s="200" t="str">
        <f>IFERROR(VLOOKUP(TableHandbook[[#This Row],[UDC]],TableMJRUSCIHB[],7,FALSE),"")</f>
        <v/>
      </c>
      <c r="AK124" s="200" t="str">
        <f>IFERROR(VLOOKUP(TableHandbook[[#This Row],[UDC]],TableMJRUSCIPH[],7,FALSE),"")</f>
        <v/>
      </c>
      <c r="AL124" s="200" t="str">
        <f>IFERROR(VLOOKUP(TableHandbook[[#This Row],[UDC]],TableMJRUSCIPS[],7,FALSE),"")</f>
        <v/>
      </c>
      <c r="AM124" s="202"/>
      <c r="AN124" s="200" t="str">
        <f>IFERROR(VLOOKUP(TableHandbook[[#This Row],[UDC]],TableSTRUBIOLB[],7,FALSE),"")</f>
        <v>Option</v>
      </c>
      <c r="AO124" s="200" t="str">
        <f>IFERROR(VLOOKUP(TableHandbook[[#This Row],[UDC]],TableSTRUBSCIM[],7,FALSE),"")</f>
        <v/>
      </c>
      <c r="AP124" s="200" t="str">
        <f>IFERROR(VLOOKUP(TableHandbook[[#This Row],[UDC]],TableSTRUCHEMB[],7,FALSE),"")</f>
        <v>Option</v>
      </c>
      <c r="AQ124" s="200" t="str">
        <f>IFERROR(VLOOKUP(TableHandbook[[#This Row],[UDC]],TableSTRUECOB1[],7,FALSE),"")</f>
        <v>Option</v>
      </c>
      <c r="AR124" s="200" t="str">
        <f>IFERROR(VLOOKUP(TableHandbook[[#This Row],[UDC]],TableSTRUEDART[],7,FALSE),"")</f>
        <v>Option</v>
      </c>
      <c r="AS124" s="200" t="str">
        <f>IFERROR(VLOOKUP(TableHandbook[[#This Row],[UDC]],TableSTRUEDENG[],7,FALSE),"")</f>
        <v>Option</v>
      </c>
      <c r="AT124" s="200" t="str">
        <f>IFERROR(VLOOKUP(TableHandbook[[#This Row],[UDC]],TableSTRUEDHAS[],7,FALSE),"")</f>
        <v>Option</v>
      </c>
      <c r="AU124" s="200" t="str">
        <f>IFERROR(VLOOKUP(TableHandbook[[#This Row],[UDC]],TableSTRUEDMAT[],7,FALSE),"")</f>
        <v>Option</v>
      </c>
      <c r="AV124" s="200" t="str">
        <f>IFERROR(VLOOKUP(TableHandbook[[#This Row],[UDC]],TableSTRUEDSCI[],7,FALSE),"")</f>
        <v>Option</v>
      </c>
      <c r="AW124" s="200" t="str">
        <f>IFERROR(VLOOKUP(TableHandbook[[#This Row],[UDC]],TableSTRUENGLB[],7,FALSE),"")</f>
        <v>Option</v>
      </c>
      <c r="AX124" s="200" t="str">
        <f>IFERROR(VLOOKUP(TableHandbook[[#This Row],[UDC]],TableSTRUENGLM[],7,FALSE),"")</f>
        <v/>
      </c>
      <c r="AY124" s="200" t="str">
        <f>IFERROR(VLOOKUP(TableHandbook[[#This Row],[UDC]],TableSTRUGEOB1[],7,FALSE),"")</f>
        <v>Option</v>
      </c>
      <c r="AZ124" s="200" t="str">
        <f>IFERROR(VLOOKUP(TableHandbook[[#This Row],[UDC]],TableSTRUHISB1[],7,FALSE),"")</f>
        <v>Option</v>
      </c>
      <c r="BA124" s="200" t="str">
        <f>IFERROR(VLOOKUP(TableHandbook[[#This Row],[UDC]],TableSTRUHUMAM[],7,FALSE),"")</f>
        <v/>
      </c>
      <c r="BB124" s="200" t="str">
        <f>IFERROR(VLOOKUP(TableHandbook[[#This Row],[UDC]],TableSTRUHUMBB[],7,FALSE),"")</f>
        <v>Option</v>
      </c>
      <c r="BC124" s="200" t="str">
        <f>IFERROR(VLOOKUP(TableHandbook[[#This Row],[UDC]],TableSTRUMATHB[],7,FALSE),"")</f>
        <v>Option</v>
      </c>
      <c r="BD124" s="200" t="str">
        <f>IFERROR(VLOOKUP(TableHandbook[[#This Row],[UDC]],TableSTRUMATHM[],7,FALSE),"")</f>
        <v/>
      </c>
      <c r="BE124" s="200" t="str">
        <f>IFERROR(VLOOKUP(TableHandbook[[#This Row],[UDC]],TableSTRUPARTB[],7,FALSE),"")</f>
        <v>Option</v>
      </c>
      <c r="BF124" s="200" t="str">
        <f>IFERROR(VLOOKUP(TableHandbook[[#This Row],[UDC]],TableSTRUPARTM[],7,FALSE),"")</f>
        <v/>
      </c>
      <c r="BG124" s="200" t="str">
        <f>IFERROR(VLOOKUP(TableHandbook[[#This Row],[UDC]],TableSTRUPOLB1[],7,FALSE),"")</f>
        <v>Option</v>
      </c>
      <c r="BH124" s="200" t="str">
        <f>IFERROR(VLOOKUP(TableHandbook[[#This Row],[UDC]],TableSTRUPSCIM[],7,FALSE),"")</f>
        <v/>
      </c>
      <c r="BI124" s="200" t="str">
        <f>IFERROR(VLOOKUP(TableHandbook[[#This Row],[UDC]],TableSTRUPSYCB[],7,FALSE),"")</f>
        <v>Option</v>
      </c>
      <c r="BJ124" s="200" t="str">
        <f>IFERROR(VLOOKUP(TableHandbook[[#This Row],[UDC]],TableSTRUPSYCM[],7,FALSE),"")</f>
        <v/>
      </c>
      <c r="BK124" s="200" t="str">
        <f>IFERROR(VLOOKUP(TableHandbook[[#This Row],[UDC]],TableSTRUSOSCM[],7,FALSE),"")</f>
        <v/>
      </c>
      <c r="BL124" s="200" t="str">
        <f>IFERROR(VLOOKUP(TableHandbook[[#This Row],[UDC]],TableSTRUVARTB[],7,FALSE),"")</f>
        <v>Option</v>
      </c>
      <c r="BM124" s="200" t="str">
        <f>IFERROR(VLOOKUP(TableHandbook[[#This Row],[UDC]],TableSTRUVARTM[],7,FALSE),"")</f>
        <v/>
      </c>
    </row>
    <row r="125" spans="1:65" x14ac:dyDescent="0.25">
      <c r="A125" s="11" t="s">
        <v>160</v>
      </c>
      <c r="B125" s="12">
        <v>1</v>
      </c>
      <c r="C125" s="11"/>
      <c r="D125" s="11" t="s">
        <v>703</v>
      </c>
      <c r="E125" s="12">
        <v>25</v>
      </c>
      <c r="F125" s="131" t="s">
        <v>544</v>
      </c>
      <c r="G125" s="126" t="str">
        <f>IFERROR(IF(VLOOKUP(TableHandbook[[#This Row],[UDC]],TableAvailabilities[],2,FALSE)&gt;0,"Y",""),"")</f>
        <v/>
      </c>
      <c r="H125" s="127" t="str">
        <f>IFERROR(IF(VLOOKUP(TableHandbook[[#This Row],[UDC]],TableAvailabilities[],3,FALSE)&gt;0,"Y",""),"")</f>
        <v/>
      </c>
      <c r="I125" s="127" t="str">
        <f>IFERROR(IF(VLOOKUP(TableHandbook[[#This Row],[UDC]],TableAvailabilities[],4,FALSE)&gt;0,"Y",""),"")</f>
        <v/>
      </c>
      <c r="J125" s="128" t="str">
        <f>IFERROR(IF(VLOOKUP(TableHandbook[[#This Row],[UDC]],TableAvailabilities[],5,FALSE)&gt;0,"Y",""),"")</f>
        <v>Y</v>
      </c>
      <c r="K125" s="128" t="str">
        <f>IFERROR(IF(VLOOKUP(TableHandbook[[#This Row],[UDC]],TableAvailabilities[],6,FALSE)&gt;0,"Y",""),"")</f>
        <v>Y</v>
      </c>
      <c r="L125" s="127" t="str">
        <f>IFERROR(IF(VLOOKUP(TableHandbook[[#This Row],[UDC]],TableAvailabilities[],7,FALSE)&gt;0,"Y",""),"")</f>
        <v/>
      </c>
      <c r="M125" s="207"/>
      <c r="N125" s="205" t="str">
        <f>IFERROR(VLOOKUP(TableHandbook[[#This Row],[UDC]],TableBEDUC[],7,FALSE),"")</f>
        <v>Option</v>
      </c>
      <c r="O125" s="200" t="str">
        <f>IFERROR(VLOOKUP(TableHandbook[[#This Row],[UDC]],TableBEDEC[],7,FALSE),"")</f>
        <v>Option</v>
      </c>
      <c r="P125" s="200" t="str">
        <f>IFERROR(VLOOKUP(TableHandbook[[#This Row],[UDC]],TableBEDPR[],7,FALSE),"")</f>
        <v/>
      </c>
      <c r="Q125" s="200" t="str">
        <f>IFERROR(VLOOKUP(TableHandbook[[#This Row],[UDC]],TableSTRUCATHL[],7,FALSE),"")</f>
        <v/>
      </c>
      <c r="R125" s="200" t="str">
        <f>IFERROR(VLOOKUP(TableHandbook[[#This Row],[UDC]],TableSTRUENGLL[],7,FALSE),"")</f>
        <v/>
      </c>
      <c r="S125" s="200" t="str">
        <f>IFERROR(VLOOKUP(TableHandbook[[#This Row],[UDC]],TableSTRUINTBC[],7,FALSE),"")</f>
        <v/>
      </c>
      <c r="T125" s="200" t="str">
        <f>IFERROR(VLOOKUP(TableHandbook[[#This Row],[UDC]],TableSTRUISTEM[],7,FALSE),"")</f>
        <v/>
      </c>
      <c r="U125" s="200" t="str">
        <f>IFERROR(VLOOKUP(TableHandbook[[#This Row],[UDC]],TableSTRULITNU[],7,FALSE),"")</f>
        <v/>
      </c>
      <c r="V125" s="200" t="str">
        <f>IFERROR(VLOOKUP(TableHandbook[[#This Row],[UDC]],TableSTRUTECHS[],7,FALSE),"")</f>
        <v>Core</v>
      </c>
      <c r="W125" s="200" t="str">
        <f>IFERROR(VLOOKUP(TableHandbook[[#This Row],[UDC]],TableBEDSC[],7,FALSE),"")</f>
        <v/>
      </c>
      <c r="X125" s="200" t="str">
        <f>IFERROR(VLOOKUP(TableHandbook[[#This Row],[UDC]],TableMJRUARTDR[],7,FALSE),"")</f>
        <v/>
      </c>
      <c r="Y125" s="200" t="str">
        <f>IFERROR(VLOOKUP(TableHandbook[[#This Row],[UDC]],TableMJRUARTME[],7,FALSE),"")</f>
        <v/>
      </c>
      <c r="Z125" s="200" t="str">
        <f>IFERROR(VLOOKUP(TableHandbook[[#This Row],[UDC]],TableMJRUARTVA[],7,FALSE),"")</f>
        <v/>
      </c>
      <c r="AA125" s="200" t="str">
        <f>IFERROR(VLOOKUP(TableHandbook[[#This Row],[UDC]],TableMJRUENGLT[],7,FALSE),"")</f>
        <v/>
      </c>
      <c r="AB125" s="200" t="str">
        <f>IFERROR(VLOOKUP(TableHandbook[[#This Row],[UDC]],TableMJRUHLTPE[],7,FALSE),"")</f>
        <v/>
      </c>
      <c r="AC125" s="200" t="str">
        <f>IFERROR(VLOOKUP(TableHandbook[[#This Row],[UDC]],TableMJRUHUSEC[],7,FALSE),"")</f>
        <v/>
      </c>
      <c r="AD125" s="200" t="str">
        <f>IFERROR(VLOOKUP(TableHandbook[[#This Row],[UDC]],TableMJRUHUSGE[],7,FALSE),"")</f>
        <v/>
      </c>
      <c r="AE125" s="200" t="str">
        <f>IFERROR(VLOOKUP(TableHandbook[[#This Row],[UDC]],TableMJRUHUSHI[],7,FALSE),"")</f>
        <v/>
      </c>
      <c r="AF125" s="200" t="str">
        <f>IFERROR(VLOOKUP(TableHandbook[[#This Row],[UDC]],TableMJRUHUSPL[],7,FALSE),"")</f>
        <v/>
      </c>
      <c r="AG125" s="200" t="str">
        <f>IFERROR(VLOOKUP(TableHandbook[[#This Row],[UDC]],TableMJRUMATHT[],7,FALSE),"")</f>
        <v/>
      </c>
      <c r="AH125" s="200" t="str">
        <f>IFERROR(VLOOKUP(TableHandbook[[#This Row],[UDC]],TableMJRUSCIBI[],7,FALSE),"")</f>
        <v/>
      </c>
      <c r="AI125" s="200" t="str">
        <f>IFERROR(VLOOKUP(TableHandbook[[#This Row],[UDC]],TableMJRUSCICH[],7,FALSE),"")</f>
        <v/>
      </c>
      <c r="AJ125" s="200" t="str">
        <f>IFERROR(VLOOKUP(TableHandbook[[#This Row],[UDC]],TableMJRUSCIHB[],7,FALSE),"")</f>
        <v/>
      </c>
      <c r="AK125" s="200" t="str">
        <f>IFERROR(VLOOKUP(TableHandbook[[#This Row],[UDC]],TableMJRUSCIPH[],7,FALSE),"")</f>
        <v/>
      </c>
      <c r="AL125" s="200" t="str">
        <f>IFERROR(VLOOKUP(TableHandbook[[#This Row],[UDC]],TableMJRUSCIPS[],7,FALSE),"")</f>
        <v/>
      </c>
      <c r="AM125" s="202"/>
      <c r="AN125" s="200" t="str">
        <f>IFERROR(VLOOKUP(TableHandbook[[#This Row],[UDC]],TableSTRUBIOLB[],7,FALSE),"")</f>
        <v>Option</v>
      </c>
      <c r="AO125" s="200" t="str">
        <f>IFERROR(VLOOKUP(TableHandbook[[#This Row],[UDC]],TableSTRUBSCIM[],7,FALSE),"")</f>
        <v/>
      </c>
      <c r="AP125" s="200" t="str">
        <f>IFERROR(VLOOKUP(TableHandbook[[#This Row],[UDC]],TableSTRUCHEMB[],7,FALSE),"")</f>
        <v>Option</v>
      </c>
      <c r="AQ125" s="200" t="str">
        <f>IFERROR(VLOOKUP(TableHandbook[[#This Row],[UDC]],TableSTRUECOB1[],7,FALSE),"")</f>
        <v>Option</v>
      </c>
      <c r="AR125" s="200" t="str">
        <f>IFERROR(VLOOKUP(TableHandbook[[#This Row],[UDC]],TableSTRUEDART[],7,FALSE),"")</f>
        <v>Option</v>
      </c>
      <c r="AS125" s="200" t="str">
        <f>IFERROR(VLOOKUP(TableHandbook[[#This Row],[UDC]],TableSTRUEDENG[],7,FALSE),"")</f>
        <v>Option</v>
      </c>
      <c r="AT125" s="200" t="str">
        <f>IFERROR(VLOOKUP(TableHandbook[[#This Row],[UDC]],TableSTRUEDHAS[],7,FALSE),"")</f>
        <v>Option</v>
      </c>
      <c r="AU125" s="200" t="str">
        <f>IFERROR(VLOOKUP(TableHandbook[[#This Row],[UDC]],TableSTRUEDMAT[],7,FALSE),"")</f>
        <v>Option</v>
      </c>
      <c r="AV125" s="200" t="str">
        <f>IFERROR(VLOOKUP(TableHandbook[[#This Row],[UDC]],TableSTRUEDSCI[],7,FALSE),"")</f>
        <v>Option</v>
      </c>
      <c r="AW125" s="200" t="str">
        <f>IFERROR(VLOOKUP(TableHandbook[[#This Row],[UDC]],TableSTRUENGLB[],7,FALSE),"")</f>
        <v>Option</v>
      </c>
      <c r="AX125" s="200" t="str">
        <f>IFERROR(VLOOKUP(TableHandbook[[#This Row],[UDC]],TableSTRUENGLM[],7,FALSE),"")</f>
        <v/>
      </c>
      <c r="AY125" s="200" t="str">
        <f>IFERROR(VLOOKUP(TableHandbook[[#This Row],[UDC]],TableSTRUGEOB1[],7,FALSE),"")</f>
        <v>Option</v>
      </c>
      <c r="AZ125" s="200" t="str">
        <f>IFERROR(VLOOKUP(TableHandbook[[#This Row],[UDC]],TableSTRUHISB1[],7,FALSE),"")</f>
        <v>Option</v>
      </c>
      <c r="BA125" s="200" t="str">
        <f>IFERROR(VLOOKUP(TableHandbook[[#This Row],[UDC]],TableSTRUHUMAM[],7,FALSE),"")</f>
        <v/>
      </c>
      <c r="BB125" s="200" t="str">
        <f>IFERROR(VLOOKUP(TableHandbook[[#This Row],[UDC]],TableSTRUHUMBB[],7,FALSE),"")</f>
        <v>Option</v>
      </c>
      <c r="BC125" s="200" t="str">
        <f>IFERROR(VLOOKUP(TableHandbook[[#This Row],[UDC]],TableSTRUMATHB[],7,FALSE),"")</f>
        <v>Option</v>
      </c>
      <c r="BD125" s="200" t="str">
        <f>IFERROR(VLOOKUP(TableHandbook[[#This Row],[UDC]],TableSTRUMATHM[],7,FALSE),"")</f>
        <v/>
      </c>
      <c r="BE125" s="200" t="str">
        <f>IFERROR(VLOOKUP(TableHandbook[[#This Row],[UDC]],TableSTRUPARTB[],7,FALSE),"")</f>
        <v>Option</v>
      </c>
      <c r="BF125" s="200" t="str">
        <f>IFERROR(VLOOKUP(TableHandbook[[#This Row],[UDC]],TableSTRUPARTM[],7,FALSE),"")</f>
        <v/>
      </c>
      <c r="BG125" s="200" t="str">
        <f>IFERROR(VLOOKUP(TableHandbook[[#This Row],[UDC]],TableSTRUPOLB1[],7,FALSE),"")</f>
        <v>Option</v>
      </c>
      <c r="BH125" s="200" t="str">
        <f>IFERROR(VLOOKUP(TableHandbook[[#This Row],[UDC]],TableSTRUPSCIM[],7,FALSE),"")</f>
        <v/>
      </c>
      <c r="BI125" s="200" t="str">
        <f>IFERROR(VLOOKUP(TableHandbook[[#This Row],[UDC]],TableSTRUPSYCB[],7,FALSE),"")</f>
        <v>Option</v>
      </c>
      <c r="BJ125" s="200" t="str">
        <f>IFERROR(VLOOKUP(TableHandbook[[#This Row],[UDC]],TableSTRUPSYCM[],7,FALSE),"")</f>
        <v/>
      </c>
      <c r="BK125" s="200" t="str">
        <f>IFERROR(VLOOKUP(TableHandbook[[#This Row],[UDC]],TableSTRUSOSCM[],7,FALSE),"")</f>
        <v/>
      </c>
      <c r="BL125" s="200" t="str">
        <f>IFERROR(VLOOKUP(TableHandbook[[#This Row],[UDC]],TableSTRUVARTB[],7,FALSE),"")</f>
        <v>Option</v>
      </c>
      <c r="BM125" s="200" t="str">
        <f>IFERROR(VLOOKUP(TableHandbook[[#This Row],[UDC]],TableSTRUVARTM[],7,FALSE),"")</f>
        <v/>
      </c>
    </row>
    <row r="126" spans="1:65" x14ac:dyDescent="0.25">
      <c r="A126" s="11" t="s">
        <v>704</v>
      </c>
      <c r="B126" s="12">
        <v>1</v>
      </c>
      <c r="C126" s="11"/>
      <c r="D126" s="11" t="s">
        <v>705</v>
      </c>
      <c r="E126" s="12">
        <v>25</v>
      </c>
      <c r="F126" s="131"/>
      <c r="G126" s="126" t="str">
        <f>IFERROR(IF(VLOOKUP(TableHandbook[[#This Row],[UDC]],TableAvailabilities[],2,FALSE)&gt;0,"Y",""),"")</f>
        <v/>
      </c>
      <c r="H126" s="127" t="str">
        <f>IFERROR(IF(VLOOKUP(TableHandbook[[#This Row],[UDC]],TableAvailabilities[],3,FALSE)&gt;0,"Y",""),"")</f>
        <v/>
      </c>
      <c r="I126" s="127" t="str">
        <f>IFERROR(IF(VLOOKUP(TableHandbook[[#This Row],[UDC]],TableAvailabilities[],4,FALSE)&gt;0,"Y",""),"")</f>
        <v/>
      </c>
      <c r="J126" s="128" t="str">
        <f>IFERROR(IF(VLOOKUP(TableHandbook[[#This Row],[UDC]],TableAvailabilities[],5,FALSE)&gt;0,"Y",""),"")</f>
        <v/>
      </c>
      <c r="K126" s="128" t="str">
        <f>IFERROR(IF(VLOOKUP(TableHandbook[[#This Row],[UDC]],TableAvailabilities[],6,FALSE)&gt;0,"Y",""),"")</f>
        <v/>
      </c>
      <c r="L126" s="127" t="str">
        <f>IFERROR(IF(VLOOKUP(TableHandbook[[#This Row],[UDC]],TableAvailabilities[],7,FALSE)&gt;0,"Y",""),"")</f>
        <v/>
      </c>
      <c r="M126" s="208" t="s">
        <v>706</v>
      </c>
      <c r="N126" s="205" t="str">
        <f>IFERROR(VLOOKUP(TableHandbook[[#This Row],[UDC]],TableBEDUC[],7,FALSE),"")</f>
        <v/>
      </c>
      <c r="O126" s="200" t="str">
        <f>IFERROR(VLOOKUP(TableHandbook[[#This Row],[UDC]],TableBEDEC[],7,FALSE),"")</f>
        <v/>
      </c>
      <c r="P126" s="200" t="str">
        <f>IFERROR(VLOOKUP(TableHandbook[[#This Row],[UDC]],TableBEDPR[],7,FALSE),"")</f>
        <v/>
      </c>
      <c r="Q126" s="200" t="str">
        <f>IFERROR(VLOOKUP(TableHandbook[[#This Row],[UDC]],TableSTRUCATHL[],7,FALSE),"")</f>
        <v/>
      </c>
      <c r="R126" s="200" t="str">
        <f>IFERROR(VLOOKUP(TableHandbook[[#This Row],[UDC]],TableSTRUENGLL[],7,FALSE),"")</f>
        <v/>
      </c>
      <c r="S126" s="200" t="str">
        <f>IFERROR(VLOOKUP(TableHandbook[[#This Row],[UDC]],TableSTRUINTBC[],7,FALSE),"")</f>
        <v/>
      </c>
      <c r="T126" s="200" t="str">
        <f>IFERROR(VLOOKUP(TableHandbook[[#This Row],[UDC]],TableSTRUISTEM[],7,FALSE),"")</f>
        <v/>
      </c>
      <c r="U126" s="200" t="str">
        <f>IFERROR(VLOOKUP(TableHandbook[[#This Row],[UDC]],TableSTRULITNU[],7,FALSE),"")</f>
        <v/>
      </c>
      <c r="V126" s="200" t="str">
        <f>IFERROR(VLOOKUP(TableHandbook[[#This Row],[UDC]],TableSTRUTECHS[],7,FALSE),"")</f>
        <v/>
      </c>
      <c r="W126" s="200" t="str">
        <f>IFERROR(VLOOKUP(TableHandbook[[#This Row],[UDC]],TableBEDSC[],7,FALSE),"")</f>
        <v/>
      </c>
      <c r="X126" s="200" t="str">
        <f>IFERROR(VLOOKUP(TableHandbook[[#This Row],[UDC]],TableMJRUARTDR[],7,FALSE),"")</f>
        <v/>
      </c>
      <c r="Y126" s="200" t="str">
        <f>IFERROR(VLOOKUP(TableHandbook[[#This Row],[UDC]],TableMJRUARTME[],7,FALSE),"")</f>
        <v/>
      </c>
      <c r="Z126" s="200" t="str">
        <f>IFERROR(VLOOKUP(TableHandbook[[#This Row],[UDC]],TableMJRUARTVA[],7,FALSE),"")</f>
        <v/>
      </c>
      <c r="AA126" s="200" t="str">
        <f>IFERROR(VLOOKUP(TableHandbook[[#This Row],[UDC]],TableMJRUENGLT[],7,FALSE),"")</f>
        <v/>
      </c>
      <c r="AB126" s="200" t="str">
        <f>IFERROR(VLOOKUP(TableHandbook[[#This Row],[UDC]],TableMJRUHLTPE[],7,FALSE),"")</f>
        <v/>
      </c>
      <c r="AC126" s="200" t="str">
        <f>IFERROR(VLOOKUP(TableHandbook[[#This Row],[UDC]],TableMJRUHUSEC[],7,FALSE),"")</f>
        <v/>
      </c>
      <c r="AD126" s="200" t="str">
        <f>IFERROR(VLOOKUP(TableHandbook[[#This Row],[UDC]],TableMJRUHUSGE[],7,FALSE),"")</f>
        <v/>
      </c>
      <c r="AE126" s="200" t="str">
        <f>IFERROR(VLOOKUP(TableHandbook[[#This Row],[UDC]],TableMJRUHUSHI[],7,FALSE),"")</f>
        <v/>
      </c>
      <c r="AF126" s="200" t="str">
        <f>IFERROR(VLOOKUP(TableHandbook[[#This Row],[UDC]],TableMJRUHUSPL[],7,FALSE),"")</f>
        <v/>
      </c>
      <c r="AG126" s="200" t="str">
        <f>IFERROR(VLOOKUP(TableHandbook[[#This Row],[UDC]],TableMJRUMATHT[],7,FALSE),"")</f>
        <v/>
      </c>
      <c r="AH126" s="200" t="str">
        <f>IFERROR(VLOOKUP(TableHandbook[[#This Row],[UDC]],TableMJRUSCIBI[],7,FALSE),"")</f>
        <v/>
      </c>
      <c r="AI126" s="200" t="str">
        <f>IFERROR(VLOOKUP(TableHandbook[[#This Row],[UDC]],TableMJRUSCICH[],7,FALSE),"")</f>
        <v/>
      </c>
      <c r="AJ126" s="200" t="str">
        <f>IFERROR(VLOOKUP(TableHandbook[[#This Row],[UDC]],TableMJRUSCIHB[],7,FALSE),"")</f>
        <v/>
      </c>
      <c r="AK126" s="200" t="str">
        <f>IFERROR(VLOOKUP(TableHandbook[[#This Row],[UDC]],TableMJRUSCIPH[],7,FALSE),"")</f>
        <v/>
      </c>
      <c r="AL126" s="200" t="str">
        <f>IFERROR(VLOOKUP(TableHandbook[[#This Row],[UDC]],TableMJRUSCIPS[],7,FALSE),"")</f>
        <v/>
      </c>
      <c r="AM126" s="202"/>
      <c r="AN126" s="200" t="str">
        <f>IFERROR(VLOOKUP(TableHandbook[[#This Row],[UDC]],TableSTRUBIOLB[],7,FALSE),"")</f>
        <v/>
      </c>
      <c r="AO126" s="200" t="str">
        <f>IFERROR(VLOOKUP(TableHandbook[[#This Row],[UDC]],TableSTRUBSCIM[],7,FALSE),"")</f>
        <v/>
      </c>
      <c r="AP126" s="200" t="str">
        <f>IFERROR(VLOOKUP(TableHandbook[[#This Row],[UDC]],TableSTRUCHEMB[],7,FALSE),"")</f>
        <v/>
      </c>
      <c r="AQ126" s="200" t="str">
        <f>IFERROR(VLOOKUP(TableHandbook[[#This Row],[UDC]],TableSTRUECOB1[],7,FALSE),"")</f>
        <v/>
      </c>
      <c r="AR126" s="200" t="str">
        <f>IFERROR(VLOOKUP(TableHandbook[[#This Row],[UDC]],TableSTRUEDART[],7,FALSE),"")</f>
        <v/>
      </c>
      <c r="AS126" s="200" t="str">
        <f>IFERROR(VLOOKUP(TableHandbook[[#This Row],[UDC]],TableSTRUEDENG[],7,FALSE),"")</f>
        <v/>
      </c>
      <c r="AT126" s="200" t="str">
        <f>IFERROR(VLOOKUP(TableHandbook[[#This Row],[UDC]],TableSTRUEDHAS[],7,FALSE),"")</f>
        <v/>
      </c>
      <c r="AU126" s="200" t="str">
        <f>IFERROR(VLOOKUP(TableHandbook[[#This Row],[UDC]],TableSTRUEDMAT[],7,FALSE),"")</f>
        <v/>
      </c>
      <c r="AV126" s="200" t="str">
        <f>IFERROR(VLOOKUP(TableHandbook[[#This Row],[UDC]],TableSTRUEDSCI[],7,FALSE),"")</f>
        <v/>
      </c>
      <c r="AW126" s="200" t="str">
        <f>IFERROR(VLOOKUP(TableHandbook[[#This Row],[UDC]],TableSTRUENGLB[],7,FALSE),"")</f>
        <v/>
      </c>
      <c r="AX126" s="200" t="str">
        <f>IFERROR(VLOOKUP(TableHandbook[[#This Row],[UDC]],TableSTRUENGLM[],7,FALSE),"")</f>
        <v/>
      </c>
      <c r="AY126" s="200" t="str">
        <f>IFERROR(VLOOKUP(TableHandbook[[#This Row],[UDC]],TableSTRUGEOB1[],7,FALSE),"")</f>
        <v/>
      </c>
      <c r="AZ126" s="200" t="str">
        <f>IFERROR(VLOOKUP(TableHandbook[[#This Row],[UDC]],TableSTRUHISB1[],7,FALSE),"")</f>
        <v/>
      </c>
      <c r="BA126" s="200" t="str">
        <f>IFERROR(VLOOKUP(TableHandbook[[#This Row],[UDC]],TableSTRUHUMAM[],7,FALSE),"")</f>
        <v/>
      </c>
      <c r="BB126" s="200" t="str">
        <f>IFERROR(VLOOKUP(TableHandbook[[#This Row],[UDC]],TableSTRUHUMBB[],7,FALSE),"")</f>
        <v/>
      </c>
      <c r="BC126" s="200" t="str">
        <f>IFERROR(VLOOKUP(TableHandbook[[#This Row],[UDC]],TableSTRUMATHB[],7,FALSE),"")</f>
        <v/>
      </c>
      <c r="BD126" s="200" t="str">
        <f>IFERROR(VLOOKUP(TableHandbook[[#This Row],[UDC]],TableSTRUMATHM[],7,FALSE),"")</f>
        <v/>
      </c>
      <c r="BE126" s="200" t="str">
        <f>IFERROR(VLOOKUP(TableHandbook[[#This Row],[UDC]],TableSTRUPARTB[],7,FALSE),"")</f>
        <v/>
      </c>
      <c r="BF126" s="200" t="str">
        <f>IFERROR(VLOOKUP(TableHandbook[[#This Row],[UDC]],TableSTRUPARTM[],7,FALSE),"")</f>
        <v/>
      </c>
      <c r="BG126" s="200" t="str">
        <f>IFERROR(VLOOKUP(TableHandbook[[#This Row],[UDC]],TableSTRUPOLB1[],7,FALSE),"")</f>
        <v/>
      </c>
      <c r="BH126" s="200" t="str">
        <f>IFERROR(VLOOKUP(TableHandbook[[#This Row],[UDC]],TableSTRUPSCIM[],7,FALSE),"")</f>
        <v/>
      </c>
      <c r="BI126" s="200" t="str">
        <f>IFERROR(VLOOKUP(TableHandbook[[#This Row],[UDC]],TableSTRUPSYCB[],7,FALSE),"")</f>
        <v/>
      </c>
      <c r="BJ126" s="200" t="str">
        <f>IFERROR(VLOOKUP(TableHandbook[[#This Row],[UDC]],TableSTRUPSYCM[],7,FALSE),"")</f>
        <v/>
      </c>
      <c r="BK126" s="200" t="str">
        <f>IFERROR(VLOOKUP(TableHandbook[[#This Row],[UDC]],TableSTRUSOSCM[],7,FALSE),"")</f>
        <v/>
      </c>
      <c r="BL126" s="200" t="str">
        <f>IFERROR(VLOOKUP(TableHandbook[[#This Row],[UDC]],TableSTRUVARTB[],7,FALSE),"")</f>
        <v/>
      </c>
      <c r="BM126" s="200" t="str">
        <f>IFERROR(VLOOKUP(TableHandbook[[#This Row],[UDC]],TableSTRUVARTM[],7,FALSE),"")</f>
        <v/>
      </c>
    </row>
    <row r="127" spans="1:65" x14ac:dyDescent="0.25">
      <c r="A127" s="11" t="s">
        <v>143</v>
      </c>
      <c r="B127" s="12">
        <v>1</v>
      </c>
      <c r="C127" s="11"/>
      <c r="D127" s="11" t="s">
        <v>707</v>
      </c>
      <c r="E127" s="12">
        <v>25</v>
      </c>
      <c r="F127" s="131" t="s">
        <v>544</v>
      </c>
      <c r="G127" s="126" t="str">
        <f>IFERROR(IF(VLOOKUP(TableHandbook[[#This Row],[UDC]],TableAvailabilities[],2,FALSE)&gt;0,"Y",""),"")</f>
        <v/>
      </c>
      <c r="H127" s="127" t="str">
        <f>IFERROR(IF(VLOOKUP(TableHandbook[[#This Row],[UDC]],TableAvailabilities[],3,FALSE)&gt;0,"Y",""),"")</f>
        <v>Y</v>
      </c>
      <c r="I127" s="127" t="str">
        <f>IFERROR(IF(VLOOKUP(TableHandbook[[#This Row],[UDC]],TableAvailabilities[],4,FALSE)&gt;0,"Y",""),"")</f>
        <v/>
      </c>
      <c r="J127" s="128" t="str">
        <f>IFERROR(IF(VLOOKUP(TableHandbook[[#This Row],[UDC]],TableAvailabilities[],5,FALSE)&gt;0,"Y",""),"")</f>
        <v/>
      </c>
      <c r="K127" s="128" t="str">
        <f>IFERROR(IF(VLOOKUP(TableHandbook[[#This Row],[UDC]],TableAvailabilities[],6,FALSE)&gt;0,"Y",""),"")</f>
        <v/>
      </c>
      <c r="L127" s="127" t="str">
        <f>IFERROR(IF(VLOOKUP(TableHandbook[[#This Row],[UDC]],TableAvailabilities[],7,FALSE)&gt;0,"Y",""),"")</f>
        <v/>
      </c>
      <c r="M127" s="207"/>
      <c r="N127" s="205" t="str">
        <f>IFERROR(VLOOKUP(TableHandbook[[#This Row],[UDC]],TableBEDUC[],7,FALSE),"")</f>
        <v>Option</v>
      </c>
      <c r="O127" s="200" t="str">
        <f>IFERROR(VLOOKUP(TableHandbook[[#This Row],[UDC]],TableBEDEC[],7,FALSE),"")</f>
        <v>Option</v>
      </c>
      <c r="P127" s="200" t="str">
        <f>IFERROR(VLOOKUP(TableHandbook[[#This Row],[UDC]],TableBEDPR[],7,FALSE),"")</f>
        <v/>
      </c>
      <c r="Q127" s="200" t="str">
        <f>IFERROR(VLOOKUP(TableHandbook[[#This Row],[UDC]],TableSTRUCATHL[],7,FALSE),"")</f>
        <v/>
      </c>
      <c r="R127" s="200" t="str">
        <f>IFERROR(VLOOKUP(TableHandbook[[#This Row],[UDC]],TableSTRUENGLL[],7,FALSE),"")</f>
        <v/>
      </c>
      <c r="S127" s="200" t="str">
        <f>IFERROR(VLOOKUP(TableHandbook[[#This Row],[UDC]],TableSTRUINTBC[],7,FALSE),"")</f>
        <v/>
      </c>
      <c r="T127" s="200" t="str">
        <f>IFERROR(VLOOKUP(TableHandbook[[#This Row],[UDC]],TableSTRUISTEM[],7,FALSE),"")</f>
        <v>Core</v>
      </c>
      <c r="U127" s="200" t="str">
        <f>IFERROR(VLOOKUP(TableHandbook[[#This Row],[UDC]],TableSTRULITNU[],7,FALSE),"")</f>
        <v/>
      </c>
      <c r="V127" s="200" t="str">
        <f>IFERROR(VLOOKUP(TableHandbook[[#This Row],[UDC]],TableSTRUTECHS[],7,FALSE),"")</f>
        <v/>
      </c>
      <c r="W127" s="200" t="str">
        <f>IFERROR(VLOOKUP(TableHandbook[[#This Row],[UDC]],TableBEDSC[],7,FALSE),"")</f>
        <v/>
      </c>
      <c r="X127" s="200" t="str">
        <f>IFERROR(VLOOKUP(TableHandbook[[#This Row],[UDC]],TableMJRUARTDR[],7,FALSE),"")</f>
        <v/>
      </c>
      <c r="Y127" s="200" t="str">
        <f>IFERROR(VLOOKUP(TableHandbook[[#This Row],[UDC]],TableMJRUARTME[],7,FALSE),"")</f>
        <v/>
      </c>
      <c r="Z127" s="200" t="str">
        <f>IFERROR(VLOOKUP(TableHandbook[[#This Row],[UDC]],TableMJRUARTVA[],7,FALSE),"")</f>
        <v/>
      </c>
      <c r="AA127" s="200" t="str">
        <f>IFERROR(VLOOKUP(TableHandbook[[#This Row],[UDC]],TableMJRUENGLT[],7,FALSE),"")</f>
        <v/>
      </c>
      <c r="AB127" s="200" t="str">
        <f>IFERROR(VLOOKUP(TableHandbook[[#This Row],[UDC]],TableMJRUHLTPE[],7,FALSE),"")</f>
        <v/>
      </c>
      <c r="AC127" s="200" t="str">
        <f>IFERROR(VLOOKUP(TableHandbook[[#This Row],[UDC]],TableMJRUHUSEC[],7,FALSE),"")</f>
        <v/>
      </c>
      <c r="AD127" s="200" t="str">
        <f>IFERROR(VLOOKUP(TableHandbook[[#This Row],[UDC]],TableMJRUHUSGE[],7,FALSE),"")</f>
        <v/>
      </c>
      <c r="AE127" s="200" t="str">
        <f>IFERROR(VLOOKUP(TableHandbook[[#This Row],[UDC]],TableMJRUHUSHI[],7,FALSE),"")</f>
        <v/>
      </c>
      <c r="AF127" s="200" t="str">
        <f>IFERROR(VLOOKUP(TableHandbook[[#This Row],[UDC]],TableMJRUHUSPL[],7,FALSE),"")</f>
        <v/>
      </c>
      <c r="AG127" s="200" t="str">
        <f>IFERROR(VLOOKUP(TableHandbook[[#This Row],[UDC]],TableMJRUMATHT[],7,FALSE),"")</f>
        <v/>
      </c>
      <c r="AH127" s="200" t="str">
        <f>IFERROR(VLOOKUP(TableHandbook[[#This Row],[UDC]],TableMJRUSCIBI[],7,FALSE),"")</f>
        <v/>
      </c>
      <c r="AI127" s="200" t="str">
        <f>IFERROR(VLOOKUP(TableHandbook[[#This Row],[UDC]],TableMJRUSCICH[],7,FALSE),"")</f>
        <v/>
      </c>
      <c r="AJ127" s="200" t="str">
        <f>IFERROR(VLOOKUP(TableHandbook[[#This Row],[UDC]],TableMJRUSCIHB[],7,FALSE),"")</f>
        <v/>
      </c>
      <c r="AK127" s="200" t="str">
        <f>IFERROR(VLOOKUP(TableHandbook[[#This Row],[UDC]],TableMJRUSCIPH[],7,FALSE),"")</f>
        <v/>
      </c>
      <c r="AL127" s="200" t="str">
        <f>IFERROR(VLOOKUP(TableHandbook[[#This Row],[UDC]],TableMJRUSCIPS[],7,FALSE),"")</f>
        <v/>
      </c>
      <c r="AM127" s="202"/>
      <c r="AN127" s="200" t="str">
        <f>IFERROR(VLOOKUP(TableHandbook[[#This Row],[UDC]],TableSTRUBIOLB[],7,FALSE),"")</f>
        <v>Option</v>
      </c>
      <c r="AO127" s="200" t="str">
        <f>IFERROR(VLOOKUP(TableHandbook[[#This Row],[UDC]],TableSTRUBSCIM[],7,FALSE),"")</f>
        <v/>
      </c>
      <c r="AP127" s="200" t="str">
        <f>IFERROR(VLOOKUP(TableHandbook[[#This Row],[UDC]],TableSTRUCHEMB[],7,FALSE),"")</f>
        <v>Option</v>
      </c>
      <c r="AQ127" s="200" t="str">
        <f>IFERROR(VLOOKUP(TableHandbook[[#This Row],[UDC]],TableSTRUECOB1[],7,FALSE),"")</f>
        <v>Option</v>
      </c>
      <c r="AR127" s="200" t="str">
        <f>IFERROR(VLOOKUP(TableHandbook[[#This Row],[UDC]],TableSTRUEDART[],7,FALSE),"")</f>
        <v>Option</v>
      </c>
      <c r="AS127" s="200" t="str">
        <f>IFERROR(VLOOKUP(TableHandbook[[#This Row],[UDC]],TableSTRUEDENG[],7,FALSE),"")</f>
        <v>Option</v>
      </c>
      <c r="AT127" s="200" t="str">
        <f>IFERROR(VLOOKUP(TableHandbook[[#This Row],[UDC]],TableSTRUEDHAS[],7,FALSE),"")</f>
        <v>Option</v>
      </c>
      <c r="AU127" s="200" t="str">
        <f>IFERROR(VLOOKUP(TableHandbook[[#This Row],[UDC]],TableSTRUEDMAT[],7,FALSE),"")</f>
        <v>Option</v>
      </c>
      <c r="AV127" s="200" t="str">
        <f>IFERROR(VLOOKUP(TableHandbook[[#This Row],[UDC]],TableSTRUEDSCI[],7,FALSE),"")</f>
        <v>Option</v>
      </c>
      <c r="AW127" s="200" t="str">
        <f>IFERROR(VLOOKUP(TableHandbook[[#This Row],[UDC]],TableSTRUENGLB[],7,FALSE),"")</f>
        <v>Option</v>
      </c>
      <c r="AX127" s="200" t="str">
        <f>IFERROR(VLOOKUP(TableHandbook[[#This Row],[UDC]],TableSTRUENGLM[],7,FALSE),"")</f>
        <v/>
      </c>
      <c r="AY127" s="200" t="str">
        <f>IFERROR(VLOOKUP(TableHandbook[[#This Row],[UDC]],TableSTRUGEOB1[],7,FALSE),"")</f>
        <v>Option</v>
      </c>
      <c r="AZ127" s="200" t="str">
        <f>IFERROR(VLOOKUP(TableHandbook[[#This Row],[UDC]],TableSTRUHISB1[],7,FALSE),"")</f>
        <v>Option</v>
      </c>
      <c r="BA127" s="200" t="str">
        <f>IFERROR(VLOOKUP(TableHandbook[[#This Row],[UDC]],TableSTRUHUMAM[],7,FALSE),"")</f>
        <v/>
      </c>
      <c r="BB127" s="200" t="str">
        <f>IFERROR(VLOOKUP(TableHandbook[[#This Row],[UDC]],TableSTRUHUMBB[],7,FALSE),"")</f>
        <v>Option</v>
      </c>
      <c r="BC127" s="200" t="str">
        <f>IFERROR(VLOOKUP(TableHandbook[[#This Row],[UDC]],TableSTRUMATHB[],7,FALSE),"")</f>
        <v>Option</v>
      </c>
      <c r="BD127" s="200" t="str">
        <f>IFERROR(VLOOKUP(TableHandbook[[#This Row],[UDC]],TableSTRUMATHM[],7,FALSE),"")</f>
        <v/>
      </c>
      <c r="BE127" s="200" t="str">
        <f>IFERROR(VLOOKUP(TableHandbook[[#This Row],[UDC]],TableSTRUPARTB[],7,FALSE),"")</f>
        <v>Option</v>
      </c>
      <c r="BF127" s="200" t="str">
        <f>IFERROR(VLOOKUP(TableHandbook[[#This Row],[UDC]],TableSTRUPARTM[],7,FALSE),"")</f>
        <v/>
      </c>
      <c r="BG127" s="200" t="str">
        <f>IFERROR(VLOOKUP(TableHandbook[[#This Row],[UDC]],TableSTRUPOLB1[],7,FALSE),"")</f>
        <v>Option</v>
      </c>
      <c r="BH127" s="200" t="str">
        <f>IFERROR(VLOOKUP(TableHandbook[[#This Row],[UDC]],TableSTRUPSCIM[],7,FALSE),"")</f>
        <v/>
      </c>
      <c r="BI127" s="200" t="str">
        <f>IFERROR(VLOOKUP(TableHandbook[[#This Row],[UDC]],TableSTRUPSYCB[],7,FALSE),"")</f>
        <v>Option</v>
      </c>
      <c r="BJ127" s="200" t="str">
        <f>IFERROR(VLOOKUP(TableHandbook[[#This Row],[UDC]],TableSTRUPSYCM[],7,FALSE),"")</f>
        <v/>
      </c>
      <c r="BK127" s="200" t="str">
        <f>IFERROR(VLOOKUP(TableHandbook[[#This Row],[UDC]],TableSTRUSOSCM[],7,FALSE),"")</f>
        <v/>
      </c>
      <c r="BL127" s="200" t="str">
        <f>IFERROR(VLOOKUP(TableHandbook[[#This Row],[UDC]],TableSTRUVARTB[],7,FALSE),"")</f>
        <v>Option</v>
      </c>
      <c r="BM127" s="200" t="str">
        <f>IFERROR(VLOOKUP(TableHandbook[[#This Row],[UDC]],TableSTRUVARTM[],7,FALSE),"")</f>
        <v/>
      </c>
    </row>
    <row r="128" spans="1:65" x14ac:dyDescent="0.25">
      <c r="A128" s="11" t="s">
        <v>144</v>
      </c>
      <c r="B128" s="12">
        <v>1</v>
      </c>
      <c r="C128" s="11"/>
      <c r="D128" s="11" t="s">
        <v>708</v>
      </c>
      <c r="E128" s="12">
        <v>25</v>
      </c>
      <c r="F128" s="131" t="s">
        <v>544</v>
      </c>
      <c r="G128" s="126" t="str">
        <f>IFERROR(IF(VLOOKUP(TableHandbook[[#This Row],[UDC]],TableAvailabilities[],2,FALSE)&gt;0,"Y",""),"")</f>
        <v>Y</v>
      </c>
      <c r="H128" s="127" t="str">
        <f>IFERROR(IF(VLOOKUP(TableHandbook[[#This Row],[UDC]],TableAvailabilities[],3,FALSE)&gt;0,"Y",""),"")</f>
        <v>Y</v>
      </c>
      <c r="I128" s="127" t="str">
        <f>IFERROR(IF(VLOOKUP(TableHandbook[[#This Row],[UDC]],TableAvailabilities[],4,FALSE)&gt;0,"Y",""),"")</f>
        <v/>
      </c>
      <c r="J128" s="128" t="str">
        <f>IFERROR(IF(VLOOKUP(TableHandbook[[#This Row],[UDC]],TableAvailabilities[],5,FALSE)&gt;0,"Y",""),"")</f>
        <v/>
      </c>
      <c r="K128" s="128" t="str">
        <f>IFERROR(IF(VLOOKUP(TableHandbook[[#This Row],[UDC]],TableAvailabilities[],6,FALSE)&gt;0,"Y",""),"")</f>
        <v/>
      </c>
      <c r="L128" s="127" t="str">
        <f>IFERROR(IF(VLOOKUP(TableHandbook[[#This Row],[UDC]],TableAvailabilities[],7,FALSE)&gt;0,"Y",""),"")</f>
        <v/>
      </c>
      <c r="M128" s="207"/>
      <c r="N128" s="205" t="str">
        <f>IFERROR(VLOOKUP(TableHandbook[[#This Row],[UDC]],TableBEDUC[],7,FALSE),"")</f>
        <v>Option</v>
      </c>
      <c r="O128" s="200" t="str">
        <f>IFERROR(VLOOKUP(TableHandbook[[#This Row],[UDC]],TableBEDEC[],7,FALSE),"")</f>
        <v>Option</v>
      </c>
      <c r="P128" s="200" t="str">
        <f>IFERROR(VLOOKUP(TableHandbook[[#This Row],[UDC]],TableBEDPR[],7,FALSE),"")</f>
        <v/>
      </c>
      <c r="Q128" s="200" t="str">
        <f>IFERROR(VLOOKUP(TableHandbook[[#This Row],[UDC]],TableSTRUCATHL[],7,FALSE),"")</f>
        <v/>
      </c>
      <c r="R128" s="200" t="str">
        <f>IFERROR(VLOOKUP(TableHandbook[[#This Row],[UDC]],TableSTRUENGLL[],7,FALSE),"")</f>
        <v/>
      </c>
      <c r="S128" s="200" t="str">
        <f>IFERROR(VLOOKUP(TableHandbook[[#This Row],[UDC]],TableSTRUINTBC[],7,FALSE),"")</f>
        <v/>
      </c>
      <c r="T128" s="200" t="str">
        <f>IFERROR(VLOOKUP(TableHandbook[[#This Row],[UDC]],TableSTRUISTEM[],7,FALSE),"")</f>
        <v>Core</v>
      </c>
      <c r="U128" s="200" t="str">
        <f>IFERROR(VLOOKUP(TableHandbook[[#This Row],[UDC]],TableSTRULITNU[],7,FALSE),"")</f>
        <v/>
      </c>
      <c r="V128" s="200" t="str">
        <f>IFERROR(VLOOKUP(TableHandbook[[#This Row],[UDC]],TableSTRUTECHS[],7,FALSE),"")</f>
        <v/>
      </c>
      <c r="W128" s="200" t="str">
        <f>IFERROR(VLOOKUP(TableHandbook[[#This Row],[UDC]],TableBEDSC[],7,FALSE),"")</f>
        <v/>
      </c>
      <c r="X128" s="200" t="str">
        <f>IFERROR(VLOOKUP(TableHandbook[[#This Row],[UDC]],TableMJRUARTDR[],7,FALSE),"")</f>
        <v/>
      </c>
      <c r="Y128" s="200" t="str">
        <f>IFERROR(VLOOKUP(TableHandbook[[#This Row],[UDC]],TableMJRUARTME[],7,FALSE),"")</f>
        <v/>
      </c>
      <c r="Z128" s="200" t="str">
        <f>IFERROR(VLOOKUP(TableHandbook[[#This Row],[UDC]],TableMJRUARTVA[],7,FALSE),"")</f>
        <v/>
      </c>
      <c r="AA128" s="200" t="str">
        <f>IFERROR(VLOOKUP(TableHandbook[[#This Row],[UDC]],TableMJRUENGLT[],7,FALSE),"")</f>
        <v/>
      </c>
      <c r="AB128" s="200" t="str">
        <f>IFERROR(VLOOKUP(TableHandbook[[#This Row],[UDC]],TableMJRUHLTPE[],7,FALSE),"")</f>
        <v/>
      </c>
      <c r="AC128" s="200" t="str">
        <f>IFERROR(VLOOKUP(TableHandbook[[#This Row],[UDC]],TableMJRUHUSEC[],7,FALSE),"")</f>
        <v/>
      </c>
      <c r="AD128" s="200" t="str">
        <f>IFERROR(VLOOKUP(TableHandbook[[#This Row],[UDC]],TableMJRUHUSGE[],7,FALSE),"")</f>
        <v/>
      </c>
      <c r="AE128" s="200" t="str">
        <f>IFERROR(VLOOKUP(TableHandbook[[#This Row],[UDC]],TableMJRUHUSHI[],7,FALSE),"")</f>
        <v/>
      </c>
      <c r="AF128" s="200" t="str">
        <f>IFERROR(VLOOKUP(TableHandbook[[#This Row],[UDC]],TableMJRUHUSPL[],7,FALSE),"")</f>
        <v/>
      </c>
      <c r="AG128" s="200" t="str">
        <f>IFERROR(VLOOKUP(TableHandbook[[#This Row],[UDC]],TableMJRUMATHT[],7,FALSE),"")</f>
        <v/>
      </c>
      <c r="AH128" s="200" t="str">
        <f>IFERROR(VLOOKUP(TableHandbook[[#This Row],[UDC]],TableMJRUSCIBI[],7,FALSE),"")</f>
        <v/>
      </c>
      <c r="AI128" s="200" t="str">
        <f>IFERROR(VLOOKUP(TableHandbook[[#This Row],[UDC]],TableMJRUSCICH[],7,FALSE),"")</f>
        <v/>
      </c>
      <c r="AJ128" s="200" t="str">
        <f>IFERROR(VLOOKUP(TableHandbook[[#This Row],[UDC]],TableMJRUSCIHB[],7,FALSE),"")</f>
        <v/>
      </c>
      <c r="AK128" s="200" t="str">
        <f>IFERROR(VLOOKUP(TableHandbook[[#This Row],[UDC]],TableMJRUSCIPH[],7,FALSE),"")</f>
        <v/>
      </c>
      <c r="AL128" s="200" t="str">
        <f>IFERROR(VLOOKUP(TableHandbook[[#This Row],[UDC]],TableMJRUSCIPS[],7,FALSE),"")</f>
        <v/>
      </c>
      <c r="AM128" s="202"/>
      <c r="AN128" s="200" t="str">
        <f>IFERROR(VLOOKUP(TableHandbook[[#This Row],[UDC]],TableSTRUBIOLB[],7,FALSE),"")</f>
        <v>Option</v>
      </c>
      <c r="AO128" s="200" t="str">
        <f>IFERROR(VLOOKUP(TableHandbook[[#This Row],[UDC]],TableSTRUBSCIM[],7,FALSE),"")</f>
        <v/>
      </c>
      <c r="AP128" s="200" t="str">
        <f>IFERROR(VLOOKUP(TableHandbook[[#This Row],[UDC]],TableSTRUCHEMB[],7,FALSE),"")</f>
        <v>Option</v>
      </c>
      <c r="AQ128" s="200" t="str">
        <f>IFERROR(VLOOKUP(TableHandbook[[#This Row],[UDC]],TableSTRUECOB1[],7,FALSE),"")</f>
        <v>Option</v>
      </c>
      <c r="AR128" s="200" t="str">
        <f>IFERROR(VLOOKUP(TableHandbook[[#This Row],[UDC]],TableSTRUEDART[],7,FALSE),"")</f>
        <v>Option</v>
      </c>
      <c r="AS128" s="200" t="str">
        <f>IFERROR(VLOOKUP(TableHandbook[[#This Row],[UDC]],TableSTRUEDENG[],7,FALSE),"")</f>
        <v>Option</v>
      </c>
      <c r="AT128" s="200" t="str">
        <f>IFERROR(VLOOKUP(TableHandbook[[#This Row],[UDC]],TableSTRUEDHAS[],7,FALSE),"")</f>
        <v>Option</v>
      </c>
      <c r="AU128" s="200" t="str">
        <f>IFERROR(VLOOKUP(TableHandbook[[#This Row],[UDC]],TableSTRUEDMAT[],7,FALSE),"")</f>
        <v>Option</v>
      </c>
      <c r="AV128" s="200" t="str">
        <f>IFERROR(VLOOKUP(TableHandbook[[#This Row],[UDC]],TableSTRUEDSCI[],7,FALSE),"")</f>
        <v>Option</v>
      </c>
      <c r="AW128" s="200" t="str">
        <f>IFERROR(VLOOKUP(TableHandbook[[#This Row],[UDC]],TableSTRUENGLB[],7,FALSE),"")</f>
        <v>Option</v>
      </c>
      <c r="AX128" s="200" t="str">
        <f>IFERROR(VLOOKUP(TableHandbook[[#This Row],[UDC]],TableSTRUENGLM[],7,FALSE),"")</f>
        <v/>
      </c>
      <c r="AY128" s="200" t="str">
        <f>IFERROR(VLOOKUP(TableHandbook[[#This Row],[UDC]],TableSTRUGEOB1[],7,FALSE),"")</f>
        <v>Option</v>
      </c>
      <c r="AZ128" s="200" t="str">
        <f>IFERROR(VLOOKUP(TableHandbook[[#This Row],[UDC]],TableSTRUHISB1[],7,FALSE),"")</f>
        <v>Option</v>
      </c>
      <c r="BA128" s="200" t="str">
        <f>IFERROR(VLOOKUP(TableHandbook[[#This Row],[UDC]],TableSTRUHUMAM[],7,FALSE),"")</f>
        <v/>
      </c>
      <c r="BB128" s="200" t="str">
        <f>IFERROR(VLOOKUP(TableHandbook[[#This Row],[UDC]],TableSTRUHUMBB[],7,FALSE),"")</f>
        <v>Option</v>
      </c>
      <c r="BC128" s="200" t="str">
        <f>IFERROR(VLOOKUP(TableHandbook[[#This Row],[UDC]],TableSTRUMATHB[],7,FALSE),"")</f>
        <v>Option</v>
      </c>
      <c r="BD128" s="200" t="str">
        <f>IFERROR(VLOOKUP(TableHandbook[[#This Row],[UDC]],TableSTRUMATHM[],7,FALSE),"")</f>
        <v/>
      </c>
      <c r="BE128" s="200" t="str">
        <f>IFERROR(VLOOKUP(TableHandbook[[#This Row],[UDC]],TableSTRUPARTB[],7,FALSE),"")</f>
        <v>Option</v>
      </c>
      <c r="BF128" s="200" t="str">
        <f>IFERROR(VLOOKUP(TableHandbook[[#This Row],[UDC]],TableSTRUPARTM[],7,FALSE),"")</f>
        <v/>
      </c>
      <c r="BG128" s="200" t="str">
        <f>IFERROR(VLOOKUP(TableHandbook[[#This Row],[UDC]],TableSTRUPOLB1[],7,FALSE),"")</f>
        <v>Option</v>
      </c>
      <c r="BH128" s="200" t="str">
        <f>IFERROR(VLOOKUP(TableHandbook[[#This Row],[UDC]],TableSTRUPSCIM[],7,FALSE),"")</f>
        <v/>
      </c>
      <c r="BI128" s="200" t="str">
        <f>IFERROR(VLOOKUP(TableHandbook[[#This Row],[UDC]],TableSTRUPSYCB[],7,FALSE),"")</f>
        <v>Option</v>
      </c>
      <c r="BJ128" s="200" t="str">
        <f>IFERROR(VLOOKUP(TableHandbook[[#This Row],[UDC]],TableSTRUPSYCM[],7,FALSE),"")</f>
        <v/>
      </c>
      <c r="BK128" s="200" t="str">
        <f>IFERROR(VLOOKUP(TableHandbook[[#This Row],[UDC]],TableSTRUSOSCM[],7,FALSE),"")</f>
        <v/>
      </c>
      <c r="BL128" s="200" t="str">
        <f>IFERROR(VLOOKUP(TableHandbook[[#This Row],[UDC]],TableSTRUVARTB[],7,FALSE),"")</f>
        <v>Option</v>
      </c>
      <c r="BM128" s="200" t="str">
        <f>IFERROR(VLOOKUP(TableHandbook[[#This Row],[UDC]],TableSTRUVARTM[],7,FALSE),"")</f>
        <v/>
      </c>
    </row>
    <row r="129" spans="1:65" x14ac:dyDescent="0.25">
      <c r="A129" s="11" t="s">
        <v>149</v>
      </c>
      <c r="B129" s="12">
        <v>1</v>
      </c>
      <c r="C129" s="11"/>
      <c r="D129" s="11" t="s">
        <v>709</v>
      </c>
      <c r="E129" s="12">
        <v>25</v>
      </c>
      <c r="F129" s="131" t="s">
        <v>544</v>
      </c>
      <c r="G129" s="126" t="str">
        <f>IFERROR(IF(VLOOKUP(TableHandbook[[#This Row],[UDC]],TableAvailabilities[],2,FALSE)&gt;0,"Y",""),"")</f>
        <v/>
      </c>
      <c r="H129" s="127" t="str">
        <f>IFERROR(IF(VLOOKUP(TableHandbook[[#This Row],[UDC]],TableAvailabilities[],3,FALSE)&gt;0,"Y",""),"")</f>
        <v>Y</v>
      </c>
      <c r="I129" s="127" t="str">
        <f>IFERROR(IF(VLOOKUP(TableHandbook[[#This Row],[UDC]],TableAvailabilities[],4,FALSE)&gt;0,"Y",""),"")</f>
        <v/>
      </c>
      <c r="J129" s="128" t="str">
        <f>IFERROR(IF(VLOOKUP(TableHandbook[[#This Row],[UDC]],TableAvailabilities[],5,FALSE)&gt;0,"Y",""),"")</f>
        <v/>
      </c>
      <c r="K129" s="128" t="str">
        <f>IFERROR(IF(VLOOKUP(TableHandbook[[#This Row],[UDC]],TableAvailabilities[],6,FALSE)&gt;0,"Y",""),"")</f>
        <v/>
      </c>
      <c r="L129" s="127" t="str">
        <f>IFERROR(IF(VLOOKUP(TableHandbook[[#This Row],[UDC]],TableAvailabilities[],7,FALSE)&gt;0,"Y",""),"")</f>
        <v/>
      </c>
      <c r="M129" s="207"/>
      <c r="N129" s="205" t="str">
        <f>IFERROR(VLOOKUP(TableHandbook[[#This Row],[UDC]],TableBEDUC[],7,FALSE),"")</f>
        <v>Option</v>
      </c>
      <c r="O129" s="200" t="str">
        <f>IFERROR(VLOOKUP(TableHandbook[[#This Row],[UDC]],TableBEDEC[],7,FALSE),"")</f>
        <v>Option</v>
      </c>
      <c r="P129" s="200" t="str">
        <f>IFERROR(VLOOKUP(TableHandbook[[#This Row],[UDC]],TableBEDPR[],7,FALSE),"")</f>
        <v/>
      </c>
      <c r="Q129" s="200" t="str">
        <f>IFERROR(VLOOKUP(TableHandbook[[#This Row],[UDC]],TableSTRUCATHL[],7,FALSE),"")</f>
        <v/>
      </c>
      <c r="R129" s="200" t="str">
        <f>IFERROR(VLOOKUP(TableHandbook[[#This Row],[UDC]],TableSTRUENGLL[],7,FALSE),"")</f>
        <v>Core</v>
      </c>
      <c r="S129" s="200" t="str">
        <f>IFERROR(VLOOKUP(TableHandbook[[#This Row],[UDC]],TableSTRUINTBC[],7,FALSE),"")</f>
        <v/>
      </c>
      <c r="T129" s="200" t="str">
        <f>IFERROR(VLOOKUP(TableHandbook[[#This Row],[UDC]],TableSTRUISTEM[],7,FALSE),"")</f>
        <v/>
      </c>
      <c r="U129" s="200" t="str">
        <f>IFERROR(VLOOKUP(TableHandbook[[#This Row],[UDC]],TableSTRULITNU[],7,FALSE),"")</f>
        <v/>
      </c>
      <c r="V129" s="200" t="str">
        <f>IFERROR(VLOOKUP(TableHandbook[[#This Row],[UDC]],TableSTRUTECHS[],7,FALSE),"")</f>
        <v/>
      </c>
      <c r="W129" s="200" t="str">
        <f>IFERROR(VLOOKUP(TableHandbook[[#This Row],[UDC]],TableBEDSC[],7,FALSE),"")</f>
        <v/>
      </c>
      <c r="X129" s="200" t="str">
        <f>IFERROR(VLOOKUP(TableHandbook[[#This Row],[UDC]],TableMJRUARTDR[],7,FALSE),"")</f>
        <v/>
      </c>
      <c r="Y129" s="200" t="str">
        <f>IFERROR(VLOOKUP(TableHandbook[[#This Row],[UDC]],TableMJRUARTME[],7,FALSE),"")</f>
        <v/>
      </c>
      <c r="Z129" s="200" t="str">
        <f>IFERROR(VLOOKUP(TableHandbook[[#This Row],[UDC]],TableMJRUARTVA[],7,FALSE),"")</f>
        <v/>
      </c>
      <c r="AA129" s="200" t="str">
        <f>IFERROR(VLOOKUP(TableHandbook[[#This Row],[UDC]],TableMJRUENGLT[],7,FALSE),"")</f>
        <v/>
      </c>
      <c r="AB129" s="200" t="str">
        <f>IFERROR(VLOOKUP(TableHandbook[[#This Row],[UDC]],TableMJRUHLTPE[],7,FALSE),"")</f>
        <v/>
      </c>
      <c r="AC129" s="200" t="str">
        <f>IFERROR(VLOOKUP(TableHandbook[[#This Row],[UDC]],TableMJRUHUSEC[],7,FALSE),"")</f>
        <v/>
      </c>
      <c r="AD129" s="200" t="str">
        <f>IFERROR(VLOOKUP(TableHandbook[[#This Row],[UDC]],TableMJRUHUSGE[],7,FALSE),"")</f>
        <v/>
      </c>
      <c r="AE129" s="200" t="str">
        <f>IFERROR(VLOOKUP(TableHandbook[[#This Row],[UDC]],TableMJRUHUSHI[],7,FALSE),"")</f>
        <v/>
      </c>
      <c r="AF129" s="200" t="str">
        <f>IFERROR(VLOOKUP(TableHandbook[[#This Row],[UDC]],TableMJRUHUSPL[],7,FALSE),"")</f>
        <v/>
      </c>
      <c r="AG129" s="200" t="str">
        <f>IFERROR(VLOOKUP(TableHandbook[[#This Row],[UDC]],TableMJRUMATHT[],7,FALSE),"")</f>
        <v/>
      </c>
      <c r="AH129" s="200" t="str">
        <f>IFERROR(VLOOKUP(TableHandbook[[#This Row],[UDC]],TableMJRUSCIBI[],7,FALSE),"")</f>
        <v/>
      </c>
      <c r="AI129" s="200" t="str">
        <f>IFERROR(VLOOKUP(TableHandbook[[#This Row],[UDC]],TableMJRUSCICH[],7,FALSE),"")</f>
        <v/>
      </c>
      <c r="AJ129" s="200" t="str">
        <f>IFERROR(VLOOKUP(TableHandbook[[#This Row],[UDC]],TableMJRUSCIHB[],7,FALSE),"")</f>
        <v/>
      </c>
      <c r="AK129" s="200" t="str">
        <f>IFERROR(VLOOKUP(TableHandbook[[#This Row],[UDC]],TableMJRUSCIPH[],7,FALSE),"")</f>
        <v/>
      </c>
      <c r="AL129" s="200" t="str">
        <f>IFERROR(VLOOKUP(TableHandbook[[#This Row],[UDC]],TableMJRUSCIPS[],7,FALSE),"")</f>
        <v/>
      </c>
      <c r="AM129" s="202"/>
      <c r="AN129" s="200" t="str">
        <f>IFERROR(VLOOKUP(TableHandbook[[#This Row],[UDC]],TableSTRUBIOLB[],7,FALSE),"")</f>
        <v>Option</v>
      </c>
      <c r="AO129" s="200" t="str">
        <f>IFERROR(VLOOKUP(TableHandbook[[#This Row],[UDC]],TableSTRUBSCIM[],7,FALSE),"")</f>
        <v/>
      </c>
      <c r="AP129" s="200" t="str">
        <f>IFERROR(VLOOKUP(TableHandbook[[#This Row],[UDC]],TableSTRUCHEMB[],7,FALSE),"")</f>
        <v>Option</v>
      </c>
      <c r="AQ129" s="200" t="str">
        <f>IFERROR(VLOOKUP(TableHandbook[[#This Row],[UDC]],TableSTRUECOB1[],7,FALSE),"")</f>
        <v>Option</v>
      </c>
      <c r="AR129" s="200" t="str">
        <f>IFERROR(VLOOKUP(TableHandbook[[#This Row],[UDC]],TableSTRUEDART[],7,FALSE),"")</f>
        <v>Option</v>
      </c>
      <c r="AS129" s="200" t="str">
        <f>IFERROR(VLOOKUP(TableHandbook[[#This Row],[UDC]],TableSTRUEDENG[],7,FALSE),"")</f>
        <v>Option</v>
      </c>
      <c r="AT129" s="200" t="str">
        <f>IFERROR(VLOOKUP(TableHandbook[[#This Row],[UDC]],TableSTRUEDHAS[],7,FALSE),"")</f>
        <v>Option</v>
      </c>
      <c r="AU129" s="200" t="str">
        <f>IFERROR(VLOOKUP(TableHandbook[[#This Row],[UDC]],TableSTRUEDMAT[],7,FALSE),"")</f>
        <v>Option</v>
      </c>
      <c r="AV129" s="200" t="str">
        <f>IFERROR(VLOOKUP(TableHandbook[[#This Row],[UDC]],TableSTRUEDSCI[],7,FALSE),"")</f>
        <v>Option</v>
      </c>
      <c r="AW129" s="200" t="str">
        <f>IFERROR(VLOOKUP(TableHandbook[[#This Row],[UDC]],TableSTRUENGLB[],7,FALSE),"")</f>
        <v>Option</v>
      </c>
      <c r="AX129" s="200" t="str">
        <f>IFERROR(VLOOKUP(TableHandbook[[#This Row],[UDC]],TableSTRUENGLM[],7,FALSE),"")</f>
        <v/>
      </c>
      <c r="AY129" s="200" t="str">
        <f>IFERROR(VLOOKUP(TableHandbook[[#This Row],[UDC]],TableSTRUGEOB1[],7,FALSE),"")</f>
        <v>Option</v>
      </c>
      <c r="AZ129" s="200" t="str">
        <f>IFERROR(VLOOKUP(TableHandbook[[#This Row],[UDC]],TableSTRUHISB1[],7,FALSE),"")</f>
        <v>Option</v>
      </c>
      <c r="BA129" s="200" t="str">
        <f>IFERROR(VLOOKUP(TableHandbook[[#This Row],[UDC]],TableSTRUHUMAM[],7,FALSE),"")</f>
        <v/>
      </c>
      <c r="BB129" s="200" t="str">
        <f>IFERROR(VLOOKUP(TableHandbook[[#This Row],[UDC]],TableSTRUHUMBB[],7,FALSE),"")</f>
        <v>Option</v>
      </c>
      <c r="BC129" s="200" t="str">
        <f>IFERROR(VLOOKUP(TableHandbook[[#This Row],[UDC]],TableSTRUMATHB[],7,FALSE),"")</f>
        <v>Option</v>
      </c>
      <c r="BD129" s="200" t="str">
        <f>IFERROR(VLOOKUP(TableHandbook[[#This Row],[UDC]],TableSTRUMATHM[],7,FALSE),"")</f>
        <v/>
      </c>
      <c r="BE129" s="200" t="str">
        <f>IFERROR(VLOOKUP(TableHandbook[[#This Row],[UDC]],TableSTRUPARTB[],7,FALSE),"")</f>
        <v>Option</v>
      </c>
      <c r="BF129" s="200" t="str">
        <f>IFERROR(VLOOKUP(TableHandbook[[#This Row],[UDC]],TableSTRUPARTM[],7,FALSE),"")</f>
        <v/>
      </c>
      <c r="BG129" s="200" t="str">
        <f>IFERROR(VLOOKUP(TableHandbook[[#This Row],[UDC]],TableSTRUPOLB1[],7,FALSE),"")</f>
        <v>Option</v>
      </c>
      <c r="BH129" s="200" t="str">
        <f>IFERROR(VLOOKUP(TableHandbook[[#This Row],[UDC]],TableSTRUPSCIM[],7,FALSE),"")</f>
        <v/>
      </c>
      <c r="BI129" s="200" t="str">
        <f>IFERROR(VLOOKUP(TableHandbook[[#This Row],[UDC]],TableSTRUPSYCB[],7,FALSE),"")</f>
        <v>Option</v>
      </c>
      <c r="BJ129" s="200" t="str">
        <f>IFERROR(VLOOKUP(TableHandbook[[#This Row],[UDC]],TableSTRUPSYCM[],7,FALSE),"")</f>
        <v/>
      </c>
      <c r="BK129" s="200" t="str">
        <f>IFERROR(VLOOKUP(TableHandbook[[#This Row],[UDC]],TableSTRUSOSCM[],7,FALSE),"")</f>
        <v/>
      </c>
      <c r="BL129" s="200" t="str">
        <f>IFERROR(VLOOKUP(TableHandbook[[#This Row],[UDC]],TableSTRUVARTB[],7,FALSE),"")</f>
        <v>Option</v>
      </c>
      <c r="BM129" s="200" t="str">
        <f>IFERROR(VLOOKUP(TableHandbook[[#This Row],[UDC]],TableSTRUVARTM[],7,FALSE),"")</f>
        <v/>
      </c>
    </row>
    <row r="130" spans="1:65" x14ac:dyDescent="0.25">
      <c r="A130" s="11" t="s">
        <v>161</v>
      </c>
      <c r="B130" s="12">
        <v>1</v>
      </c>
      <c r="C130" s="11"/>
      <c r="D130" s="11" t="s">
        <v>710</v>
      </c>
      <c r="E130" s="12">
        <v>25</v>
      </c>
      <c r="F130" s="131" t="s">
        <v>544</v>
      </c>
      <c r="G130" s="126" t="str">
        <f>IFERROR(IF(VLOOKUP(TableHandbook[[#This Row],[UDC]],TableAvailabilities[],2,FALSE)&gt;0,"Y",""),"")</f>
        <v>Y</v>
      </c>
      <c r="H130" s="127" t="str">
        <f>IFERROR(IF(VLOOKUP(TableHandbook[[#This Row],[UDC]],TableAvailabilities[],3,FALSE)&gt;0,"Y",""),"")</f>
        <v>Y</v>
      </c>
      <c r="I130" s="127" t="str">
        <f>IFERROR(IF(VLOOKUP(TableHandbook[[#This Row],[UDC]],TableAvailabilities[],4,FALSE)&gt;0,"Y",""),"")</f>
        <v/>
      </c>
      <c r="J130" s="128" t="str">
        <f>IFERROR(IF(VLOOKUP(TableHandbook[[#This Row],[UDC]],TableAvailabilities[],5,FALSE)&gt;0,"Y",""),"")</f>
        <v/>
      </c>
      <c r="K130" s="128" t="str">
        <f>IFERROR(IF(VLOOKUP(TableHandbook[[#This Row],[UDC]],TableAvailabilities[],6,FALSE)&gt;0,"Y",""),"")</f>
        <v/>
      </c>
      <c r="L130" s="127" t="str">
        <f>IFERROR(IF(VLOOKUP(TableHandbook[[#This Row],[UDC]],TableAvailabilities[],7,FALSE)&gt;0,"Y",""),"")</f>
        <v/>
      </c>
      <c r="M130" s="207"/>
      <c r="N130" s="205" t="str">
        <f>IFERROR(VLOOKUP(TableHandbook[[#This Row],[UDC]],TableBEDUC[],7,FALSE),"")</f>
        <v>Option</v>
      </c>
      <c r="O130" s="200" t="str">
        <f>IFERROR(VLOOKUP(TableHandbook[[#This Row],[UDC]],TableBEDEC[],7,FALSE),"")</f>
        <v>Option</v>
      </c>
      <c r="P130" s="200" t="str">
        <f>IFERROR(VLOOKUP(TableHandbook[[#This Row],[UDC]],TableBEDPR[],7,FALSE),"")</f>
        <v/>
      </c>
      <c r="Q130" s="200" t="str">
        <f>IFERROR(VLOOKUP(TableHandbook[[#This Row],[UDC]],TableSTRUCATHL[],7,FALSE),"")</f>
        <v/>
      </c>
      <c r="R130" s="200" t="str">
        <f>IFERROR(VLOOKUP(TableHandbook[[#This Row],[UDC]],TableSTRUENGLL[],7,FALSE),"")</f>
        <v/>
      </c>
      <c r="S130" s="200" t="str">
        <f>IFERROR(VLOOKUP(TableHandbook[[#This Row],[UDC]],TableSTRUINTBC[],7,FALSE),"")</f>
        <v/>
      </c>
      <c r="T130" s="200" t="str">
        <f>IFERROR(VLOOKUP(TableHandbook[[#This Row],[UDC]],TableSTRUISTEM[],7,FALSE),"")</f>
        <v/>
      </c>
      <c r="U130" s="200" t="str">
        <f>IFERROR(VLOOKUP(TableHandbook[[#This Row],[UDC]],TableSTRULITNU[],7,FALSE),"")</f>
        <v/>
      </c>
      <c r="V130" s="200" t="str">
        <f>IFERROR(VLOOKUP(TableHandbook[[#This Row],[UDC]],TableSTRUTECHS[],7,FALSE),"")</f>
        <v>Core</v>
      </c>
      <c r="W130" s="200" t="str">
        <f>IFERROR(VLOOKUP(TableHandbook[[#This Row],[UDC]],TableBEDSC[],7,FALSE),"")</f>
        <v/>
      </c>
      <c r="X130" s="200" t="str">
        <f>IFERROR(VLOOKUP(TableHandbook[[#This Row],[UDC]],TableMJRUARTDR[],7,FALSE),"")</f>
        <v/>
      </c>
      <c r="Y130" s="200" t="str">
        <f>IFERROR(VLOOKUP(TableHandbook[[#This Row],[UDC]],TableMJRUARTME[],7,FALSE),"")</f>
        <v/>
      </c>
      <c r="Z130" s="200" t="str">
        <f>IFERROR(VLOOKUP(TableHandbook[[#This Row],[UDC]],TableMJRUARTVA[],7,FALSE),"")</f>
        <v/>
      </c>
      <c r="AA130" s="200" t="str">
        <f>IFERROR(VLOOKUP(TableHandbook[[#This Row],[UDC]],TableMJRUENGLT[],7,FALSE),"")</f>
        <v/>
      </c>
      <c r="AB130" s="200" t="str">
        <f>IFERROR(VLOOKUP(TableHandbook[[#This Row],[UDC]],TableMJRUHLTPE[],7,FALSE),"")</f>
        <v/>
      </c>
      <c r="AC130" s="200" t="str">
        <f>IFERROR(VLOOKUP(TableHandbook[[#This Row],[UDC]],TableMJRUHUSEC[],7,FALSE),"")</f>
        <v/>
      </c>
      <c r="AD130" s="200" t="str">
        <f>IFERROR(VLOOKUP(TableHandbook[[#This Row],[UDC]],TableMJRUHUSGE[],7,FALSE),"")</f>
        <v/>
      </c>
      <c r="AE130" s="200" t="str">
        <f>IFERROR(VLOOKUP(TableHandbook[[#This Row],[UDC]],TableMJRUHUSHI[],7,FALSE),"")</f>
        <v/>
      </c>
      <c r="AF130" s="200" t="str">
        <f>IFERROR(VLOOKUP(TableHandbook[[#This Row],[UDC]],TableMJRUHUSPL[],7,FALSE),"")</f>
        <v/>
      </c>
      <c r="AG130" s="200" t="str">
        <f>IFERROR(VLOOKUP(TableHandbook[[#This Row],[UDC]],TableMJRUMATHT[],7,FALSE),"")</f>
        <v/>
      </c>
      <c r="AH130" s="200" t="str">
        <f>IFERROR(VLOOKUP(TableHandbook[[#This Row],[UDC]],TableMJRUSCIBI[],7,FALSE),"")</f>
        <v/>
      </c>
      <c r="AI130" s="200" t="str">
        <f>IFERROR(VLOOKUP(TableHandbook[[#This Row],[UDC]],TableMJRUSCICH[],7,FALSE),"")</f>
        <v/>
      </c>
      <c r="AJ130" s="200" t="str">
        <f>IFERROR(VLOOKUP(TableHandbook[[#This Row],[UDC]],TableMJRUSCIHB[],7,FALSE),"")</f>
        <v/>
      </c>
      <c r="AK130" s="200" t="str">
        <f>IFERROR(VLOOKUP(TableHandbook[[#This Row],[UDC]],TableMJRUSCIPH[],7,FALSE),"")</f>
        <v/>
      </c>
      <c r="AL130" s="200" t="str">
        <f>IFERROR(VLOOKUP(TableHandbook[[#This Row],[UDC]],TableMJRUSCIPS[],7,FALSE),"")</f>
        <v/>
      </c>
      <c r="AM130" s="202"/>
      <c r="AN130" s="200" t="str">
        <f>IFERROR(VLOOKUP(TableHandbook[[#This Row],[UDC]],TableSTRUBIOLB[],7,FALSE),"")</f>
        <v>Option</v>
      </c>
      <c r="AO130" s="200" t="str">
        <f>IFERROR(VLOOKUP(TableHandbook[[#This Row],[UDC]],TableSTRUBSCIM[],7,FALSE),"")</f>
        <v/>
      </c>
      <c r="AP130" s="200" t="str">
        <f>IFERROR(VLOOKUP(TableHandbook[[#This Row],[UDC]],TableSTRUCHEMB[],7,FALSE),"")</f>
        <v>Option</v>
      </c>
      <c r="AQ130" s="200" t="str">
        <f>IFERROR(VLOOKUP(TableHandbook[[#This Row],[UDC]],TableSTRUECOB1[],7,FALSE),"")</f>
        <v>Option</v>
      </c>
      <c r="AR130" s="200" t="str">
        <f>IFERROR(VLOOKUP(TableHandbook[[#This Row],[UDC]],TableSTRUEDART[],7,FALSE),"")</f>
        <v>Option</v>
      </c>
      <c r="AS130" s="200" t="str">
        <f>IFERROR(VLOOKUP(TableHandbook[[#This Row],[UDC]],TableSTRUEDENG[],7,FALSE),"")</f>
        <v>Option</v>
      </c>
      <c r="AT130" s="200" t="str">
        <f>IFERROR(VLOOKUP(TableHandbook[[#This Row],[UDC]],TableSTRUEDHAS[],7,FALSE),"")</f>
        <v>Option</v>
      </c>
      <c r="AU130" s="200" t="str">
        <f>IFERROR(VLOOKUP(TableHandbook[[#This Row],[UDC]],TableSTRUEDMAT[],7,FALSE),"")</f>
        <v>Option</v>
      </c>
      <c r="AV130" s="200" t="str">
        <f>IFERROR(VLOOKUP(TableHandbook[[#This Row],[UDC]],TableSTRUEDSCI[],7,FALSE),"")</f>
        <v>Option</v>
      </c>
      <c r="AW130" s="200" t="str">
        <f>IFERROR(VLOOKUP(TableHandbook[[#This Row],[UDC]],TableSTRUENGLB[],7,FALSE),"")</f>
        <v>Option</v>
      </c>
      <c r="AX130" s="200" t="str">
        <f>IFERROR(VLOOKUP(TableHandbook[[#This Row],[UDC]],TableSTRUENGLM[],7,FALSE),"")</f>
        <v/>
      </c>
      <c r="AY130" s="200" t="str">
        <f>IFERROR(VLOOKUP(TableHandbook[[#This Row],[UDC]],TableSTRUGEOB1[],7,FALSE),"")</f>
        <v>Option</v>
      </c>
      <c r="AZ130" s="200" t="str">
        <f>IFERROR(VLOOKUP(TableHandbook[[#This Row],[UDC]],TableSTRUHISB1[],7,FALSE),"")</f>
        <v>Option</v>
      </c>
      <c r="BA130" s="200" t="str">
        <f>IFERROR(VLOOKUP(TableHandbook[[#This Row],[UDC]],TableSTRUHUMAM[],7,FALSE),"")</f>
        <v/>
      </c>
      <c r="BB130" s="200" t="str">
        <f>IFERROR(VLOOKUP(TableHandbook[[#This Row],[UDC]],TableSTRUHUMBB[],7,FALSE),"")</f>
        <v>Option</v>
      </c>
      <c r="BC130" s="200" t="str">
        <f>IFERROR(VLOOKUP(TableHandbook[[#This Row],[UDC]],TableSTRUMATHB[],7,FALSE),"")</f>
        <v>Option</v>
      </c>
      <c r="BD130" s="200" t="str">
        <f>IFERROR(VLOOKUP(TableHandbook[[#This Row],[UDC]],TableSTRUMATHM[],7,FALSE),"")</f>
        <v/>
      </c>
      <c r="BE130" s="200" t="str">
        <f>IFERROR(VLOOKUP(TableHandbook[[#This Row],[UDC]],TableSTRUPARTB[],7,FALSE),"")</f>
        <v>Option</v>
      </c>
      <c r="BF130" s="200" t="str">
        <f>IFERROR(VLOOKUP(TableHandbook[[#This Row],[UDC]],TableSTRUPARTM[],7,FALSE),"")</f>
        <v/>
      </c>
      <c r="BG130" s="200" t="str">
        <f>IFERROR(VLOOKUP(TableHandbook[[#This Row],[UDC]],TableSTRUPOLB1[],7,FALSE),"")</f>
        <v>Option</v>
      </c>
      <c r="BH130" s="200" t="str">
        <f>IFERROR(VLOOKUP(TableHandbook[[#This Row],[UDC]],TableSTRUPSCIM[],7,FALSE),"")</f>
        <v/>
      </c>
      <c r="BI130" s="200" t="str">
        <f>IFERROR(VLOOKUP(TableHandbook[[#This Row],[UDC]],TableSTRUPSYCB[],7,FALSE),"")</f>
        <v>Option</v>
      </c>
      <c r="BJ130" s="200" t="str">
        <f>IFERROR(VLOOKUP(TableHandbook[[#This Row],[UDC]],TableSTRUPSYCM[],7,FALSE),"")</f>
        <v/>
      </c>
      <c r="BK130" s="200" t="str">
        <f>IFERROR(VLOOKUP(TableHandbook[[#This Row],[UDC]],TableSTRUSOSCM[],7,FALSE),"")</f>
        <v/>
      </c>
      <c r="BL130" s="200" t="str">
        <f>IFERROR(VLOOKUP(TableHandbook[[#This Row],[UDC]],TableSTRUVARTB[],7,FALSE),"")</f>
        <v>Option</v>
      </c>
      <c r="BM130" s="200" t="str">
        <f>IFERROR(VLOOKUP(TableHandbook[[#This Row],[UDC]],TableSTRUVARTM[],7,FALSE),"")</f>
        <v/>
      </c>
    </row>
    <row r="131" spans="1:65" x14ac:dyDescent="0.25">
      <c r="A131" s="9" t="s">
        <v>136</v>
      </c>
      <c r="B131" s="283">
        <v>1</v>
      </c>
      <c r="C131" s="9"/>
      <c r="D131" s="9" t="s">
        <v>711</v>
      </c>
      <c r="E131" s="12">
        <v>100</v>
      </c>
      <c r="F131" s="192" t="s">
        <v>712</v>
      </c>
      <c r="G131" s="126" t="str">
        <f>IFERROR(IF(VLOOKUP(TableHandbook[[#This Row],[UDC]],TableAvailabilities[],2,FALSE)&gt;0,"Y",""),"")</f>
        <v/>
      </c>
      <c r="H131" s="127" t="str">
        <f>IFERROR(IF(VLOOKUP(TableHandbook[[#This Row],[UDC]],TableAvailabilities[],3,FALSE)&gt;0,"Y",""),"")</f>
        <v/>
      </c>
      <c r="I131" s="127" t="str">
        <f>IFERROR(IF(VLOOKUP(TableHandbook[[#This Row],[UDC]],TableAvailabilities[],4,FALSE)&gt;0,"Y",""),"")</f>
        <v/>
      </c>
      <c r="J131" s="128" t="str">
        <f>IFERROR(IF(VLOOKUP(TableHandbook[[#This Row],[UDC]],TableAvailabilities[],5,FALSE)&gt;0,"Y",""),"")</f>
        <v/>
      </c>
      <c r="K131" s="128" t="str">
        <f>IFERROR(IF(VLOOKUP(TableHandbook[[#This Row],[UDC]],TableAvailabilities[],6,FALSE)&gt;0,"Y",""),"")</f>
        <v/>
      </c>
      <c r="L131" s="127" t="str">
        <f>IFERROR(IF(VLOOKUP(TableHandbook[[#This Row],[UDC]],TableAvailabilities[],7,FALSE)&gt;0,"Y",""),"")</f>
        <v/>
      </c>
      <c r="M131" s="207"/>
      <c r="N131" s="205" t="str">
        <f>IFERROR(VLOOKUP(TableHandbook[[#This Row],[UDC]],TableBEDUC[],7,FALSE),"")</f>
        <v/>
      </c>
      <c r="O131" s="200" t="str">
        <f>IFERROR(VLOOKUP(TableHandbook[[#This Row],[UDC]],TableBEDEC[],7,FALSE),"")</f>
        <v>Core</v>
      </c>
      <c r="P131" s="200" t="str">
        <f>IFERROR(VLOOKUP(TableHandbook[[#This Row],[UDC]],TableBEDPR[],7,FALSE),"")</f>
        <v>Core</v>
      </c>
      <c r="Q131" s="200" t="str">
        <f>IFERROR(VLOOKUP(TableHandbook[[#This Row],[UDC]],TableSTRUCATHL[],7,FALSE),"")</f>
        <v/>
      </c>
      <c r="R131" s="200" t="str">
        <f>IFERROR(VLOOKUP(TableHandbook[[#This Row],[UDC]],TableSTRUENGLL[],7,FALSE),"")</f>
        <v/>
      </c>
      <c r="S131" s="200" t="str">
        <f>IFERROR(VLOOKUP(TableHandbook[[#This Row],[UDC]],TableSTRUINTBC[],7,FALSE),"")</f>
        <v/>
      </c>
      <c r="T131" s="200" t="str">
        <f>IFERROR(VLOOKUP(TableHandbook[[#This Row],[UDC]],TableSTRUISTEM[],7,FALSE),"")</f>
        <v/>
      </c>
      <c r="U131" s="200" t="str">
        <f>IFERROR(VLOOKUP(TableHandbook[[#This Row],[UDC]],TableSTRULITNU[],7,FALSE),"")</f>
        <v/>
      </c>
      <c r="V131" s="200" t="str">
        <f>IFERROR(VLOOKUP(TableHandbook[[#This Row],[UDC]],TableSTRUTECHS[],7,FALSE),"")</f>
        <v/>
      </c>
      <c r="W131" s="200" t="str">
        <f>IFERROR(VLOOKUP(TableHandbook[[#This Row],[UDC]],TableBEDSC[],7,FALSE),"")</f>
        <v>Core</v>
      </c>
      <c r="X131" s="200" t="str">
        <f>IFERROR(VLOOKUP(TableHandbook[[#This Row],[UDC]],TableMJRUARTDR[],7,FALSE),"")</f>
        <v/>
      </c>
      <c r="Y131" s="200" t="str">
        <f>IFERROR(VLOOKUP(TableHandbook[[#This Row],[UDC]],TableMJRUARTME[],7,FALSE),"")</f>
        <v/>
      </c>
      <c r="Z131" s="200" t="str">
        <f>IFERROR(VLOOKUP(TableHandbook[[#This Row],[UDC]],TableMJRUARTVA[],7,FALSE),"")</f>
        <v/>
      </c>
      <c r="AA131" s="200" t="str">
        <f>IFERROR(VLOOKUP(TableHandbook[[#This Row],[UDC]],TableMJRUENGLT[],7,FALSE),"")</f>
        <v/>
      </c>
      <c r="AB131" s="200" t="str">
        <f>IFERROR(VLOOKUP(TableHandbook[[#This Row],[UDC]],TableMJRUHLTPE[],7,FALSE),"")</f>
        <v/>
      </c>
      <c r="AC131" s="200" t="str">
        <f>IFERROR(VLOOKUP(TableHandbook[[#This Row],[UDC]],TableMJRUHUSEC[],7,FALSE),"")</f>
        <v/>
      </c>
      <c r="AD131" s="200" t="str">
        <f>IFERROR(VLOOKUP(TableHandbook[[#This Row],[UDC]],TableMJRUHUSGE[],7,FALSE),"")</f>
        <v/>
      </c>
      <c r="AE131" s="200" t="str">
        <f>IFERROR(VLOOKUP(TableHandbook[[#This Row],[UDC]],TableMJRUHUSHI[],7,FALSE),"")</f>
        <v/>
      </c>
      <c r="AF131" s="200" t="str">
        <f>IFERROR(VLOOKUP(TableHandbook[[#This Row],[UDC]],TableMJRUHUSPL[],7,FALSE),"")</f>
        <v/>
      </c>
      <c r="AG131" s="200" t="str">
        <f>IFERROR(VLOOKUP(TableHandbook[[#This Row],[UDC]],TableMJRUMATHT[],7,FALSE),"")</f>
        <v/>
      </c>
      <c r="AH131" s="200" t="str">
        <f>IFERROR(VLOOKUP(TableHandbook[[#This Row],[UDC]],TableMJRUSCIBI[],7,FALSE),"")</f>
        <v/>
      </c>
      <c r="AI131" s="200" t="str">
        <f>IFERROR(VLOOKUP(TableHandbook[[#This Row],[UDC]],TableMJRUSCICH[],7,FALSE),"")</f>
        <v/>
      </c>
      <c r="AJ131" s="200" t="str">
        <f>IFERROR(VLOOKUP(TableHandbook[[#This Row],[UDC]],TableMJRUSCIHB[],7,FALSE),"")</f>
        <v/>
      </c>
      <c r="AK131" s="200" t="str">
        <f>IFERROR(VLOOKUP(TableHandbook[[#This Row],[UDC]],TableMJRUSCIPH[],7,FALSE),"")</f>
        <v/>
      </c>
      <c r="AL131" s="200" t="str">
        <f>IFERROR(VLOOKUP(TableHandbook[[#This Row],[UDC]],TableMJRUSCIPS[],7,FALSE),"")</f>
        <v/>
      </c>
      <c r="AM131" s="202"/>
      <c r="AN131" s="200" t="str">
        <f>IFERROR(VLOOKUP(TableHandbook[[#This Row],[UDC]],TableSTRUBIOLB[],7,FALSE),"")</f>
        <v/>
      </c>
      <c r="AO131" s="200" t="str">
        <f>IFERROR(VLOOKUP(TableHandbook[[#This Row],[UDC]],TableSTRUBSCIM[],7,FALSE),"")</f>
        <v/>
      </c>
      <c r="AP131" s="200" t="str">
        <f>IFERROR(VLOOKUP(TableHandbook[[#This Row],[UDC]],TableSTRUCHEMB[],7,FALSE),"")</f>
        <v/>
      </c>
      <c r="AQ131" s="200" t="str">
        <f>IFERROR(VLOOKUP(TableHandbook[[#This Row],[UDC]],TableSTRUECOB1[],7,FALSE),"")</f>
        <v/>
      </c>
      <c r="AR131" s="200" t="str">
        <f>IFERROR(VLOOKUP(TableHandbook[[#This Row],[UDC]],TableSTRUEDART[],7,FALSE),"")</f>
        <v/>
      </c>
      <c r="AS131" s="200" t="str">
        <f>IFERROR(VLOOKUP(TableHandbook[[#This Row],[UDC]],TableSTRUEDENG[],7,FALSE),"")</f>
        <v/>
      </c>
      <c r="AT131" s="200" t="str">
        <f>IFERROR(VLOOKUP(TableHandbook[[#This Row],[UDC]],TableSTRUEDHAS[],7,FALSE),"")</f>
        <v/>
      </c>
      <c r="AU131" s="200" t="str">
        <f>IFERROR(VLOOKUP(TableHandbook[[#This Row],[UDC]],TableSTRUEDMAT[],7,FALSE),"")</f>
        <v/>
      </c>
      <c r="AV131" s="200" t="str">
        <f>IFERROR(VLOOKUP(TableHandbook[[#This Row],[UDC]],TableSTRUEDSCI[],7,FALSE),"")</f>
        <v/>
      </c>
      <c r="AW131" s="200" t="str">
        <f>IFERROR(VLOOKUP(TableHandbook[[#This Row],[UDC]],TableSTRUENGLB[],7,FALSE),"")</f>
        <v/>
      </c>
      <c r="AX131" s="200" t="str">
        <f>IFERROR(VLOOKUP(TableHandbook[[#This Row],[UDC]],TableSTRUENGLM[],7,FALSE),"")</f>
        <v/>
      </c>
      <c r="AY131" s="200" t="str">
        <f>IFERROR(VLOOKUP(TableHandbook[[#This Row],[UDC]],TableSTRUGEOB1[],7,FALSE),"")</f>
        <v/>
      </c>
      <c r="AZ131" s="200" t="str">
        <f>IFERROR(VLOOKUP(TableHandbook[[#This Row],[UDC]],TableSTRUHISB1[],7,FALSE),"")</f>
        <v/>
      </c>
      <c r="BA131" s="200" t="str">
        <f>IFERROR(VLOOKUP(TableHandbook[[#This Row],[UDC]],TableSTRUHUMAM[],7,FALSE),"")</f>
        <v/>
      </c>
      <c r="BB131" s="200" t="str">
        <f>IFERROR(VLOOKUP(TableHandbook[[#This Row],[UDC]],TableSTRUHUMBB[],7,FALSE),"")</f>
        <v/>
      </c>
      <c r="BC131" s="200" t="str">
        <f>IFERROR(VLOOKUP(TableHandbook[[#This Row],[UDC]],TableSTRUMATHB[],7,FALSE),"")</f>
        <v/>
      </c>
      <c r="BD131" s="200" t="str">
        <f>IFERROR(VLOOKUP(TableHandbook[[#This Row],[UDC]],TableSTRUMATHM[],7,FALSE),"")</f>
        <v/>
      </c>
      <c r="BE131" s="200" t="str">
        <f>IFERROR(VLOOKUP(TableHandbook[[#This Row],[UDC]],TableSTRUPARTB[],7,FALSE),"")</f>
        <v/>
      </c>
      <c r="BF131" s="200" t="str">
        <f>IFERROR(VLOOKUP(TableHandbook[[#This Row],[UDC]],TableSTRUPARTM[],7,FALSE),"")</f>
        <v/>
      </c>
      <c r="BG131" s="200" t="str">
        <f>IFERROR(VLOOKUP(TableHandbook[[#This Row],[UDC]],TableSTRUPOLB1[],7,FALSE),"")</f>
        <v/>
      </c>
      <c r="BH131" s="200" t="str">
        <f>IFERROR(VLOOKUP(TableHandbook[[#This Row],[UDC]],TableSTRUPSCIM[],7,FALSE),"")</f>
        <v/>
      </c>
      <c r="BI131" s="200" t="str">
        <f>IFERROR(VLOOKUP(TableHandbook[[#This Row],[UDC]],TableSTRUPSYCB[],7,FALSE),"")</f>
        <v/>
      </c>
      <c r="BJ131" s="200" t="str">
        <f>IFERROR(VLOOKUP(TableHandbook[[#This Row],[UDC]],TableSTRUPSYCM[],7,FALSE),"")</f>
        <v/>
      </c>
      <c r="BK131" s="200" t="str">
        <f>IFERROR(VLOOKUP(TableHandbook[[#This Row],[UDC]],TableSTRUSOSCM[],7,FALSE),"")</f>
        <v/>
      </c>
      <c r="BL131" s="200" t="str">
        <f>IFERROR(VLOOKUP(TableHandbook[[#This Row],[UDC]],TableSTRUVARTB[],7,FALSE),"")</f>
        <v/>
      </c>
      <c r="BM131" s="200" t="str">
        <f>IFERROR(VLOOKUP(TableHandbook[[#This Row],[UDC]],TableSTRUVARTM[],7,FALSE),"")</f>
        <v/>
      </c>
    </row>
    <row r="132" spans="1:65" x14ac:dyDescent="0.25">
      <c r="A132" s="11" t="s">
        <v>155</v>
      </c>
      <c r="B132" s="12">
        <v>1</v>
      </c>
      <c r="C132" s="11"/>
      <c r="D132" s="11" t="s">
        <v>713</v>
      </c>
      <c r="E132" s="12">
        <v>25</v>
      </c>
      <c r="F132" s="131" t="s">
        <v>544</v>
      </c>
      <c r="G132" s="126" t="str">
        <f>IFERROR(IF(VLOOKUP(TableHandbook[[#This Row],[UDC]],TableAvailabilities[],2,FALSE)&gt;0,"Y",""),"")</f>
        <v/>
      </c>
      <c r="H132" s="127" t="str">
        <f>IFERROR(IF(VLOOKUP(TableHandbook[[#This Row],[UDC]],TableAvailabilities[],3,FALSE)&gt;0,"Y",""),"")</f>
        <v>Y</v>
      </c>
      <c r="I132" s="127" t="str">
        <f>IFERROR(IF(VLOOKUP(TableHandbook[[#This Row],[UDC]],TableAvailabilities[],4,FALSE)&gt;0,"Y",""),"")</f>
        <v/>
      </c>
      <c r="J132" s="128" t="str">
        <f>IFERROR(IF(VLOOKUP(TableHandbook[[#This Row],[UDC]],TableAvailabilities[],5,FALSE)&gt;0,"Y",""),"")</f>
        <v/>
      </c>
      <c r="K132" s="128" t="str">
        <f>IFERROR(IF(VLOOKUP(TableHandbook[[#This Row],[UDC]],TableAvailabilities[],6,FALSE)&gt;0,"Y",""),"")</f>
        <v/>
      </c>
      <c r="L132" s="127" t="str">
        <f>IFERROR(IF(VLOOKUP(TableHandbook[[#This Row],[UDC]],TableAvailabilities[],7,FALSE)&gt;0,"Y",""),"")</f>
        <v/>
      </c>
      <c r="M132" s="207"/>
      <c r="N132" s="205" t="str">
        <f>IFERROR(VLOOKUP(TableHandbook[[#This Row],[UDC]],TableBEDUC[],7,FALSE),"")</f>
        <v>Option</v>
      </c>
      <c r="O132" s="200" t="str">
        <f>IFERROR(VLOOKUP(TableHandbook[[#This Row],[UDC]],TableBEDEC[],7,FALSE),"")</f>
        <v>Option</v>
      </c>
      <c r="P132" s="200" t="str">
        <f>IFERROR(VLOOKUP(TableHandbook[[#This Row],[UDC]],TableBEDPR[],7,FALSE),"")</f>
        <v/>
      </c>
      <c r="Q132" s="200" t="str">
        <f>IFERROR(VLOOKUP(TableHandbook[[#This Row],[UDC]],TableSTRUCATHL[],7,FALSE),"")</f>
        <v/>
      </c>
      <c r="R132" s="200" t="str">
        <f>IFERROR(VLOOKUP(TableHandbook[[#This Row],[UDC]],TableSTRUENGLL[],7,FALSE),"")</f>
        <v/>
      </c>
      <c r="S132" s="200" t="str">
        <f>IFERROR(VLOOKUP(TableHandbook[[#This Row],[UDC]],TableSTRUINTBC[],7,FALSE),"")</f>
        <v/>
      </c>
      <c r="T132" s="200" t="str">
        <f>IFERROR(VLOOKUP(TableHandbook[[#This Row],[UDC]],TableSTRUISTEM[],7,FALSE),"")</f>
        <v/>
      </c>
      <c r="U132" s="200" t="str">
        <f>IFERROR(VLOOKUP(TableHandbook[[#This Row],[UDC]],TableSTRULITNU[],7,FALSE),"")</f>
        <v>Core</v>
      </c>
      <c r="V132" s="200" t="str">
        <f>IFERROR(VLOOKUP(TableHandbook[[#This Row],[UDC]],TableSTRUTECHS[],7,FALSE),"")</f>
        <v/>
      </c>
      <c r="W132" s="200" t="str">
        <f>IFERROR(VLOOKUP(TableHandbook[[#This Row],[UDC]],TableBEDSC[],7,FALSE),"")</f>
        <v/>
      </c>
      <c r="X132" s="200" t="str">
        <f>IFERROR(VLOOKUP(TableHandbook[[#This Row],[UDC]],TableMJRUARTDR[],7,FALSE),"")</f>
        <v/>
      </c>
      <c r="Y132" s="200" t="str">
        <f>IFERROR(VLOOKUP(TableHandbook[[#This Row],[UDC]],TableMJRUARTME[],7,FALSE),"")</f>
        <v/>
      </c>
      <c r="Z132" s="200" t="str">
        <f>IFERROR(VLOOKUP(TableHandbook[[#This Row],[UDC]],TableMJRUARTVA[],7,FALSE),"")</f>
        <v/>
      </c>
      <c r="AA132" s="200" t="str">
        <f>IFERROR(VLOOKUP(TableHandbook[[#This Row],[UDC]],TableMJRUENGLT[],7,FALSE),"")</f>
        <v/>
      </c>
      <c r="AB132" s="200" t="str">
        <f>IFERROR(VLOOKUP(TableHandbook[[#This Row],[UDC]],TableMJRUHLTPE[],7,FALSE),"")</f>
        <v/>
      </c>
      <c r="AC132" s="200" t="str">
        <f>IFERROR(VLOOKUP(TableHandbook[[#This Row],[UDC]],TableMJRUHUSEC[],7,FALSE),"")</f>
        <v/>
      </c>
      <c r="AD132" s="200" t="str">
        <f>IFERROR(VLOOKUP(TableHandbook[[#This Row],[UDC]],TableMJRUHUSGE[],7,FALSE),"")</f>
        <v/>
      </c>
      <c r="AE132" s="200" t="str">
        <f>IFERROR(VLOOKUP(TableHandbook[[#This Row],[UDC]],TableMJRUHUSHI[],7,FALSE),"")</f>
        <v/>
      </c>
      <c r="AF132" s="200" t="str">
        <f>IFERROR(VLOOKUP(TableHandbook[[#This Row],[UDC]],TableMJRUHUSPL[],7,FALSE),"")</f>
        <v/>
      </c>
      <c r="AG132" s="200" t="str">
        <f>IFERROR(VLOOKUP(TableHandbook[[#This Row],[UDC]],TableMJRUMATHT[],7,FALSE),"")</f>
        <v/>
      </c>
      <c r="AH132" s="200" t="str">
        <f>IFERROR(VLOOKUP(TableHandbook[[#This Row],[UDC]],TableMJRUSCIBI[],7,FALSE),"")</f>
        <v/>
      </c>
      <c r="AI132" s="200" t="str">
        <f>IFERROR(VLOOKUP(TableHandbook[[#This Row],[UDC]],TableMJRUSCICH[],7,FALSE),"")</f>
        <v/>
      </c>
      <c r="AJ132" s="200" t="str">
        <f>IFERROR(VLOOKUP(TableHandbook[[#This Row],[UDC]],TableMJRUSCIHB[],7,FALSE),"")</f>
        <v/>
      </c>
      <c r="AK132" s="200" t="str">
        <f>IFERROR(VLOOKUP(TableHandbook[[#This Row],[UDC]],TableMJRUSCIPH[],7,FALSE),"")</f>
        <v/>
      </c>
      <c r="AL132" s="200" t="str">
        <f>IFERROR(VLOOKUP(TableHandbook[[#This Row],[UDC]],TableMJRUSCIPS[],7,FALSE),"")</f>
        <v/>
      </c>
      <c r="AM132" s="202"/>
      <c r="AN132" s="200" t="str">
        <f>IFERROR(VLOOKUP(TableHandbook[[#This Row],[UDC]],TableSTRUBIOLB[],7,FALSE),"")</f>
        <v>Option</v>
      </c>
      <c r="AO132" s="200" t="str">
        <f>IFERROR(VLOOKUP(TableHandbook[[#This Row],[UDC]],TableSTRUBSCIM[],7,FALSE),"")</f>
        <v/>
      </c>
      <c r="AP132" s="200" t="str">
        <f>IFERROR(VLOOKUP(TableHandbook[[#This Row],[UDC]],TableSTRUCHEMB[],7,FALSE),"")</f>
        <v>Option</v>
      </c>
      <c r="AQ132" s="200" t="str">
        <f>IFERROR(VLOOKUP(TableHandbook[[#This Row],[UDC]],TableSTRUECOB1[],7,FALSE),"")</f>
        <v>Option</v>
      </c>
      <c r="AR132" s="200" t="str">
        <f>IFERROR(VLOOKUP(TableHandbook[[#This Row],[UDC]],TableSTRUEDART[],7,FALSE),"")</f>
        <v>Option</v>
      </c>
      <c r="AS132" s="200" t="str">
        <f>IFERROR(VLOOKUP(TableHandbook[[#This Row],[UDC]],TableSTRUEDENG[],7,FALSE),"")</f>
        <v>Option</v>
      </c>
      <c r="AT132" s="200" t="str">
        <f>IFERROR(VLOOKUP(TableHandbook[[#This Row],[UDC]],TableSTRUEDHAS[],7,FALSE),"")</f>
        <v>Option</v>
      </c>
      <c r="AU132" s="200" t="str">
        <f>IFERROR(VLOOKUP(TableHandbook[[#This Row],[UDC]],TableSTRUEDMAT[],7,FALSE),"")</f>
        <v>Option</v>
      </c>
      <c r="AV132" s="200" t="str">
        <f>IFERROR(VLOOKUP(TableHandbook[[#This Row],[UDC]],TableSTRUEDSCI[],7,FALSE),"")</f>
        <v>Option</v>
      </c>
      <c r="AW132" s="200" t="str">
        <f>IFERROR(VLOOKUP(TableHandbook[[#This Row],[UDC]],TableSTRUENGLB[],7,FALSE),"")</f>
        <v>Option</v>
      </c>
      <c r="AX132" s="200" t="str">
        <f>IFERROR(VLOOKUP(TableHandbook[[#This Row],[UDC]],TableSTRUENGLM[],7,FALSE),"")</f>
        <v/>
      </c>
      <c r="AY132" s="200" t="str">
        <f>IFERROR(VLOOKUP(TableHandbook[[#This Row],[UDC]],TableSTRUGEOB1[],7,FALSE),"")</f>
        <v>Option</v>
      </c>
      <c r="AZ132" s="200" t="str">
        <f>IFERROR(VLOOKUP(TableHandbook[[#This Row],[UDC]],TableSTRUHISB1[],7,FALSE),"")</f>
        <v>Option</v>
      </c>
      <c r="BA132" s="200" t="str">
        <f>IFERROR(VLOOKUP(TableHandbook[[#This Row],[UDC]],TableSTRUHUMAM[],7,FALSE),"")</f>
        <v/>
      </c>
      <c r="BB132" s="200" t="str">
        <f>IFERROR(VLOOKUP(TableHandbook[[#This Row],[UDC]],TableSTRUHUMBB[],7,FALSE),"")</f>
        <v>Option</v>
      </c>
      <c r="BC132" s="200" t="str">
        <f>IFERROR(VLOOKUP(TableHandbook[[#This Row],[UDC]],TableSTRUMATHB[],7,FALSE),"")</f>
        <v>Option</v>
      </c>
      <c r="BD132" s="200" t="str">
        <f>IFERROR(VLOOKUP(TableHandbook[[#This Row],[UDC]],TableSTRUMATHM[],7,FALSE),"")</f>
        <v/>
      </c>
      <c r="BE132" s="200" t="str">
        <f>IFERROR(VLOOKUP(TableHandbook[[#This Row],[UDC]],TableSTRUPARTB[],7,FALSE),"")</f>
        <v>Option</v>
      </c>
      <c r="BF132" s="200" t="str">
        <f>IFERROR(VLOOKUP(TableHandbook[[#This Row],[UDC]],TableSTRUPARTM[],7,FALSE),"")</f>
        <v/>
      </c>
      <c r="BG132" s="200" t="str">
        <f>IFERROR(VLOOKUP(TableHandbook[[#This Row],[UDC]],TableSTRUPOLB1[],7,FALSE),"")</f>
        <v>Option</v>
      </c>
      <c r="BH132" s="200" t="str">
        <f>IFERROR(VLOOKUP(TableHandbook[[#This Row],[UDC]],TableSTRUPSCIM[],7,FALSE),"")</f>
        <v/>
      </c>
      <c r="BI132" s="200" t="str">
        <f>IFERROR(VLOOKUP(TableHandbook[[#This Row],[UDC]],TableSTRUPSYCB[],7,FALSE),"")</f>
        <v>Option</v>
      </c>
      <c r="BJ132" s="200" t="str">
        <f>IFERROR(VLOOKUP(TableHandbook[[#This Row],[UDC]],TableSTRUPSYCM[],7,FALSE),"")</f>
        <v/>
      </c>
      <c r="BK132" s="200" t="str">
        <f>IFERROR(VLOOKUP(TableHandbook[[#This Row],[UDC]],TableSTRUSOSCM[],7,FALSE),"")</f>
        <v/>
      </c>
      <c r="BL132" s="200" t="str">
        <f>IFERROR(VLOOKUP(TableHandbook[[#This Row],[UDC]],TableSTRUVARTB[],7,FALSE),"")</f>
        <v>Option</v>
      </c>
      <c r="BM132" s="200" t="str">
        <f>IFERROR(VLOOKUP(TableHandbook[[#This Row],[UDC]],TableSTRUVARTM[],7,FALSE),"")</f>
        <v/>
      </c>
    </row>
    <row r="133" spans="1:65" x14ac:dyDescent="0.25">
      <c r="A133" s="11" t="s">
        <v>157</v>
      </c>
      <c r="B133" s="12">
        <v>2</v>
      </c>
      <c r="C133" s="11"/>
      <c r="D133" s="11" t="s">
        <v>714</v>
      </c>
      <c r="E133" s="12">
        <v>25</v>
      </c>
      <c r="F133" s="131" t="s">
        <v>544</v>
      </c>
      <c r="G133" s="126" t="str">
        <f>IFERROR(IF(VLOOKUP(TableHandbook[[#This Row],[UDC]],TableAvailabilities[],2,FALSE)&gt;0,"Y",""),"")</f>
        <v/>
      </c>
      <c r="H133" s="127" t="str">
        <f>IFERROR(IF(VLOOKUP(TableHandbook[[#This Row],[UDC]],TableAvailabilities[],3,FALSE)&gt;0,"Y",""),"")</f>
        <v/>
      </c>
      <c r="I133" s="127" t="str">
        <f>IFERROR(IF(VLOOKUP(TableHandbook[[#This Row],[UDC]],TableAvailabilities[],4,FALSE)&gt;0,"Y",""),"")</f>
        <v/>
      </c>
      <c r="J133" s="128" t="str">
        <f>IFERROR(IF(VLOOKUP(TableHandbook[[#This Row],[UDC]],TableAvailabilities[],5,FALSE)&gt;0,"Y",""),"")</f>
        <v>Y</v>
      </c>
      <c r="K133" s="128" t="str">
        <f>IFERROR(IF(VLOOKUP(TableHandbook[[#This Row],[UDC]],TableAvailabilities[],6,FALSE)&gt;0,"Y",""),"")</f>
        <v>Y</v>
      </c>
      <c r="L133" s="127" t="str">
        <f>IFERROR(IF(VLOOKUP(TableHandbook[[#This Row],[UDC]],TableAvailabilities[],7,FALSE)&gt;0,"Y",""),"")</f>
        <v/>
      </c>
      <c r="M133" s="208"/>
      <c r="N133" s="205" t="str">
        <f>IFERROR(VLOOKUP(TableHandbook[[#This Row],[UDC]],TableBEDUC[],7,FALSE),"")</f>
        <v>Option</v>
      </c>
      <c r="O133" s="200" t="str">
        <f>IFERROR(VLOOKUP(TableHandbook[[#This Row],[UDC]],TableBEDEC[],7,FALSE),"")</f>
        <v>Option</v>
      </c>
      <c r="P133" s="200" t="str">
        <f>IFERROR(VLOOKUP(TableHandbook[[#This Row],[UDC]],TableBEDPR[],7,FALSE),"")</f>
        <v/>
      </c>
      <c r="Q133" s="200" t="str">
        <f>IFERROR(VLOOKUP(TableHandbook[[#This Row],[UDC]],TableSTRUCATHL[],7,FALSE),"")</f>
        <v/>
      </c>
      <c r="R133" s="200" t="str">
        <f>IFERROR(VLOOKUP(TableHandbook[[#This Row],[UDC]],TableSTRUENGLL[],7,FALSE),"")</f>
        <v/>
      </c>
      <c r="S133" s="200" t="str">
        <f>IFERROR(VLOOKUP(TableHandbook[[#This Row],[UDC]],TableSTRUINTBC[],7,FALSE),"")</f>
        <v/>
      </c>
      <c r="T133" s="200" t="str">
        <f>IFERROR(VLOOKUP(TableHandbook[[#This Row],[UDC]],TableSTRUISTEM[],7,FALSE),"")</f>
        <v/>
      </c>
      <c r="U133" s="200" t="str">
        <f>IFERROR(VLOOKUP(TableHandbook[[#This Row],[UDC]],TableSTRULITNU[],7,FALSE),"")</f>
        <v>Core</v>
      </c>
      <c r="V133" s="200" t="str">
        <f>IFERROR(VLOOKUP(TableHandbook[[#This Row],[UDC]],TableSTRUTECHS[],7,FALSE),"")</f>
        <v/>
      </c>
      <c r="W133" s="200" t="str">
        <f>IFERROR(VLOOKUP(TableHandbook[[#This Row],[UDC]],TableBEDSC[],7,FALSE),"")</f>
        <v/>
      </c>
      <c r="X133" s="200" t="str">
        <f>IFERROR(VLOOKUP(TableHandbook[[#This Row],[UDC]],TableMJRUARTDR[],7,FALSE),"")</f>
        <v/>
      </c>
      <c r="Y133" s="200" t="str">
        <f>IFERROR(VLOOKUP(TableHandbook[[#This Row],[UDC]],TableMJRUARTME[],7,FALSE),"")</f>
        <v/>
      </c>
      <c r="Z133" s="200" t="str">
        <f>IFERROR(VLOOKUP(TableHandbook[[#This Row],[UDC]],TableMJRUARTVA[],7,FALSE),"")</f>
        <v/>
      </c>
      <c r="AA133" s="200" t="str">
        <f>IFERROR(VLOOKUP(TableHandbook[[#This Row],[UDC]],TableMJRUENGLT[],7,FALSE),"")</f>
        <v/>
      </c>
      <c r="AB133" s="200" t="str">
        <f>IFERROR(VLOOKUP(TableHandbook[[#This Row],[UDC]],TableMJRUHLTPE[],7,FALSE),"")</f>
        <v/>
      </c>
      <c r="AC133" s="200" t="str">
        <f>IFERROR(VLOOKUP(TableHandbook[[#This Row],[UDC]],TableMJRUHUSEC[],7,FALSE),"")</f>
        <v/>
      </c>
      <c r="AD133" s="200" t="str">
        <f>IFERROR(VLOOKUP(TableHandbook[[#This Row],[UDC]],TableMJRUHUSGE[],7,FALSE),"")</f>
        <v/>
      </c>
      <c r="AE133" s="200" t="str">
        <f>IFERROR(VLOOKUP(TableHandbook[[#This Row],[UDC]],TableMJRUHUSHI[],7,FALSE),"")</f>
        <v/>
      </c>
      <c r="AF133" s="200" t="str">
        <f>IFERROR(VLOOKUP(TableHandbook[[#This Row],[UDC]],TableMJRUHUSPL[],7,FALSE),"")</f>
        <v/>
      </c>
      <c r="AG133" s="200" t="str">
        <f>IFERROR(VLOOKUP(TableHandbook[[#This Row],[UDC]],TableMJRUMATHT[],7,FALSE),"")</f>
        <v/>
      </c>
      <c r="AH133" s="200" t="str">
        <f>IFERROR(VLOOKUP(TableHandbook[[#This Row],[UDC]],TableMJRUSCIBI[],7,FALSE),"")</f>
        <v/>
      </c>
      <c r="AI133" s="200" t="str">
        <f>IFERROR(VLOOKUP(TableHandbook[[#This Row],[UDC]],TableMJRUSCICH[],7,FALSE),"")</f>
        <v/>
      </c>
      <c r="AJ133" s="200" t="str">
        <f>IFERROR(VLOOKUP(TableHandbook[[#This Row],[UDC]],TableMJRUSCIHB[],7,FALSE),"")</f>
        <v/>
      </c>
      <c r="AK133" s="200" t="str">
        <f>IFERROR(VLOOKUP(TableHandbook[[#This Row],[UDC]],TableMJRUSCIPH[],7,FALSE),"")</f>
        <v/>
      </c>
      <c r="AL133" s="200" t="str">
        <f>IFERROR(VLOOKUP(TableHandbook[[#This Row],[UDC]],TableMJRUSCIPS[],7,FALSE),"")</f>
        <v/>
      </c>
      <c r="AM133" s="202"/>
      <c r="AN133" s="200" t="str">
        <f>IFERROR(VLOOKUP(TableHandbook[[#This Row],[UDC]],TableSTRUBIOLB[],7,FALSE),"")</f>
        <v>Option</v>
      </c>
      <c r="AO133" s="200" t="str">
        <f>IFERROR(VLOOKUP(TableHandbook[[#This Row],[UDC]],TableSTRUBSCIM[],7,FALSE),"")</f>
        <v/>
      </c>
      <c r="AP133" s="200" t="str">
        <f>IFERROR(VLOOKUP(TableHandbook[[#This Row],[UDC]],TableSTRUCHEMB[],7,FALSE),"")</f>
        <v>Option</v>
      </c>
      <c r="AQ133" s="200" t="str">
        <f>IFERROR(VLOOKUP(TableHandbook[[#This Row],[UDC]],TableSTRUECOB1[],7,FALSE),"")</f>
        <v>Option</v>
      </c>
      <c r="AR133" s="200" t="str">
        <f>IFERROR(VLOOKUP(TableHandbook[[#This Row],[UDC]],TableSTRUEDART[],7,FALSE),"")</f>
        <v>Option</v>
      </c>
      <c r="AS133" s="200" t="str">
        <f>IFERROR(VLOOKUP(TableHandbook[[#This Row],[UDC]],TableSTRUEDENG[],7,FALSE),"")</f>
        <v>Option</v>
      </c>
      <c r="AT133" s="200" t="str">
        <f>IFERROR(VLOOKUP(TableHandbook[[#This Row],[UDC]],TableSTRUEDHAS[],7,FALSE),"")</f>
        <v>Option</v>
      </c>
      <c r="AU133" s="200" t="str">
        <f>IFERROR(VLOOKUP(TableHandbook[[#This Row],[UDC]],TableSTRUEDMAT[],7,FALSE),"")</f>
        <v>Option</v>
      </c>
      <c r="AV133" s="200" t="str">
        <f>IFERROR(VLOOKUP(TableHandbook[[#This Row],[UDC]],TableSTRUEDSCI[],7,FALSE),"")</f>
        <v>Option</v>
      </c>
      <c r="AW133" s="200" t="str">
        <f>IFERROR(VLOOKUP(TableHandbook[[#This Row],[UDC]],TableSTRUENGLB[],7,FALSE),"")</f>
        <v>Option</v>
      </c>
      <c r="AX133" s="200" t="str">
        <f>IFERROR(VLOOKUP(TableHandbook[[#This Row],[UDC]],TableSTRUENGLM[],7,FALSE),"")</f>
        <v/>
      </c>
      <c r="AY133" s="200" t="str">
        <f>IFERROR(VLOOKUP(TableHandbook[[#This Row],[UDC]],TableSTRUGEOB1[],7,FALSE),"")</f>
        <v>Option</v>
      </c>
      <c r="AZ133" s="200" t="str">
        <f>IFERROR(VLOOKUP(TableHandbook[[#This Row],[UDC]],TableSTRUHISB1[],7,FALSE),"")</f>
        <v>Option</v>
      </c>
      <c r="BA133" s="200" t="str">
        <f>IFERROR(VLOOKUP(TableHandbook[[#This Row],[UDC]],TableSTRUHUMAM[],7,FALSE),"")</f>
        <v/>
      </c>
      <c r="BB133" s="200" t="str">
        <f>IFERROR(VLOOKUP(TableHandbook[[#This Row],[UDC]],TableSTRUHUMBB[],7,FALSE),"")</f>
        <v>Option</v>
      </c>
      <c r="BC133" s="200" t="str">
        <f>IFERROR(VLOOKUP(TableHandbook[[#This Row],[UDC]],TableSTRUMATHB[],7,FALSE),"")</f>
        <v>Option</v>
      </c>
      <c r="BD133" s="200" t="str">
        <f>IFERROR(VLOOKUP(TableHandbook[[#This Row],[UDC]],TableSTRUMATHM[],7,FALSE),"")</f>
        <v/>
      </c>
      <c r="BE133" s="200" t="str">
        <f>IFERROR(VLOOKUP(TableHandbook[[#This Row],[UDC]],TableSTRUPARTB[],7,FALSE),"")</f>
        <v>Option</v>
      </c>
      <c r="BF133" s="200" t="str">
        <f>IFERROR(VLOOKUP(TableHandbook[[#This Row],[UDC]],TableSTRUPARTM[],7,FALSE),"")</f>
        <v/>
      </c>
      <c r="BG133" s="200" t="str">
        <f>IFERROR(VLOOKUP(TableHandbook[[#This Row],[UDC]],TableSTRUPOLB1[],7,FALSE),"")</f>
        <v>Option</v>
      </c>
      <c r="BH133" s="200" t="str">
        <f>IFERROR(VLOOKUP(TableHandbook[[#This Row],[UDC]],TableSTRUPSCIM[],7,FALSE),"")</f>
        <v/>
      </c>
      <c r="BI133" s="200" t="str">
        <f>IFERROR(VLOOKUP(TableHandbook[[#This Row],[UDC]],TableSTRUPSYCB[],7,FALSE),"")</f>
        <v>Option</v>
      </c>
      <c r="BJ133" s="200" t="str">
        <f>IFERROR(VLOOKUP(TableHandbook[[#This Row],[UDC]],TableSTRUPSYCM[],7,FALSE),"")</f>
        <v/>
      </c>
      <c r="BK133" s="200" t="str">
        <f>IFERROR(VLOOKUP(TableHandbook[[#This Row],[UDC]],TableSTRUSOSCM[],7,FALSE),"")</f>
        <v/>
      </c>
      <c r="BL133" s="200" t="str">
        <f>IFERROR(VLOOKUP(TableHandbook[[#This Row],[UDC]],TableSTRUVARTB[],7,FALSE),"")</f>
        <v>Option</v>
      </c>
      <c r="BM133" s="200" t="str">
        <f>IFERROR(VLOOKUP(TableHandbook[[#This Row],[UDC]],TableSTRUVARTM[],7,FALSE),"")</f>
        <v/>
      </c>
    </row>
    <row r="134" spans="1:65" x14ac:dyDescent="0.25">
      <c r="A134" s="11" t="s">
        <v>162</v>
      </c>
      <c r="B134" s="12">
        <v>1</v>
      </c>
      <c r="C134" s="11"/>
      <c r="D134" s="11" t="s">
        <v>715</v>
      </c>
      <c r="E134" s="12">
        <v>25</v>
      </c>
      <c r="F134" s="131" t="s">
        <v>544</v>
      </c>
      <c r="G134" s="126" t="str">
        <f>IFERROR(IF(VLOOKUP(TableHandbook[[#This Row],[UDC]],TableAvailabilities[],2,FALSE)&gt;0,"Y",""),"")</f>
        <v/>
      </c>
      <c r="H134" s="127" t="str">
        <f>IFERROR(IF(VLOOKUP(TableHandbook[[#This Row],[UDC]],TableAvailabilities[],3,FALSE)&gt;0,"Y",""),"")</f>
        <v>Y</v>
      </c>
      <c r="I134" s="127" t="str">
        <f>IFERROR(IF(VLOOKUP(TableHandbook[[#This Row],[UDC]],TableAvailabilities[],4,FALSE)&gt;0,"Y",""),"")</f>
        <v/>
      </c>
      <c r="J134" s="128" t="str">
        <f>IFERROR(IF(VLOOKUP(TableHandbook[[#This Row],[UDC]],TableAvailabilities[],5,FALSE)&gt;0,"Y",""),"")</f>
        <v/>
      </c>
      <c r="K134" s="128" t="str">
        <f>IFERROR(IF(VLOOKUP(TableHandbook[[#This Row],[UDC]],TableAvailabilities[],6,FALSE)&gt;0,"Y",""),"")</f>
        <v/>
      </c>
      <c r="L134" s="127" t="str">
        <f>IFERROR(IF(VLOOKUP(TableHandbook[[#This Row],[UDC]],TableAvailabilities[],7,FALSE)&gt;0,"Y",""),"")</f>
        <v/>
      </c>
      <c r="M134" s="207"/>
      <c r="N134" s="205" t="str">
        <f>IFERROR(VLOOKUP(TableHandbook[[#This Row],[UDC]],TableBEDUC[],7,FALSE),"")</f>
        <v>Option</v>
      </c>
      <c r="O134" s="200" t="str">
        <f>IFERROR(VLOOKUP(TableHandbook[[#This Row],[UDC]],TableBEDEC[],7,FALSE),"")</f>
        <v>Option</v>
      </c>
      <c r="P134" s="200" t="str">
        <f>IFERROR(VLOOKUP(TableHandbook[[#This Row],[UDC]],TableBEDPR[],7,FALSE),"")</f>
        <v/>
      </c>
      <c r="Q134" s="200" t="str">
        <f>IFERROR(VLOOKUP(TableHandbook[[#This Row],[UDC]],TableSTRUCATHL[],7,FALSE),"")</f>
        <v/>
      </c>
      <c r="R134" s="200" t="str">
        <f>IFERROR(VLOOKUP(TableHandbook[[#This Row],[UDC]],TableSTRUENGLL[],7,FALSE),"")</f>
        <v/>
      </c>
      <c r="S134" s="200" t="str">
        <f>IFERROR(VLOOKUP(TableHandbook[[#This Row],[UDC]],TableSTRUINTBC[],7,FALSE),"")</f>
        <v/>
      </c>
      <c r="T134" s="200" t="str">
        <f>IFERROR(VLOOKUP(TableHandbook[[#This Row],[UDC]],TableSTRUISTEM[],7,FALSE),"")</f>
        <v/>
      </c>
      <c r="U134" s="200" t="str">
        <f>IFERROR(VLOOKUP(TableHandbook[[#This Row],[UDC]],TableSTRULITNU[],7,FALSE),"")</f>
        <v/>
      </c>
      <c r="V134" s="200" t="str">
        <f>IFERROR(VLOOKUP(TableHandbook[[#This Row],[UDC]],TableSTRUTECHS[],7,FALSE),"")</f>
        <v>Core</v>
      </c>
      <c r="W134" s="200" t="str">
        <f>IFERROR(VLOOKUP(TableHandbook[[#This Row],[UDC]],TableBEDSC[],7,FALSE),"")</f>
        <v/>
      </c>
      <c r="X134" s="200" t="str">
        <f>IFERROR(VLOOKUP(TableHandbook[[#This Row],[UDC]],TableMJRUARTDR[],7,FALSE),"")</f>
        <v/>
      </c>
      <c r="Y134" s="200" t="str">
        <f>IFERROR(VLOOKUP(TableHandbook[[#This Row],[UDC]],TableMJRUARTME[],7,FALSE),"")</f>
        <v/>
      </c>
      <c r="Z134" s="200" t="str">
        <f>IFERROR(VLOOKUP(TableHandbook[[#This Row],[UDC]],TableMJRUARTVA[],7,FALSE),"")</f>
        <v/>
      </c>
      <c r="AA134" s="200" t="str">
        <f>IFERROR(VLOOKUP(TableHandbook[[#This Row],[UDC]],TableMJRUENGLT[],7,FALSE),"")</f>
        <v/>
      </c>
      <c r="AB134" s="200" t="str">
        <f>IFERROR(VLOOKUP(TableHandbook[[#This Row],[UDC]],TableMJRUHLTPE[],7,FALSE),"")</f>
        <v/>
      </c>
      <c r="AC134" s="200" t="str">
        <f>IFERROR(VLOOKUP(TableHandbook[[#This Row],[UDC]],TableMJRUHUSEC[],7,FALSE),"")</f>
        <v/>
      </c>
      <c r="AD134" s="200" t="str">
        <f>IFERROR(VLOOKUP(TableHandbook[[#This Row],[UDC]],TableMJRUHUSGE[],7,FALSE),"")</f>
        <v/>
      </c>
      <c r="AE134" s="200" t="str">
        <f>IFERROR(VLOOKUP(TableHandbook[[#This Row],[UDC]],TableMJRUHUSHI[],7,FALSE),"")</f>
        <v/>
      </c>
      <c r="AF134" s="200" t="str">
        <f>IFERROR(VLOOKUP(TableHandbook[[#This Row],[UDC]],TableMJRUHUSPL[],7,FALSE),"")</f>
        <v/>
      </c>
      <c r="AG134" s="200" t="str">
        <f>IFERROR(VLOOKUP(TableHandbook[[#This Row],[UDC]],TableMJRUMATHT[],7,FALSE),"")</f>
        <v/>
      </c>
      <c r="AH134" s="200" t="str">
        <f>IFERROR(VLOOKUP(TableHandbook[[#This Row],[UDC]],TableMJRUSCIBI[],7,FALSE),"")</f>
        <v/>
      </c>
      <c r="AI134" s="200" t="str">
        <f>IFERROR(VLOOKUP(TableHandbook[[#This Row],[UDC]],TableMJRUSCICH[],7,FALSE),"")</f>
        <v/>
      </c>
      <c r="AJ134" s="200" t="str">
        <f>IFERROR(VLOOKUP(TableHandbook[[#This Row],[UDC]],TableMJRUSCIHB[],7,FALSE),"")</f>
        <v/>
      </c>
      <c r="AK134" s="200" t="str">
        <f>IFERROR(VLOOKUP(TableHandbook[[#This Row],[UDC]],TableMJRUSCIPH[],7,FALSE),"")</f>
        <v/>
      </c>
      <c r="AL134" s="200" t="str">
        <f>IFERROR(VLOOKUP(TableHandbook[[#This Row],[UDC]],TableMJRUSCIPS[],7,FALSE),"")</f>
        <v/>
      </c>
      <c r="AM134" s="202"/>
      <c r="AN134" s="200" t="str">
        <f>IFERROR(VLOOKUP(TableHandbook[[#This Row],[UDC]],TableSTRUBIOLB[],7,FALSE),"")</f>
        <v>Option</v>
      </c>
      <c r="AO134" s="200" t="str">
        <f>IFERROR(VLOOKUP(TableHandbook[[#This Row],[UDC]],TableSTRUBSCIM[],7,FALSE),"")</f>
        <v/>
      </c>
      <c r="AP134" s="200" t="str">
        <f>IFERROR(VLOOKUP(TableHandbook[[#This Row],[UDC]],TableSTRUCHEMB[],7,FALSE),"")</f>
        <v>Option</v>
      </c>
      <c r="AQ134" s="200" t="str">
        <f>IFERROR(VLOOKUP(TableHandbook[[#This Row],[UDC]],TableSTRUECOB1[],7,FALSE),"")</f>
        <v>Option</v>
      </c>
      <c r="AR134" s="200" t="str">
        <f>IFERROR(VLOOKUP(TableHandbook[[#This Row],[UDC]],TableSTRUEDART[],7,FALSE),"")</f>
        <v>Option</v>
      </c>
      <c r="AS134" s="200" t="str">
        <f>IFERROR(VLOOKUP(TableHandbook[[#This Row],[UDC]],TableSTRUEDENG[],7,FALSE),"")</f>
        <v>Option</v>
      </c>
      <c r="AT134" s="200" t="str">
        <f>IFERROR(VLOOKUP(TableHandbook[[#This Row],[UDC]],TableSTRUEDHAS[],7,FALSE),"")</f>
        <v>Option</v>
      </c>
      <c r="AU134" s="200" t="str">
        <f>IFERROR(VLOOKUP(TableHandbook[[#This Row],[UDC]],TableSTRUEDMAT[],7,FALSE),"")</f>
        <v>Option</v>
      </c>
      <c r="AV134" s="200" t="str">
        <f>IFERROR(VLOOKUP(TableHandbook[[#This Row],[UDC]],TableSTRUEDSCI[],7,FALSE),"")</f>
        <v>Option</v>
      </c>
      <c r="AW134" s="200" t="str">
        <f>IFERROR(VLOOKUP(TableHandbook[[#This Row],[UDC]],TableSTRUENGLB[],7,FALSE),"")</f>
        <v>Option</v>
      </c>
      <c r="AX134" s="200" t="str">
        <f>IFERROR(VLOOKUP(TableHandbook[[#This Row],[UDC]],TableSTRUENGLM[],7,FALSE),"")</f>
        <v/>
      </c>
      <c r="AY134" s="200" t="str">
        <f>IFERROR(VLOOKUP(TableHandbook[[#This Row],[UDC]],TableSTRUGEOB1[],7,FALSE),"")</f>
        <v>Option</v>
      </c>
      <c r="AZ134" s="200" t="str">
        <f>IFERROR(VLOOKUP(TableHandbook[[#This Row],[UDC]],TableSTRUHISB1[],7,FALSE),"")</f>
        <v>Option</v>
      </c>
      <c r="BA134" s="200" t="str">
        <f>IFERROR(VLOOKUP(TableHandbook[[#This Row],[UDC]],TableSTRUHUMAM[],7,FALSE),"")</f>
        <v/>
      </c>
      <c r="BB134" s="200" t="str">
        <f>IFERROR(VLOOKUP(TableHandbook[[#This Row],[UDC]],TableSTRUHUMBB[],7,FALSE),"")</f>
        <v>Option</v>
      </c>
      <c r="BC134" s="200" t="str">
        <f>IFERROR(VLOOKUP(TableHandbook[[#This Row],[UDC]],TableSTRUMATHB[],7,FALSE),"")</f>
        <v>Option</v>
      </c>
      <c r="BD134" s="200" t="str">
        <f>IFERROR(VLOOKUP(TableHandbook[[#This Row],[UDC]],TableSTRUMATHM[],7,FALSE),"")</f>
        <v/>
      </c>
      <c r="BE134" s="200" t="str">
        <f>IFERROR(VLOOKUP(TableHandbook[[#This Row],[UDC]],TableSTRUPARTB[],7,FALSE),"")</f>
        <v>Option</v>
      </c>
      <c r="BF134" s="200" t="str">
        <f>IFERROR(VLOOKUP(TableHandbook[[#This Row],[UDC]],TableSTRUPARTM[],7,FALSE),"")</f>
        <v/>
      </c>
      <c r="BG134" s="200" t="str">
        <f>IFERROR(VLOOKUP(TableHandbook[[#This Row],[UDC]],TableSTRUPOLB1[],7,FALSE),"")</f>
        <v>Option</v>
      </c>
      <c r="BH134" s="200" t="str">
        <f>IFERROR(VLOOKUP(TableHandbook[[#This Row],[UDC]],TableSTRUPSCIM[],7,FALSE),"")</f>
        <v/>
      </c>
      <c r="BI134" s="200" t="str">
        <f>IFERROR(VLOOKUP(TableHandbook[[#This Row],[UDC]],TableSTRUPSYCB[],7,FALSE),"")</f>
        <v>Option</v>
      </c>
      <c r="BJ134" s="200" t="str">
        <f>IFERROR(VLOOKUP(TableHandbook[[#This Row],[UDC]],TableSTRUPSYCM[],7,FALSE),"")</f>
        <v/>
      </c>
      <c r="BK134" s="200" t="str">
        <f>IFERROR(VLOOKUP(TableHandbook[[#This Row],[UDC]],TableSTRUSOSCM[],7,FALSE),"")</f>
        <v/>
      </c>
      <c r="BL134" s="200" t="str">
        <f>IFERROR(VLOOKUP(TableHandbook[[#This Row],[UDC]],TableSTRUVARTB[],7,FALSE),"")</f>
        <v>Option</v>
      </c>
      <c r="BM134" s="200" t="str">
        <f>IFERROR(VLOOKUP(TableHandbook[[#This Row],[UDC]],TableSTRUVARTM[],7,FALSE),"")</f>
        <v/>
      </c>
    </row>
    <row r="135" spans="1:65" x14ac:dyDescent="0.25">
      <c r="A135" s="11" t="s">
        <v>117</v>
      </c>
      <c r="B135" s="12">
        <v>1</v>
      </c>
      <c r="C135" s="11"/>
      <c r="D135" s="11" t="s">
        <v>716</v>
      </c>
      <c r="E135" s="12">
        <v>25</v>
      </c>
      <c r="F135" s="131" t="s">
        <v>544</v>
      </c>
      <c r="G135" s="126" t="str">
        <f>IFERROR(IF(VLOOKUP(TableHandbook[[#This Row],[UDC]],TableAvailabilities[],2,FALSE)&gt;0,"Y",""),"")</f>
        <v/>
      </c>
      <c r="H135" s="127" t="str">
        <f>IFERROR(IF(VLOOKUP(TableHandbook[[#This Row],[UDC]],TableAvailabilities[],3,FALSE)&gt;0,"Y",""),"")</f>
        <v>Y</v>
      </c>
      <c r="I135" s="127" t="str">
        <f>IFERROR(IF(VLOOKUP(TableHandbook[[#This Row],[UDC]],TableAvailabilities[],4,FALSE)&gt;0,"Y",""),"")</f>
        <v/>
      </c>
      <c r="J135" s="128" t="str">
        <f>IFERROR(IF(VLOOKUP(TableHandbook[[#This Row],[UDC]],TableAvailabilities[],5,FALSE)&gt;0,"Y",""),"")</f>
        <v/>
      </c>
      <c r="K135" s="128" t="str">
        <f>IFERROR(IF(VLOOKUP(TableHandbook[[#This Row],[UDC]],TableAvailabilities[],6,FALSE)&gt;0,"Y",""),"")</f>
        <v>Y</v>
      </c>
      <c r="L135" s="127" t="str">
        <f>IFERROR(IF(VLOOKUP(TableHandbook[[#This Row],[UDC]],TableAvailabilities[],7,FALSE)&gt;0,"Y",""),"")</f>
        <v/>
      </c>
      <c r="M135" s="207"/>
      <c r="N135" s="205" t="str">
        <f>IFERROR(VLOOKUP(TableHandbook[[#This Row],[UDC]],TableBEDUC[],7,FALSE),"")</f>
        <v>Core</v>
      </c>
      <c r="O135" s="200" t="str">
        <f>IFERROR(VLOOKUP(TableHandbook[[#This Row],[UDC]],TableBEDEC[],7,FALSE),"")</f>
        <v>Option</v>
      </c>
      <c r="P135" s="200" t="str">
        <f>IFERROR(VLOOKUP(TableHandbook[[#This Row],[UDC]],TableBEDPR[],7,FALSE),"")</f>
        <v/>
      </c>
      <c r="Q135" s="200" t="str">
        <f>IFERROR(VLOOKUP(TableHandbook[[#This Row],[UDC]],TableSTRUCATHL[],7,FALSE),"")</f>
        <v/>
      </c>
      <c r="R135" s="200" t="str">
        <f>IFERROR(VLOOKUP(TableHandbook[[#This Row],[UDC]],TableSTRUENGLL[],7,FALSE),"")</f>
        <v/>
      </c>
      <c r="S135" s="200" t="str">
        <f>IFERROR(VLOOKUP(TableHandbook[[#This Row],[UDC]],TableSTRUINTBC[],7,FALSE),"")</f>
        <v/>
      </c>
      <c r="T135" s="200" t="str">
        <f>IFERROR(VLOOKUP(TableHandbook[[#This Row],[UDC]],TableSTRUISTEM[],7,FALSE),"")</f>
        <v/>
      </c>
      <c r="U135" s="200" t="str">
        <f>IFERROR(VLOOKUP(TableHandbook[[#This Row],[UDC]],TableSTRULITNU[],7,FALSE),"")</f>
        <v/>
      </c>
      <c r="V135" s="200" t="str">
        <f>IFERROR(VLOOKUP(TableHandbook[[#This Row],[UDC]],TableSTRUTECHS[],7,FALSE),"")</f>
        <v/>
      </c>
      <c r="W135" s="200" t="str">
        <f>IFERROR(VLOOKUP(TableHandbook[[#This Row],[UDC]],TableBEDSC[],7,FALSE),"")</f>
        <v/>
      </c>
      <c r="X135" s="200" t="str">
        <f>IFERROR(VLOOKUP(TableHandbook[[#This Row],[UDC]],TableMJRUARTDR[],7,FALSE),"")</f>
        <v/>
      </c>
      <c r="Y135" s="200" t="str">
        <f>IFERROR(VLOOKUP(TableHandbook[[#This Row],[UDC]],TableMJRUARTME[],7,FALSE),"")</f>
        <v/>
      </c>
      <c r="Z135" s="200" t="str">
        <f>IFERROR(VLOOKUP(TableHandbook[[#This Row],[UDC]],TableMJRUARTVA[],7,FALSE),"")</f>
        <v/>
      </c>
      <c r="AA135" s="200" t="str">
        <f>IFERROR(VLOOKUP(TableHandbook[[#This Row],[UDC]],TableMJRUENGLT[],7,FALSE),"")</f>
        <v/>
      </c>
      <c r="AB135" s="200" t="str">
        <f>IFERROR(VLOOKUP(TableHandbook[[#This Row],[UDC]],TableMJRUHLTPE[],7,FALSE),"")</f>
        <v/>
      </c>
      <c r="AC135" s="200" t="str">
        <f>IFERROR(VLOOKUP(TableHandbook[[#This Row],[UDC]],TableMJRUHUSEC[],7,FALSE),"")</f>
        <v/>
      </c>
      <c r="AD135" s="200" t="str">
        <f>IFERROR(VLOOKUP(TableHandbook[[#This Row],[UDC]],TableMJRUHUSGE[],7,FALSE),"")</f>
        <v/>
      </c>
      <c r="AE135" s="200" t="str">
        <f>IFERROR(VLOOKUP(TableHandbook[[#This Row],[UDC]],TableMJRUHUSHI[],7,FALSE),"")</f>
        <v/>
      </c>
      <c r="AF135" s="200" t="str">
        <f>IFERROR(VLOOKUP(TableHandbook[[#This Row],[UDC]],TableMJRUHUSPL[],7,FALSE),"")</f>
        <v/>
      </c>
      <c r="AG135" s="200" t="str">
        <f>IFERROR(VLOOKUP(TableHandbook[[#This Row],[UDC]],TableMJRUMATHT[],7,FALSE),"")</f>
        <v/>
      </c>
      <c r="AH135" s="200" t="str">
        <f>IFERROR(VLOOKUP(TableHandbook[[#This Row],[UDC]],TableMJRUSCIBI[],7,FALSE),"")</f>
        <v/>
      </c>
      <c r="AI135" s="200" t="str">
        <f>IFERROR(VLOOKUP(TableHandbook[[#This Row],[UDC]],TableMJRUSCICH[],7,FALSE),"")</f>
        <v/>
      </c>
      <c r="AJ135" s="200" t="str">
        <f>IFERROR(VLOOKUP(TableHandbook[[#This Row],[UDC]],TableMJRUSCIHB[],7,FALSE),"")</f>
        <v/>
      </c>
      <c r="AK135" s="200" t="str">
        <f>IFERROR(VLOOKUP(TableHandbook[[#This Row],[UDC]],TableMJRUSCIPH[],7,FALSE),"")</f>
        <v/>
      </c>
      <c r="AL135" s="200" t="str">
        <f>IFERROR(VLOOKUP(TableHandbook[[#This Row],[UDC]],TableMJRUSCIPS[],7,FALSE),"")</f>
        <v/>
      </c>
      <c r="AM135" s="202"/>
      <c r="AN135" s="200" t="str">
        <f>IFERROR(VLOOKUP(TableHandbook[[#This Row],[UDC]],TableSTRUBIOLB[],7,FALSE),"")</f>
        <v>Option</v>
      </c>
      <c r="AO135" s="200" t="str">
        <f>IFERROR(VLOOKUP(TableHandbook[[#This Row],[UDC]],TableSTRUBSCIM[],7,FALSE),"")</f>
        <v/>
      </c>
      <c r="AP135" s="200" t="str">
        <f>IFERROR(VLOOKUP(TableHandbook[[#This Row],[UDC]],TableSTRUCHEMB[],7,FALSE),"")</f>
        <v>Option</v>
      </c>
      <c r="AQ135" s="200" t="str">
        <f>IFERROR(VLOOKUP(TableHandbook[[#This Row],[UDC]],TableSTRUECOB1[],7,FALSE),"")</f>
        <v>Option</v>
      </c>
      <c r="AR135" s="200" t="str">
        <f>IFERROR(VLOOKUP(TableHandbook[[#This Row],[UDC]],TableSTRUEDART[],7,FALSE),"")</f>
        <v>Option</v>
      </c>
      <c r="AS135" s="200" t="str">
        <f>IFERROR(VLOOKUP(TableHandbook[[#This Row],[UDC]],TableSTRUEDENG[],7,FALSE),"")</f>
        <v>Option</v>
      </c>
      <c r="AT135" s="200" t="str">
        <f>IFERROR(VLOOKUP(TableHandbook[[#This Row],[UDC]],TableSTRUEDHAS[],7,FALSE),"")</f>
        <v>Option</v>
      </c>
      <c r="AU135" s="200" t="str">
        <f>IFERROR(VLOOKUP(TableHandbook[[#This Row],[UDC]],TableSTRUEDMAT[],7,FALSE),"")</f>
        <v>Option</v>
      </c>
      <c r="AV135" s="200" t="str">
        <f>IFERROR(VLOOKUP(TableHandbook[[#This Row],[UDC]],TableSTRUEDSCI[],7,FALSE),"")</f>
        <v>Option</v>
      </c>
      <c r="AW135" s="200" t="str">
        <f>IFERROR(VLOOKUP(TableHandbook[[#This Row],[UDC]],TableSTRUENGLB[],7,FALSE),"")</f>
        <v>Option</v>
      </c>
      <c r="AX135" s="200" t="str">
        <f>IFERROR(VLOOKUP(TableHandbook[[#This Row],[UDC]],TableSTRUENGLM[],7,FALSE),"")</f>
        <v/>
      </c>
      <c r="AY135" s="200" t="str">
        <f>IFERROR(VLOOKUP(TableHandbook[[#This Row],[UDC]],TableSTRUGEOB1[],7,FALSE),"")</f>
        <v>Option</v>
      </c>
      <c r="AZ135" s="200" t="str">
        <f>IFERROR(VLOOKUP(TableHandbook[[#This Row],[UDC]],TableSTRUHISB1[],7,FALSE),"")</f>
        <v>Option</v>
      </c>
      <c r="BA135" s="200" t="str">
        <f>IFERROR(VLOOKUP(TableHandbook[[#This Row],[UDC]],TableSTRUHUMAM[],7,FALSE),"")</f>
        <v/>
      </c>
      <c r="BB135" s="200" t="str">
        <f>IFERROR(VLOOKUP(TableHandbook[[#This Row],[UDC]],TableSTRUHUMBB[],7,FALSE),"")</f>
        <v>Option</v>
      </c>
      <c r="BC135" s="200" t="str">
        <f>IFERROR(VLOOKUP(TableHandbook[[#This Row],[UDC]],TableSTRUMATHB[],7,FALSE),"")</f>
        <v>Option</v>
      </c>
      <c r="BD135" s="200" t="str">
        <f>IFERROR(VLOOKUP(TableHandbook[[#This Row],[UDC]],TableSTRUMATHM[],7,FALSE),"")</f>
        <v/>
      </c>
      <c r="BE135" s="200" t="str">
        <f>IFERROR(VLOOKUP(TableHandbook[[#This Row],[UDC]],TableSTRUPARTB[],7,FALSE),"")</f>
        <v>Option</v>
      </c>
      <c r="BF135" s="200" t="str">
        <f>IFERROR(VLOOKUP(TableHandbook[[#This Row],[UDC]],TableSTRUPARTM[],7,FALSE),"")</f>
        <v/>
      </c>
      <c r="BG135" s="200" t="str">
        <f>IFERROR(VLOOKUP(TableHandbook[[#This Row],[UDC]],TableSTRUPOLB1[],7,FALSE),"")</f>
        <v>Option</v>
      </c>
      <c r="BH135" s="200" t="str">
        <f>IFERROR(VLOOKUP(TableHandbook[[#This Row],[UDC]],TableSTRUPSCIM[],7,FALSE),"")</f>
        <v/>
      </c>
      <c r="BI135" s="200" t="str">
        <f>IFERROR(VLOOKUP(TableHandbook[[#This Row],[UDC]],TableSTRUPSYCB[],7,FALSE),"")</f>
        <v>Option</v>
      </c>
      <c r="BJ135" s="200" t="str">
        <f>IFERROR(VLOOKUP(TableHandbook[[#This Row],[UDC]],TableSTRUPSYCM[],7,FALSE),"")</f>
        <v/>
      </c>
      <c r="BK135" s="200" t="str">
        <f>IFERROR(VLOOKUP(TableHandbook[[#This Row],[UDC]],TableSTRUSOSCM[],7,FALSE),"")</f>
        <v/>
      </c>
      <c r="BL135" s="200" t="str">
        <f>IFERROR(VLOOKUP(TableHandbook[[#This Row],[UDC]],TableSTRUVARTB[],7,FALSE),"")</f>
        <v>Option</v>
      </c>
      <c r="BM135" s="200" t="str">
        <f>IFERROR(VLOOKUP(TableHandbook[[#This Row],[UDC]],TableSTRUVARTM[],7,FALSE),"")</f>
        <v/>
      </c>
    </row>
    <row r="136" spans="1:65" ht="26.25" x14ac:dyDescent="0.25">
      <c r="A136" s="11" t="s">
        <v>135</v>
      </c>
      <c r="B136" s="12">
        <v>1</v>
      </c>
      <c r="C136" s="11"/>
      <c r="D136" s="11" t="s">
        <v>717</v>
      </c>
      <c r="E136" s="12">
        <v>25</v>
      </c>
      <c r="F136" s="192" t="s">
        <v>718</v>
      </c>
      <c r="G136" s="126" t="str">
        <f>IFERROR(IF(VLOOKUP(TableHandbook[[#This Row],[UDC]],TableAvailabilities[],2,FALSE)&gt;0,"Y",""),"")</f>
        <v>Y</v>
      </c>
      <c r="H136" s="127" t="str">
        <f>IFERROR(IF(VLOOKUP(TableHandbook[[#This Row],[UDC]],TableAvailabilities[],3,FALSE)&gt;0,"Y",""),"")</f>
        <v>Y</v>
      </c>
      <c r="I136" s="127" t="str">
        <f>IFERROR(IF(VLOOKUP(TableHandbook[[#This Row],[UDC]],TableAvailabilities[],4,FALSE)&gt;0,"Y",""),"")</f>
        <v>Y</v>
      </c>
      <c r="J136" s="128" t="str">
        <f>IFERROR(IF(VLOOKUP(TableHandbook[[#This Row],[UDC]],TableAvailabilities[],5,FALSE)&gt;0,"Y",""),"")</f>
        <v>Y</v>
      </c>
      <c r="K136" s="128" t="str">
        <f>IFERROR(IF(VLOOKUP(TableHandbook[[#This Row],[UDC]],TableAvailabilities[],6,FALSE)&gt;0,"Y",""),"")</f>
        <v>Y</v>
      </c>
      <c r="L136" s="127" t="str">
        <f>IFERROR(IF(VLOOKUP(TableHandbook[[#This Row],[UDC]],TableAvailabilities[],7,FALSE)&gt;0,"Y",""),"")</f>
        <v>Y</v>
      </c>
      <c r="M136" s="209"/>
      <c r="N136" s="205" t="str">
        <f>IFERROR(VLOOKUP(TableHandbook[[#This Row],[UDC]],TableBEDUC[],7,FALSE),"")</f>
        <v/>
      </c>
      <c r="O136" s="200" t="str">
        <f>IFERROR(VLOOKUP(TableHandbook[[#This Row],[UDC]],TableBEDEC[],7,FALSE),"")</f>
        <v>Core</v>
      </c>
      <c r="P136" s="200" t="str">
        <f>IFERROR(VLOOKUP(TableHandbook[[#This Row],[UDC]],TableBEDPR[],7,FALSE),"")</f>
        <v>Core</v>
      </c>
      <c r="Q136" s="200" t="str">
        <f>IFERROR(VLOOKUP(TableHandbook[[#This Row],[UDC]],TableSTRUCATHL[],7,FALSE),"")</f>
        <v/>
      </c>
      <c r="R136" s="200" t="str">
        <f>IFERROR(VLOOKUP(TableHandbook[[#This Row],[UDC]],TableSTRUENGLL[],7,FALSE),"")</f>
        <v/>
      </c>
      <c r="S136" s="200" t="str">
        <f>IFERROR(VLOOKUP(TableHandbook[[#This Row],[UDC]],TableSTRUINTBC[],7,FALSE),"")</f>
        <v/>
      </c>
      <c r="T136" s="200" t="str">
        <f>IFERROR(VLOOKUP(TableHandbook[[#This Row],[UDC]],TableSTRUISTEM[],7,FALSE),"")</f>
        <v/>
      </c>
      <c r="U136" s="200" t="str">
        <f>IFERROR(VLOOKUP(TableHandbook[[#This Row],[UDC]],TableSTRULITNU[],7,FALSE),"")</f>
        <v/>
      </c>
      <c r="V136" s="200" t="str">
        <f>IFERROR(VLOOKUP(TableHandbook[[#This Row],[UDC]],TableSTRUTECHS[],7,FALSE),"")</f>
        <v/>
      </c>
      <c r="W136" s="200" t="str">
        <f>IFERROR(VLOOKUP(TableHandbook[[#This Row],[UDC]],TableBEDSC[],7,FALSE),"")</f>
        <v>Core</v>
      </c>
      <c r="X136" s="200" t="str">
        <f>IFERROR(VLOOKUP(TableHandbook[[#This Row],[UDC]],TableMJRUARTDR[],7,FALSE),"")</f>
        <v/>
      </c>
      <c r="Y136" s="200" t="str">
        <f>IFERROR(VLOOKUP(TableHandbook[[#This Row],[UDC]],TableMJRUARTME[],7,FALSE),"")</f>
        <v/>
      </c>
      <c r="Z136" s="200" t="str">
        <f>IFERROR(VLOOKUP(TableHandbook[[#This Row],[UDC]],TableMJRUARTVA[],7,FALSE),"")</f>
        <v/>
      </c>
      <c r="AA136" s="200" t="str">
        <f>IFERROR(VLOOKUP(TableHandbook[[#This Row],[UDC]],TableMJRUENGLT[],7,FALSE),"")</f>
        <v/>
      </c>
      <c r="AB136" s="200" t="str">
        <f>IFERROR(VLOOKUP(TableHandbook[[#This Row],[UDC]],TableMJRUHLTPE[],7,FALSE),"")</f>
        <v/>
      </c>
      <c r="AC136" s="200" t="str">
        <f>IFERROR(VLOOKUP(TableHandbook[[#This Row],[UDC]],TableMJRUHUSEC[],7,FALSE),"")</f>
        <v/>
      </c>
      <c r="AD136" s="200" t="str">
        <f>IFERROR(VLOOKUP(TableHandbook[[#This Row],[UDC]],TableMJRUHUSGE[],7,FALSE),"")</f>
        <v/>
      </c>
      <c r="AE136" s="200" t="str">
        <f>IFERROR(VLOOKUP(TableHandbook[[#This Row],[UDC]],TableMJRUHUSHI[],7,FALSE),"")</f>
        <v/>
      </c>
      <c r="AF136" s="200" t="str">
        <f>IFERROR(VLOOKUP(TableHandbook[[#This Row],[UDC]],TableMJRUHUSPL[],7,FALSE),"")</f>
        <v/>
      </c>
      <c r="AG136" s="200" t="str">
        <f>IFERROR(VLOOKUP(TableHandbook[[#This Row],[UDC]],TableMJRUMATHT[],7,FALSE),"")</f>
        <v/>
      </c>
      <c r="AH136" s="200" t="str">
        <f>IFERROR(VLOOKUP(TableHandbook[[#This Row],[UDC]],TableMJRUSCIBI[],7,FALSE),"")</f>
        <v/>
      </c>
      <c r="AI136" s="200" t="str">
        <f>IFERROR(VLOOKUP(TableHandbook[[#This Row],[UDC]],TableMJRUSCICH[],7,FALSE),"")</f>
        <v/>
      </c>
      <c r="AJ136" s="200" t="str">
        <f>IFERROR(VLOOKUP(TableHandbook[[#This Row],[UDC]],TableMJRUSCIHB[],7,FALSE),"")</f>
        <v/>
      </c>
      <c r="AK136" s="200" t="str">
        <f>IFERROR(VLOOKUP(TableHandbook[[#This Row],[UDC]],TableMJRUSCIPH[],7,FALSE),"")</f>
        <v/>
      </c>
      <c r="AL136" s="200" t="str">
        <f>IFERROR(VLOOKUP(TableHandbook[[#This Row],[UDC]],TableMJRUSCIPS[],7,FALSE),"")</f>
        <v/>
      </c>
      <c r="AM136" s="202"/>
      <c r="AN136" s="200" t="str">
        <f>IFERROR(VLOOKUP(TableHandbook[[#This Row],[UDC]],TableSTRUBIOLB[],7,FALSE),"")</f>
        <v/>
      </c>
      <c r="AO136" s="200" t="str">
        <f>IFERROR(VLOOKUP(TableHandbook[[#This Row],[UDC]],TableSTRUBSCIM[],7,FALSE),"")</f>
        <v/>
      </c>
      <c r="AP136" s="200" t="str">
        <f>IFERROR(VLOOKUP(TableHandbook[[#This Row],[UDC]],TableSTRUCHEMB[],7,FALSE),"")</f>
        <v/>
      </c>
      <c r="AQ136" s="200" t="str">
        <f>IFERROR(VLOOKUP(TableHandbook[[#This Row],[UDC]],TableSTRUECOB1[],7,FALSE),"")</f>
        <v/>
      </c>
      <c r="AR136" s="200" t="str">
        <f>IFERROR(VLOOKUP(TableHandbook[[#This Row],[UDC]],TableSTRUEDART[],7,FALSE),"")</f>
        <v/>
      </c>
      <c r="AS136" s="200" t="str">
        <f>IFERROR(VLOOKUP(TableHandbook[[#This Row],[UDC]],TableSTRUEDENG[],7,FALSE),"")</f>
        <v/>
      </c>
      <c r="AT136" s="200" t="str">
        <f>IFERROR(VLOOKUP(TableHandbook[[#This Row],[UDC]],TableSTRUEDHAS[],7,FALSE),"")</f>
        <v/>
      </c>
      <c r="AU136" s="200" t="str">
        <f>IFERROR(VLOOKUP(TableHandbook[[#This Row],[UDC]],TableSTRUEDMAT[],7,FALSE),"")</f>
        <v/>
      </c>
      <c r="AV136" s="200" t="str">
        <f>IFERROR(VLOOKUP(TableHandbook[[#This Row],[UDC]],TableSTRUEDSCI[],7,FALSE),"")</f>
        <v/>
      </c>
      <c r="AW136" s="200" t="str">
        <f>IFERROR(VLOOKUP(TableHandbook[[#This Row],[UDC]],TableSTRUENGLB[],7,FALSE),"")</f>
        <v/>
      </c>
      <c r="AX136" s="200" t="str">
        <f>IFERROR(VLOOKUP(TableHandbook[[#This Row],[UDC]],TableSTRUENGLM[],7,FALSE),"")</f>
        <v/>
      </c>
      <c r="AY136" s="200" t="str">
        <f>IFERROR(VLOOKUP(TableHandbook[[#This Row],[UDC]],TableSTRUGEOB1[],7,FALSE),"")</f>
        <v/>
      </c>
      <c r="AZ136" s="200" t="str">
        <f>IFERROR(VLOOKUP(TableHandbook[[#This Row],[UDC]],TableSTRUHISB1[],7,FALSE),"")</f>
        <v/>
      </c>
      <c r="BA136" s="200" t="str">
        <f>IFERROR(VLOOKUP(TableHandbook[[#This Row],[UDC]],TableSTRUHUMAM[],7,FALSE),"")</f>
        <v/>
      </c>
      <c r="BB136" s="200" t="str">
        <f>IFERROR(VLOOKUP(TableHandbook[[#This Row],[UDC]],TableSTRUHUMBB[],7,FALSE),"")</f>
        <v/>
      </c>
      <c r="BC136" s="200" t="str">
        <f>IFERROR(VLOOKUP(TableHandbook[[#This Row],[UDC]],TableSTRUMATHB[],7,FALSE),"")</f>
        <v/>
      </c>
      <c r="BD136" s="200" t="str">
        <f>IFERROR(VLOOKUP(TableHandbook[[#This Row],[UDC]],TableSTRUMATHM[],7,FALSE),"")</f>
        <v/>
      </c>
      <c r="BE136" s="200" t="str">
        <f>IFERROR(VLOOKUP(TableHandbook[[#This Row],[UDC]],TableSTRUPARTB[],7,FALSE),"")</f>
        <v/>
      </c>
      <c r="BF136" s="200" t="str">
        <f>IFERROR(VLOOKUP(TableHandbook[[#This Row],[UDC]],TableSTRUPARTM[],7,FALSE),"")</f>
        <v/>
      </c>
      <c r="BG136" s="200" t="str">
        <f>IFERROR(VLOOKUP(TableHandbook[[#This Row],[UDC]],TableSTRUPOLB1[],7,FALSE),"")</f>
        <v/>
      </c>
      <c r="BH136" s="200" t="str">
        <f>IFERROR(VLOOKUP(TableHandbook[[#This Row],[UDC]],TableSTRUPSCIM[],7,FALSE),"")</f>
        <v/>
      </c>
      <c r="BI136" s="200" t="str">
        <f>IFERROR(VLOOKUP(TableHandbook[[#This Row],[UDC]],TableSTRUPSYCB[],7,FALSE),"")</f>
        <v/>
      </c>
      <c r="BJ136" s="200" t="str">
        <f>IFERROR(VLOOKUP(TableHandbook[[#This Row],[UDC]],TableSTRUPSYCM[],7,FALSE),"")</f>
        <v/>
      </c>
      <c r="BK136" s="200" t="str">
        <f>IFERROR(VLOOKUP(TableHandbook[[#This Row],[UDC]],TableSTRUSOSCM[],7,FALSE),"")</f>
        <v/>
      </c>
      <c r="BL136" s="200" t="str">
        <f>IFERROR(VLOOKUP(TableHandbook[[#This Row],[UDC]],TableSTRUVARTB[],7,FALSE),"")</f>
        <v/>
      </c>
      <c r="BM136" s="200" t="str">
        <f>IFERROR(VLOOKUP(TableHandbook[[#This Row],[UDC]],TableSTRUVARTM[],7,FALSE),"")</f>
        <v/>
      </c>
    </row>
    <row r="137" spans="1:65" x14ac:dyDescent="0.25">
      <c r="A137" s="11" t="s">
        <v>121</v>
      </c>
      <c r="B137" s="12">
        <v>0</v>
      </c>
      <c r="C137" s="11"/>
      <c r="D137" s="11" t="s">
        <v>719</v>
      </c>
      <c r="E137" s="12">
        <v>25</v>
      </c>
      <c r="F137" s="131" t="s">
        <v>720</v>
      </c>
      <c r="G137" s="126" t="str">
        <f>IFERROR(IF(VLOOKUP(TableHandbook[[#This Row],[UDC]],TableAvailabilities[],2,FALSE)&gt;0,"Y",""),"")</f>
        <v/>
      </c>
      <c r="H137" s="127" t="str">
        <f>IFERROR(IF(VLOOKUP(TableHandbook[[#This Row],[UDC]],TableAvailabilities[],3,FALSE)&gt;0,"Y",""),"")</f>
        <v/>
      </c>
      <c r="I137" s="127" t="str">
        <f>IFERROR(IF(VLOOKUP(TableHandbook[[#This Row],[UDC]],TableAvailabilities[],4,FALSE)&gt;0,"Y",""),"")</f>
        <v/>
      </c>
      <c r="J137" s="128" t="str">
        <f>IFERROR(IF(VLOOKUP(TableHandbook[[#This Row],[UDC]],TableAvailabilities[],5,FALSE)&gt;0,"Y",""),"")</f>
        <v/>
      </c>
      <c r="K137" s="128" t="str">
        <f>IFERROR(IF(VLOOKUP(TableHandbook[[#This Row],[UDC]],TableAvailabilities[],6,FALSE)&gt;0,"Y",""),"")</f>
        <v/>
      </c>
      <c r="L137" s="127" t="str">
        <f>IFERROR(IF(VLOOKUP(TableHandbook[[#This Row],[UDC]],TableAvailabilities[],7,FALSE)&gt;0,"Y",""),"")</f>
        <v/>
      </c>
      <c r="M137" s="207"/>
      <c r="N137" s="205" t="str">
        <f>IFERROR(VLOOKUP(TableHandbook[[#This Row],[UDC]],TableBEDUC[],7,FALSE),"")</f>
        <v/>
      </c>
      <c r="O137" s="200" t="str">
        <f>IFERROR(VLOOKUP(TableHandbook[[#This Row],[UDC]],TableBEDEC[],7,FALSE),"")</f>
        <v/>
      </c>
      <c r="P137" s="200" t="str">
        <f>IFERROR(VLOOKUP(TableHandbook[[#This Row],[UDC]],TableBEDPR[],7,FALSE),"")</f>
        <v/>
      </c>
      <c r="Q137" s="200" t="str">
        <f>IFERROR(VLOOKUP(TableHandbook[[#This Row],[UDC]],TableSTRUCATHL[],7,FALSE),"")</f>
        <v/>
      </c>
      <c r="R137" s="200" t="str">
        <f>IFERROR(VLOOKUP(TableHandbook[[#This Row],[UDC]],TableSTRUENGLL[],7,FALSE),"")</f>
        <v/>
      </c>
      <c r="S137" s="200" t="str">
        <f>IFERROR(VLOOKUP(TableHandbook[[#This Row],[UDC]],TableSTRUINTBC[],7,FALSE),"")</f>
        <v/>
      </c>
      <c r="T137" s="200" t="str">
        <f>IFERROR(VLOOKUP(TableHandbook[[#This Row],[UDC]],TableSTRUISTEM[],7,FALSE),"")</f>
        <v/>
      </c>
      <c r="U137" s="200" t="str">
        <f>IFERROR(VLOOKUP(TableHandbook[[#This Row],[UDC]],TableSTRULITNU[],7,FALSE),"")</f>
        <v/>
      </c>
      <c r="V137" s="200" t="str">
        <f>IFERROR(VLOOKUP(TableHandbook[[#This Row],[UDC]],TableSTRUTECHS[],7,FALSE),"")</f>
        <v/>
      </c>
      <c r="W137" s="200" t="str">
        <f>IFERROR(VLOOKUP(TableHandbook[[#This Row],[UDC]],TableBEDSC[],7,FALSE),"")</f>
        <v/>
      </c>
      <c r="X137" s="200" t="str">
        <f>IFERROR(VLOOKUP(TableHandbook[[#This Row],[UDC]],TableMJRUARTDR[],7,FALSE),"")</f>
        <v>Elective</v>
      </c>
      <c r="Y137" s="200" t="str">
        <f>IFERROR(VLOOKUP(TableHandbook[[#This Row],[UDC]],TableMJRUARTME[],7,FALSE),"")</f>
        <v>Elective</v>
      </c>
      <c r="Z137" s="200" t="str">
        <f>IFERROR(VLOOKUP(TableHandbook[[#This Row],[UDC]],TableMJRUARTVA[],7,FALSE),"")</f>
        <v>Elective</v>
      </c>
      <c r="AA137" s="200" t="str">
        <f>IFERROR(VLOOKUP(TableHandbook[[#This Row],[UDC]],TableMJRUENGLT[],7,FALSE),"")</f>
        <v>Elective</v>
      </c>
      <c r="AB137" s="200" t="str">
        <f>IFERROR(VLOOKUP(TableHandbook[[#This Row],[UDC]],TableMJRUHLTPE[],7,FALSE),"")</f>
        <v/>
      </c>
      <c r="AC137" s="200" t="str">
        <f>IFERROR(VLOOKUP(TableHandbook[[#This Row],[UDC]],TableMJRUHUSEC[],7,FALSE),"")</f>
        <v>Elective</v>
      </c>
      <c r="AD137" s="200" t="str">
        <f>IFERROR(VLOOKUP(TableHandbook[[#This Row],[UDC]],TableMJRUHUSGE[],7,FALSE),"")</f>
        <v>Elective</v>
      </c>
      <c r="AE137" s="200" t="str">
        <f>IFERROR(VLOOKUP(TableHandbook[[#This Row],[UDC]],TableMJRUHUSHI[],7,FALSE),"")</f>
        <v>Elective</v>
      </c>
      <c r="AF137" s="200" t="str">
        <f>IFERROR(VLOOKUP(TableHandbook[[#This Row],[UDC]],TableMJRUHUSPL[],7,FALSE),"")</f>
        <v>Elective</v>
      </c>
      <c r="AG137" s="200" t="str">
        <f>IFERROR(VLOOKUP(TableHandbook[[#This Row],[UDC]],TableMJRUMATHT[],7,FALSE),"")</f>
        <v>Elective</v>
      </c>
      <c r="AH137" s="200" t="str">
        <f>IFERROR(VLOOKUP(TableHandbook[[#This Row],[UDC]],TableMJRUSCIBI[],7,FALSE),"")</f>
        <v>Elective</v>
      </c>
      <c r="AI137" s="200" t="str">
        <f>IFERROR(VLOOKUP(TableHandbook[[#This Row],[UDC]],TableMJRUSCICH[],7,FALSE),"")</f>
        <v>Elective</v>
      </c>
      <c r="AJ137" s="200" t="str">
        <f>IFERROR(VLOOKUP(TableHandbook[[#This Row],[UDC]],TableMJRUSCIHB[],7,FALSE),"")</f>
        <v>Elective</v>
      </c>
      <c r="AK137" s="200" t="str">
        <f>IFERROR(VLOOKUP(TableHandbook[[#This Row],[UDC]],TableMJRUSCIPH[],7,FALSE),"")</f>
        <v/>
      </c>
      <c r="AL137" s="200" t="str">
        <f>IFERROR(VLOOKUP(TableHandbook[[#This Row],[UDC]],TableMJRUSCIPS[],7,FALSE),"")</f>
        <v>Elective</v>
      </c>
      <c r="AM137" s="202"/>
      <c r="AN137" s="200" t="str">
        <f>IFERROR(VLOOKUP(TableHandbook[[#This Row],[UDC]],TableSTRUBIOLB[],7,FALSE),"")</f>
        <v/>
      </c>
      <c r="AO137" s="200" t="str">
        <f>IFERROR(VLOOKUP(TableHandbook[[#This Row],[UDC]],TableSTRUBSCIM[],7,FALSE),"")</f>
        <v/>
      </c>
      <c r="AP137" s="200" t="str">
        <f>IFERROR(VLOOKUP(TableHandbook[[#This Row],[UDC]],TableSTRUCHEMB[],7,FALSE),"")</f>
        <v/>
      </c>
      <c r="AQ137" s="200" t="str">
        <f>IFERROR(VLOOKUP(TableHandbook[[#This Row],[UDC]],TableSTRUECOB1[],7,FALSE),"")</f>
        <v/>
      </c>
      <c r="AR137" s="200" t="str">
        <f>IFERROR(VLOOKUP(TableHandbook[[#This Row],[UDC]],TableSTRUEDART[],7,FALSE),"")</f>
        <v/>
      </c>
      <c r="AS137" s="200" t="str">
        <f>IFERROR(VLOOKUP(TableHandbook[[#This Row],[UDC]],TableSTRUEDENG[],7,FALSE),"")</f>
        <v/>
      </c>
      <c r="AT137" s="200" t="str">
        <f>IFERROR(VLOOKUP(TableHandbook[[#This Row],[UDC]],TableSTRUEDHAS[],7,FALSE),"")</f>
        <v/>
      </c>
      <c r="AU137" s="200" t="str">
        <f>IFERROR(VLOOKUP(TableHandbook[[#This Row],[UDC]],TableSTRUEDMAT[],7,FALSE),"")</f>
        <v/>
      </c>
      <c r="AV137" s="200" t="str">
        <f>IFERROR(VLOOKUP(TableHandbook[[#This Row],[UDC]],TableSTRUEDSCI[],7,FALSE),"")</f>
        <v/>
      </c>
      <c r="AW137" s="200" t="str">
        <f>IFERROR(VLOOKUP(TableHandbook[[#This Row],[UDC]],TableSTRUENGLB[],7,FALSE),"")</f>
        <v/>
      </c>
      <c r="AX137" s="200" t="str">
        <f>IFERROR(VLOOKUP(TableHandbook[[#This Row],[UDC]],TableSTRUENGLM[],7,FALSE),"")</f>
        <v/>
      </c>
      <c r="AY137" s="200" t="str">
        <f>IFERROR(VLOOKUP(TableHandbook[[#This Row],[UDC]],TableSTRUGEOB1[],7,FALSE),"")</f>
        <v/>
      </c>
      <c r="AZ137" s="200" t="str">
        <f>IFERROR(VLOOKUP(TableHandbook[[#This Row],[UDC]],TableSTRUHISB1[],7,FALSE),"")</f>
        <v/>
      </c>
      <c r="BA137" s="200" t="str">
        <f>IFERROR(VLOOKUP(TableHandbook[[#This Row],[UDC]],TableSTRUHUMAM[],7,FALSE),"")</f>
        <v/>
      </c>
      <c r="BB137" s="200" t="str">
        <f>IFERROR(VLOOKUP(TableHandbook[[#This Row],[UDC]],TableSTRUHUMBB[],7,FALSE),"")</f>
        <v/>
      </c>
      <c r="BC137" s="200" t="str">
        <f>IFERROR(VLOOKUP(TableHandbook[[#This Row],[UDC]],TableSTRUMATHB[],7,FALSE),"")</f>
        <v/>
      </c>
      <c r="BD137" s="200" t="str">
        <f>IFERROR(VLOOKUP(TableHandbook[[#This Row],[UDC]],TableSTRUMATHM[],7,FALSE),"")</f>
        <v/>
      </c>
      <c r="BE137" s="200" t="str">
        <f>IFERROR(VLOOKUP(TableHandbook[[#This Row],[UDC]],TableSTRUPARTB[],7,FALSE),"")</f>
        <v/>
      </c>
      <c r="BF137" s="200" t="str">
        <f>IFERROR(VLOOKUP(TableHandbook[[#This Row],[UDC]],TableSTRUPARTM[],7,FALSE),"")</f>
        <v/>
      </c>
      <c r="BG137" s="200" t="str">
        <f>IFERROR(VLOOKUP(TableHandbook[[#This Row],[UDC]],TableSTRUPOLB1[],7,FALSE),"")</f>
        <v/>
      </c>
      <c r="BH137" s="200" t="str">
        <f>IFERROR(VLOOKUP(TableHandbook[[#This Row],[UDC]],TableSTRUPSCIM[],7,FALSE),"")</f>
        <v/>
      </c>
      <c r="BI137" s="200" t="str">
        <f>IFERROR(VLOOKUP(TableHandbook[[#This Row],[UDC]],TableSTRUPSYCB[],7,FALSE),"")</f>
        <v/>
      </c>
      <c r="BJ137" s="200" t="str">
        <f>IFERROR(VLOOKUP(TableHandbook[[#This Row],[UDC]],TableSTRUPSYCM[],7,FALSE),"")</f>
        <v/>
      </c>
      <c r="BK137" s="200" t="str">
        <f>IFERROR(VLOOKUP(TableHandbook[[#This Row],[UDC]],TableSTRUSOSCM[],7,FALSE),"")</f>
        <v/>
      </c>
      <c r="BL137" s="200" t="str">
        <f>IFERROR(VLOOKUP(TableHandbook[[#This Row],[UDC]],TableSTRUVARTB[],7,FALSE),"")</f>
        <v/>
      </c>
      <c r="BM137" s="200" t="str">
        <f>IFERROR(VLOOKUP(TableHandbook[[#This Row],[UDC]],TableSTRUVARTM[],7,FALSE),"")</f>
        <v/>
      </c>
    </row>
    <row r="138" spans="1:65" x14ac:dyDescent="0.25">
      <c r="A138" s="261" t="s">
        <v>511</v>
      </c>
      <c r="B138" s="12">
        <v>2</v>
      </c>
      <c r="C138" s="11"/>
      <c r="D138" s="11" t="s">
        <v>721</v>
      </c>
      <c r="E138" s="12">
        <v>25</v>
      </c>
      <c r="F138" s="131" t="s">
        <v>598</v>
      </c>
      <c r="G138" s="126" t="str">
        <f>IFERROR(IF(VLOOKUP(TableHandbook[[#This Row],[UDC]],TableAvailabilities[],2,FALSE)&gt;0,"Y",""),"")</f>
        <v/>
      </c>
      <c r="H138" s="127" t="str">
        <f>IFERROR(IF(VLOOKUP(TableHandbook[[#This Row],[UDC]],TableAvailabilities[],3,FALSE)&gt;0,"Y",""),"")</f>
        <v/>
      </c>
      <c r="I138" s="127" t="str">
        <f>IFERROR(IF(VLOOKUP(TableHandbook[[#This Row],[UDC]],TableAvailabilities[],4,FALSE)&gt;0,"Y",""),"")</f>
        <v/>
      </c>
      <c r="J138" s="128" t="str">
        <f>IFERROR(IF(VLOOKUP(TableHandbook[[#This Row],[UDC]],TableAvailabilities[],5,FALSE)&gt;0,"Y",""),"")</f>
        <v>Y</v>
      </c>
      <c r="K138" s="128" t="str">
        <f>IFERROR(IF(VLOOKUP(TableHandbook[[#This Row],[UDC]],TableAvailabilities[],6,FALSE)&gt;0,"Y",""),"")</f>
        <v/>
      </c>
      <c r="L138" s="127" t="str">
        <f>IFERROR(IF(VLOOKUP(TableHandbook[[#This Row],[UDC]],TableAvailabilities[],7,FALSE)&gt;0,"Y",""),"")</f>
        <v/>
      </c>
      <c r="M138" s="207"/>
      <c r="N138" s="205" t="str">
        <f>IFERROR(VLOOKUP(TableHandbook[[#This Row],[UDC]],TableBEDUC[],7,FALSE),"")</f>
        <v/>
      </c>
      <c r="O138" s="200" t="str">
        <f>IFERROR(VLOOKUP(TableHandbook[[#This Row],[UDC]],TableBEDEC[],7,FALSE),"")</f>
        <v/>
      </c>
      <c r="P138" s="200" t="str">
        <f>IFERROR(VLOOKUP(TableHandbook[[#This Row],[UDC]],TableBEDPR[],7,FALSE),"")</f>
        <v/>
      </c>
      <c r="Q138" s="200" t="str">
        <f>IFERROR(VLOOKUP(TableHandbook[[#This Row],[UDC]],TableSTRUCATHL[],7,FALSE),"")</f>
        <v/>
      </c>
      <c r="R138" s="200" t="str">
        <f>IFERROR(VLOOKUP(TableHandbook[[#This Row],[UDC]],TableSTRUENGLL[],7,FALSE),"")</f>
        <v/>
      </c>
      <c r="S138" s="200" t="str">
        <f>IFERROR(VLOOKUP(TableHandbook[[#This Row],[UDC]],TableSTRUINTBC[],7,FALSE),"")</f>
        <v/>
      </c>
      <c r="T138" s="200" t="str">
        <f>IFERROR(VLOOKUP(TableHandbook[[#This Row],[UDC]],TableSTRUISTEM[],7,FALSE),"")</f>
        <v/>
      </c>
      <c r="U138" s="200" t="str">
        <f>IFERROR(VLOOKUP(TableHandbook[[#This Row],[UDC]],TableSTRULITNU[],7,FALSE),"")</f>
        <v/>
      </c>
      <c r="V138" s="200" t="str">
        <f>IFERROR(VLOOKUP(TableHandbook[[#This Row],[UDC]],TableSTRUTECHS[],7,FALSE),"")</f>
        <v/>
      </c>
      <c r="W138" s="200" t="str">
        <f>IFERROR(VLOOKUP(TableHandbook[[#This Row],[UDC]],TableBEDSC[],7,FALSE),"")</f>
        <v/>
      </c>
      <c r="X138" s="200" t="str">
        <f>IFERROR(VLOOKUP(TableHandbook[[#This Row],[UDC]],TableMJRUARTDR[],7,FALSE),"")</f>
        <v/>
      </c>
      <c r="Y138" s="200" t="str">
        <f>IFERROR(VLOOKUP(TableHandbook[[#This Row],[UDC]],TableMJRUARTME[],7,FALSE),"")</f>
        <v/>
      </c>
      <c r="Z138" s="200" t="str">
        <f>IFERROR(VLOOKUP(TableHandbook[[#This Row],[UDC]],TableMJRUARTVA[],7,FALSE),"")</f>
        <v/>
      </c>
      <c r="AA138" s="200" t="str">
        <f>IFERROR(VLOOKUP(TableHandbook[[#This Row],[UDC]],TableMJRUENGLT[],7,FALSE),"")</f>
        <v/>
      </c>
      <c r="AB138" s="200" t="str">
        <f>IFERROR(VLOOKUP(TableHandbook[[#This Row],[UDC]],TableMJRUHLTPE[],7,FALSE),"")</f>
        <v/>
      </c>
      <c r="AC138" s="200" t="str">
        <f>IFERROR(VLOOKUP(TableHandbook[[#This Row],[UDC]],TableMJRUHUSEC[],7,FALSE),"")</f>
        <v/>
      </c>
      <c r="AD138" s="200" t="str">
        <f>IFERROR(VLOOKUP(TableHandbook[[#This Row],[UDC]],TableMJRUHUSGE[],7,FALSE),"")</f>
        <v/>
      </c>
      <c r="AE138" s="200" t="str">
        <f>IFERROR(VLOOKUP(TableHandbook[[#This Row],[UDC]],TableMJRUHUSHI[],7,FALSE),"")</f>
        <v/>
      </c>
      <c r="AF138" s="200" t="str">
        <f>IFERROR(VLOOKUP(TableHandbook[[#This Row],[UDC]],TableMJRUHUSPL[],7,FALSE),"")</f>
        <v/>
      </c>
      <c r="AG138" s="200" t="str">
        <f>IFERROR(VLOOKUP(TableHandbook[[#This Row],[UDC]],TableMJRUMATHT[],7,FALSE),"")</f>
        <v/>
      </c>
      <c r="AH138" s="200" t="str">
        <f>IFERROR(VLOOKUP(TableHandbook[[#This Row],[UDC]],TableMJRUSCIBI[],7,FALSE),"")</f>
        <v/>
      </c>
      <c r="AI138" s="200" t="str">
        <f>IFERROR(VLOOKUP(TableHandbook[[#This Row],[UDC]],TableMJRUSCICH[],7,FALSE),"")</f>
        <v/>
      </c>
      <c r="AJ138" s="200" t="str">
        <f>IFERROR(VLOOKUP(TableHandbook[[#This Row],[UDC]],TableMJRUSCIHB[],7,FALSE),"")</f>
        <v/>
      </c>
      <c r="AK138" s="200" t="str">
        <f>IFERROR(VLOOKUP(TableHandbook[[#This Row],[UDC]],TableMJRUSCIPH[],7,FALSE),"")</f>
        <v/>
      </c>
      <c r="AL138" s="200" t="str">
        <f>IFERROR(VLOOKUP(TableHandbook[[#This Row],[UDC]],TableMJRUSCIPS[],7,FALSE),"")</f>
        <v/>
      </c>
      <c r="AM138" s="202"/>
      <c r="AN138" s="200" t="str">
        <f>IFERROR(VLOOKUP(TableHandbook[[#This Row],[UDC]],TableSTRUBIOLB[],7,FALSE),"")</f>
        <v>Core</v>
      </c>
      <c r="AO138" s="200" t="str">
        <f>IFERROR(VLOOKUP(TableHandbook[[#This Row],[UDC]],TableSTRUBSCIM[],7,FALSE),"")</f>
        <v/>
      </c>
      <c r="AP138" s="200" t="str">
        <f>IFERROR(VLOOKUP(TableHandbook[[#This Row],[UDC]],TableSTRUCHEMB[],7,FALSE),"")</f>
        <v/>
      </c>
      <c r="AQ138" s="200" t="str">
        <f>IFERROR(VLOOKUP(TableHandbook[[#This Row],[UDC]],TableSTRUECOB1[],7,FALSE),"")</f>
        <v/>
      </c>
      <c r="AR138" s="200" t="str">
        <f>IFERROR(VLOOKUP(TableHandbook[[#This Row],[UDC]],TableSTRUEDART[],7,FALSE),"")</f>
        <v/>
      </c>
      <c r="AS138" s="200" t="str">
        <f>IFERROR(VLOOKUP(TableHandbook[[#This Row],[UDC]],TableSTRUEDENG[],7,FALSE),"")</f>
        <v/>
      </c>
      <c r="AT138" s="200" t="str">
        <f>IFERROR(VLOOKUP(TableHandbook[[#This Row],[UDC]],TableSTRUEDHAS[],7,FALSE),"")</f>
        <v/>
      </c>
      <c r="AU138" s="200" t="str">
        <f>IFERROR(VLOOKUP(TableHandbook[[#This Row],[UDC]],TableSTRUEDMAT[],7,FALSE),"")</f>
        <v/>
      </c>
      <c r="AV138" s="200" t="str">
        <f>IFERROR(VLOOKUP(TableHandbook[[#This Row],[UDC]],TableSTRUEDSCI[],7,FALSE),"")</f>
        <v/>
      </c>
      <c r="AW138" s="200" t="str">
        <f>IFERROR(VLOOKUP(TableHandbook[[#This Row],[UDC]],TableSTRUENGLB[],7,FALSE),"")</f>
        <v/>
      </c>
      <c r="AX138" s="200" t="str">
        <f>IFERROR(VLOOKUP(TableHandbook[[#This Row],[UDC]],TableSTRUENGLM[],7,FALSE),"")</f>
        <v/>
      </c>
      <c r="AY138" s="200" t="str">
        <f>IFERROR(VLOOKUP(TableHandbook[[#This Row],[UDC]],TableSTRUGEOB1[],7,FALSE),"")</f>
        <v/>
      </c>
      <c r="AZ138" s="200" t="str">
        <f>IFERROR(VLOOKUP(TableHandbook[[#This Row],[UDC]],TableSTRUHISB1[],7,FALSE),"")</f>
        <v/>
      </c>
      <c r="BA138" s="200" t="str">
        <f>IFERROR(VLOOKUP(TableHandbook[[#This Row],[UDC]],TableSTRUHUMAM[],7,FALSE),"")</f>
        <v/>
      </c>
      <c r="BB138" s="200" t="str">
        <f>IFERROR(VLOOKUP(TableHandbook[[#This Row],[UDC]],TableSTRUHUMBB[],7,FALSE),"")</f>
        <v/>
      </c>
      <c r="BC138" s="200" t="str">
        <f>IFERROR(VLOOKUP(TableHandbook[[#This Row],[UDC]],TableSTRUMATHB[],7,FALSE),"")</f>
        <v/>
      </c>
      <c r="BD138" s="200" t="str">
        <f>IFERROR(VLOOKUP(TableHandbook[[#This Row],[UDC]],TableSTRUMATHM[],7,FALSE),"")</f>
        <v/>
      </c>
      <c r="BE138" s="200" t="str">
        <f>IFERROR(VLOOKUP(TableHandbook[[#This Row],[UDC]],TableSTRUPARTB[],7,FALSE),"")</f>
        <v/>
      </c>
      <c r="BF138" s="200" t="str">
        <f>IFERROR(VLOOKUP(TableHandbook[[#This Row],[UDC]],TableSTRUPARTM[],7,FALSE),"")</f>
        <v/>
      </c>
      <c r="BG138" s="200" t="str">
        <f>IFERROR(VLOOKUP(TableHandbook[[#This Row],[UDC]],TableSTRUPOLB1[],7,FALSE),"")</f>
        <v/>
      </c>
      <c r="BH138" s="200" t="str">
        <f>IFERROR(VLOOKUP(TableHandbook[[#This Row],[UDC]],TableSTRUPSCIM[],7,FALSE),"")</f>
        <v/>
      </c>
      <c r="BI138" s="200" t="str">
        <f>IFERROR(VLOOKUP(TableHandbook[[#This Row],[UDC]],TableSTRUPSYCB[],7,FALSE),"")</f>
        <v/>
      </c>
      <c r="BJ138" s="200" t="str">
        <f>IFERROR(VLOOKUP(TableHandbook[[#This Row],[UDC]],TableSTRUPSYCM[],7,FALSE),"")</f>
        <v/>
      </c>
      <c r="BK138" s="200" t="str">
        <f>IFERROR(VLOOKUP(TableHandbook[[#This Row],[UDC]],TableSTRUSOSCM[],7,FALSE),"")</f>
        <v/>
      </c>
      <c r="BL138" s="200" t="str">
        <f>IFERROR(VLOOKUP(TableHandbook[[#This Row],[UDC]],TableSTRUVARTB[],7,FALSE),"")</f>
        <v/>
      </c>
      <c r="BM138" s="200" t="str">
        <f>IFERROR(VLOOKUP(TableHandbook[[#This Row],[UDC]],TableSTRUVARTM[],7,FALSE),"")</f>
        <v/>
      </c>
    </row>
    <row r="139" spans="1:65" x14ac:dyDescent="0.25">
      <c r="A139" s="262" t="s">
        <v>386</v>
      </c>
      <c r="B139" s="12">
        <v>1</v>
      </c>
      <c r="C139" s="11"/>
      <c r="D139" s="11" t="s">
        <v>722</v>
      </c>
      <c r="E139" s="12">
        <v>25</v>
      </c>
      <c r="F139" s="131" t="s">
        <v>544</v>
      </c>
      <c r="G139" s="126" t="str">
        <f>IFERROR(IF(VLOOKUP(TableHandbook[[#This Row],[UDC]],TableAvailabilities[],2,FALSE)&gt;0,"Y",""),"")</f>
        <v/>
      </c>
      <c r="H139" s="127" t="str">
        <f>IFERROR(IF(VLOOKUP(TableHandbook[[#This Row],[UDC]],TableAvailabilities[],3,FALSE)&gt;0,"Y",""),"")</f>
        <v/>
      </c>
      <c r="I139" s="127" t="str">
        <f>IFERROR(IF(VLOOKUP(TableHandbook[[#This Row],[UDC]],TableAvailabilities[],4,FALSE)&gt;0,"Y",""),"")</f>
        <v/>
      </c>
      <c r="J139" s="128" t="str">
        <f>IFERROR(IF(VLOOKUP(TableHandbook[[#This Row],[UDC]],TableAvailabilities[],5,FALSE)&gt;0,"Y",""),"")</f>
        <v>Y</v>
      </c>
      <c r="K139" s="128" t="str">
        <f>IFERROR(IF(VLOOKUP(TableHandbook[[#This Row],[UDC]],TableAvailabilities[],6,FALSE)&gt;0,"Y",""),"")</f>
        <v/>
      </c>
      <c r="L139" s="127" t="str">
        <f>IFERROR(IF(VLOOKUP(TableHandbook[[#This Row],[UDC]],TableAvailabilities[],7,FALSE)&gt;0,"Y",""),"")</f>
        <v/>
      </c>
      <c r="M139" s="207"/>
      <c r="N139" s="205" t="str">
        <f>IFERROR(VLOOKUP(TableHandbook[[#This Row],[UDC]],TableBEDUC[],7,FALSE),"")</f>
        <v/>
      </c>
      <c r="O139" s="200" t="str">
        <f>IFERROR(VLOOKUP(TableHandbook[[#This Row],[UDC]],TableBEDEC[],7,FALSE),"")</f>
        <v/>
      </c>
      <c r="P139" s="200" t="str">
        <f>IFERROR(VLOOKUP(TableHandbook[[#This Row],[UDC]],TableBEDPR[],7,FALSE),"")</f>
        <v/>
      </c>
      <c r="Q139" s="200" t="str">
        <f>IFERROR(VLOOKUP(TableHandbook[[#This Row],[UDC]],TableSTRUCATHL[],7,FALSE),"")</f>
        <v/>
      </c>
      <c r="R139" s="200" t="str">
        <f>IFERROR(VLOOKUP(TableHandbook[[#This Row],[UDC]],TableSTRUENGLL[],7,FALSE),"")</f>
        <v/>
      </c>
      <c r="S139" s="200" t="str">
        <f>IFERROR(VLOOKUP(TableHandbook[[#This Row],[UDC]],TableSTRUINTBC[],7,FALSE),"")</f>
        <v/>
      </c>
      <c r="T139" s="200" t="str">
        <f>IFERROR(VLOOKUP(TableHandbook[[#This Row],[UDC]],TableSTRUISTEM[],7,FALSE),"")</f>
        <v/>
      </c>
      <c r="U139" s="200" t="str">
        <f>IFERROR(VLOOKUP(TableHandbook[[#This Row],[UDC]],TableSTRULITNU[],7,FALSE),"")</f>
        <v/>
      </c>
      <c r="V139" s="200" t="str">
        <f>IFERROR(VLOOKUP(TableHandbook[[#This Row],[UDC]],TableSTRUTECHS[],7,FALSE),"")</f>
        <v/>
      </c>
      <c r="W139" s="200" t="str">
        <f>IFERROR(VLOOKUP(TableHandbook[[#This Row],[UDC]],TableBEDSC[],7,FALSE),"")</f>
        <v/>
      </c>
      <c r="X139" s="200" t="str">
        <f>IFERROR(VLOOKUP(TableHandbook[[#This Row],[UDC]],TableMJRUARTDR[],7,FALSE),"")</f>
        <v/>
      </c>
      <c r="Y139" s="200" t="str">
        <f>IFERROR(VLOOKUP(TableHandbook[[#This Row],[UDC]],TableMJRUARTME[],7,FALSE),"")</f>
        <v/>
      </c>
      <c r="Z139" s="200" t="str">
        <f>IFERROR(VLOOKUP(TableHandbook[[#This Row],[UDC]],TableMJRUARTVA[],7,FALSE),"")</f>
        <v/>
      </c>
      <c r="AA139" s="200" t="str">
        <f>IFERROR(VLOOKUP(TableHandbook[[#This Row],[UDC]],TableMJRUENGLT[],7,FALSE),"")</f>
        <v/>
      </c>
      <c r="AB139" s="200" t="str">
        <f>IFERROR(VLOOKUP(TableHandbook[[#This Row],[UDC]],TableMJRUHLTPE[],7,FALSE),"")</f>
        <v/>
      </c>
      <c r="AC139" s="200" t="str">
        <f>IFERROR(VLOOKUP(TableHandbook[[#This Row],[UDC]],TableMJRUHUSEC[],7,FALSE),"")</f>
        <v/>
      </c>
      <c r="AD139" s="200" t="str">
        <f>IFERROR(VLOOKUP(TableHandbook[[#This Row],[UDC]],TableMJRUHUSGE[],7,FALSE),"")</f>
        <v/>
      </c>
      <c r="AE139" s="200" t="str">
        <f>IFERROR(VLOOKUP(TableHandbook[[#This Row],[UDC]],TableMJRUHUSHI[],7,FALSE),"")</f>
        <v/>
      </c>
      <c r="AF139" s="200" t="str">
        <f>IFERROR(VLOOKUP(TableHandbook[[#This Row],[UDC]],TableMJRUHUSPL[],7,FALSE),"")</f>
        <v/>
      </c>
      <c r="AG139" s="200" t="str">
        <f>IFERROR(VLOOKUP(TableHandbook[[#This Row],[UDC]],TableMJRUMATHT[],7,FALSE),"")</f>
        <v/>
      </c>
      <c r="AH139" s="200" t="str">
        <f>IFERROR(VLOOKUP(TableHandbook[[#This Row],[UDC]],TableMJRUSCIBI[],7,FALSE),"")</f>
        <v>Core</v>
      </c>
      <c r="AI139" s="200" t="str">
        <f>IFERROR(VLOOKUP(TableHandbook[[#This Row],[UDC]],TableMJRUSCICH[],7,FALSE),"")</f>
        <v/>
      </c>
      <c r="AJ139" s="200" t="str">
        <f>IFERROR(VLOOKUP(TableHandbook[[#This Row],[UDC]],TableMJRUSCIHB[],7,FALSE),"")</f>
        <v/>
      </c>
      <c r="AK139" s="200" t="str">
        <f>IFERROR(VLOOKUP(TableHandbook[[#This Row],[UDC]],TableMJRUSCIPH[],7,FALSE),"")</f>
        <v/>
      </c>
      <c r="AL139" s="200" t="str">
        <f>IFERROR(VLOOKUP(TableHandbook[[#This Row],[UDC]],TableMJRUSCIPS[],7,FALSE),"")</f>
        <v/>
      </c>
      <c r="AM139" s="202"/>
      <c r="AN139" s="200" t="str">
        <f>IFERROR(VLOOKUP(TableHandbook[[#This Row],[UDC]],TableSTRUBIOLB[],7,FALSE),"")</f>
        <v/>
      </c>
      <c r="AO139" s="200" t="str">
        <f>IFERROR(VLOOKUP(TableHandbook[[#This Row],[UDC]],TableSTRUBSCIM[],7,FALSE),"")</f>
        <v/>
      </c>
      <c r="AP139" s="200" t="str">
        <f>IFERROR(VLOOKUP(TableHandbook[[#This Row],[UDC]],TableSTRUCHEMB[],7,FALSE),"")</f>
        <v/>
      </c>
      <c r="AQ139" s="200" t="str">
        <f>IFERROR(VLOOKUP(TableHandbook[[#This Row],[UDC]],TableSTRUECOB1[],7,FALSE),"")</f>
        <v/>
      </c>
      <c r="AR139" s="200" t="str">
        <f>IFERROR(VLOOKUP(TableHandbook[[#This Row],[UDC]],TableSTRUEDART[],7,FALSE),"")</f>
        <v/>
      </c>
      <c r="AS139" s="200" t="str">
        <f>IFERROR(VLOOKUP(TableHandbook[[#This Row],[UDC]],TableSTRUEDENG[],7,FALSE),"")</f>
        <v/>
      </c>
      <c r="AT139" s="200" t="str">
        <f>IFERROR(VLOOKUP(TableHandbook[[#This Row],[UDC]],TableSTRUEDHAS[],7,FALSE),"")</f>
        <v/>
      </c>
      <c r="AU139" s="200" t="str">
        <f>IFERROR(VLOOKUP(TableHandbook[[#This Row],[UDC]],TableSTRUEDMAT[],7,FALSE),"")</f>
        <v/>
      </c>
      <c r="AV139" s="200" t="str">
        <f>IFERROR(VLOOKUP(TableHandbook[[#This Row],[UDC]],TableSTRUEDSCI[],7,FALSE),"")</f>
        <v/>
      </c>
      <c r="AW139" s="200" t="str">
        <f>IFERROR(VLOOKUP(TableHandbook[[#This Row],[UDC]],TableSTRUENGLB[],7,FALSE),"")</f>
        <v/>
      </c>
      <c r="AX139" s="200" t="str">
        <f>IFERROR(VLOOKUP(TableHandbook[[#This Row],[UDC]],TableSTRUENGLM[],7,FALSE),"")</f>
        <v/>
      </c>
      <c r="AY139" s="200" t="str">
        <f>IFERROR(VLOOKUP(TableHandbook[[#This Row],[UDC]],TableSTRUGEOB1[],7,FALSE),"")</f>
        <v/>
      </c>
      <c r="AZ139" s="200" t="str">
        <f>IFERROR(VLOOKUP(TableHandbook[[#This Row],[UDC]],TableSTRUHISB1[],7,FALSE),"")</f>
        <v/>
      </c>
      <c r="BA139" s="200" t="str">
        <f>IFERROR(VLOOKUP(TableHandbook[[#This Row],[UDC]],TableSTRUHUMAM[],7,FALSE),"")</f>
        <v/>
      </c>
      <c r="BB139" s="200" t="str">
        <f>IFERROR(VLOOKUP(TableHandbook[[#This Row],[UDC]],TableSTRUHUMBB[],7,FALSE),"")</f>
        <v/>
      </c>
      <c r="BC139" s="200" t="str">
        <f>IFERROR(VLOOKUP(TableHandbook[[#This Row],[UDC]],TableSTRUMATHB[],7,FALSE),"")</f>
        <v/>
      </c>
      <c r="BD139" s="200" t="str">
        <f>IFERROR(VLOOKUP(TableHandbook[[#This Row],[UDC]],TableSTRUMATHM[],7,FALSE),"")</f>
        <v/>
      </c>
      <c r="BE139" s="200" t="str">
        <f>IFERROR(VLOOKUP(TableHandbook[[#This Row],[UDC]],TableSTRUPARTB[],7,FALSE),"")</f>
        <v/>
      </c>
      <c r="BF139" s="200" t="str">
        <f>IFERROR(VLOOKUP(TableHandbook[[#This Row],[UDC]],TableSTRUPARTM[],7,FALSE),"")</f>
        <v/>
      </c>
      <c r="BG139" s="200" t="str">
        <f>IFERROR(VLOOKUP(TableHandbook[[#This Row],[UDC]],TableSTRUPOLB1[],7,FALSE),"")</f>
        <v/>
      </c>
      <c r="BH139" s="200" t="str">
        <f>IFERROR(VLOOKUP(TableHandbook[[#This Row],[UDC]],TableSTRUPSCIM[],7,FALSE),"")</f>
        <v/>
      </c>
      <c r="BI139" s="200" t="str">
        <f>IFERROR(VLOOKUP(TableHandbook[[#This Row],[UDC]],TableSTRUPSYCB[],7,FALSE),"")</f>
        <v/>
      </c>
      <c r="BJ139" s="200" t="str">
        <f>IFERROR(VLOOKUP(TableHandbook[[#This Row],[UDC]],TableSTRUPSYCM[],7,FALSE),"")</f>
        <v/>
      </c>
      <c r="BK139" s="200" t="str">
        <f>IFERROR(VLOOKUP(TableHandbook[[#This Row],[UDC]],TableSTRUSOSCM[],7,FALSE),"")</f>
        <v/>
      </c>
      <c r="BL139" s="200" t="str">
        <f>IFERROR(VLOOKUP(TableHandbook[[#This Row],[UDC]],TableSTRUVARTB[],7,FALSE),"")</f>
        <v/>
      </c>
      <c r="BM139" s="200" t="str">
        <f>IFERROR(VLOOKUP(TableHandbook[[#This Row],[UDC]],TableSTRUVARTM[],7,FALSE),"")</f>
        <v/>
      </c>
    </row>
    <row r="140" spans="1:65" x14ac:dyDescent="0.25">
      <c r="A140" s="261" t="s">
        <v>496</v>
      </c>
      <c r="B140" s="12">
        <v>1</v>
      </c>
      <c r="C140" s="11"/>
      <c r="D140" s="11" t="s">
        <v>723</v>
      </c>
      <c r="E140" s="12">
        <v>25</v>
      </c>
      <c r="F140" s="131" t="s">
        <v>544</v>
      </c>
      <c r="G140" s="126" t="str">
        <f>IFERROR(IF(VLOOKUP(TableHandbook[[#This Row],[UDC]],TableAvailabilities[],2,FALSE)&gt;0,"Y",""),"")</f>
        <v>Y</v>
      </c>
      <c r="H140" s="127" t="str">
        <f>IFERROR(IF(VLOOKUP(TableHandbook[[#This Row],[UDC]],TableAvailabilities[],3,FALSE)&gt;0,"Y",""),"")</f>
        <v/>
      </c>
      <c r="I140" s="127" t="str">
        <f>IFERROR(IF(VLOOKUP(TableHandbook[[#This Row],[UDC]],TableAvailabilities[],4,FALSE)&gt;0,"Y",""),"")</f>
        <v/>
      </c>
      <c r="J140" s="128" t="str">
        <f>IFERROR(IF(VLOOKUP(TableHandbook[[#This Row],[UDC]],TableAvailabilities[],5,FALSE)&gt;0,"Y",""),"")</f>
        <v/>
      </c>
      <c r="K140" s="128" t="str">
        <f>IFERROR(IF(VLOOKUP(TableHandbook[[#This Row],[UDC]],TableAvailabilities[],6,FALSE)&gt;0,"Y",""),"")</f>
        <v/>
      </c>
      <c r="L140" s="127" t="str">
        <f>IFERROR(IF(VLOOKUP(TableHandbook[[#This Row],[UDC]],TableAvailabilities[],7,FALSE)&gt;0,"Y",""),"")</f>
        <v/>
      </c>
      <c r="M140" s="207"/>
      <c r="N140" s="205" t="str">
        <f>IFERROR(VLOOKUP(TableHandbook[[#This Row],[UDC]],TableBEDUC[],7,FALSE),"")</f>
        <v/>
      </c>
      <c r="O140" s="200" t="str">
        <f>IFERROR(VLOOKUP(TableHandbook[[#This Row],[UDC]],TableBEDEC[],7,FALSE),"")</f>
        <v/>
      </c>
      <c r="P140" s="200" t="str">
        <f>IFERROR(VLOOKUP(TableHandbook[[#This Row],[UDC]],TableBEDPR[],7,FALSE),"")</f>
        <v/>
      </c>
      <c r="Q140" s="200" t="str">
        <f>IFERROR(VLOOKUP(TableHandbook[[#This Row],[UDC]],TableSTRUCATHL[],7,FALSE),"")</f>
        <v/>
      </c>
      <c r="R140" s="200" t="str">
        <f>IFERROR(VLOOKUP(TableHandbook[[#This Row],[UDC]],TableSTRUENGLL[],7,FALSE),"")</f>
        <v/>
      </c>
      <c r="S140" s="200" t="str">
        <f>IFERROR(VLOOKUP(TableHandbook[[#This Row],[UDC]],TableSTRUINTBC[],7,FALSE),"")</f>
        <v/>
      </c>
      <c r="T140" s="200" t="str">
        <f>IFERROR(VLOOKUP(TableHandbook[[#This Row],[UDC]],TableSTRUISTEM[],7,FALSE),"")</f>
        <v/>
      </c>
      <c r="U140" s="200" t="str">
        <f>IFERROR(VLOOKUP(TableHandbook[[#This Row],[UDC]],TableSTRULITNU[],7,FALSE),"")</f>
        <v/>
      </c>
      <c r="V140" s="200" t="str">
        <f>IFERROR(VLOOKUP(TableHandbook[[#This Row],[UDC]],TableSTRUTECHS[],7,FALSE),"")</f>
        <v/>
      </c>
      <c r="W140" s="200" t="str">
        <f>IFERROR(VLOOKUP(TableHandbook[[#This Row],[UDC]],TableBEDSC[],7,FALSE),"")</f>
        <v/>
      </c>
      <c r="X140" s="200" t="str">
        <f>IFERROR(VLOOKUP(TableHandbook[[#This Row],[UDC]],TableMJRUARTDR[],7,FALSE),"")</f>
        <v/>
      </c>
      <c r="Y140" s="200" t="str">
        <f>IFERROR(VLOOKUP(TableHandbook[[#This Row],[UDC]],TableMJRUARTME[],7,FALSE),"")</f>
        <v/>
      </c>
      <c r="Z140" s="200" t="str">
        <f>IFERROR(VLOOKUP(TableHandbook[[#This Row],[UDC]],TableMJRUARTVA[],7,FALSE),"")</f>
        <v/>
      </c>
      <c r="AA140" s="200" t="str">
        <f>IFERROR(VLOOKUP(TableHandbook[[#This Row],[UDC]],TableMJRUENGLT[],7,FALSE),"")</f>
        <v/>
      </c>
      <c r="AB140" s="200" t="str">
        <f>IFERROR(VLOOKUP(TableHandbook[[#This Row],[UDC]],TableMJRUHLTPE[],7,FALSE),"")</f>
        <v/>
      </c>
      <c r="AC140" s="200" t="str">
        <f>IFERROR(VLOOKUP(TableHandbook[[#This Row],[UDC]],TableMJRUHUSEC[],7,FALSE),"")</f>
        <v/>
      </c>
      <c r="AD140" s="200" t="str">
        <f>IFERROR(VLOOKUP(TableHandbook[[#This Row],[UDC]],TableMJRUHUSGE[],7,FALSE),"")</f>
        <v/>
      </c>
      <c r="AE140" s="200" t="str">
        <f>IFERROR(VLOOKUP(TableHandbook[[#This Row],[UDC]],TableMJRUHUSHI[],7,FALSE),"")</f>
        <v/>
      </c>
      <c r="AF140" s="200" t="str">
        <f>IFERROR(VLOOKUP(TableHandbook[[#This Row],[UDC]],TableMJRUHUSPL[],7,FALSE),"")</f>
        <v/>
      </c>
      <c r="AG140" s="200" t="str">
        <f>IFERROR(VLOOKUP(TableHandbook[[#This Row],[UDC]],TableMJRUMATHT[],7,FALSE),"")</f>
        <v/>
      </c>
      <c r="AH140" s="200" t="str">
        <f>IFERROR(VLOOKUP(TableHandbook[[#This Row],[UDC]],TableMJRUSCIBI[],7,FALSE),"")</f>
        <v/>
      </c>
      <c r="AI140" s="200" t="str">
        <f>IFERROR(VLOOKUP(TableHandbook[[#This Row],[UDC]],TableMJRUSCICH[],7,FALSE),"")</f>
        <v/>
      </c>
      <c r="AJ140" s="200" t="str">
        <f>IFERROR(VLOOKUP(TableHandbook[[#This Row],[UDC]],TableMJRUSCIHB[],7,FALSE),"")</f>
        <v/>
      </c>
      <c r="AK140" s="200" t="str">
        <f>IFERROR(VLOOKUP(TableHandbook[[#This Row],[UDC]],TableMJRUSCIPH[],7,FALSE),"")</f>
        <v/>
      </c>
      <c r="AL140" s="200" t="str">
        <f>IFERROR(VLOOKUP(TableHandbook[[#This Row],[UDC]],TableMJRUSCIPS[],7,FALSE),"")</f>
        <v/>
      </c>
      <c r="AM140" s="202"/>
      <c r="AN140" s="200" t="str">
        <f>IFERROR(VLOOKUP(TableHandbook[[#This Row],[UDC]],TableSTRUBIOLB[],7,FALSE),"")</f>
        <v>Core</v>
      </c>
      <c r="AO140" s="200" t="str">
        <f>IFERROR(VLOOKUP(TableHandbook[[#This Row],[UDC]],TableSTRUBSCIM[],7,FALSE),"")</f>
        <v/>
      </c>
      <c r="AP140" s="200" t="str">
        <f>IFERROR(VLOOKUP(TableHandbook[[#This Row],[UDC]],TableSTRUCHEMB[],7,FALSE),"")</f>
        <v/>
      </c>
      <c r="AQ140" s="200" t="str">
        <f>IFERROR(VLOOKUP(TableHandbook[[#This Row],[UDC]],TableSTRUECOB1[],7,FALSE),"")</f>
        <v/>
      </c>
      <c r="AR140" s="200" t="str">
        <f>IFERROR(VLOOKUP(TableHandbook[[#This Row],[UDC]],TableSTRUEDART[],7,FALSE),"")</f>
        <v/>
      </c>
      <c r="AS140" s="200" t="str">
        <f>IFERROR(VLOOKUP(TableHandbook[[#This Row],[UDC]],TableSTRUEDENG[],7,FALSE),"")</f>
        <v/>
      </c>
      <c r="AT140" s="200" t="str">
        <f>IFERROR(VLOOKUP(TableHandbook[[#This Row],[UDC]],TableSTRUEDHAS[],7,FALSE),"")</f>
        <v/>
      </c>
      <c r="AU140" s="200" t="str">
        <f>IFERROR(VLOOKUP(TableHandbook[[#This Row],[UDC]],TableSTRUEDMAT[],7,FALSE),"")</f>
        <v/>
      </c>
      <c r="AV140" s="200" t="str">
        <f>IFERROR(VLOOKUP(TableHandbook[[#This Row],[UDC]],TableSTRUEDSCI[],7,FALSE),"")</f>
        <v/>
      </c>
      <c r="AW140" s="200" t="str">
        <f>IFERROR(VLOOKUP(TableHandbook[[#This Row],[UDC]],TableSTRUENGLB[],7,FALSE),"")</f>
        <v/>
      </c>
      <c r="AX140" s="200" t="str">
        <f>IFERROR(VLOOKUP(TableHandbook[[#This Row],[UDC]],TableSTRUENGLM[],7,FALSE),"")</f>
        <v/>
      </c>
      <c r="AY140" s="200" t="str">
        <f>IFERROR(VLOOKUP(TableHandbook[[#This Row],[UDC]],TableSTRUGEOB1[],7,FALSE),"")</f>
        <v/>
      </c>
      <c r="AZ140" s="200" t="str">
        <f>IFERROR(VLOOKUP(TableHandbook[[#This Row],[UDC]],TableSTRUHISB1[],7,FALSE),"")</f>
        <v/>
      </c>
      <c r="BA140" s="200" t="str">
        <f>IFERROR(VLOOKUP(TableHandbook[[#This Row],[UDC]],TableSTRUHUMAM[],7,FALSE),"")</f>
        <v/>
      </c>
      <c r="BB140" s="200" t="str">
        <f>IFERROR(VLOOKUP(TableHandbook[[#This Row],[UDC]],TableSTRUHUMBB[],7,FALSE),"")</f>
        <v/>
      </c>
      <c r="BC140" s="200" t="str">
        <f>IFERROR(VLOOKUP(TableHandbook[[#This Row],[UDC]],TableSTRUMATHB[],7,FALSE),"")</f>
        <v/>
      </c>
      <c r="BD140" s="200" t="str">
        <f>IFERROR(VLOOKUP(TableHandbook[[#This Row],[UDC]],TableSTRUMATHM[],7,FALSE),"")</f>
        <v/>
      </c>
      <c r="BE140" s="200" t="str">
        <f>IFERROR(VLOOKUP(TableHandbook[[#This Row],[UDC]],TableSTRUPARTB[],7,FALSE),"")</f>
        <v/>
      </c>
      <c r="BF140" s="200" t="str">
        <f>IFERROR(VLOOKUP(TableHandbook[[#This Row],[UDC]],TableSTRUPARTM[],7,FALSE),"")</f>
        <v/>
      </c>
      <c r="BG140" s="200" t="str">
        <f>IFERROR(VLOOKUP(TableHandbook[[#This Row],[UDC]],TableSTRUPOLB1[],7,FALSE),"")</f>
        <v/>
      </c>
      <c r="BH140" s="200" t="str">
        <f>IFERROR(VLOOKUP(TableHandbook[[#This Row],[UDC]],TableSTRUPSCIM[],7,FALSE),"")</f>
        <v/>
      </c>
      <c r="BI140" s="200" t="str">
        <f>IFERROR(VLOOKUP(TableHandbook[[#This Row],[UDC]],TableSTRUPSYCB[],7,FALSE),"")</f>
        <v/>
      </c>
      <c r="BJ140" s="200" t="str">
        <f>IFERROR(VLOOKUP(TableHandbook[[#This Row],[UDC]],TableSTRUPSYCM[],7,FALSE),"")</f>
        <v/>
      </c>
      <c r="BK140" s="200" t="str">
        <f>IFERROR(VLOOKUP(TableHandbook[[#This Row],[UDC]],TableSTRUSOSCM[],7,FALSE),"")</f>
        <v/>
      </c>
      <c r="BL140" s="200" t="str">
        <f>IFERROR(VLOOKUP(TableHandbook[[#This Row],[UDC]],TableSTRUVARTB[],7,FALSE),"")</f>
        <v/>
      </c>
      <c r="BM140" s="200" t="str">
        <f>IFERROR(VLOOKUP(TableHandbook[[#This Row],[UDC]],TableSTRUVARTM[],7,FALSE),"")</f>
        <v/>
      </c>
    </row>
    <row r="141" spans="1:65" x14ac:dyDescent="0.25">
      <c r="A141" s="261" t="s">
        <v>484</v>
      </c>
      <c r="B141" s="12">
        <v>1</v>
      </c>
      <c r="C141" s="11"/>
      <c r="D141" s="11" t="s">
        <v>724</v>
      </c>
      <c r="E141" s="12">
        <v>25</v>
      </c>
      <c r="F141" s="131" t="s">
        <v>544</v>
      </c>
      <c r="G141" s="126" t="str">
        <f>IFERROR(IF(VLOOKUP(TableHandbook[[#This Row],[UDC]],TableAvailabilities[],2,FALSE)&gt;0,"Y",""),"")</f>
        <v>Y</v>
      </c>
      <c r="H141" s="127" t="str">
        <f>IFERROR(IF(VLOOKUP(TableHandbook[[#This Row],[UDC]],TableAvailabilities[],3,FALSE)&gt;0,"Y",""),"")</f>
        <v>Y</v>
      </c>
      <c r="I141" s="127" t="str">
        <f>IFERROR(IF(VLOOKUP(TableHandbook[[#This Row],[UDC]],TableAvailabilities[],4,FALSE)&gt;0,"Y",""),"")</f>
        <v/>
      </c>
      <c r="J141" s="128" t="str">
        <f>IFERROR(IF(VLOOKUP(TableHandbook[[#This Row],[UDC]],TableAvailabilities[],5,FALSE)&gt;0,"Y",""),"")</f>
        <v>Y</v>
      </c>
      <c r="K141" s="128" t="str">
        <f>IFERROR(IF(VLOOKUP(TableHandbook[[#This Row],[UDC]],TableAvailabilities[],6,FALSE)&gt;0,"Y",""),"")</f>
        <v>Y</v>
      </c>
      <c r="L141" s="127" t="str">
        <f>IFERROR(IF(VLOOKUP(TableHandbook[[#This Row],[UDC]],TableAvailabilities[],7,FALSE)&gt;0,"Y",""),"")</f>
        <v/>
      </c>
      <c r="M141" s="207"/>
      <c r="N141" s="205" t="str">
        <f>IFERROR(VLOOKUP(TableHandbook[[#This Row],[UDC]],TableBEDUC[],7,FALSE),"")</f>
        <v/>
      </c>
      <c r="O141" s="200" t="str">
        <f>IFERROR(VLOOKUP(TableHandbook[[#This Row],[UDC]],TableBEDEC[],7,FALSE),"")</f>
        <v/>
      </c>
      <c r="P141" s="200" t="str">
        <f>IFERROR(VLOOKUP(TableHandbook[[#This Row],[UDC]],TableBEDPR[],7,FALSE),"")</f>
        <v/>
      </c>
      <c r="Q141" s="200" t="str">
        <f>IFERROR(VLOOKUP(TableHandbook[[#This Row],[UDC]],TableSTRUCATHL[],7,FALSE),"")</f>
        <v/>
      </c>
      <c r="R141" s="200" t="str">
        <f>IFERROR(VLOOKUP(TableHandbook[[#This Row],[UDC]],TableSTRUENGLL[],7,FALSE),"")</f>
        <v/>
      </c>
      <c r="S141" s="200" t="str">
        <f>IFERROR(VLOOKUP(TableHandbook[[#This Row],[UDC]],TableSTRUINTBC[],7,FALSE),"")</f>
        <v/>
      </c>
      <c r="T141" s="200" t="str">
        <f>IFERROR(VLOOKUP(TableHandbook[[#This Row],[UDC]],TableSTRUISTEM[],7,FALSE),"")</f>
        <v/>
      </c>
      <c r="U141" s="200" t="str">
        <f>IFERROR(VLOOKUP(TableHandbook[[#This Row],[UDC]],TableSTRULITNU[],7,FALSE),"")</f>
        <v/>
      </c>
      <c r="V141" s="200" t="str">
        <f>IFERROR(VLOOKUP(TableHandbook[[#This Row],[UDC]],TableSTRUTECHS[],7,FALSE),"")</f>
        <v/>
      </c>
      <c r="W141" s="200" t="str">
        <f>IFERROR(VLOOKUP(TableHandbook[[#This Row],[UDC]],TableBEDSC[],7,FALSE),"")</f>
        <v/>
      </c>
      <c r="X141" s="200" t="str">
        <f>IFERROR(VLOOKUP(TableHandbook[[#This Row],[UDC]],TableMJRUARTDR[],7,FALSE),"")</f>
        <v/>
      </c>
      <c r="Y141" s="200" t="str">
        <f>IFERROR(VLOOKUP(TableHandbook[[#This Row],[UDC]],TableMJRUARTME[],7,FALSE),"")</f>
        <v/>
      </c>
      <c r="Z141" s="200" t="str">
        <f>IFERROR(VLOOKUP(TableHandbook[[#This Row],[UDC]],TableMJRUARTVA[],7,FALSE),"")</f>
        <v/>
      </c>
      <c r="AA141" s="200" t="str">
        <f>IFERROR(VLOOKUP(TableHandbook[[#This Row],[UDC]],TableMJRUENGLT[],7,FALSE),"")</f>
        <v/>
      </c>
      <c r="AB141" s="200" t="str">
        <f>IFERROR(VLOOKUP(TableHandbook[[#This Row],[UDC]],TableMJRUHLTPE[],7,FALSE),"")</f>
        <v/>
      </c>
      <c r="AC141" s="200" t="str">
        <f>IFERROR(VLOOKUP(TableHandbook[[#This Row],[UDC]],TableMJRUHUSEC[],7,FALSE),"")</f>
        <v/>
      </c>
      <c r="AD141" s="200" t="str">
        <f>IFERROR(VLOOKUP(TableHandbook[[#This Row],[UDC]],TableMJRUHUSGE[],7,FALSE),"")</f>
        <v/>
      </c>
      <c r="AE141" s="200" t="str">
        <f>IFERROR(VLOOKUP(TableHandbook[[#This Row],[UDC]],TableMJRUHUSHI[],7,FALSE),"")</f>
        <v/>
      </c>
      <c r="AF141" s="200" t="str">
        <f>IFERROR(VLOOKUP(TableHandbook[[#This Row],[UDC]],TableMJRUHUSPL[],7,FALSE),"")</f>
        <v/>
      </c>
      <c r="AG141" s="200" t="str">
        <f>IFERROR(VLOOKUP(TableHandbook[[#This Row],[UDC]],TableMJRUMATHT[],7,FALSE),"")</f>
        <v/>
      </c>
      <c r="AH141" s="200" t="str">
        <f>IFERROR(VLOOKUP(TableHandbook[[#This Row],[UDC]],TableMJRUSCIBI[],7,FALSE),"")</f>
        <v/>
      </c>
      <c r="AI141" s="200" t="str">
        <f>IFERROR(VLOOKUP(TableHandbook[[#This Row],[UDC]],TableMJRUSCICH[],7,FALSE),"")</f>
        <v/>
      </c>
      <c r="AJ141" s="200" t="str">
        <f>IFERROR(VLOOKUP(TableHandbook[[#This Row],[UDC]],TableMJRUSCIHB[],7,FALSE),"")</f>
        <v/>
      </c>
      <c r="AK141" s="200" t="str">
        <f>IFERROR(VLOOKUP(TableHandbook[[#This Row],[UDC]],TableMJRUSCIPH[],7,FALSE),"")</f>
        <v/>
      </c>
      <c r="AL141" s="200" t="str">
        <f>IFERROR(VLOOKUP(TableHandbook[[#This Row],[UDC]],TableMJRUSCIPS[],7,FALSE),"")</f>
        <v/>
      </c>
      <c r="AM141" s="202"/>
      <c r="AN141" s="200" t="str">
        <f>IFERROR(VLOOKUP(TableHandbook[[#This Row],[UDC]],TableSTRUBIOLB[],7,FALSE),"")</f>
        <v/>
      </c>
      <c r="AO141" s="200" t="str">
        <f>IFERROR(VLOOKUP(TableHandbook[[#This Row],[UDC]],TableSTRUBSCIM[],7,FALSE),"")</f>
        <v/>
      </c>
      <c r="AP141" s="200" t="str">
        <f>IFERROR(VLOOKUP(TableHandbook[[#This Row],[UDC]],TableSTRUCHEMB[],7,FALSE),"")</f>
        <v/>
      </c>
      <c r="AQ141" s="200" t="str">
        <f>IFERROR(VLOOKUP(TableHandbook[[#This Row],[UDC]],TableSTRUECOB1[],7,FALSE),"")</f>
        <v/>
      </c>
      <c r="AR141" s="200" t="str">
        <f>IFERROR(VLOOKUP(TableHandbook[[#This Row],[UDC]],TableSTRUEDART[],7,FALSE),"")</f>
        <v/>
      </c>
      <c r="AS141" s="200" t="str">
        <f>IFERROR(VLOOKUP(TableHandbook[[#This Row],[UDC]],TableSTRUEDENG[],7,FALSE),"")</f>
        <v/>
      </c>
      <c r="AT141" s="200" t="str">
        <f>IFERROR(VLOOKUP(TableHandbook[[#This Row],[UDC]],TableSTRUEDHAS[],7,FALSE),"")</f>
        <v/>
      </c>
      <c r="AU141" s="200" t="str">
        <f>IFERROR(VLOOKUP(TableHandbook[[#This Row],[UDC]],TableSTRUEDMAT[],7,FALSE),"")</f>
        <v/>
      </c>
      <c r="AV141" s="200" t="str">
        <f>IFERROR(VLOOKUP(TableHandbook[[#This Row],[UDC]],TableSTRUEDSCI[],7,FALSE),"")</f>
        <v/>
      </c>
      <c r="AW141" s="200" t="str">
        <f>IFERROR(VLOOKUP(TableHandbook[[#This Row],[UDC]],TableSTRUENGLB[],7,FALSE),"")</f>
        <v/>
      </c>
      <c r="AX141" s="200" t="str">
        <f>IFERROR(VLOOKUP(TableHandbook[[#This Row],[UDC]],TableSTRUENGLM[],7,FALSE),"")</f>
        <v/>
      </c>
      <c r="AY141" s="200" t="str">
        <f>IFERROR(VLOOKUP(TableHandbook[[#This Row],[UDC]],TableSTRUGEOB1[],7,FALSE),"")</f>
        <v/>
      </c>
      <c r="AZ141" s="200" t="str">
        <f>IFERROR(VLOOKUP(TableHandbook[[#This Row],[UDC]],TableSTRUHISB1[],7,FALSE),"")</f>
        <v/>
      </c>
      <c r="BA141" s="200" t="str">
        <f>IFERROR(VLOOKUP(TableHandbook[[#This Row],[UDC]],TableSTRUHUMAM[],7,FALSE),"")</f>
        <v/>
      </c>
      <c r="BB141" s="200" t="str">
        <f>IFERROR(VLOOKUP(TableHandbook[[#This Row],[UDC]],TableSTRUHUMBB[],7,FALSE),"")</f>
        <v/>
      </c>
      <c r="BC141" s="200" t="str">
        <f>IFERROR(VLOOKUP(TableHandbook[[#This Row],[UDC]],TableSTRUMATHB[],7,FALSE),"")</f>
        <v/>
      </c>
      <c r="BD141" s="200" t="str">
        <f>IFERROR(VLOOKUP(TableHandbook[[#This Row],[UDC]],TableSTRUMATHM[],7,FALSE),"")</f>
        <v/>
      </c>
      <c r="BE141" s="200" t="str">
        <f>IFERROR(VLOOKUP(TableHandbook[[#This Row],[UDC]],TableSTRUPARTB[],7,FALSE),"")</f>
        <v/>
      </c>
      <c r="BF141" s="200" t="str">
        <f>IFERROR(VLOOKUP(TableHandbook[[#This Row],[UDC]],TableSTRUPARTM[],7,FALSE),"")</f>
        <v/>
      </c>
      <c r="BG141" s="200" t="str">
        <f>IFERROR(VLOOKUP(TableHandbook[[#This Row],[UDC]],TableSTRUPOLB1[],7,FALSE),"")</f>
        <v/>
      </c>
      <c r="BH141" s="200" t="str">
        <f>IFERROR(VLOOKUP(TableHandbook[[#This Row],[UDC]],TableSTRUPSCIM[],7,FALSE),"")</f>
        <v/>
      </c>
      <c r="BI141" s="200" t="str">
        <f>IFERROR(VLOOKUP(TableHandbook[[#This Row],[UDC]],TableSTRUPSYCB[],7,FALSE),"")</f>
        <v>Core</v>
      </c>
      <c r="BJ141" s="200" t="str">
        <f>IFERROR(VLOOKUP(TableHandbook[[#This Row],[UDC]],TableSTRUPSYCM[],7,FALSE),"")</f>
        <v/>
      </c>
      <c r="BK141" s="200" t="str">
        <f>IFERROR(VLOOKUP(TableHandbook[[#This Row],[UDC]],TableSTRUSOSCM[],7,FALSE),"")</f>
        <v/>
      </c>
      <c r="BL141" s="200" t="str">
        <f>IFERROR(VLOOKUP(TableHandbook[[#This Row],[UDC]],TableSTRUVARTB[],7,FALSE),"")</f>
        <v/>
      </c>
      <c r="BM141" s="200" t="str">
        <f>IFERROR(VLOOKUP(TableHandbook[[#This Row],[UDC]],TableSTRUVARTM[],7,FALSE),"")</f>
        <v/>
      </c>
    </row>
    <row r="142" spans="1:65" x14ac:dyDescent="0.25">
      <c r="A142" s="262" t="s">
        <v>403</v>
      </c>
      <c r="B142" s="12">
        <v>1</v>
      </c>
      <c r="C142" s="11"/>
      <c r="D142" s="11" t="s">
        <v>725</v>
      </c>
      <c r="E142" s="12">
        <v>25</v>
      </c>
      <c r="F142" s="131" t="s">
        <v>544</v>
      </c>
      <c r="G142" s="126" t="str">
        <f>IFERROR(IF(VLOOKUP(TableHandbook[[#This Row],[UDC]],TableAvailabilities[],2,FALSE)&gt;0,"Y",""),"")</f>
        <v>Y</v>
      </c>
      <c r="H142" s="127" t="str">
        <f>IFERROR(IF(VLOOKUP(TableHandbook[[#This Row],[UDC]],TableAvailabilities[],3,FALSE)&gt;0,"Y",""),"")</f>
        <v/>
      </c>
      <c r="I142" s="127" t="str">
        <f>IFERROR(IF(VLOOKUP(TableHandbook[[#This Row],[UDC]],TableAvailabilities[],4,FALSE)&gt;0,"Y",""),"")</f>
        <v/>
      </c>
      <c r="J142" s="128" t="str">
        <f>IFERROR(IF(VLOOKUP(TableHandbook[[#This Row],[UDC]],TableAvailabilities[],5,FALSE)&gt;0,"Y",""),"")</f>
        <v/>
      </c>
      <c r="K142" s="128" t="str">
        <f>IFERROR(IF(VLOOKUP(TableHandbook[[#This Row],[UDC]],TableAvailabilities[],6,FALSE)&gt;0,"Y",""),"")</f>
        <v/>
      </c>
      <c r="L142" s="127" t="str">
        <f>IFERROR(IF(VLOOKUP(TableHandbook[[#This Row],[UDC]],TableAvailabilities[],7,FALSE)&gt;0,"Y",""),"")</f>
        <v/>
      </c>
      <c r="M142" s="207"/>
      <c r="N142" s="205" t="str">
        <f>IFERROR(VLOOKUP(TableHandbook[[#This Row],[UDC]],TableBEDUC[],7,FALSE),"")</f>
        <v/>
      </c>
      <c r="O142" s="200" t="str">
        <f>IFERROR(VLOOKUP(TableHandbook[[#This Row],[UDC]],TableBEDEC[],7,FALSE),"")</f>
        <v/>
      </c>
      <c r="P142" s="200" t="str">
        <f>IFERROR(VLOOKUP(TableHandbook[[#This Row],[UDC]],TableBEDPR[],7,FALSE),"")</f>
        <v/>
      </c>
      <c r="Q142" s="200" t="str">
        <f>IFERROR(VLOOKUP(TableHandbook[[#This Row],[UDC]],TableSTRUCATHL[],7,FALSE),"")</f>
        <v/>
      </c>
      <c r="R142" s="200" t="str">
        <f>IFERROR(VLOOKUP(TableHandbook[[#This Row],[UDC]],TableSTRUENGLL[],7,FALSE),"")</f>
        <v/>
      </c>
      <c r="S142" s="200" t="str">
        <f>IFERROR(VLOOKUP(TableHandbook[[#This Row],[UDC]],TableSTRUINTBC[],7,FALSE),"")</f>
        <v/>
      </c>
      <c r="T142" s="200" t="str">
        <f>IFERROR(VLOOKUP(TableHandbook[[#This Row],[UDC]],TableSTRUISTEM[],7,FALSE),"")</f>
        <v/>
      </c>
      <c r="U142" s="200" t="str">
        <f>IFERROR(VLOOKUP(TableHandbook[[#This Row],[UDC]],TableSTRULITNU[],7,FALSE),"")</f>
        <v/>
      </c>
      <c r="V142" s="200" t="str">
        <f>IFERROR(VLOOKUP(TableHandbook[[#This Row],[UDC]],TableSTRUTECHS[],7,FALSE),"")</f>
        <v/>
      </c>
      <c r="W142" s="200" t="str">
        <f>IFERROR(VLOOKUP(TableHandbook[[#This Row],[UDC]],TableBEDSC[],7,FALSE),"")</f>
        <v/>
      </c>
      <c r="X142" s="200" t="str">
        <f>IFERROR(VLOOKUP(TableHandbook[[#This Row],[UDC]],TableMJRUARTDR[],7,FALSE),"")</f>
        <v/>
      </c>
      <c r="Y142" s="200" t="str">
        <f>IFERROR(VLOOKUP(TableHandbook[[#This Row],[UDC]],TableMJRUARTME[],7,FALSE),"")</f>
        <v/>
      </c>
      <c r="Z142" s="200" t="str">
        <f>IFERROR(VLOOKUP(TableHandbook[[#This Row],[UDC]],TableMJRUARTVA[],7,FALSE),"")</f>
        <v/>
      </c>
      <c r="AA142" s="200" t="str">
        <f>IFERROR(VLOOKUP(TableHandbook[[#This Row],[UDC]],TableMJRUENGLT[],7,FALSE),"")</f>
        <v/>
      </c>
      <c r="AB142" s="200" t="str">
        <f>IFERROR(VLOOKUP(TableHandbook[[#This Row],[UDC]],TableMJRUHLTPE[],7,FALSE),"")</f>
        <v/>
      </c>
      <c r="AC142" s="200" t="str">
        <f>IFERROR(VLOOKUP(TableHandbook[[#This Row],[UDC]],TableMJRUHUSEC[],7,FALSE),"")</f>
        <v/>
      </c>
      <c r="AD142" s="200" t="str">
        <f>IFERROR(VLOOKUP(TableHandbook[[#This Row],[UDC]],TableMJRUHUSGE[],7,FALSE),"")</f>
        <v/>
      </c>
      <c r="AE142" s="200" t="str">
        <f>IFERROR(VLOOKUP(TableHandbook[[#This Row],[UDC]],TableMJRUHUSHI[],7,FALSE),"")</f>
        <v/>
      </c>
      <c r="AF142" s="200" t="str">
        <f>IFERROR(VLOOKUP(TableHandbook[[#This Row],[UDC]],TableMJRUHUSPL[],7,FALSE),"")</f>
        <v/>
      </c>
      <c r="AG142" s="200" t="str">
        <f>IFERROR(VLOOKUP(TableHandbook[[#This Row],[UDC]],TableMJRUMATHT[],7,FALSE),"")</f>
        <v/>
      </c>
      <c r="AH142" s="200" t="str">
        <f>IFERROR(VLOOKUP(TableHandbook[[#This Row],[UDC]],TableMJRUSCIBI[],7,FALSE),"")</f>
        <v>Core</v>
      </c>
      <c r="AI142" s="200" t="str">
        <f>IFERROR(VLOOKUP(TableHandbook[[#This Row],[UDC]],TableMJRUSCICH[],7,FALSE),"")</f>
        <v/>
      </c>
      <c r="AJ142" s="200" t="str">
        <f>IFERROR(VLOOKUP(TableHandbook[[#This Row],[UDC]],TableMJRUSCIHB[],7,FALSE),"")</f>
        <v/>
      </c>
      <c r="AK142" s="200" t="str">
        <f>IFERROR(VLOOKUP(TableHandbook[[#This Row],[UDC]],TableMJRUSCIPH[],7,FALSE),"")</f>
        <v/>
      </c>
      <c r="AL142" s="200" t="str">
        <f>IFERROR(VLOOKUP(TableHandbook[[#This Row],[UDC]],TableMJRUSCIPS[],7,FALSE),"")</f>
        <v/>
      </c>
      <c r="AM142" s="202"/>
      <c r="AN142" s="200" t="str">
        <f>IFERROR(VLOOKUP(TableHandbook[[#This Row],[UDC]],TableSTRUBIOLB[],7,FALSE),"")</f>
        <v/>
      </c>
      <c r="AO142" s="200" t="str">
        <f>IFERROR(VLOOKUP(TableHandbook[[#This Row],[UDC]],TableSTRUBSCIM[],7,FALSE),"")</f>
        <v/>
      </c>
      <c r="AP142" s="200" t="str">
        <f>IFERROR(VLOOKUP(TableHandbook[[#This Row],[UDC]],TableSTRUCHEMB[],7,FALSE),"")</f>
        <v/>
      </c>
      <c r="AQ142" s="200" t="str">
        <f>IFERROR(VLOOKUP(TableHandbook[[#This Row],[UDC]],TableSTRUECOB1[],7,FALSE),"")</f>
        <v/>
      </c>
      <c r="AR142" s="200" t="str">
        <f>IFERROR(VLOOKUP(TableHandbook[[#This Row],[UDC]],TableSTRUEDART[],7,FALSE),"")</f>
        <v/>
      </c>
      <c r="AS142" s="200" t="str">
        <f>IFERROR(VLOOKUP(TableHandbook[[#This Row],[UDC]],TableSTRUEDENG[],7,FALSE),"")</f>
        <v/>
      </c>
      <c r="AT142" s="200" t="str">
        <f>IFERROR(VLOOKUP(TableHandbook[[#This Row],[UDC]],TableSTRUEDHAS[],7,FALSE),"")</f>
        <v/>
      </c>
      <c r="AU142" s="200" t="str">
        <f>IFERROR(VLOOKUP(TableHandbook[[#This Row],[UDC]],TableSTRUEDMAT[],7,FALSE),"")</f>
        <v/>
      </c>
      <c r="AV142" s="200" t="str">
        <f>IFERROR(VLOOKUP(TableHandbook[[#This Row],[UDC]],TableSTRUEDSCI[],7,FALSE),"")</f>
        <v/>
      </c>
      <c r="AW142" s="200" t="str">
        <f>IFERROR(VLOOKUP(TableHandbook[[#This Row],[UDC]],TableSTRUENGLB[],7,FALSE),"")</f>
        <v/>
      </c>
      <c r="AX142" s="200" t="str">
        <f>IFERROR(VLOOKUP(TableHandbook[[#This Row],[UDC]],TableSTRUENGLM[],7,FALSE),"")</f>
        <v/>
      </c>
      <c r="AY142" s="200" t="str">
        <f>IFERROR(VLOOKUP(TableHandbook[[#This Row],[UDC]],TableSTRUGEOB1[],7,FALSE),"")</f>
        <v/>
      </c>
      <c r="AZ142" s="200" t="str">
        <f>IFERROR(VLOOKUP(TableHandbook[[#This Row],[UDC]],TableSTRUHISB1[],7,FALSE),"")</f>
        <v/>
      </c>
      <c r="BA142" s="200" t="str">
        <f>IFERROR(VLOOKUP(TableHandbook[[#This Row],[UDC]],TableSTRUHUMAM[],7,FALSE),"")</f>
        <v/>
      </c>
      <c r="BB142" s="200" t="str">
        <f>IFERROR(VLOOKUP(TableHandbook[[#This Row],[UDC]],TableSTRUHUMBB[],7,FALSE),"")</f>
        <v/>
      </c>
      <c r="BC142" s="200" t="str">
        <f>IFERROR(VLOOKUP(TableHandbook[[#This Row],[UDC]],TableSTRUMATHB[],7,FALSE),"")</f>
        <v/>
      </c>
      <c r="BD142" s="200" t="str">
        <f>IFERROR(VLOOKUP(TableHandbook[[#This Row],[UDC]],TableSTRUMATHM[],7,FALSE),"")</f>
        <v/>
      </c>
      <c r="BE142" s="200" t="str">
        <f>IFERROR(VLOOKUP(TableHandbook[[#This Row],[UDC]],TableSTRUPARTB[],7,FALSE),"")</f>
        <v/>
      </c>
      <c r="BF142" s="200" t="str">
        <f>IFERROR(VLOOKUP(TableHandbook[[#This Row],[UDC]],TableSTRUPARTM[],7,FALSE),"")</f>
        <v/>
      </c>
      <c r="BG142" s="200" t="str">
        <f>IFERROR(VLOOKUP(TableHandbook[[#This Row],[UDC]],TableSTRUPOLB1[],7,FALSE),"")</f>
        <v/>
      </c>
      <c r="BH142" s="200" t="str">
        <f>IFERROR(VLOOKUP(TableHandbook[[#This Row],[UDC]],TableSTRUPSCIM[],7,FALSE),"")</f>
        <v/>
      </c>
      <c r="BI142" s="200" t="str">
        <f>IFERROR(VLOOKUP(TableHandbook[[#This Row],[UDC]],TableSTRUPSYCB[],7,FALSE),"")</f>
        <v/>
      </c>
      <c r="BJ142" s="200" t="str">
        <f>IFERROR(VLOOKUP(TableHandbook[[#This Row],[UDC]],TableSTRUPSYCM[],7,FALSE),"")</f>
        <v/>
      </c>
      <c r="BK142" s="200" t="str">
        <f>IFERROR(VLOOKUP(TableHandbook[[#This Row],[UDC]],TableSTRUSOSCM[],7,FALSE),"")</f>
        <v/>
      </c>
      <c r="BL142" s="200" t="str">
        <f>IFERROR(VLOOKUP(TableHandbook[[#This Row],[UDC]],TableSTRUVARTB[],7,FALSE),"")</f>
        <v/>
      </c>
      <c r="BM142" s="200" t="str">
        <f>IFERROR(VLOOKUP(TableHandbook[[#This Row],[UDC]],TableSTRUVARTM[],7,FALSE),"")</f>
        <v/>
      </c>
    </row>
    <row r="143" spans="1:65" x14ac:dyDescent="0.25">
      <c r="A143" s="262" t="s">
        <v>331</v>
      </c>
      <c r="B143" s="12">
        <v>1</v>
      </c>
      <c r="C143" s="11"/>
      <c r="D143" s="11" t="s">
        <v>726</v>
      </c>
      <c r="E143" s="12">
        <v>25</v>
      </c>
      <c r="F143" s="131" t="s">
        <v>544</v>
      </c>
      <c r="G143" s="126" t="str">
        <f>IFERROR(IF(VLOOKUP(TableHandbook[[#This Row],[UDC]],TableAvailabilities[],2,FALSE)&gt;0,"Y",""),"")</f>
        <v>Y</v>
      </c>
      <c r="H143" s="127" t="str">
        <f>IFERROR(IF(VLOOKUP(TableHandbook[[#This Row],[UDC]],TableAvailabilities[],3,FALSE)&gt;0,"Y",""),"")</f>
        <v>Y</v>
      </c>
      <c r="I143" s="127" t="str">
        <f>IFERROR(IF(VLOOKUP(TableHandbook[[#This Row],[UDC]],TableAvailabilities[],4,FALSE)&gt;0,"Y",""),"")</f>
        <v/>
      </c>
      <c r="J143" s="128" t="str">
        <f>IFERROR(IF(VLOOKUP(TableHandbook[[#This Row],[UDC]],TableAvailabilities[],5,FALSE)&gt;0,"Y",""),"")</f>
        <v/>
      </c>
      <c r="K143" s="128" t="str">
        <f>IFERROR(IF(VLOOKUP(TableHandbook[[#This Row],[UDC]],TableAvailabilities[],6,FALSE)&gt;0,"Y",""),"")</f>
        <v/>
      </c>
      <c r="L143" s="127" t="str">
        <f>IFERROR(IF(VLOOKUP(TableHandbook[[#This Row],[UDC]],TableAvailabilities[],7,FALSE)&gt;0,"Y",""),"")</f>
        <v/>
      </c>
      <c r="M143" s="207"/>
      <c r="N143" s="205" t="str">
        <f>IFERROR(VLOOKUP(TableHandbook[[#This Row],[UDC]],TableBEDUC[],7,FALSE),"")</f>
        <v/>
      </c>
      <c r="O143" s="200" t="str">
        <f>IFERROR(VLOOKUP(TableHandbook[[#This Row],[UDC]],TableBEDEC[],7,FALSE),"")</f>
        <v/>
      </c>
      <c r="P143" s="200" t="str">
        <f>IFERROR(VLOOKUP(TableHandbook[[#This Row],[UDC]],TableBEDPR[],7,FALSE),"")</f>
        <v/>
      </c>
      <c r="Q143" s="200" t="str">
        <f>IFERROR(VLOOKUP(TableHandbook[[#This Row],[UDC]],TableSTRUCATHL[],7,FALSE),"")</f>
        <v/>
      </c>
      <c r="R143" s="200" t="str">
        <f>IFERROR(VLOOKUP(TableHandbook[[#This Row],[UDC]],TableSTRUENGLL[],7,FALSE),"")</f>
        <v/>
      </c>
      <c r="S143" s="200" t="str">
        <f>IFERROR(VLOOKUP(TableHandbook[[#This Row],[UDC]],TableSTRUINTBC[],7,FALSE),"")</f>
        <v/>
      </c>
      <c r="T143" s="200" t="str">
        <f>IFERROR(VLOOKUP(TableHandbook[[#This Row],[UDC]],TableSTRUISTEM[],7,FALSE),"")</f>
        <v/>
      </c>
      <c r="U143" s="200" t="str">
        <f>IFERROR(VLOOKUP(TableHandbook[[#This Row],[UDC]],TableSTRULITNU[],7,FALSE),"")</f>
        <v/>
      </c>
      <c r="V143" s="200" t="str">
        <f>IFERROR(VLOOKUP(TableHandbook[[#This Row],[UDC]],TableSTRUTECHS[],7,FALSE),"")</f>
        <v/>
      </c>
      <c r="W143" s="200" t="str">
        <f>IFERROR(VLOOKUP(TableHandbook[[#This Row],[UDC]],TableBEDSC[],7,FALSE),"")</f>
        <v/>
      </c>
      <c r="X143" s="200" t="str">
        <f>IFERROR(VLOOKUP(TableHandbook[[#This Row],[UDC]],TableMJRUARTDR[],7,FALSE),"")</f>
        <v/>
      </c>
      <c r="Y143" s="200" t="str">
        <f>IFERROR(VLOOKUP(TableHandbook[[#This Row],[UDC]],TableMJRUARTME[],7,FALSE),"")</f>
        <v/>
      </c>
      <c r="Z143" s="200" t="str">
        <f>IFERROR(VLOOKUP(TableHandbook[[#This Row],[UDC]],TableMJRUARTVA[],7,FALSE),"")</f>
        <v/>
      </c>
      <c r="AA143" s="200" t="str">
        <f>IFERROR(VLOOKUP(TableHandbook[[#This Row],[UDC]],TableMJRUENGLT[],7,FALSE),"")</f>
        <v/>
      </c>
      <c r="AB143" s="200" t="str">
        <f>IFERROR(VLOOKUP(TableHandbook[[#This Row],[UDC]],TableMJRUHLTPE[],7,FALSE),"")</f>
        <v/>
      </c>
      <c r="AC143" s="200" t="str">
        <f>IFERROR(VLOOKUP(TableHandbook[[#This Row],[UDC]],TableMJRUHUSEC[],7,FALSE),"")</f>
        <v/>
      </c>
      <c r="AD143" s="200" t="str">
        <f>IFERROR(VLOOKUP(TableHandbook[[#This Row],[UDC]],TableMJRUHUSGE[],7,FALSE),"")</f>
        <v>Core</v>
      </c>
      <c r="AE143" s="200" t="str">
        <f>IFERROR(VLOOKUP(TableHandbook[[#This Row],[UDC]],TableMJRUHUSHI[],7,FALSE),"")</f>
        <v/>
      </c>
      <c r="AF143" s="200" t="str">
        <f>IFERROR(VLOOKUP(TableHandbook[[#This Row],[UDC]],TableMJRUHUSPL[],7,FALSE),"")</f>
        <v/>
      </c>
      <c r="AG143" s="200" t="str">
        <f>IFERROR(VLOOKUP(TableHandbook[[#This Row],[UDC]],TableMJRUMATHT[],7,FALSE),"")</f>
        <v/>
      </c>
      <c r="AH143" s="200" t="str">
        <f>IFERROR(VLOOKUP(TableHandbook[[#This Row],[UDC]],TableMJRUSCIBI[],7,FALSE),"")</f>
        <v/>
      </c>
      <c r="AI143" s="200" t="str">
        <f>IFERROR(VLOOKUP(TableHandbook[[#This Row],[UDC]],TableMJRUSCICH[],7,FALSE),"")</f>
        <v/>
      </c>
      <c r="AJ143" s="200" t="str">
        <f>IFERROR(VLOOKUP(TableHandbook[[#This Row],[UDC]],TableMJRUSCIHB[],7,FALSE),"")</f>
        <v/>
      </c>
      <c r="AK143" s="200" t="str">
        <f>IFERROR(VLOOKUP(TableHandbook[[#This Row],[UDC]],TableMJRUSCIPH[],7,FALSE),"")</f>
        <v/>
      </c>
      <c r="AL143" s="200" t="str">
        <f>IFERROR(VLOOKUP(TableHandbook[[#This Row],[UDC]],TableMJRUSCIPS[],7,FALSE),"")</f>
        <v/>
      </c>
      <c r="AM143" s="202"/>
      <c r="AN143" s="200" t="str">
        <f>IFERROR(VLOOKUP(TableHandbook[[#This Row],[UDC]],TableSTRUBIOLB[],7,FALSE),"")</f>
        <v/>
      </c>
      <c r="AO143" s="200" t="str">
        <f>IFERROR(VLOOKUP(TableHandbook[[#This Row],[UDC]],TableSTRUBSCIM[],7,FALSE),"")</f>
        <v/>
      </c>
      <c r="AP143" s="200" t="str">
        <f>IFERROR(VLOOKUP(TableHandbook[[#This Row],[UDC]],TableSTRUCHEMB[],7,FALSE),"")</f>
        <v/>
      </c>
      <c r="AQ143" s="200" t="str">
        <f>IFERROR(VLOOKUP(TableHandbook[[#This Row],[UDC]],TableSTRUECOB1[],7,FALSE),"")</f>
        <v>Core</v>
      </c>
      <c r="AR143" s="200" t="str">
        <f>IFERROR(VLOOKUP(TableHandbook[[#This Row],[UDC]],TableSTRUEDART[],7,FALSE),"")</f>
        <v/>
      </c>
      <c r="AS143" s="200" t="str">
        <f>IFERROR(VLOOKUP(TableHandbook[[#This Row],[UDC]],TableSTRUEDENG[],7,FALSE),"")</f>
        <v/>
      </c>
      <c r="AT143" s="200" t="str">
        <f>IFERROR(VLOOKUP(TableHandbook[[#This Row],[UDC]],TableSTRUEDHAS[],7,FALSE),"")</f>
        <v/>
      </c>
      <c r="AU143" s="200" t="str">
        <f>IFERROR(VLOOKUP(TableHandbook[[#This Row],[UDC]],TableSTRUEDMAT[],7,FALSE),"")</f>
        <v/>
      </c>
      <c r="AV143" s="200" t="str">
        <f>IFERROR(VLOOKUP(TableHandbook[[#This Row],[UDC]],TableSTRUEDSCI[],7,FALSE),"")</f>
        <v/>
      </c>
      <c r="AW143" s="200" t="str">
        <f>IFERROR(VLOOKUP(TableHandbook[[#This Row],[UDC]],TableSTRUENGLB[],7,FALSE),"")</f>
        <v/>
      </c>
      <c r="AX143" s="200" t="str">
        <f>IFERROR(VLOOKUP(TableHandbook[[#This Row],[UDC]],TableSTRUENGLM[],7,FALSE),"")</f>
        <v/>
      </c>
      <c r="AY143" s="200" t="str">
        <f>IFERROR(VLOOKUP(TableHandbook[[#This Row],[UDC]],TableSTRUGEOB1[],7,FALSE),"")</f>
        <v/>
      </c>
      <c r="AZ143" s="200" t="str">
        <f>IFERROR(VLOOKUP(TableHandbook[[#This Row],[UDC]],TableSTRUHISB1[],7,FALSE),"")</f>
        <v/>
      </c>
      <c r="BA143" s="200" t="str">
        <f>IFERROR(VLOOKUP(TableHandbook[[#This Row],[UDC]],TableSTRUHUMAM[],7,FALSE),"")</f>
        <v/>
      </c>
      <c r="BB143" s="200" t="str">
        <f>IFERROR(VLOOKUP(TableHandbook[[#This Row],[UDC]],TableSTRUHUMBB[],7,FALSE),"")</f>
        <v/>
      </c>
      <c r="BC143" s="200" t="str">
        <f>IFERROR(VLOOKUP(TableHandbook[[#This Row],[UDC]],TableSTRUMATHB[],7,FALSE),"")</f>
        <v/>
      </c>
      <c r="BD143" s="200" t="str">
        <f>IFERROR(VLOOKUP(TableHandbook[[#This Row],[UDC]],TableSTRUMATHM[],7,FALSE),"")</f>
        <v/>
      </c>
      <c r="BE143" s="200" t="str">
        <f>IFERROR(VLOOKUP(TableHandbook[[#This Row],[UDC]],TableSTRUPARTB[],7,FALSE),"")</f>
        <v/>
      </c>
      <c r="BF143" s="200" t="str">
        <f>IFERROR(VLOOKUP(TableHandbook[[#This Row],[UDC]],TableSTRUPARTM[],7,FALSE),"")</f>
        <v/>
      </c>
      <c r="BG143" s="200" t="str">
        <f>IFERROR(VLOOKUP(TableHandbook[[#This Row],[UDC]],TableSTRUPOLB1[],7,FALSE),"")</f>
        <v/>
      </c>
      <c r="BH143" s="200" t="str">
        <f>IFERROR(VLOOKUP(TableHandbook[[#This Row],[UDC]],TableSTRUPSCIM[],7,FALSE),"")</f>
        <v/>
      </c>
      <c r="BI143" s="200" t="str">
        <f>IFERROR(VLOOKUP(TableHandbook[[#This Row],[UDC]],TableSTRUPSYCB[],7,FALSE),"")</f>
        <v/>
      </c>
      <c r="BJ143" s="200" t="str">
        <f>IFERROR(VLOOKUP(TableHandbook[[#This Row],[UDC]],TableSTRUPSYCM[],7,FALSE),"")</f>
        <v/>
      </c>
      <c r="BK143" s="200" t="str">
        <f>IFERROR(VLOOKUP(TableHandbook[[#This Row],[UDC]],TableSTRUSOSCM[],7,FALSE),"")</f>
        <v/>
      </c>
      <c r="BL143" s="200" t="str">
        <f>IFERROR(VLOOKUP(TableHandbook[[#This Row],[UDC]],TableSTRUVARTB[],7,FALSE),"")</f>
        <v/>
      </c>
      <c r="BM143" s="200" t="str">
        <f>IFERROR(VLOOKUP(TableHandbook[[#This Row],[UDC]],TableSTRUVARTM[],7,FALSE),"")</f>
        <v/>
      </c>
    </row>
    <row r="144" spans="1:65" x14ac:dyDescent="0.25">
      <c r="A144" s="262" t="s">
        <v>369</v>
      </c>
      <c r="B144" s="12">
        <v>1</v>
      </c>
      <c r="C144" s="11"/>
      <c r="D144" s="11" t="s">
        <v>727</v>
      </c>
      <c r="E144" s="12">
        <v>25</v>
      </c>
      <c r="F144" s="131" t="s">
        <v>544</v>
      </c>
      <c r="G144" s="126" t="str">
        <f>IFERROR(IF(VLOOKUP(TableHandbook[[#This Row],[UDC]],TableAvailabilities[],2,FALSE)&gt;0,"Y",""),"")</f>
        <v>Y</v>
      </c>
      <c r="H144" s="127" t="str">
        <f>IFERROR(IF(VLOOKUP(TableHandbook[[#This Row],[UDC]],TableAvailabilities[],3,FALSE)&gt;0,"Y",""),"")</f>
        <v>Y</v>
      </c>
      <c r="I144" s="127" t="str">
        <f>IFERROR(IF(VLOOKUP(TableHandbook[[#This Row],[UDC]],TableAvailabilities[],4,FALSE)&gt;0,"Y",""),"")</f>
        <v/>
      </c>
      <c r="J144" s="128" t="str">
        <f>IFERROR(IF(VLOOKUP(TableHandbook[[#This Row],[UDC]],TableAvailabilities[],5,FALSE)&gt;0,"Y",""),"")</f>
        <v/>
      </c>
      <c r="K144" s="128" t="str">
        <f>IFERROR(IF(VLOOKUP(TableHandbook[[#This Row],[UDC]],TableAvailabilities[],6,FALSE)&gt;0,"Y",""),"")</f>
        <v/>
      </c>
      <c r="L144" s="127" t="str">
        <f>IFERROR(IF(VLOOKUP(TableHandbook[[#This Row],[UDC]],TableAvailabilities[],7,FALSE)&gt;0,"Y",""),"")</f>
        <v/>
      </c>
      <c r="M144" s="207"/>
      <c r="N144" s="205" t="str">
        <f>IFERROR(VLOOKUP(TableHandbook[[#This Row],[UDC]],TableBEDUC[],7,FALSE),"")</f>
        <v/>
      </c>
      <c r="O144" s="200" t="str">
        <f>IFERROR(VLOOKUP(TableHandbook[[#This Row],[UDC]],TableBEDEC[],7,FALSE),"")</f>
        <v/>
      </c>
      <c r="P144" s="200" t="str">
        <f>IFERROR(VLOOKUP(TableHandbook[[#This Row],[UDC]],TableBEDPR[],7,FALSE),"")</f>
        <v/>
      </c>
      <c r="Q144" s="200" t="str">
        <f>IFERROR(VLOOKUP(TableHandbook[[#This Row],[UDC]],TableSTRUCATHL[],7,FALSE),"")</f>
        <v/>
      </c>
      <c r="R144" s="200" t="str">
        <f>IFERROR(VLOOKUP(TableHandbook[[#This Row],[UDC]],TableSTRUENGLL[],7,FALSE),"")</f>
        <v/>
      </c>
      <c r="S144" s="200" t="str">
        <f>IFERROR(VLOOKUP(TableHandbook[[#This Row],[UDC]],TableSTRUINTBC[],7,FALSE),"")</f>
        <v/>
      </c>
      <c r="T144" s="200" t="str">
        <f>IFERROR(VLOOKUP(TableHandbook[[#This Row],[UDC]],TableSTRUISTEM[],7,FALSE),"")</f>
        <v/>
      </c>
      <c r="U144" s="200" t="str">
        <f>IFERROR(VLOOKUP(TableHandbook[[#This Row],[UDC]],TableSTRULITNU[],7,FALSE),"")</f>
        <v/>
      </c>
      <c r="V144" s="200" t="str">
        <f>IFERROR(VLOOKUP(TableHandbook[[#This Row],[UDC]],TableSTRUTECHS[],7,FALSE),"")</f>
        <v/>
      </c>
      <c r="W144" s="200" t="str">
        <f>IFERROR(VLOOKUP(TableHandbook[[#This Row],[UDC]],TableBEDSC[],7,FALSE),"")</f>
        <v/>
      </c>
      <c r="X144" s="200" t="str">
        <f>IFERROR(VLOOKUP(TableHandbook[[#This Row],[UDC]],TableMJRUARTDR[],7,FALSE),"")</f>
        <v/>
      </c>
      <c r="Y144" s="200" t="str">
        <f>IFERROR(VLOOKUP(TableHandbook[[#This Row],[UDC]],TableMJRUARTME[],7,FALSE),"")</f>
        <v/>
      </c>
      <c r="Z144" s="200" t="str">
        <f>IFERROR(VLOOKUP(TableHandbook[[#This Row],[UDC]],TableMJRUARTVA[],7,FALSE),"")</f>
        <v/>
      </c>
      <c r="AA144" s="200" t="str">
        <f>IFERROR(VLOOKUP(TableHandbook[[#This Row],[UDC]],TableMJRUENGLT[],7,FALSE),"")</f>
        <v/>
      </c>
      <c r="AB144" s="200" t="str">
        <f>IFERROR(VLOOKUP(TableHandbook[[#This Row],[UDC]],TableMJRUHLTPE[],7,FALSE),"")</f>
        <v/>
      </c>
      <c r="AC144" s="200" t="str">
        <f>IFERROR(VLOOKUP(TableHandbook[[#This Row],[UDC]],TableMJRUHUSEC[],7,FALSE),"")</f>
        <v/>
      </c>
      <c r="AD144" s="200" t="str">
        <f>IFERROR(VLOOKUP(TableHandbook[[#This Row],[UDC]],TableMJRUHUSGE[],7,FALSE),"")</f>
        <v>Core</v>
      </c>
      <c r="AE144" s="200" t="str">
        <f>IFERROR(VLOOKUP(TableHandbook[[#This Row],[UDC]],TableMJRUHUSHI[],7,FALSE),"")</f>
        <v/>
      </c>
      <c r="AF144" s="200" t="str">
        <f>IFERROR(VLOOKUP(TableHandbook[[#This Row],[UDC]],TableMJRUHUSPL[],7,FALSE),"")</f>
        <v/>
      </c>
      <c r="AG144" s="200" t="str">
        <f>IFERROR(VLOOKUP(TableHandbook[[#This Row],[UDC]],TableMJRUMATHT[],7,FALSE),"")</f>
        <v/>
      </c>
      <c r="AH144" s="200" t="str">
        <f>IFERROR(VLOOKUP(TableHandbook[[#This Row],[UDC]],TableMJRUSCIBI[],7,FALSE),"")</f>
        <v/>
      </c>
      <c r="AI144" s="200" t="str">
        <f>IFERROR(VLOOKUP(TableHandbook[[#This Row],[UDC]],TableMJRUSCICH[],7,FALSE),"")</f>
        <v/>
      </c>
      <c r="AJ144" s="200" t="str">
        <f>IFERROR(VLOOKUP(TableHandbook[[#This Row],[UDC]],TableMJRUSCIHB[],7,FALSE),"")</f>
        <v/>
      </c>
      <c r="AK144" s="200" t="str">
        <f>IFERROR(VLOOKUP(TableHandbook[[#This Row],[UDC]],TableMJRUSCIPH[],7,FALSE),"")</f>
        <v/>
      </c>
      <c r="AL144" s="200" t="str">
        <f>IFERROR(VLOOKUP(TableHandbook[[#This Row],[UDC]],TableMJRUSCIPS[],7,FALSE),"")</f>
        <v/>
      </c>
      <c r="AM144" s="202"/>
      <c r="AN144" s="200" t="str">
        <f>IFERROR(VLOOKUP(TableHandbook[[#This Row],[UDC]],TableSTRUBIOLB[],7,FALSE),"")</f>
        <v/>
      </c>
      <c r="AO144" s="200" t="str">
        <f>IFERROR(VLOOKUP(TableHandbook[[#This Row],[UDC]],TableSTRUBSCIM[],7,FALSE),"")</f>
        <v/>
      </c>
      <c r="AP144" s="200" t="str">
        <f>IFERROR(VLOOKUP(TableHandbook[[#This Row],[UDC]],TableSTRUCHEMB[],7,FALSE),"")</f>
        <v/>
      </c>
      <c r="AQ144" s="200" t="str">
        <f>IFERROR(VLOOKUP(TableHandbook[[#This Row],[UDC]],TableSTRUECOB1[],7,FALSE),"")</f>
        <v/>
      </c>
      <c r="AR144" s="200" t="str">
        <f>IFERROR(VLOOKUP(TableHandbook[[#This Row],[UDC]],TableSTRUEDART[],7,FALSE),"")</f>
        <v/>
      </c>
      <c r="AS144" s="200" t="str">
        <f>IFERROR(VLOOKUP(TableHandbook[[#This Row],[UDC]],TableSTRUEDENG[],7,FALSE),"")</f>
        <v/>
      </c>
      <c r="AT144" s="200" t="str">
        <f>IFERROR(VLOOKUP(TableHandbook[[#This Row],[UDC]],TableSTRUEDHAS[],7,FALSE),"")</f>
        <v/>
      </c>
      <c r="AU144" s="200" t="str">
        <f>IFERROR(VLOOKUP(TableHandbook[[#This Row],[UDC]],TableSTRUEDMAT[],7,FALSE),"")</f>
        <v/>
      </c>
      <c r="AV144" s="200" t="str">
        <f>IFERROR(VLOOKUP(TableHandbook[[#This Row],[UDC]],TableSTRUEDSCI[],7,FALSE),"")</f>
        <v/>
      </c>
      <c r="AW144" s="200" t="str">
        <f>IFERROR(VLOOKUP(TableHandbook[[#This Row],[UDC]],TableSTRUENGLB[],7,FALSE),"")</f>
        <v/>
      </c>
      <c r="AX144" s="200" t="str">
        <f>IFERROR(VLOOKUP(TableHandbook[[#This Row],[UDC]],TableSTRUENGLM[],7,FALSE),"")</f>
        <v/>
      </c>
      <c r="AY144" s="200" t="str">
        <f>IFERROR(VLOOKUP(TableHandbook[[#This Row],[UDC]],TableSTRUGEOB1[],7,FALSE),"")</f>
        <v/>
      </c>
      <c r="AZ144" s="200" t="str">
        <f>IFERROR(VLOOKUP(TableHandbook[[#This Row],[UDC]],TableSTRUHISB1[],7,FALSE),"")</f>
        <v/>
      </c>
      <c r="BA144" s="200" t="str">
        <f>IFERROR(VLOOKUP(TableHandbook[[#This Row],[UDC]],TableSTRUHUMAM[],7,FALSE),"")</f>
        <v/>
      </c>
      <c r="BB144" s="200" t="str">
        <f>IFERROR(VLOOKUP(TableHandbook[[#This Row],[UDC]],TableSTRUHUMBB[],7,FALSE),"")</f>
        <v/>
      </c>
      <c r="BC144" s="200" t="str">
        <f>IFERROR(VLOOKUP(TableHandbook[[#This Row],[UDC]],TableSTRUMATHB[],7,FALSE),"")</f>
        <v/>
      </c>
      <c r="BD144" s="200" t="str">
        <f>IFERROR(VLOOKUP(TableHandbook[[#This Row],[UDC]],TableSTRUMATHM[],7,FALSE),"")</f>
        <v/>
      </c>
      <c r="BE144" s="200" t="str">
        <f>IFERROR(VLOOKUP(TableHandbook[[#This Row],[UDC]],TableSTRUPARTB[],7,FALSE),"")</f>
        <v/>
      </c>
      <c r="BF144" s="200" t="str">
        <f>IFERROR(VLOOKUP(TableHandbook[[#This Row],[UDC]],TableSTRUPARTM[],7,FALSE),"")</f>
        <v/>
      </c>
      <c r="BG144" s="200" t="str">
        <f>IFERROR(VLOOKUP(TableHandbook[[#This Row],[UDC]],TableSTRUPOLB1[],7,FALSE),"")</f>
        <v>Core</v>
      </c>
      <c r="BH144" s="200" t="str">
        <f>IFERROR(VLOOKUP(TableHandbook[[#This Row],[UDC]],TableSTRUPSCIM[],7,FALSE),"")</f>
        <v/>
      </c>
      <c r="BI144" s="200" t="str">
        <f>IFERROR(VLOOKUP(TableHandbook[[#This Row],[UDC]],TableSTRUPSYCB[],7,FALSE),"")</f>
        <v/>
      </c>
      <c r="BJ144" s="200" t="str">
        <f>IFERROR(VLOOKUP(TableHandbook[[#This Row],[UDC]],TableSTRUPSYCM[],7,FALSE),"")</f>
        <v/>
      </c>
      <c r="BK144" s="200" t="str">
        <f>IFERROR(VLOOKUP(TableHandbook[[#This Row],[UDC]],TableSTRUSOSCM[],7,FALSE),"")</f>
        <v/>
      </c>
      <c r="BL144" s="200" t="str">
        <f>IFERROR(VLOOKUP(TableHandbook[[#This Row],[UDC]],TableSTRUVARTB[],7,FALSE),"")</f>
        <v/>
      </c>
      <c r="BM144" s="200" t="str">
        <f>IFERROR(VLOOKUP(TableHandbook[[#This Row],[UDC]],TableSTRUVARTM[],7,FALSE),"")</f>
        <v/>
      </c>
    </row>
    <row r="145" spans="1:65" x14ac:dyDescent="0.25">
      <c r="A145" s="262" t="s">
        <v>399</v>
      </c>
      <c r="B145" s="12">
        <v>1</v>
      </c>
      <c r="C145" s="11"/>
      <c r="D145" s="11" t="s">
        <v>728</v>
      </c>
      <c r="E145" s="12">
        <v>25</v>
      </c>
      <c r="F145" s="131" t="s">
        <v>544</v>
      </c>
      <c r="G145" s="126" t="str">
        <f>IFERROR(IF(VLOOKUP(TableHandbook[[#This Row],[UDC]],TableAvailabilities[],2,FALSE)&gt;0,"Y",""),"")</f>
        <v>Y</v>
      </c>
      <c r="H145" s="127" t="str">
        <f>IFERROR(IF(VLOOKUP(TableHandbook[[#This Row],[UDC]],TableAvailabilities[],3,FALSE)&gt;0,"Y",""),"")</f>
        <v>Y</v>
      </c>
      <c r="I145" s="127" t="str">
        <f>IFERROR(IF(VLOOKUP(TableHandbook[[#This Row],[UDC]],TableAvailabilities[],4,FALSE)&gt;0,"Y",""),"")</f>
        <v/>
      </c>
      <c r="J145" s="128" t="str">
        <f>IFERROR(IF(VLOOKUP(TableHandbook[[#This Row],[UDC]],TableAvailabilities[],5,FALSE)&gt;0,"Y",""),"")</f>
        <v/>
      </c>
      <c r="K145" s="128" t="str">
        <f>IFERROR(IF(VLOOKUP(TableHandbook[[#This Row],[UDC]],TableAvailabilities[],6,FALSE)&gt;0,"Y",""),"")</f>
        <v/>
      </c>
      <c r="L145" s="127" t="str">
        <f>IFERROR(IF(VLOOKUP(TableHandbook[[#This Row],[UDC]],TableAvailabilities[],7,FALSE)&gt;0,"Y",""),"")</f>
        <v/>
      </c>
      <c r="M145" s="207"/>
      <c r="N145" s="205" t="str">
        <f>IFERROR(VLOOKUP(TableHandbook[[#This Row],[UDC]],TableBEDUC[],7,FALSE),"")</f>
        <v/>
      </c>
      <c r="O145" s="200" t="str">
        <f>IFERROR(VLOOKUP(TableHandbook[[#This Row],[UDC]],TableBEDEC[],7,FALSE),"")</f>
        <v/>
      </c>
      <c r="P145" s="200" t="str">
        <f>IFERROR(VLOOKUP(TableHandbook[[#This Row],[UDC]],TableBEDPR[],7,FALSE),"")</f>
        <v/>
      </c>
      <c r="Q145" s="200" t="str">
        <f>IFERROR(VLOOKUP(TableHandbook[[#This Row],[UDC]],TableSTRUCATHL[],7,FALSE),"")</f>
        <v/>
      </c>
      <c r="R145" s="200" t="str">
        <f>IFERROR(VLOOKUP(TableHandbook[[#This Row],[UDC]],TableSTRUENGLL[],7,FALSE),"")</f>
        <v/>
      </c>
      <c r="S145" s="200" t="str">
        <f>IFERROR(VLOOKUP(TableHandbook[[#This Row],[UDC]],TableSTRUINTBC[],7,FALSE),"")</f>
        <v/>
      </c>
      <c r="T145" s="200" t="str">
        <f>IFERROR(VLOOKUP(TableHandbook[[#This Row],[UDC]],TableSTRUISTEM[],7,FALSE),"")</f>
        <v/>
      </c>
      <c r="U145" s="200" t="str">
        <f>IFERROR(VLOOKUP(TableHandbook[[#This Row],[UDC]],TableSTRULITNU[],7,FALSE),"")</f>
        <v/>
      </c>
      <c r="V145" s="200" t="str">
        <f>IFERROR(VLOOKUP(TableHandbook[[#This Row],[UDC]],TableSTRUTECHS[],7,FALSE),"")</f>
        <v/>
      </c>
      <c r="W145" s="200" t="str">
        <f>IFERROR(VLOOKUP(TableHandbook[[#This Row],[UDC]],TableBEDSC[],7,FALSE),"")</f>
        <v/>
      </c>
      <c r="X145" s="200" t="str">
        <f>IFERROR(VLOOKUP(TableHandbook[[#This Row],[UDC]],TableMJRUARTDR[],7,FALSE),"")</f>
        <v/>
      </c>
      <c r="Y145" s="200" t="str">
        <f>IFERROR(VLOOKUP(TableHandbook[[#This Row],[UDC]],TableMJRUARTME[],7,FALSE),"")</f>
        <v/>
      </c>
      <c r="Z145" s="200" t="str">
        <f>IFERROR(VLOOKUP(TableHandbook[[#This Row],[UDC]],TableMJRUARTVA[],7,FALSE),"")</f>
        <v/>
      </c>
      <c r="AA145" s="200" t="str">
        <f>IFERROR(VLOOKUP(TableHandbook[[#This Row],[UDC]],TableMJRUENGLT[],7,FALSE),"")</f>
        <v/>
      </c>
      <c r="AB145" s="200" t="str">
        <f>IFERROR(VLOOKUP(TableHandbook[[#This Row],[UDC]],TableMJRUHLTPE[],7,FALSE),"")</f>
        <v/>
      </c>
      <c r="AC145" s="200" t="str">
        <f>IFERROR(VLOOKUP(TableHandbook[[#This Row],[UDC]],TableMJRUHUSEC[],7,FALSE),"")</f>
        <v/>
      </c>
      <c r="AD145" s="200" t="str">
        <f>IFERROR(VLOOKUP(TableHandbook[[#This Row],[UDC]],TableMJRUHUSGE[],7,FALSE),"")</f>
        <v>Core</v>
      </c>
      <c r="AE145" s="200" t="str">
        <f>IFERROR(VLOOKUP(TableHandbook[[#This Row],[UDC]],TableMJRUHUSHI[],7,FALSE),"")</f>
        <v/>
      </c>
      <c r="AF145" s="200" t="str">
        <f>IFERROR(VLOOKUP(TableHandbook[[#This Row],[UDC]],TableMJRUHUSPL[],7,FALSE),"")</f>
        <v/>
      </c>
      <c r="AG145" s="200" t="str">
        <f>IFERROR(VLOOKUP(TableHandbook[[#This Row],[UDC]],TableMJRUMATHT[],7,FALSE),"")</f>
        <v/>
      </c>
      <c r="AH145" s="200" t="str">
        <f>IFERROR(VLOOKUP(TableHandbook[[#This Row],[UDC]],TableMJRUSCIBI[],7,FALSE),"")</f>
        <v/>
      </c>
      <c r="AI145" s="200" t="str">
        <f>IFERROR(VLOOKUP(TableHandbook[[#This Row],[UDC]],TableMJRUSCICH[],7,FALSE),"")</f>
        <v/>
      </c>
      <c r="AJ145" s="200" t="str">
        <f>IFERROR(VLOOKUP(TableHandbook[[#This Row],[UDC]],TableMJRUSCIHB[],7,FALSE),"")</f>
        <v/>
      </c>
      <c r="AK145" s="200" t="str">
        <f>IFERROR(VLOOKUP(TableHandbook[[#This Row],[UDC]],TableMJRUSCIPH[],7,FALSE),"")</f>
        <v/>
      </c>
      <c r="AL145" s="200" t="str">
        <f>IFERROR(VLOOKUP(TableHandbook[[#This Row],[UDC]],TableMJRUSCIPS[],7,FALSE),"")</f>
        <v/>
      </c>
      <c r="AM145" s="202"/>
      <c r="AN145" s="200" t="str">
        <f>IFERROR(VLOOKUP(TableHandbook[[#This Row],[UDC]],TableSTRUBIOLB[],7,FALSE),"")</f>
        <v/>
      </c>
      <c r="AO145" s="200" t="str">
        <f>IFERROR(VLOOKUP(TableHandbook[[#This Row],[UDC]],TableSTRUBSCIM[],7,FALSE),"")</f>
        <v/>
      </c>
      <c r="AP145" s="200" t="str">
        <f>IFERROR(VLOOKUP(TableHandbook[[#This Row],[UDC]],TableSTRUCHEMB[],7,FALSE),"")</f>
        <v/>
      </c>
      <c r="AQ145" s="200" t="str">
        <f>IFERROR(VLOOKUP(TableHandbook[[#This Row],[UDC]],TableSTRUECOB1[],7,FALSE),"")</f>
        <v/>
      </c>
      <c r="AR145" s="200" t="str">
        <f>IFERROR(VLOOKUP(TableHandbook[[#This Row],[UDC]],TableSTRUEDART[],7,FALSE),"")</f>
        <v/>
      </c>
      <c r="AS145" s="200" t="str">
        <f>IFERROR(VLOOKUP(TableHandbook[[#This Row],[UDC]],TableSTRUEDENG[],7,FALSE),"")</f>
        <v/>
      </c>
      <c r="AT145" s="200" t="str">
        <f>IFERROR(VLOOKUP(TableHandbook[[#This Row],[UDC]],TableSTRUEDHAS[],7,FALSE),"")</f>
        <v/>
      </c>
      <c r="AU145" s="200" t="str">
        <f>IFERROR(VLOOKUP(TableHandbook[[#This Row],[UDC]],TableSTRUEDMAT[],7,FALSE),"")</f>
        <v/>
      </c>
      <c r="AV145" s="200" t="str">
        <f>IFERROR(VLOOKUP(TableHandbook[[#This Row],[UDC]],TableSTRUEDSCI[],7,FALSE),"")</f>
        <v/>
      </c>
      <c r="AW145" s="200" t="str">
        <f>IFERROR(VLOOKUP(TableHandbook[[#This Row],[UDC]],TableSTRUENGLB[],7,FALSE),"")</f>
        <v/>
      </c>
      <c r="AX145" s="200" t="str">
        <f>IFERROR(VLOOKUP(TableHandbook[[#This Row],[UDC]],TableSTRUENGLM[],7,FALSE),"")</f>
        <v/>
      </c>
      <c r="AY145" s="200" t="str">
        <f>IFERROR(VLOOKUP(TableHandbook[[#This Row],[UDC]],TableSTRUGEOB1[],7,FALSE),"")</f>
        <v/>
      </c>
      <c r="AZ145" s="200" t="str">
        <f>IFERROR(VLOOKUP(TableHandbook[[#This Row],[UDC]],TableSTRUHISB1[],7,FALSE),"")</f>
        <v/>
      </c>
      <c r="BA145" s="200" t="str">
        <f>IFERROR(VLOOKUP(TableHandbook[[#This Row],[UDC]],TableSTRUHUMAM[],7,FALSE),"")</f>
        <v/>
      </c>
      <c r="BB145" s="200" t="str">
        <f>IFERROR(VLOOKUP(TableHandbook[[#This Row],[UDC]],TableSTRUHUMBB[],7,FALSE),"")</f>
        <v/>
      </c>
      <c r="BC145" s="200" t="str">
        <f>IFERROR(VLOOKUP(TableHandbook[[#This Row],[UDC]],TableSTRUMATHB[],7,FALSE),"")</f>
        <v/>
      </c>
      <c r="BD145" s="200" t="str">
        <f>IFERROR(VLOOKUP(TableHandbook[[#This Row],[UDC]],TableSTRUMATHM[],7,FALSE),"")</f>
        <v/>
      </c>
      <c r="BE145" s="200" t="str">
        <f>IFERROR(VLOOKUP(TableHandbook[[#This Row],[UDC]],TableSTRUPARTB[],7,FALSE),"")</f>
        <v/>
      </c>
      <c r="BF145" s="200" t="str">
        <f>IFERROR(VLOOKUP(TableHandbook[[#This Row],[UDC]],TableSTRUPARTM[],7,FALSE),"")</f>
        <v/>
      </c>
      <c r="BG145" s="200" t="str">
        <f>IFERROR(VLOOKUP(TableHandbook[[#This Row],[UDC]],TableSTRUPOLB1[],7,FALSE),"")</f>
        <v/>
      </c>
      <c r="BH145" s="200" t="str">
        <f>IFERROR(VLOOKUP(TableHandbook[[#This Row],[UDC]],TableSTRUPSCIM[],7,FALSE),"")</f>
        <v/>
      </c>
      <c r="BI145" s="200" t="str">
        <f>IFERROR(VLOOKUP(TableHandbook[[#This Row],[UDC]],TableSTRUPSYCB[],7,FALSE),"")</f>
        <v/>
      </c>
      <c r="BJ145" s="200" t="str">
        <f>IFERROR(VLOOKUP(TableHandbook[[#This Row],[UDC]],TableSTRUPSYCM[],7,FALSE),"")</f>
        <v/>
      </c>
      <c r="BK145" s="200" t="str">
        <f>IFERROR(VLOOKUP(TableHandbook[[#This Row],[UDC]],TableSTRUSOSCM[],7,FALSE),"")</f>
        <v/>
      </c>
      <c r="BL145" s="200" t="str">
        <f>IFERROR(VLOOKUP(TableHandbook[[#This Row],[UDC]],TableSTRUVARTB[],7,FALSE),"")</f>
        <v/>
      </c>
      <c r="BM145" s="200" t="str">
        <f>IFERROR(VLOOKUP(TableHandbook[[#This Row],[UDC]],TableSTRUVARTM[],7,FALSE),"")</f>
        <v/>
      </c>
    </row>
    <row r="146" spans="1:65" x14ac:dyDescent="0.25">
      <c r="A146" s="262" t="s">
        <v>332</v>
      </c>
      <c r="B146" s="12">
        <v>1</v>
      </c>
      <c r="C146" s="11"/>
      <c r="D146" s="11" t="s">
        <v>729</v>
      </c>
      <c r="E146" s="12">
        <v>25</v>
      </c>
      <c r="F146" s="131" t="s">
        <v>544</v>
      </c>
      <c r="G146" s="126" t="str">
        <f>IFERROR(IF(VLOOKUP(TableHandbook[[#This Row],[UDC]],TableAvailabilities[],2,FALSE)&gt;0,"Y",""),"")</f>
        <v>Y</v>
      </c>
      <c r="H146" s="127" t="str">
        <f>IFERROR(IF(VLOOKUP(TableHandbook[[#This Row],[UDC]],TableAvailabilities[],3,FALSE)&gt;0,"Y",""),"")</f>
        <v>Y</v>
      </c>
      <c r="I146" s="127" t="str">
        <f>IFERROR(IF(VLOOKUP(TableHandbook[[#This Row],[UDC]],TableAvailabilities[],4,FALSE)&gt;0,"Y",""),"")</f>
        <v/>
      </c>
      <c r="J146" s="128" t="str">
        <f>IFERROR(IF(VLOOKUP(TableHandbook[[#This Row],[UDC]],TableAvailabilities[],5,FALSE)&gt;0,"Y",""),"")</f>
        <v/>
      </c>
      <c r="K146" s="128" t="str">
        <f>IFERROR(IF(VLOOKUP(TableHandbook[[#This Row],[UDC]],TableAvailabilities[],6,FALSE)&gt;0,"Y",""),"")</f>
        <v/>
      </c>
      <c r="L146" s="127" t="str">
        <f>IFERROR(IF(VLOOKUP(TableHandbook[[#This Row],[UDC]],TableAvailabilities[],7,FALSE)&gt;0,"Y",""),"")</f>
        <v/>
      </c>
      <c r="M146" s="207"/>
      <c r="N146" s="205" t="str">
        <f>IFERROR(VLOOKUP(TableHandbook[[#This Row],[UDC]],TableBEDUC[],7,FALSE),"")</f>
        <v/>
      </c>
      <c r="O146" s="200" t="str">
        <f>IFERROR(VLOOKUP(TableHandbook[[#This Row],[UDC]],TableBEDEC[],7,FALSE),"")</f>
        <v/>
      </c>
      <c r="P146" s="200" t="str">
        <f>IFERROR(VLOOKUP(TableHandbook[[#This Row],[UDC]],TableBEDPR[],7,FALSE),"")</f>
        <v/>
      </c>
      <c r="Q146" s="200" t="str">
        <f>IFERROR(VLOOKUP(TableHandbook[[#This Row],[UDC]],TableSTRUCATHL[],7,FALSE),"")</f>
        <v/>
      </c>
      <c r="R146" s="200" t="str">
        <f>IFERROR(VLOOKUP(TableHandbook[[#This Row],[UDC]],TableSTRUENGLL[],7,FALSE),"")</f>
        <v/>
      </c>
      <c r="S146" s="200" t="str">
        <f>IFERROR(VLOOKUP(TableHandbook[[#This Row],[UDC]],TableSTRUINTBC[],7,FALSE),"")</f>
        <v/>
      </c>
      <c r="T146" s="200" t="str">
        <f>IFERROR(VLOOKUP(TableHandbook[[#This Row],[UDC]],TableSTRUISTEM[],7,FALSE),"")</f>
        <v/>
      </c>
      <c r="U146" s="200" t="str">
        <f>IFERROR(VLOOKUP(TableHandbook[[#This Row],[UDC]],TableSTRULITNU[],7,FALSE),"")</f>
        <v/>
      </c>
      <c r="V146" s="200" t="str">
        <f>IFERROR(VLOOKUP(TableHandbook[[#This Row],[UDC]],TableSTRUTECHS[],7,FALSE),"")</f>
        <v/>
      </c>
      <c r="W146" s="200" t="str">
        <f>IFERROR(VLOOKUP(TableHandbook[[#This Row],[UDC]],TableBEDSC[],7,FALSE),"")</f>
        <v/>
      </c>
      <c r="X146" s="200" t="str">
        <f>IFERROR(VLOOKUP(TableHandbook[[#This Row],[UDC]],TableMJRUARTDR[],7,FALSE),"")</f>
        <v/>
      </c>
      <c r="Y146" s="200" t="str">
        <f>IFERROR(VLOOKUP(TableHandbook[[#This Row],[UDC]],TableMJRUARTME[],7,FALSE),"")</f>
        <v/>
      </c>
      <c r="Z146" s="200" t="str">
        <f>IFERROR(VLOOKUP(TableHandbook[[#This Row],[UDC]],TableMJRUARTVA[],7,FALSE),"")</f>
        <v/>
      </c>
      <c r="AA146" s="200" t="str">
        <f>IFERROR(VLOOKUP(TableHandbook[[#This Row],[UDC]],TableMJRUENGLT[],7,FALSE),"")</f>
        <v/>
      </c>
      <c r="AB146" s="200" t="str">
        <f>IFERROR(VLOOKUP(TableHandbook[[#This Row],[UDC]],TableMJRUHLTPE[],7,FALSE),"")</f>
        <v/>
      </c>
      <c r="AC146" s="200" t="str">
        <f>IFERROR(VLOOKUP(TableHandbook[[#This Row],[UDC]],TableMJRUHUSEC[],7,FALSE),"")</f>
        <v/>
      </c>
      <c r="AD146" s="200" t="str">
        <f>IFERROR(VLOOKUP(TableHandbook[[#This Row],[UDC]],TableMJRUHUSGE[],7,FALSE),"")</f>
        <v/>
      </c>
      <c r="AE146" s="200" t="str">
        <f>IFERROR(VLOOKUP(TableHandbook[[#This Row],[UDC]],TableMJRUHUSHI[],7,FALSE),"")</f>
        <v>Core</v>
      </c>
      <c r="AF146" s="200" t="str">
        <f>IFERROR(VLOOKUP(TableHandbook[[#This Row],[UDC]],TableMJRUHUSPL[],7,FALSE),"")</f>
        <v/>
      </c>
      <c r="AG146" s="200" t="str">
        <f>IFERROR(VLOOKUP(TableHandbook[[#This Row],[UDC]],TableMJRUMATHT[],7,FALSE),"")</f>
        <v/>
      </c>
      <c r="AH146" s="200" t="str">
        <f>IFERROR(VLOOKUP(TableHandbook[[#This Row],[UDC]],TableMJRUSCIBI[],7,FALSE),"")</f>
        <v/>
      </c>
      <c r="AI146" s="200" t="str">
        <f>IFERROR(VLOOKUP(TableHandbook[[#This Row],[UDC]],TableMJRUSCICH[],7,FALSE),"")</f>
        <v/>
      </c>
      <c r="AJ146" s="200" t="str">
        <f>IFERROR(VLOOKUP(TableHandbook[[#This Row],[UDC]],TableMJRUSCIHB[],7,FALSE),"")</f>
        <v/>
      </c>
      <c r="AK146" s="200" t="str">
        <f>IFERROR(VLOOKUP(TableHandbook[[#This Row],[UDC]],TableMJRUSCIPH[],7,FALSE),"")</f>
        <v/>
      </c>
      <c r="AL146" s="200" t="str">
        <f>IFERROR(VLOOKUP(TableHandbook[[#This Row],[UDC]],TableMJRUSCIPS[],7,FALSE),"")</f>
        <v/>
      </c>
      <c r="AM146" s="202"/>
      <c r="AN146" s="200" t="str">
        <f>IFERROR(VLOOKUP(TableHandbook[[#This Row],[UDC]],TableSTRUBIOLB[],7,FALSE),"")</f>
        <v/>
      </c>
      <c r="AO146" s="200" t="str">
        <f>IFERROR(VLOOKUP(TableHandbook[[#This Row],[UDC]],TableSTRUBSCIM[],7,FALSE),"")</f>
        <v/>
      </c>
      <c r="AP146" s="200" t="str">
        <f>IFERROR(VLOOKUP(TableHandbook[[#This Row],[UDC]],TableSTRUCHEMB[],7,FALSE),"")</f>
        <v/>
      </c>
      <c r="AQ146" s="200" t="str">
        <f>IFERROR(VLOOKUP(TableHandbook[[#This Row],[UDC]],TableSTRUECOB1[],7,FALSE),"")</f>
        <v/>
      </c>
      <c r="AR146" s="200" t="str">
        <f>IFERROR(VLOOKUP(TableHandbook[[#This Row],[UDC]],TableSTRUEDART[],7,FALSE),"")</f>
        <v/>
      </c>
      <c r="AS146" s="200" t="str">
        <f>IFERROR(VLOOKUP(TableHandbook[[#This Row],[UDC]],TableSTRUEDENG[],7,FALSE),"")</f>
        <v/>
      </c>
      <c r="AT146" s="200" t="str">
        <f>IFERROR(VLOOKUP(TableHandbook[[#This Row],[UDC]],TableSTRUEDHAS[],7,FALSE),"")</f>
        <v/>
      </c>
      <c r="AU146" s="200" t="str">
        <f>IFERROR(VLOOKUP(TableHandbook[[#This Row],[UDC]],TableSTRUEDMAT[],7,FALSE),"")</f>
        <v/>
      </c>
      <c r="AV146" s="200" t="str">
        <f>IFERROR(VLOOKUP(TableHandbook[[#This Row],[UDC]],TableSTRUEDSCI[],7,FALSE),"")</f>
        <v/>
      </c>
      <c r="AW146" s="200" t="str">
        <f>IFERROR(VLOOKUP(TableHandbook[[#This Row],[UDC]],TableSTRUENGLB[],7,FALSE),"")</f>
        <v/>
      </c>
      <c r="AX146" s="200" t="str">
        <f>IFERROR(VLOOKUP(TableHandbook[[#This Row],[UDC]],TableSTRUENGLM[],7,FALSE),"")</f>
        <v/>
      </c>
      <c r="AY146" s="200" t="str">
        <f>IFERROR(VLOOKUP(TableHandbook[[#This Row],[UDC]],TableSTRUGEOB1[],7,FALSE),"")</f>
        <v/>
      </c>
      <c r="AZ146" s="200" t="str">
        <f>IFERROR(VLOOKUP(TableHandbook[[#This Row],[UDC]],TableSTRUHISB1[],7,FALSE),"")</f>
        <v/>
      </c>
      <c r="BA146" s="200" t="str">
        <f>IFERROR(VLOOKUP(TableHandbook[[#This Row],[UDC]],TableSTRUHUMAM[],7,FALSE),"")</f>
        <v>Core</v>
      </c>
      <c r="BB146" s="200" t="str">
        <f>IFERROR(VLOOKUP(TableHandbook[[#This Row],[UDC]],TableSTRUHUMBB[],7,FALSE),"")</f>
        <v/>
      </c>
      <c r="BC146" s="200" t="str">
        <f>IFERROR(VLOOKUP(TableHandbook[[#This Row],[UDC]],TableSTRUMATHB[],7,FALSE),"")</f>
        <v/>
      </c>
      <c r="BD146" s="200" t="str">
        <f>IFERROR(VLOOKUP(TableHandbook[[#This Row],[UDC]],TableSTRUMATHM[],7,FALSE),"")</f>
        <v/>
      </c>
      <c r="BE146" s="200" t="str">
        <f>IFERROR(VLOOKUP(TableHandbook[[#This Row],[UDC]],TableSTRUPARTB[],7,FALSE),"")</f>
        <v/>
      </c>
      <c r="BF146" s="200" t="str">
        <f>IFERROR(VLOOKUP(TableHandbook[[#This Row],[UDC]],TableSTRUPARTM[],7,FALSE),"")</f>
        <v/>
      </c>
      <c r="BG146" s="200" t="str">
        <f>IFERROR(VLOOKUP(TableHandbook[[#This Row],[UDC]],TableSTRUPOLB1[],7,FALSE),"")</f>
        <v/>
      </c>
      <c r="BH146" s="200" t="str">
        <f>IFERROR(VLOOKUP(TableHandbook[[#This Row],[UDC]],TableSTRUPSCIM[],7,FALSE),"")</f>
        <v/>
      </c>
      <c r="BI146" s="200" t="str">
        <f>IFERROR(VLOOKUP(TableHandbook[[#This Row],[UDC]],TableSTRUPSYCB[],7,FALSE),"")</f>
        <v/>
      </c>
      <c r="BJ146" s="200" t="str">
        <f>IFERROR(VLOOKUP(TableHandbook[[#This Row],[UDC]],TableSTRUPSYCM[],7,FALSE),"")</f>
        <v/>
      </c>
      <c r="BK146" s="200" t="str">
        <f>IFERROR(VLOOKUP(TableHandbook[[#This Row],[UDC]],TableSTRUSOSCM[],7,FALSE),"")</f>
        <v/>
      </c>
      <c r="BL146" s="200" t="str">
        <f>IFERROR(VLOOKUP(TableHandbook[[#This Row],[UDC]],TableSTRUVARTB[],7,FALSE),"")</f>
        <v/>
      </c>
      <c r="BM146" s="200" t="str">
        <f>IFERROR(VLOOKUP(TableHandbook[[#This Row],[UDC]],TableSTRUVARTM[],7,FALSE),"")</f>
        <v/>
      </c>
    </row>
    <row r="147" spans="1:65" x14ac:dyDescent="0.25">
      <c r="A147" s="262" t="s">
        <v>354</v>
      </c>
      <c r="B147" s="12">
        <v>2</v>
      </c>
      <c r="C147" s="11"/>
      <c r="D147" s="11" t="s">
        <v>730</v>
      </c>
      <c r="E147" s="12">
        <v>25</v>
      </c>
      <c r="F147" s="131" t="s">
        <v>544</v>
      </c>
      <c r="G147" s="126" t="str">
        <f>IFERROR(IF(VLOOKUP(TableHandbook[[#This Row],[UDC]],TableAvailabilities[],2,FALSE)&gt;0,"Y",""),"")</f>
        <v/>
      </c>
      <c r="H147" s="127" t="str">
        <f>IFERROR(IF(VLOOKUP(TableHandbook[[#This Row],[UDC]],TableAvailabilities[],3,FALSE)&gt;0,"Y",""),"")</f>
        <v/>
      </c>
      <c r="I147" s="127" t="str">
        <f>IFERROR(IF(VLOOKUP(TableHandbook[[#This Row],[UDC]],TableAvailabilities[],4,FALSE)&gt;0,"Y",""),"")</f>
        <v/>
      </c>
      <c r="J147" s="128" t="str">
        <f>IFERROR(IF(VLOOKUP(TableHandbook[[#This Row],[UDC]],TableAvailabilities[],5,FALSE)&gt;0,"Y",""),"")</f>
        <v>Y</v>
      </c>
      <c r="K147" s="128" t="str">
        <f>IFERROR(IF(VLOOKUP(TableHandbook[[#This Row],[UDC]],TableAvailabilities[],6,FALSE)&gt;0,"Y",""),"")</f>
        <v>Y</v>
      </c>
      <c r="L147" s="127" t="str">
        <f>IFERROR(IF(VLOOKUP(TableHandbook[[#This Row],[UDC]],TableAvailabilities[],7,FALSE)&gt;0,"Y",""),"")</f>
        <v/>
      </c>
      <c r="M147" s="207"/>
      <c r="N147" s="205" t="str">
        <f>IFERROR(VLOOKUP(TableHandbook[[#This Row],[UDC]],TableBEDUC[],7,FALSE),"")</f>
        <v/>
      </c>
      <c r="O147" s="200" t="str">
        <f>IFERROR(VLOOKUP(TableHandbook[[#This Row],[UDC]],TableBEDEC[],7,FALSE),"")</f>
        <v/>
      </c>
      <c r="P147" s="200" t="str">
        <f>IFERROR(VLOOKUP(TableHandbook[[#This Row],[UDC]],TableBEDPR[],7,FALSE),"")</f>
        <v/>
      </c>
      <c r="Q147" s="200" t="str">
        <f>IFERROR(VLOOKUP(TableHandbook[[#This Row],[UDC]],TableSTRUCATHL[],7,FALSE),"")</f>
        <v/>
      </c>
      <c r="R147" s="200" t="str">
        <f>IFERROR(VLOOKUP(TableHandbook[[#This Row],[UDC]],TableSTRUENGLL[],7,FALSE),"")</f>
        <v/>
      </c>
      <c r="S147" s="200" t="str">
        <f>IFERROR(VLOOKUP(TableHandbook[[#This Row],[UDC]],TableSTRUINTBC[],7,FALSE),"")</f>
        <v/>
      </c>
      <c r="T147" s="200" t="str">
        <f>IFERROR(VLOOKUP(TableHandbook[[#This Row],[UDC]],TableSTRUISTEM[],7,FALSE),"")</f>
        <v/>
      </c>
      <c r="U147" s="200" t="str">
        <f>IFERROR(VLOOKUP(TableHandbook[[#This Row],[UDC]],TableSTRULITNU[],7,FALSE),"")</f>
        <v/>
      </c>
      <c r="V147" s="200" t="str">
        <f>IFERROR(VLOOKUP(TableHandbook[[#This Row],[UDC]],TableSTRUTECHS[],7,FALSE),"")</f>
        <v/>
      </c>
      <c r="W147" s="200" t="str">
        <f>IFERROR(VLOOKUP(TableHandbook[[#This Row],[UDC]],TableBEDSC[],7,FALSE),"")</f>
        <v/>
      </c>
      <c r="X147" s="200" t="str">
        <f>IFERROR(VLOOKUP(TableHandbook[[#This Row],[UDC]],TableMJRUARTDR[],7,FALSE),"")</f>
        <v/>
      </c>
      <c r="Y147" s="200" t="str">
        <f>IFERROR(VLOOKUP(TableHandbook[[#This Row],[UDC]],TableMJRUARTME[],7,FALSE),"")</f>
        <v/>
      </c>
      <c r="Z147" s="200" t="str">
        <f>IFERROR(VLOOKUP(TableHandbook[[#This Row],[UDC]],TableMJRUARTVA[],7,FALSE),"")</f>
        <v/>
      </c>
      <c r="AA147" s="200" t="str">
        <f>IFERROR(VLOOKUP(TableHandbook[[#This Row],[UDC]],TableMJRUENGLT[],7,FALSE),"")</f>
        <v/>
      </c>
      <c r="AB147" s="200" t="str">
        <f>IFERROR(VLOOKUP(TableHandbook[[#This Row],[UDC]],TableMJRUHLTPE[],7,FALSE),"")</f>
        <v/>
      </c>
      <c r="AC147" s="200" t="str">
        <f>IFERROR(VLOOKUP(TableHandbook[[#This Row],[UDC]],TableMJRUHUSEC[],7,FALSE),"")</f>
        <v/>
      </c>
      <c r="AD147" s="200" t="str">
        <f>IFERROR(VLOOKUP(TableHandbook[[#This Row],[UDC]],TableMJRUHUSGE[],7,FALSE),"")</f>
        <v/>
      </c>
      <c r="AE147" s="200" t="str">
        <f>IFERROR(VLOOKUP(TableHandbook[[#This Row],[UDC]],TableMJRUHUSHI[],7,FALSE),"")</f>
        <v>Core</v>
      </c>
      <c r="AF147" s="200" t="str">
        <f>IFERROR(VLOOKUP(TableHandbook[[#This Row],[UDC]],TableMJRUHUSPL[],7,FALSE),"")</f>
        <v/>
      </c>
      <c r="AG147" s="200" t="str">
        <f>IFERROR(VLOOKUP(TableHandbook[[#This Row],[UDC]],TableMJRUMATHT[],7,FALSE),"")</f>
        <v/>
      </c>
      <c r="AH147" s="200" t="str">
        <f>IFERROR(VLOOKUP(TableHandbook[[#This Row],[UDC]],TableMJRUSCIBI[],7,FALSE),"")</f>
        <v/>
      </c>
      <c r="AI147" s="200" t="str">
        <f>IFERROR(VLOOKUP(TableHandbook[[#This Row],[UDC]],TableMJRUSCICH[],7,FALSE),"")</f>
        <v/>
      </c>
      <c r="AJ147" s="200" t="str">
        <f>IFERROR(VLOOKUP(TableHandbook[[#This Row],[UDC]],TableMJRUSCIHB[],7,FALSE),"")</f>
        <v/>
      </c>
      <c r="AK147" s="200" t="str">
        <f>IFERROR(VLOOKUP(TableHandbook[[#This Row],[UDC]],TableMJRUSCIPH[],7,FALSE),"")</f>
        <v/>
      </c>
      <c r="AL147" s="200" t="str">
        <f>IFERROR(VLOOKUP(TableHandbook[[#This Row],[UDC]],TableMJRUSCIPS[],7,FALSE),"")</f>
        <v/>
      </c>
      <c r="AM147" s="202"/>
      <c r="AN147" s="200" t="str">
        <f>IFERROR(VLOOKUP(TableHandbook[[#This Row],[UDC]],TableSTRUBIOLB[],7,FALSE),"")</f>
        <v/>
      </c>
      <c r="AO147" s="200" t="str">
        <f>IFERROR(VLOOKUP(TableHandbook[[#This Row],[UDC]],TableSTRUBSCIM[],7,FALSE),"")</f>
        <v/>
      </c>
      <c r="AP147" s="200" t="str">
        <f>IFERROR(VLOOKUP(TableHandbook[[#This Row],[UDC]],TableSTRUCHEMB[],7,FALSE),"")</f>
        <v/>
      </c>
      <c r="AQ147" s="200" t="str">
        <f>IFERROR(VLOOKUP(TableHandbook[[#This Row],[UDC]],TableSTRUECOB1[],7,FALSE),"")</f>
        <v>Core</v>
      </c>
      <c r="AR147" s="200" t="str">
        <f>IFERROR(VLOOKUP(TableHandbook[[#This Row],[UDC]],TableSTRUEDART[],7,FALSE),"")</f>
        <v/>
      </c>
      <c r="AS147" s="200" t="str">
        <f>IFERROR(VLOOKUP(TableHandbook[[#This Row],[UDC]],TableSTRUEDENG[],7,FALSE),"")</f>
        <v/>
      </c>
      <c r="AT147" s="200" t="str">
        <f>IFERROR(VLOOKUP(TableHandbook[[#This Row],[UDC]],TableSTRUEDHAS[],7,FALSE),"")</f>
        <v/>
      </c>
      <c r="AU147" s="200" t="str">
        <f>IFERROR(VLOOKUP(TableHandbook[[#This Row],[UDC]],TableSTRUEDMAT[],7,FALSE),"")</f>
        <v/>
      </c>
      <c r="AV147" s="200" t="str">
        <f>IFERROR(VLOOKUP(TableHandbook[[#This Row],[UDC]],TableSTRUEDSCI[],7,FALSE),"")</f>
        <v/>
      </c>
      <c r="AW147" s="200" t="str">
        <f>IFERROR(VLOOKUP(TableHandbook[[#This Row],[UDC]],TableSTRUENGLB[],7,FALSE),"")</f>
        <v/>
      </c>
      <c r="AX147" s="200" t="str">
        <f>IFERROR(VLOOKUP(TableHandbook[[#This Row],[UDC]],TableSTRUENGLM[],7,FALSE),"")</f>
        <v/>
      </c>
      <c r="AY147" s="200" t="str">
        <f>IFERROR(VLOOKUP(TableHandbook[[#This Row],[UDC]],TableSTRUGEOB1[],7,FALSE),"")</f>
        <v>Core</v>
      </c>
      <c r="AZ147" s="200" t="str">
        <f>IFERROR(VLOOKUP(TableHandbook[[#This Row],[UDC]],TableSTRUHISB1[],7,FALSE),"")</f>
        <v/>
      </c>
      <c r="BA147" s="200" t="str">
        <f>IFERROR(VLOOKUP(TableHandbook[[#This Row],[UDC]],TableSTRUHUMAM[],7,FALSE),"")</f>
        <v>Core</v>
      </c>
      <c r="BB147" s="200" t="str">
        <f>IFERROR(VLOOKUP(TableHandbook[[#This Row],[UDC]],TableSTRUHUMBB[],7,FALSE),"")</f>
        <v/>
      </c>
      <c r="BC147" s="200" t="str">
        <f>IFERROR(VLOOKUP(TableHandbook[[#This Row],[UDC]],TableSTRUMATHB[],7,FALSE),"")</f>
        <v/>
      </c>
      <c r="BD147" s="200" t="str">
        <f>IFERROR(VLOOKUP(TableHandbook[[#This Row],[UDC]],TableSTRUMATHM[],7,FALSE),"")</f>
        <v/>
      </c>
      <c r="BE147" s="200" t="str">
        <f>IFERROR(VLOOKUP(TableHandbook[[#This Row],[UDC]],TableSTRUPARTB[],7,FALSE),"")</f>
        <v/>
      </c>
      <c r="BF147" s="200" t="str">
        <f>IFERROR(VLOOKUP(TableHandbook[[#This Row],[UDC]],TableSTRUPARTM[],7,FALSE),"")</f>
        <v/>
      </c>
      <c r="BG147" s="200" t="str">
        <f>IFERROR(VLOOKUP(TableHandbook[[#This Row],[UDC]],TableSTRUPOLB1[],7,FALSE),"")</f>
        <v>Core</v>
      </c>
      <c r="BH147" s="200" t="str">
        <f>IFERROR(VLOOKUP(TableHandbook[[#This Row],[UDC]],TableSTRUPSCIM[],7,FALSE),"")</f>
        <v/>
      </c>
      <c r="BI147" s="200" t="str">
        <f>IFERROR(VLOOKUP(TableHandbook[[#This Row],[UDC]],TableSTRUPSYCB[],7,FALSE),"")</f>
        <v/>
      </c>
      <c r="BJ147" s="200" t="str">
        <f>IFERROR(VLOOKUP(TableHandbook[[#This Row],[UDC]],TableSTRUPSYCM[],7,FALSE),"")</f>
        <v/>
      </c>
      <c r="BK147" s="200" t="str">
        <f>IFERROR(VLOOKUP(TableHandbook[[#This Row],[UDC]],TableSTRUSOSCM[],7,FALSE),"")</f>
        <v/>
      </c>
      <c r="BL147" s="200" t="str">
        <f>IFERROR(VLOOKUP(TableHandbook[[#This Row],[UDC]],TableSTRUVARTB[],7,FALSE),"")</f>
        <v/>
      </c>
      <c r="BM147" s="200" t="str">
        <f>IFERROR(VLOOKUP(TableHandbook[[#This Row],[UDC]],TableSTRUVARTM[],7,FALSE),"")</f>
        <v/>
      </c>
    </row>
    <row r="148" spans="1:65" x14ac:dyDescent="0.25">
      <c r="A148" s="262" t="s">
        <v>370</v>
      </c>
      <c r="B148" s="12">
        <v>2</v>
      </c>
      <c r="C148" s="11"/>
      <c r="D148" s="11" t="s">
        <v>731</v>
      </c>
      <c r="E148" s="12">
        <v>25</v>
      </c>
      <c r="F148" s="131" t="s">
        <v>544</v>
      </c>
      <c r="G148" s="126" t="str">
        <f>IFERROR(IF(VLOOKUP(TableHandbook[[#This Row],[UDC]],TableAvailabilities[],2,FALSE)&gt;0,"Y",""),"")</f>
        <v>Y</v>
      </c>
      <c r="H148" s="127" t="str">
        <f>IFERROR(IF(VLOOKUP(TableHandbook[[#This Row],[UDC]],TableAvailabilities[],3,FALSE)&gt;0,"Y",""),"")</f>
        <v>Y</v>
      </c>
      <c r="I148" s="127" t="str">
        <f>IFERROR(IF(VLOOKUP(TableHandbook[[#This Row],[UDC]],TableAvailabilities[],4,FALSE)&gt;0,"Y",""),"")</f>
        <v/>
      </c>
      <c r="J148" s="128" t="str">
        <f>IFERROR(IF(VLOOKUP(TableHandbook[[#This Row],[UDC]],TableAvailabilities[],5,FALSE)&gt;0,"Y",""),"")</f>
        <v/>
      </c>
      <c r="K148" s="128" t="str">
        <f>IFERROR(IF(VLOOKUP(TableHandbook[[#This Row],[UDC]],TableAvailabilities[],6,FALSE)&gt;0,"Y",""),"")</f>
        <v/>
      </c>
      <c r="L148" s="127" t="str">
        <f>IFERROR(IF(VLOOKUP(TableHandbook[[#This Row],[UDC]],TableAvailabilities[],7,FALSE)&gt;0,"Y",""),"")</f>
        <v/>
      </c>
      <c r="M148" s="207"/>
      <c r="N148" s="205" t="str">
        <f>IFERROR(VLOOKUP(TableHandbook[[#This Row],[UDC]],TableBEDUC[],7,FALSE),"")</f>
        <v/>
      </c>
      <c r="O148" s="200" t="str">
        <f>IFERROR(VLOOKUP(TableHandbook[[#This Row],[UDC]],TableBEDEC[],7,FALSE),"")</f>
        <v/>
      </c>
      <c r="P148" s="200" t="str">
        <f>IFERROR(VLOOKUP(TableHandbook[[#This Row],[UDC]],TableBEDPR[],7,FALSE),"")</f>
        <v/>
      </c>
      <c r="Q148" s="200" t="str">
        <f>IFERROR(VLOOKUP(TableHandbook[[#This Row],[UDC]],TableSTRUCATHL[],7,FALSE),"")</f>
        <v/>
      </c>
      <c r="R148" s="200" t="str">
        <f>IFERROR(VLOOKUP(TableHandbook[[#This Row],[UDC]],TableSTRUENGLL[],7,FALSE),"")</f>
        <v/>
      </c>
      <c r="S148" s="200" t="str">
        <f>IFERROR(VLOOKUP(TableHandbook[[#This Row],[UDC]],TableSTRUINTBC[],7,FALSE),"")</f>
        <v/>
      </c>
      <c r="T148" s="200" t="str">
        <f>IFERROR(VLOOKUP(TableHandbook[[#This Row],[UDC]],TableSTRUISTEM[],7,FALSE),"")</f>
        <v/>
      </c>
      <c r="U148" s="200" t="str">
        <f>IFERROR(VLOOKUP(TableHandbook[[#This Row],[UDC]],TableSTRULITNU[],7,FALSE),"")</f>
        <v/>
      </c>
      <c r="V148" s="200" t="str">
        <f>IFERROR(VLOOKUP(TableHandbook[[#This Row],[UDC]],TableSTRUTECHS[],7,FALSE),"")</f>
        <v/>
      </c>
      <c r="W148" s="200" t="str">
        <f>IFERROR(VLOOKUP(TableHandbook[[#This Row],[UDC]],TableBEDSC[],7,FALSE),"")</f>
        <v/>
      </c>
      <c r="X148" s="200" t="str">
        <f>IFERROR(VLOOKUP(TableHandbook[[#This Row],[UDC]],TableMJRUARTDR[],7,FALSE),"")</f>
        <v/>
      </c>
      <c r="Y148" s="200" t="str">
        <f>IFERROR(VLOOKUP(TableHandbook[[#This Row],[UDC]],TableMJRUARTME[],7,FALSE),"")</f>
        <v/>
      </c>
      <c r="Z148" s="200" t="str">
        <f>IFERROR(VLOOKUP(TableHandbook[[#This Row],[UDC]],TableMJRUARTVA[],7,FALSE),"")</f>
        <v/>
      </c>
      <c r="AA148" s="200" t="str">
        <f>IFERROR(VLOOKUP(TableHandbook[[#This Row],[UDC]],TableMJRUENGLT[],7,FALSE),"")</f>
        <v/>
      </c>
      <c r="AB148" s="200" t="str">
        <f>IFERROR(VLOOKUP(TableHandbook[[#This Row],[UDC]],TableMJRUHLTPE[],7,FALSE),"")</f>
        <v/>
      </c>
      <c r="AC148" s="200" t="str">
        <f>IFERROR(VLOOKUP(TableHandbook[[#This Row],[UDC]],TableMJRUHUSEC[],7,FALSE),"")</f>
        <v/>
      </c>
      <c r="AD148" s="200" t="str">
        <f>IFERROR(VLOOKUP(TableHandbook[[#This Row],[UDC]],TableMJRUHUSGE[],7,FALSE),"")</f>
        <v/>
      </c>
      <c r="AE148" s="200" t="str">
        <f>IFERROR(VLOOKUP(TableHandbook[[#This Row],[UDC]],TableMJRUHUSHI[],7,FALSE),"")</f>
        <v>Core</v>
      </c>
      <c r="AF148" s="200" t="str">
        <f>IFERROR(VLOOKUP(TableHandbook[[#This Row],[UDC]],TableMJRUHUSPL[],7,FALSE),"")</f>
        <v/>
      </c>
      <c r="AG148" s="200" t="str">
        <f>IFERROR(VLOOKUP(TableHandbook[[#This Row],[UDC]],TableMJRUMATHT[],7,FALSE),"")</f>
        <v/>
      </c>
      <c r="AH148" s="200" t="str">
        <f>IFERROR(VLOOKUP(TableHandbook[[#This Row],[UDC]],TableMJRUSCIBI[],7,FALSE),"")</f>
        <v/>
      </c>
      <c r="AI148" s="200" t="str">
        <f>IFERROR(VLOOKUP(TableHandbook[[#This Row],[UDC]],TableMJRUSCICH[],7,FALSE),"")</f>
        <v/>
      </c>
      <c r="AJ148" s="200" t="str">
        <f>IFERROR(VLOOKUP(TableHandbook[[#This Row],[UDC]],TableMJRUSCIHB[],7,FALSE),"")</f>
        <v/>
      </c>
      <c r="AK148" s="200" t="str">
        <f>IFERROR(VLOOKUP(TableHandbook[[#This Row],[UDC]],TableMJRUSCIPH[],7,FALSE),"")</f>
        <v/>
      </c>
      <c r="AL148" s="200" t="str">
        <f>IFERROR(VLOOKUP(TableHandbook[[#This Row],[UDC]],TableMJRUSCIPS[],7,FALSE),"")</f>
        <v/>
      </c>
      <c r="AM148" s="202"/>
      <c r="AN148" s="200" t="str">
        <f>IFERROR(VLOOKUP(TableHandbook[[#This Row],[UDC]],TableSTRUBIOLB[],7,FALSE),"")</f>
        <v/>
      </c>
      <c r="AO148" s="200" t="str">
        <f>IFERROR(VLOOKUP(TableHandbook[[#This Row],[UDC]],TableSTRUBSCIM[],7,FALSE),"")</f>
        <v/>
      </c>
      <c r="AP148" s="200" t="str">
        <f>IFERROR(VLOOKUP(TableHandbook[[#This Row],[UDC]],TableSTRUCHEMB[],7,FALSE),"")</f>
        <v/>
      </c>
      <c r="AQ148" s="200" t="str">
        <f>IFERROR(VLOOKUP(TableHandbook[[#This Row],[UDC]],TableSTRUECOB1[],7,FALSE),"")</f>
        <v/>
      </c>
      <c r="AR148" s="200" t="str">
        <f>IFERROR(VLOOKUP(TableHandbook[[#This Row],[UDC]],TableSTRUEDART[],7,FALSE),"")</f>
        <v/>
      </c>
      <c r="AS148" s="200" t="str">
        <f>IFERROR(VLOOKUP(TableHandbook[[#This Row],[UDC]],TableSTRUEDENG[],7,FALSE),"")</f>
        <v/>
      </c>
      <c r="AT148" s="200" t="str">
        <f>IFERROR(VLOOKUP(TableHandbook[[#This Row],[UDC]],TableSTRUEDHAS[],7,FALSE),"")</f>
        <v/>
      </c>
      <c r="AU148" s="200" t="str">
        <f>IFERROR(VLOOKUP(TableHandbook[[#This Row],[UDC]],TableSTRUEDMAT[],7,FALSE),"")</f>
        <v/>
      </c>
      <c r="AV148" s="200" t="str">
        <f>IFERROR(VLOOKUP(TableHandbook[[#This Row],[UDC]],TableSTRUEDSCI[],7,FALSE),"")</f>
        <v/>
      </c>
      <c r="AW148" s="200" t="str">
        <f>IFERROR(VLOOKUP(TableHandbook[[#This Row],[UDC]],TableSTRUENGLB[],7,FALSE),"")</f>
        <v/>
      </c>
      <c r="AX148" s="200" t="str">
        <f>IFERROR(VLOOKUP(TableHandbook[[#This Row],[UDC]],TableSTRUENGLM[],7,FALSE),"")</f>
        <v/>
      </c>
      <c r="AY148" s="200" t="str">
        <f>IFERROR(VLOOKUP(TableHandbook[[#This Row],[UDC]],TableSTRUGEOB1[],7,FALSE),"")</f>
        <v/>
      </c>
      <c r="AZ148" s="200" t="str">
        <f>IFERROR(VLOOKUP(TableHandbook[[#This Row],[UDC]],TableSTRUHISB1[],7,FALSE),"")</f>
        <v/>
      </c>
      <c r="BA148" s="200" t="str">
        <f>IFERROR(VLOOKUP(TableHandbook[[#This Row],[UDC]],TableSTRUHUMAM[],7,FALSE),"")</f>
        <v/>
      </c>
      <c r="BB148" s="200" t="str">
        <f>IFERROR(VLOOKUP(TableHandbook[[#This Row],[UDC]],TableSTRUHUMBB[],7,FALSE),"")</f>
        <v/>
      </c>
      <c r="BC148" s="200" t="str">
        <f>IFERROR(VLOOKUP(TableHandbook[[#This Row],[UDC]],TableSTRUMATHB[],7,FALSE),"")</f>
        <v/>
      </c>
      <c r="BD148" s="200" t="str">
        <f>IFERROR(VLOOKUP(TableHandbook[[#This Row],[UDC]],TableSTRUMATHM[],7,FALSE),"")</f>
        <v/>
      </c>
      <c r="BE148" s="200" t="str">
        <f>IFERROR(VLOOKUP(TableHandbook[[#This Row],[UDC]],TableSTRUPARTB[],7,FALSE),"")</f>
        <v/>
      </c>
      <c r="BF148" s="200" t="str">
        <f>IFERROR(VLOOKUP(TableHandbook[[#This Row],[UDC]],TableSTRUPARTM[],7,FALSE),"")</f>
        <v/>
      </c>
      <c r="BG148" s="200" t="str">
        <f>IFERROR(VLOOKUP(TableHandbook[[#This Row],[UDC]],TableSTRUPOLB1[],7,FALSE),"")</f>
        <v/>
      </c>
      <c r="BH148" s="200" t="str">
        <f>IFERROR(VLOOKUP(TableHandbook[[#This Row],[UDC]],TableSTRUPSCIM[],7,FALSE),"")</f>
        <v/>
      </c>
      <c r="BI148" s="200" t="str">
        <f>IFERROR(VLOOKUP(TableHandbook[[#This Row],[UDC]],TableSTRUPSYCB[],7,FALSE),"")</f>
        <v/>
      </c>
      <c r="BJ148" s="200" t="str">
        <f>IFERROR(VLOOKUP(TableHandbook[[#This Row],[UDC]],TableSTRUPSYCM[],7,FALSE),"")</f>
        <v/>
      </c>
      <c r="BK148" s="200" t="str">
        <f>IFERROR(VLOOKUP(TableHandbook[[#This Row],[UDC]],TableSTRUSOSCM[],7,FALSE),"")</f>
        <v/>
      </c>
      <c r="BL148" s="200" t="str">
        <f>IFERROR(VLOOKUP(TableHandbook[[#This Row],[UDC]],TableSTRUVARTB[],7,FALSE),"")</f>
        <v/>
      </c>
      <c r="BM148" s="200" t="str">
        <f>IFERROR(VLOOKUP(TableHandbook[[#This Row],[UDC]],TableSTRUVARTM[],7,FALSE),"")</f>
        <v/>
      </c>
    </row>
    <row r="149" spans="1:65" x14ac:dyDescent="0.25">
      <c r="A149" s="262" t="s">
        <v>384</v>
      </c>
      <c r="B149" s="12">
        <v>3</v>
      </c>
      <c r="C149" s="11"/>
      <c r="D149" s="11" t="s">
        <v>732</v>
      </c>
      <c r="E149" s="12">
        <v>25</v>
      </c>
      <c r="F149" s="131" t="s">
        <v>544</v>
      </c>
      <c r="G149" s="126" t="str">
        <f>IFERROR(IF(VLOOKUP(TableHandbook[[#This Row],[UDC]],TableAvailabilities[],2,FALSE)&gt;0,"Y",""),"")</f>
        <v/>
      </c>
      <c r="H149" s="127" t="str">
        <f>IFERROR(IF(VLOOKUP(TableHandbook[[#This Row],[UDC]],TableAvailabilities[],3,FALSE)&gt;0,"Y",""),"")</f>
        <v/>
      </c>
      <c r="I149" s="127" t="str">
        <f>IFERROR(IF(VLOOKUP(TableHandbook[[#This Row],[UDC]],TableAvailabilities[],4,FALSE)&gt;0,"Y",""),"")</f>
        <v/>
      </c>
      <c r="J149" s="128" t="str">
        <f>IFERROR(IF(VLOOKUP(TableHandbook[[#This Row],[UDC]],TableAvailabilities[],5,FALSE)&gt;0,"Y",""),"")</f>
        <v>Y</v>
      </c>
      <c r="K149" s="128" t="str">
        <f>IFERROR(IF(VLOOKUP(TableHandbook[[#This Row],[UDC]],TableAvailabilities[],6,FALSE)&gt;0,"Y",""),"")</f>
        <v>Y</v>
      </c>
      <c r="L149" s="127" t="str">
        <f>IFERROR(IF(VLOOKUP(TableHandbook[[#This Row],[UDC]],TableAvailabilities[],7,FALSE)&gt;0,"Y",""),"")</f>
        <v/>
      </c>
      <c r="M149" s="207"/>
      <c r="N149" s="205" t="str">
        <f>IFERROR(VLOOKUP(TableHandbook[[#This Row],[UDC]],TableBEDUC[],7,FALSE),"")</f>
        <v/>
      </c>
      <c r="O149" s="200" t="str">
        <f>IFERROR(VLOOKUP(TableHandbook[[#This Row],[UDC]],TableBEDEC[],7,FALSE),"")</f>
        <v/>
      </c>
      <c r="P149" s="200" t="str">
        <f>IFERROR(VLOOKUP(TableHandbook[[#This Row],[UDC]],TableBEDPR[],7,FALSE),"")</f>
        <v/>
      </c>
      <c r="Q149" s="200" t="str">
        <f>IFERROR(VLOOKUP(TableHandbook[[#This Row],[UDC]],TableSTRUCATHL[],7,FALSE),"")</f>
        <v/>
      </c>
      <c r="R149" s="200" t="str">
        <f>IFERROR(VLOOKUP(TableHandbook[[#This Row],[UDC]],TableSTRUENGLL[],7,FALSE),"")</f>
        <v/>
      </c>
      <c r="S149" s="200" t="str">
        <f>IFERROR(VLOOKUP(TableHandbook[[#This Row],[UDC]],TableSTRUINTBC[],7,FALSE),"")</f>
        <v/>
      </c>
      <c r="T149" s="200" t="str">
        <f>IFERROR(VLOOKUP(TableHandbook[[#This Row],[UDC]],TableSTRUISTEM[],7,FALSE),"")</f>
        <v/>
      </c>
      <c r="U149" s="200" t="str">
        <f>IFERROR(VLOOKUP(TableHandbook[[#This Row],[UDC]],TableSTRULITNU[],7,FALSE),"")</f>
        <v/>
      </c>
      <c r="V149" s="200" t="str">
        <f>IFERROR(VLOOKUP(TableHandbook[[#This Row],[UDC]],TableSTRUTECHS[],7,FALSE),"")</f>
        <v/>
      </c>
      <c r="W149" s="200" t="str">
        <f>IFERROR(VLOOKUP(TableHandbook[[#This Row],[UDC]],TableBEDSC[],7,FALSE),"")</f>
        <v/>
      </c>
      <c r="X149" s="200" t="str">
        <f>IFERROR(VLOOKUP(TableHandbook[[#This Row],[UDC]],TableMJRUARTDR[],7,FALSE),"")</f>
        <v/>
      </c>
      <c r="Y149" s="200" t="str">
        <f>IFERROR(VLOOKUP(TableHandbook[[#This Row],[UDC]],TableMJRUARTME[],7,FALSE),"")</f>
        <v/>
      </c>
      <c r="Z149" s="200" t="str">
        <f>IFERROR(VLOOKUP(TableHandbook[[#This Row],[UDC]],TableMJRUARTVA[],7,FALSE),"")</f>
        <v/>
      </c>
      <c r="AA149" s="200" t="str">
        <f>IFERROR(VLOOKUP(TableHandbook[[#This Row],[UDC]],TableMJRUENGLT[],7,FALSE),"")</f>
        <v/>
      </c>
      <c r="AB149" s="200" t="str">
        <f>IFERROR(VLOOKUP(TableHandbook[[#This Row],[UDC]],TableMJRUHLTPE[],7,FALSE),"")</f>
        <v/>
      </c>
      <c r="AC149" s="200" t="str">
        <f>IFERROR(VLOOKUP(TableHandbook[[#This Row],[UDC]],TableMJRUHUSEC[],7,FALSE),"")</f>
        <v/>
      </c>
      <c r="AD149" s="200" t="str">
        <f>IFERROR(VLOOKUP(TableHandbook[[#This Row],[UDC]],TableMJRUHUSGE[],7,FALSE),"")</f>
        <v/>
      </c>
      <c r="AE149" s="200" t="str">
        <f>IFERROR(VLOOKUP(TableHandbook[[#This Row],[UDC]],TableMJRUHUSHI[],7,FALSE),"")</f>
        <v>Core</v>
      </c>
      <c r="AF149" s="200" t="str">
        <f>IFERROR(VLOOKUP(TableHandbook[[#This Row],[UDC]],TableMJRUHUSPL[],7,FALSE),"")</f>
        <v/>
      </c>
      <c r="AG149" s="200" t="str">
        <f>IFERROR(VLOOKUP(TableHandbook[[#This Row],[UDC]],TableMJRUMATHT[],7,FALSE),"")</f>
        <v/>
      </c>
      <c r="AH149" s="200" t="str">
        <f>IFERROR(VLOOKUP(TableHandbook[[#This Row],[UDC]],TableMJRUSCIBI[],7,FALSE),"")</f>
        <v/>
      </c>
      <c r="AI149" s="200" t="str">
        <f>IFERROR(VLOOKUP(TableHandbook[[#This Row],[UDC]],TableMJRUSCICH[],7,FALSE),"")</f>
        <v/>
      </c>
      <c r="AJ149" s="200" t="str">
        <f>IFERROR(VLOOKUP(TableHandbook[[#This Row],[UDC]],TableMJRUSCIHB[],7,FALSE),"")</f>
        <v/>
      </c>
      <c r="AK149" s="200" t="str">
        <f>IFERROR(VLOOKUP(TableHandbook[[#This Row],[UDC]],TableMJRUSCIPH[],7,FALSE),"")</f>
        <v/>
      </c>
      <c r="AL149" s="200" t="str">
        <f>IFERROR(VLOOKUP(TableHandbook[[#This Row],[UDC]],TableMJRUSCIPS[],7,FALSE),"")</f>
        <v/>
      </c>
      <c r="AM149" s="202"/>
      <c r="AN149" s="200" t="str">
        <f>IFERROR(VLOOKUP(TableHandbook[[#This Row],[UDC]],TableSTRUBIOLB[],7,FALSE),"")</f>
        <v/>
      </c>
      <c r="AO149" s="200" t="str">
        <f>IFERROR(VLOOKUP(TableHandbook[[#This Row],[UDC]],TableSTRUBSCIM[],7,FALSE),"")</f>
        <v/>
      </c>
      <c r="AP149" s="200" t="str">
        <f>IFERROR(VLOOKUP(TableHandbook[[#This Row],[UDC]],TableSTRUCHEMB[],7,FALSE),"")</f>
        <v/>
      </c>
      <c r="AQ149" s="200" t="str">
        <f>IFERROR(VLOOKUP(TableHandbook[[#This Row],[UDC]],TableSTRUECOB1[],7,FALSE),"")</f>
        <v/>
      </c>
      <c r="AR149" s="200" t="str">
        <f>IFERROR(VLOOKUP(TableHandbook[[#This Row],[UDC]],TableSTRUEDART[],7,FALSE),"")</f>
        <v/>
      </c>
      <c r="AS149" s="200" t="str">
        <f>IFERROR(VLOOKUP(TableHandbook[[#This Row],[UDC]],TableSTRUEDENG[],7,FALSE),"")</f>
        <v/>
      </c>
      <c r="AT149" s="200" t="str">
        <f>IFERROR(VLOOKUP(TableHandbook[[#This Row],[UDC]],TableSTRUEDHAS[],7,FALSE),"")</f>
        <v/>
      </c>
      <c r="AU149" s="200" t="str">
        <f>IFERROR(VLOOKUP(TableHandbook[[#This Row],[UDC]],TableSTRUEDMAT[],7,FALSE),"")</f>
        <v/>
      </c>
      <c r="AV149" s="200" t="str">
        <f>IFERROR(VLOOKUP(TableHandbook[[#This Row],[UDC]],TableSTRUEDSCI[],7,FALSE),"")</f>
        <v/>
      </c>
      <c r="AW149" s="200" t="str">
        <f>IFERROR(VLOOKUP(TableHandbook[[#This Row],[UDC]],TableSTRUENGLB[],7,FALSE),"")</f>
        <v/>
      </c>
      <c r="AX149" s="200" t="str">
        <f>IFERROR(VLOOKUP(TableHandbook[[#This Row],[UDC]],TableSTRUENGLM[],7,FALSE),"")</f>
        <v/>
      </c>
      <c r="AY149" s="200" t="str">
        <f>IFERROR(VLOOKUP(TableHandbook[[#This Row],[UDC]],TableSTRUGEOB1[],7,FALSE),"")</f>
        <v/>
      </c>
      <c r="AZ149" s="200" t="str">
        <f>IFERROR(VLOOKUP(TableHandbook[[#This Row],[UDC]],TableSTRUHISB1[],7,FALSE),"")</f>
        <v/>
      </c>
      <c r="BA149" s="200" t="str">
        <f>IFERROR(VLOOKUP(TableHandbook[[#This Row],[UDC]],TableSTRUHUMAM[],7,FALSE),"")</f>
        <v/>
      </c>
      <c r="BB149" s="200" t="str">
        <f>IFERROR(VLOOKUP(TableHandbook[[#This Row],[UDC]],TableSTRUHUMBB[],7,FALSE),"")</f>
        <v/>
      </c>
      <c r="BC149" s="200" t="str">
        <f>IFERROR(VLOOKUP(TableHandbook[[#This Row],[UDC]],TableSTRUMATHB[],7,FALSE),"")</f>
        <v/>
      </c>
      <c r="BD149" s="200" t="str">
        <f>IFERROR(VLOOKUP(TableHandbook[[#This Row],[UDC]],TableSTRUMATHM[],7,FALSE),"")</f>
        <v/>
      </c>
      <c r="BE149" s="200" t="str">
        <f>IFERROR(VLOOKUP(TableHandbook[[#This Row],[UDC]],TableSTRUPARTB[],7,FALSE),"")</f>
        <v/>
      </c>
      <c r="BF149" s="200" t="str">
        <f>IFERROR(VLOOKUP(TableHandbook[[#This Row],[UDC]],TableSTRUPARTM[],7,FALSE),"")</f>
        <v/>
      </c>
      <c r="BG149" s="200" t="str">
        <f>IFERROR(VLOOKUP(TableHandbook[[#This Row],[UDC]],TableSTRUPOLB1[],7,FALSE),"")</f>
        <v/>
      </c>
      <c r="BH149" s="200" t="str">
        <f>IFERROR(VLOOKUP(TableHandbook[[#This Row],[UDC]],TableSTRUPSCIM[],7,FALSE),"")</f>
        <v/>
      </c>
      <c r="BI149" s="200" t="str">
        <f>IFERROR(VLOOKUP(TableHandbook[[#This Row],[UDC]],TableSTRUPSYCB[],7,FALSE),"")</f>
        <v/>
      </c>
      <c r="BJ149" s="200" t="str">
        <f>IFERROR(VLOOKUP(TableHandbook[[#This Row],[UDC]],TableSTRUPSYCM[],7,FALSE),"")</f>
        <v/>
      </c>
      <c r="BK149" s="200" t="str">
        <f>IFERROR(VLOOKUP(TableHandbook[[#This Row],[UDC]],TableSTRUSOSCM[],7,FALSE),"")</f>
        <v/>
      </c>
      <c r="BL149" s="200" t="str">
        <f>IFERROR(VLOOKUP(TableHandbook[[#This Row],[UDC]],TableSTRUVARTB[],7,FALSE),"")</f>
        <v/>
      </c>
      <c r="BM149" s="200" t="str">
        <f>IFERROR(VLOOKUP(TableHandbook[[#This Row],[UDC]],TableSTRUVARTM[],7,FALSE),"")</f>
        <v/>
      </c>
    </row>
    <row r="150" spans="1:65" x14ac:dyDescent="0.25">
      <c r="A150" s="262" t="s">
        <v>400</v>
      </c>
      <c r="B150" s="12">
        <v>1</v>
      </c>
      <c r="C150" s="11"/>
      <c r="D150" s="11" t="s">
        <v>733</v>
      </c>
      <c r="E150" s="12">
        <v>25</v>
      </c>
      <c r="F150" s="131" t="s">
        <v>544</v>
      </c>
      <c r="G150" s="126" t="str">
        <f>IFERROR(IF(VLOOKUP(TableHandbook[[#This Row],[UDC]],TableAvailabilities[],2,FALSE)&gt;0,"Y",""),"")</f>
        <v>Y</v>
      </c>
      <c r="H150" s="127" t="str">
        <f>IFERROR(IF(VLOOKUP(TableHandbook[[#This Row],[UDC]],TableAvailabilities[],3,FALSE)&gt;0,"Y",""),"")</f>
        <v>Y</v>
      </c>
      <c r="I150" s="127" t="str">
        <f>IFERROR(IF(VLOOKUP(TableHandbook[[#This Row],[UDC]],TableAvailabilities[],4,FALSE)&gt;0,"Y",""),"")</f>
        <v/>
      </c>
      <c r="J150" s="128" t="str">
        <f>IFERROR(IF(VLOOKUP(TableHandbook[[#This Row],[UDC]],TableAvailabilities[],5,FALSE)&gt;0,"Y",""),"")</f>
        <v/>
      </c>
      <c r="K150" s="128" t="str">
        <f>IFERROR(IF(VLOOKUP(TableHandbook[[#This Row],[UDC]],TableAvailabilities[],6,FALSE)&gt;0,"Y",""),"")</f>
        <v/>
      </c>
      <c r="L150" s="127" t="str">
        <f>IFERROR(IF(VLOOKUP(TableHandbook[[#This Row],[UDC]],TableAvailabilities[],7,FALSE)&gt;0,"Y",""),"")</f>
        <v/>
      </c>
      <c r="M150" s="207"/>
      <c r="N150" s="205" t="str">
        <f>IFERROR(VLOOKUP(TableHandbook[[#This Row],[UDC]],TableBEDUC[],7,FALSE),"")</f>
        <v/>
      </c>
      <c r="O150" s="200" t="str">
        <f>IFERROR(VLOOKUP(TableHandbook[[#This Row],[UDC]],TableBEDEC[],7,FALSE),"")</f>
        <v/>
      </c>
      <c r="P150" s="200" t="str">
        <f>IFERROR(VLOOKUP(TableHandbook[[#This Row],[UDC]],TableBEDPR[],7,FALSE),"")</f>
        <v/>
      </c>
      <c r="Q150" s="200" t="str">
        <f>IFERROR(VLOOKUP(TableHandbook[[#This Row],[UDC]],TableSTRUCATHL[],7,FALSE),"")</f>
        <v/>
      </c>
      <c r="R150" s="200" t="str">
        <f>IFERROR(VLOOKUP(TableHandbook[[#This Row],[UDC]],TableSTRUENGLL[],7,FALSE),"")</f>
        <v/>
      </c>
      <c r="S150" s="200" t="str">
        <f>IFERROR(VLOOKUP(TableHandbook[[#This Row],[UDC]],TableSTRUINTBC[],7,FALSE),"")</f>
        <v/>
      </c>
      <c r="T150" s="200" t="str">
        <f>IFERROR(VLOOKUP(TableHandbook[[#This Row],[UDC]],TableSTRUISTEM[],7,FALSE),"")</f>
        <v/>
      </c>
      <c r="U150" s="200" t="str">
        <f>IFERROR(VLOOKUP(TableHandbook[[#This Row],[UDC]],TableSTRULITNU[],7,FALSE),"")</f>
        <v/>
      </c>
      <c r="V150" s="200" t="str">
        <f>IFERROR(VLOOKUP(TableHandbook[[#This Row],[UDC]],TableSTRUTECHS[],7,FALSE),"")</f>
        <v/>
      </c>
      <c r="W150" s="200" t="str">
        <f>IFERROR(VLOOKUP(TableHandbook[[#This Row],[UDC]],TableBEDSC[],7,FALSE),"")</f>
        <v/>
      </c>
      <c r="X150" s="200" t="str">
        <f>IFERROR(VLOOKUP(TableHandbook[[#This Row],[UDC]],TableMJRUARTDR[],7,FALSE),"")</f>
        <v/>
      </c>
      <c r="Y150" s="200" t="str">
        <f>IFERROR(VLOOKUP(TableHandbook[[#This Row],[UDC]],TableMJRUARTME[],7,FALSE),"")</f>
        <v/>
      </c>
      <c r="Z150" s="200" t="str">
        <f>IFERROR(VLOOKUP(TableHandbook[[#This Row],[UDC]],TableMJRUARTVA[],7,FALSE),"")</f>
        <v/>
      </c>
      <c r="AA150" s="200" t="str">
        <f>IFERROR(VLOOKUP(TableHandbook[[#This Row],[UDC]],TableMJRUENGLT[],7,FALSE),"")</f>
        <v/>
      </c>
      <c r="AB150" s="200" t="str">
        <f>IFERROR(VLOOKUP(TableHandbook[[#This Row],[UDC]],TableMJRUHLTPE[],7,FALSE),"")</f>
        <v/>
      </c>
      <c r="AC150" s="200" t="str">
        <f>IFERROR(VLOOKUP(TableHandbook[[#This Row],[UDC]],TableMJRUHUSEC[],7,FALSE),"")</f>
        <v/>
      </c>
      <c r="AD150" s="200" t="str">
        <f>IFERROR(VLOOKUP(TableHandbook[[#This Row],[UDC]],TableMJRUHUSGE[],7,FALSE),"")</f>
        <v/>
      </c>
      <c r="AE150" s="200" t="str">
        <f>IFERROR(VLOOKUP(TableHandbook[[#This Row],[UDC]],TableMJRUHUSHI[],7,FALSE),"")</f>
        <v>Core</v>
      </c>
      <c r="AF150" s="200" t="str">
        <f>IFERROR(VLOOKUP(TableHandbook[[#This Row],[UDC]],TableMJRUHUSPL[],7,FALSE),"")</f>
        <v/>
      </c>
      <c r="AG150" s="200" t="str">
        <f>IFERROR(VLOOKUP(TableHandbook[[#This Row],[UDC]],TableMJRUMATHT[],7,FALSE),"")</f>
        <v/>
      </c>
      <c r="AH150" s="200" t="str">
        <f>IFERROR(VLOOKUP(TableHandbook[[#This Row],[UDC]],TableMJRUSCIBI[],7,FALSE),"")</f>
        <v/>
      </c>
      <c r="AI150" s="200" t="str">
        <f>IFERROR(VLOOKUP(TableHandbook[[#This Row],[UDC]],TableMJRUSCICH[],7,FALSE),"")</f>
        <v/>
      </c>
      <c r="AJ150" s="200" t="str">
        <f>IFERROR(VLOOKUP(TableHandbook[[#This Row],[UDC]],TableMJRUSCIHB[],7,FALSE),"")</f>
        <v/>
      </c>
      <c r="AK150" s="200" t="str">
        <f>IFERROR(VLOOKUP(TableHandbook[[#This Row],[UDC]],TableMJRUSCIPH[],7,FALSE),"")</f>
        <v/>
      </c>
      <c r="AL150" s="200" t="str">
        <f>IFERROR(VLOOKUP(TableHandbook[[#This Row],[UDC]],TableMJRUSCIPS[],7,FALSE),"")</f>
        <v/>
      </c>
      <c r="AM150" s="202"/>
      <c r="AN150" s="200" t="str">
        <f>IFERROR(VLOOKUP(TableHandbook[[#This Row],[UDC]],TableSTRUBIOLB[],7,FALSE),"")</f>
        <v/>
      </c>
      <c r="AO150" s="200" t="str">
        <f>IFERROR(VLOOKUP(TableHandbook[[#This Row],[UDC]],TableSTRUBSCIM[],7,FALSE),"")</f>
        <v/>
      </c>
      <c r="AP150" s="200" t="str">
        <f>IFERROR(VLOOKUP(TableHandbook[[#This Row],[UDC]],TableSTRUCHEMB[],7,FALSE),"")</f>
        <v/>
      </c>
      <c r="AQ150" s="200" t="str">
        <f>IFERROR(VLOOKUP(TableHandbook[[#This Row],[UDC]],TableSTRUECOB1[],7,FALSE),"")</f>
        <v/>
      </c>
      <c r="AR150" s="200" t="str">
        <f>IFERROR(VLOOKUP(TableHandbook[[#This Row],[UDC]],TableSTRUEDART[],7,FALSE),"")</f>
        <v/>
      </c>
      <c r="AS150" s="200" t="str">
        <f>IFERROR(VLOOKUP(TableHandbook[[#This Row],[UDC]],TableSTRUEDENG[],7,FALSE),"")</f>
        <v/>
      </c>
      <c r="AT150" s="200" t="str">
        <f>IFERROR(VLOOKUP(TableHandbook[[#This Row],[UDC]],TableSTRUEDHAS[],7,FALSE),"")</f>
        <v/>
      </c>
      <c r="AU150" s="200" t="str">
        <f>IFERROR(VLOOKUP(TableHandbook[[#This Row],[UDC]],TableSTRUEDMAT[],7,FALSE),"")</f>
        <v/>
      </c>
      <c r="AV150" s="200" t="str">
        <f>IFERROR(VLOOKUP(TableHandbook[[#This Row],[UDC]],TableSTRUEDSCI[],7,FALSE),"")</f>
        <v/>
      </c>
      <c r="AW150" s="200" t="str">
        <f>IFERROR(VLOOKUP(TableHandbook[[#This Row],[UDC]],TableSTRUENGLB[],7,FALSE),"")</f>
        <v/>
      </c>
      <c r="AX150" s="200" t="str">
        <f>IFERROR(VLOOKUP(TableHandbook[[#This Row],[UDC]],TableSTRUENGLM[],7,FALSE),"")</f>
        <v/>
      </c>
      <c r="AY150" s="200" t="str">
        <f>IFERROR(VLOOKUP(TableHandbook[[#This Row],[UDC]],TableSTRUGEOB1[],7,FALSE),"")</f>
        <v/>
      </c>
      <c r="AZ150" s="200" t="str">
        <f>IFERROR(VLOOKUP(TableHandbook[[#This Row],[UDC]],TableSTRUHISB1[],7,FALSE),"")</f>
        <v/>
      </c>
      <c r="BA150" s="200" t="str">
        <f>IFERROR(VLOOKUP(TableHandbook[[#This Row],[UDC]],TableSTRUHUMAM[],7,FALSE),"")</f>
        <v/>
      </c>
      <c r="BB150" s="200" t="str">
        <f>IFERROR(VLOOKUP(TableHandbook[[#This Row],[UDC]],TableSTRUHUMBB[],7,FALSE),"")</f>
        <v/>
      </c>
      <c r="BC150" s="200" t="str">
        <f>IFERROR(VLOOKUP(TableHandbook[[#This Row],[UDC]],TableSTRUMATHB[],7,FALSE),"")</f>
        <v/>
      </c>
      <c r="BD150" s="200" t="str">
        <f>IFERROR(VLOOKUP(TableHandbook[[#This Row],[UDC]],TableSTRUMATHM[],7,FALSE),"")</f>
        <v/>
      </c>
      <c r="BE150" s="200" t="str">
        <f>IFERROR(VLOOKUP(TableHandbook[[#This Row],[UDC]],TableSTRUPARTB[],7,FALSE),"")</f>
        <v/>
      </c>
      <c r="BF150" s="200" t="str">
        <f>IFERROR(VLOOKUP(TableHandbook[[#This Row],[UDC]],TableSTRUPARTM[],7,FALSE),"")</f>
        <v/>
      </c>
      <c r="BG150" s="200" t="str">
        <f>IFERROR(VLOOKUP(TableHandbook[[#This Row],[UDC]],TableSTRUPOLB1[],7,FALSE),"")</f>
        <v/>
      </c>
      <c r="BH150" s="200" t="str">
        <f>IFERROR(VLOOKUP(TableHandbook[[#This Row],[UDC]],TableSTRUPSCIM[],7,FALSE),"")</f>
        <v/>
      </c>
      <c r="BI150" s="200" t="str">
        <f>IFERROR(VLOOKUP(TableHandbook[[#This Row],[UDC]],TableSTRUPSYCB[],7,FALSE),"")</f>
        <v/>
      </c>
      <c r="BJ150" s="200" t="str">
        <f>IFERROR(VLOOKUP(TableHandbook[[#This Row],[UDC]],TableSTRUPSYCM[],7,FALSE),"")</f>
        <v/>
      </c>
      <c r="BK150" s="200" t="str">
        <f>IFERROR(VLOOKUP(TableHandbook[[#This Row],[UDC]],TableSTRUSOSCM[],7,FALSE),"")</f>
        <v/>
      </c>
      <c r="BL150" s="200" t="str">
        <f>IFERROR(VLOOKUP(TableHandbook[[#This Row],[UDC]],TableSTRUVARTB[],7,FALSE),"")</f>
        <v/>
      </c>
      <c r="BM150" s="200" t="str">
        <f>IFERROR(VLOOKUP(TableHandbook[[#This Row],[UDC]],TableSTRUVARTM[],7,FALSE),"")</f>
        <v/>
      </c>
    </row>
    <row r="151" spans="1:65" x14ac:dyDescent="0.25">
      <c r="A151" s="262" t="s">
        <v>510</v>
      </c>
      <c r="B151" s="12">
        <v>1</v>
      </c>
      <c r="C151" s="11"/>
      <c r="D151" s="11" t="s">
        <v>734</v>
      </c>
      <c r="E151" s="12">
        <v>25</v>
      </c>
      <c r="F151" s="131" t="s">
        <v>544</v>
      </c>
      <c r="G151" s="126" t="str">
        <f>IFERROR(IF(VLOOKUP(TableHandbook[[#This Row],[UDC]],TableAvailabilities[],2,FALSE)&gt;0,"Y",""),"")</f>
        <v/>
      </c>
      <c r="H151" s="127" t="str">
        <f>IFERROR(IF(VLOOKUP(TableHandbook[[#This Row],[UDC]],TableAvailabilities[],3,FALSE)&gt;0,"Y",""),"")</f>
        <v/>
      </c>
      <c r="I151" s="127" t="str">
        <f>IFERROR(IF(VLOOKUP(TableHandbook[[#This Row],[UDC]],TableAvailabilities[],4,FALSE)&gt;0,"Y",""),"")</f>
        <v/>
      </c>
      <c r="J151" s="128" t="str">
        <f>IFERROR(IF(VLOOKUP(TableHandbook[[#This Row],[UDC]],TableAvailabilities[],5,FALSE)&gt;0,"Y",""),"")</f>
        <v>Y</v>
      </c>
      <c r="K151" s="128" t="str">
        <f>IFERROR(IF(VLOOKUP(TableHandbook[[#This Row],[UDC]],TableAvailabilities[],6,FALSE)&gt;0,"Y",""),"")</f>
        <v>Y</v>
      </c>
      <c r="L151" s="127" t="str">
        <f>IFERROR(IF(VLOOKUP(TableHandbook[[#This Row],[UDC]],TableAvailabilities[],7,FALSE)&gt;0,"Y",""),"")</f>
        <v/>
      </c>
      <c r="M151" s="207"/>
      <c r="N151" s="205" t="str">
        <f>IFERROR(VLOOKUP(TableHandbook[[#This Row],[UDC]],TableBEDUC[],7,FALSE),"")</f>
        <v/>
      </c>
      <c r="O151" s="200" t="str">
        <f>IFERROR(VLOOKUP(TableHandbook[[#This Row],[UDC]],TableBEDEC[],7,FALSE),"")</f>
        <v/>
      </c>
      <c r="P151" s="200" t="str">
        <f>IFERROR(VLOOKUP(TableHandbook[[#This Row],[UDC]],TableBEDPR[],7,FALSE),"")</f>
        <v/>
      </c>
      <c r="Q151" s="200" t="str">
        <f>IFERROR(VLOOKUP(TableHandbook[[#This Row],[UDC]],TableSTRUCATHL[],7,FALSE),"")</f>
        <v/>
      </c>
      <c r="R151" s="200" t="str">
        <f>IFERROR(VLOOKUP(TableHandbook[[#This Row],[UDC]],TableSTRUENGLL[],7,FALSE),"")</f>
        <v/>
      </c>
      <c r="S151" s="200" t="str">
        <f>IFERROR(VLOOKUP(TableHandbook[[#This Row],[UDC]],TableSTRUINTBC[],7,FALSE),"")</f>
        <v/>
      </c>
      <c r="T151" s="200" t="str">
        <f>IFERROR(VLOOKUP(TableHandbook[[#This Row],[UDC]],TableSTRUISTEM[],7,FALSE),"")</f>
        <v/>
      </c>
      <c r="U151" s="200" t="str">
        <f>IFERROR(VLOOKUP(TableHandbook[[#This Row],[UDC]],TableSTRULITNU[],7,FALSE),"")</f>
        <v/>
      </c>
      <c r="V151" s="200" t="str">
        <f>IFERROR(VLOOKUP(TableHandbook[[#This Row],[UDC]],TableSTRUTECHS[],7,FALSE),"")</f>
        <v/>
      </c>
      <c r="W151" s="200" t="str">
        <f>IFERROR(VLOOKUP(TableHandbook[[#This Row],[UDC]],TableBEDSC[],7,FALSE),"")</f>
        <v/>
      </c>
      <c r="X151" s="200" t="str">
        <f>IFERROR(VLOOKUP(TableHandbook[[#This Row],[UDC]],TableMJRUARTDR[],7,FALSE),"")</f>
        <v/>
      </c>
      <c r="Y151" s="200" t="str">
        <f>IFERROR(VLOOKUP(TableHandbook[[#This Row],[UDC]],TableMJRUARTME[],7,FALSE),"")</f>
        <v/>
      </c>
      <c r="Z151" s="200" t="str">
        <f>IFERROR(VLOOKUP(TableHandbook[[#This Row],[UDC]],TableMJRUARTVA[],7,FALSE),"")</f>
        <v/>
      </c>
      <c r="AA151" s="200" t="str">
        <f>IFERROR(VLOOKUP(TableHandbook[[#This Row],[UDC]],TableMJRUENGLT[],7,FALSE),"")</f>
        <v/>
      </c>
      <c r="AB151" s="200" t="str">
        <f>IFERROR(VLOOKUP(TableHandbook[[#This Row],[UDC]],TableMJRUHLTPE[],7,FALSE),"")</f>
        <v>Core</v>
      </c>
      <c r="AC151" s="200" t="str">
        <f>IFERROR(VLOOKUP(TableHandbook[[#This Row],[UDC]],TableMJRUHUSEC[],7,FALSE),"")</f>
        <v/>
      </c>
      <c r="AD151" s="200" t="str">
        <f>IFERROR(VLOOKUP(TableHandbook[[#This Row],[UDC]],TableMJRUHUSGE[],7,FALSE),"")</f>
        <v/>
      </c>
      <c r="AE151" s="200" t="str">
        <f>IFERROR(VLOOKUP(TableHandbook[[#This Row],[UDC]],TableMJRUHUSHI[],7,FALSE),"")</f>
        <v/>
      </c>
      <c r="AF151" s="200" t="str">
        <f>IFERROR(VLOOKUP(TableHandbook[[#This Row],[UDC]],TableMJRUHUSPL[],7,FALSE),"")</f>
        <v/>
      </c>
      <c r="AG151" s="200" t="str">
        <f>IFERROR(VLOOKUP(TableHandbook[[#This Row],[UDC]],TableMJRUMATHT[],7,FALSE),"")</f>
        <v/>
      </c>
      <c r="AH151" s="200" t="str">
        <f>IFERROR(VLOOKUP(TableHandbook[[#This Row],[UDC]],TableMJRUSCIBI[],7,FALSE),"")</f>
        <v/>
      </c>
      <c r="AI151" s="200" t="str">
        <f>IFERROR(VLOOKUP(TableHandbook[[#This Row],[UDC]],TableMJRUSCICH[],7,FALSE),"")</f>
        <v/>
      </c>
      <c r="AJ151" s="200" t="str">
        <f>IFERROR(VLOOKUP(TableHandbook[[#This Row],[UDC]],TableMJRUSCIHB[],7,FALSE),"")</f>
        <v/>
      </c>
      <c r="AK151" s="200" t="str">
        <f>IFERROR(VLOOKUP(TableHandbook[[#This Row],[UDC]],TableMJRUSCIPH[],7,FALSE),"")</f>
        <v/>
      </c>
      <c r="AL151" s="200" t="str">
        <f>IFERROR(VLOOKUP(TableHandbook[[#This Row],[UDC]],TableMJRUSCIPS[],7,FALSE),"")</f>
        <v/>
      </c>
      <c r="AM151" s="202"/>
      <c r="AN151" s="200" t="str">
        <f>IFERROR(VLOOKUP(TableHandbook[[#This Row],[UDC]],TableSTRUBIOLB[],7,FALSE),"")</f>
        <v/>
      </c>
      <c r="AO151" s="200" t="str">
        <f>IFERROR(VLOOKUP(TableHandbook[[#This Row],[UDC]],TableSTRUBSCIM[],7,FALSE),"")</f>
        <v/>
      </c>
      <c r="AP151" s="200" t="str">
        <f>IFERROR(VLOOKUP(TableHandbook[[#This Row],[UDC]],TableSTRUCHEMB[],7,FALSE),"")</f>
        <v/>
      </c>
      <c r="AQ151" s="200" t="str">
        <f>IFERROR(VLOOKUP(TableHandbook[[#This Row],[UDC]],TableSTRUECOB1[],7,FALSE),"")</f>
        <v/>
      </c>
      <c r="AR151" s="200" t="str">
        <f>IFERROR(VLOOKUP(TableHandbook[[#This Row],[UDC]],TableSTRUEDART[],7,FALSE),"")</f>
        <v/>
      </c>
      <c r="AS151" s="200" t="str">
        <f>IFERROR(VLOOKUP(TableHandbook[[#This Row],[UDC]],TableSTRUEDENG[],7,FALSE),"")</f>
        <v/>
      </c>
      <c r="AT151" s="200" t="str">
        <f>IFERROR(VLOOKUP(TableHandbook[[#This Row],[UDC]],TableSTRUEDHAS[],7,FALSE),"")</f>
        <v/>
      </c>
      <c r="AU151" s="200" t="str">
        <f>IFERROR(VLOOKUP(TableHandbook[[#This Row],[UDC]],TableSTRUEDMAT[],7,FALSE),"")</f>
        <v/>
      </c>
      <c r="AV151" s="200" t="str">
        <f>IFERROR(VLOOKUP(TableHandbook[[#This Row],[UDC]],TableSTRUEDSCI[],7,FALSE),"")</f>
        <v/>
      </c>
      <c r="AW151" s="200" t="str">
        <f>IFERROR(VLOOKUP(TableHandbook[[#This Row],[UDC]],TableSTRUENGLB[],7,FALSE),"")</f>
        <v/>
      </c>
      <c r="AX151" s="200" t="str">
        <f>IFERROR(VLOOKUP(TableHandbook[[#This Row],[UDC]],TableSTRUENGLM[],7,FALSE),"")</f>
        <v/>
      </c>
      <c r="AY151" s="200" t="str">
        <f>IFERROR(VLOOKUP(TableHandbook[[#This Row],[UDC]],TableSTRUGEOB1[],7,FALSE),"")</f>
        <v/>
      </c>
      <c r="AZ151" s="200" t="str">
        <f>IFERROR(VLOOKUP(TableHandbook[[#This Row],[UDC]],TableSTRUHISB1[],7,FALSE),"")</f>
        <v/>
      </c>
      <c r="BA151" s="200" t="str">
        <f>IFERROR(VLOOKUP(TableHandbook[[#This Row],[UDC]],TableSTRUHUMAM[],7,FALSE),"")</f>
        <v/>
      </c>
      <c r="BB151" s="200" t="str">
        <f>IFERROR(VLOOKUP(TableHandbook[[#This Row],[UDC]],TableSTRUHUMBB[],7,FALSE),"")</f>
        <v/>
      </c>
      <c r="BC151" s="200" t="str">
        <f>IFERROR(VLOOKUP(TableHandbook[[#This Row],[UDC]],TableSTRUMATHB[],7,FALSE),"")</f>
        <v/>
      </c>
      <c r="BD151" s="200" t="str">
        <f>IFERROR(VLOOKUP(TableHandbook[[#This Row],[UDC]],TableSTRUMATHM[],7,FALSE),"")</f>
        <v/>
      </c>
      <c r="BE151" s="200" t="str">
        <f>IFERROR(VLOOKUP(TableHandbook[[#This Row],[UDC]],TableSTRUPARTB[],7,FALSE),"")</f>
        <v/>
      </c>
      <c r="BF151" s="200" t="str">
        <f>IFERROR(VLOOKUP(TableHandbook[[#This Row],[UDC]],TableSTRUPARTM[],7,FALSE),"")</f>
        <v/>
      </c>
      <c r="BG151" s="200" t="str">
        <f>IFERROR(VLOOKUP(TableHandbook[[#This Row],[UDC]],TableSTRUPOLB1[],7,FALSE),"")</f>
        <v/>
      </c>
      <c r="BH151" s="200" t="str">
        <f>IFERROR(VLOOKUP(TableHandbook[[#This Row],[UDC]],TableSTRUPSCIM[],7,FALSE),"")</f>
        <v/>
      </c>
      <c r="BI151" s="200" t="str">
        <f>IFERROR(VLOOKUP(TableHandbook[[#This Row],[UDC]],TableSTRUPSYCB[],7,FALSE),"")</f>
        <v/>
      </c>
      <c r="BJ151" s="200" t="str">
        <f>IFERROR(VLOOKUP(TableHandbook[[#This Row],[UDC]],TableSTRUPSYCM[],7,FALSE),"")</f>
        <v/>
      </c>
      <c r="BK151" s="200" t="str">
        <f>IFERROR(VLOOKUP(TableHandbook[[#This Row],[UDC]],TableSTRUSOSCM[],7,FALSE),"")</f>
        <v/>
      </c>
      <c r="BL151" s="200" t="str">
        <f>IFERROR(VLOOKUP(TableHandbook[[#This Row],[UDC]],TableSTRUVARTB[],7,FALSE),"")</f>
        <v/>
      </c>
      <c r="BM151" s="200" t="str">
        <f>IFERROR(VLOOKUP(TableHandbook[[#This Row],[UDC]],TableSTRUVARTM[],7,FALSE),"")</f>
        <v/>
      </c>
    </row>
    <row r="152" spans="1:65" x14ac:dyDescent="0.25">
      <c r="A152" s="262" t="s">
        <v>311</v>
      </c>
      <c r="B152" s="12">
        <v>1</v>
      </c>
      <c r="C152" s="11"/>
      <c r="D152" s="11" t="s">
        <v>735</v>
      </c>
      <c r="E152" s="12">
        <v>25</v>
      </c>
      <c r="F152" s="131" t="s">
        <v>544</v>
      </c>
      <c r="G152" s="126" t="str">
        <f>IFERROR(IF(VLOOKUP(TableHandbook[[#This Row],[UDC]],TableAvailabilities[],2,FALSE)&gt;0,"Y",""),"")</f>
        <v>Y</v>
      </c>
      <c r="H152" s="127" t="str">
        <f>IFERROR(IF(VLOOKUP(TableHandbook[[#This Row],[UDC]],TableAvailabilities[],3,FALSE)&gt;0,"Y",""),"")</f>
        <v>Y</v>
      </c>
      <c r="I152" s="127" t="str">
        <f>IFERROR(IF(VLOOKUP(TableHandbook[[#This Row],[UDC]],TableAvailabilities[],4,FALSE)&gt;0,"Y",""),"")</f>
        <v/>
      </c>
      <c r="J152" s="128" t="str">
        <f>IFERROR(IF(VLOOKUP(TableHandbook[[#This Row],[UDC]],TableAvailabilities[],5,FALSE)&gt;0,"Y",""),"")</f>
        <v>Y</v>
      </c>
      <c r="K152" s="128" t="str">
        <f>IFERROR(IF(VLOOKUP(TableHandbook[[#This Row],[UDC]],TableAvailabilities[],6,FALSE)&gt;0,"Y",""),"")</f>
        <v>Y</v>
      </c>
      <c r="L152" s="127" t="str">
        <f>IFERROR(IF(VLOOKUP(TableHandbook[[#This Row],[UDC]],TableAvailabilities[],7,FALSE)&gt;0,"Y",""),"")</f>
        <v/>
      </c>
      <c r="M152" s="207"/>
      <c r="N152" s="205" t="str">
        <f>IFERROR(VLOOKUP(TableHandbook[[#This Row],[UDC]],TableBEDUC[],7,FALSE),"")</f>
        <v/>
      </c>
      <c r="O152" s="200" t="str">
        <f>IFERROR(VLOOKUP(TableHandbook[[#This Row],[UDC]],TableBEDEC[],7,FALSE),"")</f>
        <v/>
      </c>
      <c r="P152" s="200" t="str">
        <f>IFERROR(VLOOKUP(TableHandbook[[#This Row],[UDC]],TableBEDPR[],7,FALSE),"")</f>
        <v/>
      </c>
      <c r="Q152" s="200" t="str">
        <f>IFERROR(VLOOKUP(TableHandbook[[#This Row],[UDC]],TableSTRUCATHL[],7,FALSE),"")</f>
        <v/>
      </c>
      <c r="R152" s="200" t="str">
        <f>IFERROR(VLOOKUP(TableHandbook[[#This Row],[UDC]],TableSTRUENGLL[],7,FALSE),"")</f>
        <v/>
      </c>
      <c r="S152" s="200" t="str">
        <f>IFERROR(VLOOKUP(TableHandbook[[#This Row],[UDC]],TableSTRUINTBC[],7,FALSE),"")</f>
        <v/>
      </c>
      <c r="T152" s="200" t="str">
        <f>IFERROR(VLOOKUP(TableHandbook[[#This Row],[UDC]],TableSTRUISTEM[],7,FALSE),"")</f>
        <v/>
      </c>
      <c r="U152" s="200" t="str">
        <f>IFERROR(VLOOKUP(TableHandbook[[#This Row],[UDC]],TableSTRULITNU[],7,FALSE),"")</f>
        <v/>
      </c>
      <c r="V152" s="200" t="str">
        <f>IFERROR(VLOOKUP(TableHandbook[[#This Row],[UDC]],TableSTRUTECHS[],7,FALSE),"")</f>
        <v/>
      </c>
      <c r="W152" s="200" t="str">
        <f>IFERROR(VLOOKUP(TableHandbook[[#This Row],[UDC]],TableBEDSC[],7,FALSE),"")</f>
        <v/>
      </c>
      <c r="X152" s="200" t="str">
        <f>IFERROR(VLOOKUP(TableHandbook[[#This Row],[UDC]],TableMJRUARTDR[],7,FALSE),"")</f>
        <v/>
      </c>
      <c r="Y152" s="200" t="str">
        <f>IFERROR(VLOOKUP(TableHandbook[[#This Row],[UDC]],TableMJRUARTME[],7,FALSE),"")</f>
        <v/>
      </c>
      <c r="Z152" s="200" t="str">
        <f>IFERROR(VLOOKUP(TableHandbook[[#This Row],[UDC]],TableMJRUARTVA[],7,FALSE),"")</f>
        <v/>
      </c>
      <c r="AA152" s="200" t="str">
        <f>IFERROR(VLOOKUP(TableHandbook[[#This Row],[UDC]],TableMJRUENGLT[],7,FALSE),"")</f>
        <v/>
      </c>
      <c r="AB152" s="200" t="str">
        <f>IFERROR(VLOOKUP(TableHandbook[[#This Row],[UDC]],TableMJRUHLTPE[],7,FALSE),"")</f>
        <v/>
      </c>
      <c r="AC152" s="200" t="str">
        <f>IFERROR(VLOOKUP(TableHandbook[[#This Row],[UDC]],TableMJRUHUSEC[],7,FALSE),"")</f>
        <v/>
      </c>
      <c r="AD152" s="200" t="str">
        <f>IFERROR(VLOOKUP(TableHandbook[[#This Row],[UDC]],TableMJRUHUSGE[],7,FALSE),"")</f>
        <v/>
      </c>
      <c r="AE152" s="200" t="str">
        <f>IFERROR(VLOOKUP(TableHandbook[[#This Row],[UDC]],TableMJRUHUSHI[],7,FALSE),"")</f>
        <v/>
      </c>
      <c r="AF152" s="200" t="str">
        <f>IFERROR(VLOOKUP(TableHandbook[[#This Row],[UDC]],TableMJRUHUSPL[],7,FALSE),"")</f>
        <v/>
      </c>
      <c r="AG152" s="200" t="str">
        <f>IFERROR(VLOOKUP(TableHandbook[[#This Row],[UDC]],TableMJRUMATHT[],7,FALSE),"")</f>
        <v/>
      </c>
      <c r="AH152" s="200" t="str">
        <f>IFERROR(VLOOKUP(TableHandbook[[#This Row],[UDC]],TableMJRUSCIBI[],7,FALSE),"")</f>
        <v/>
      </c>
      <c r="AI152" s="200" t="str">
        <f>IFERROR(VLOOKUP(TableHandbook[[#This Row],[UDC]],TableMJRUSCICH[],7,FALSE),"")</f>
        <v/>
      </c>
      <c r="AJ152" s="200" t="str">
        <f>IFERROR(VLOOKUP(TableHandbook[[#This Row],[UDC]],TableMJRUSCIHB[],7,FALSE),"")</f>
        <v>Core</v>
      </c>
      <c r="AK152" s="200" t="str">
        <f>IFERROR(VLOOKUP(TableHandbook[[#This Row],[UDC]],TableMJRUSCIPH[],7,FALSE),"")</f>
        <v/>
      </c>
      <c r="AL152" s="200" t="str">
        <f>IFERROR(VLOOKUP(TableHandbook[[#This Row],[UDC]],TableMJRUSCIPS[],7,FALSE),"")</f>
        <v/>
      </c>
      <c r="AM152" s="202"/>
      <c r="AN152" s="200" t="str">
        <f>IFERROR(VLOOKUP(TableHandbook[[#This Row],[UDC]],TableSTRUBIOLB[],7,FALSE),"")</f>
        <v/>
      </c>
      <c r="AO152" s="200" t="str">
        <f>IFERROR(VLOOKUP(TableHandbook[[#This Row],[UDC]],TableSTRUBSCIM[],7,FALSE),"")</f>
        <v>Core</v>
      </c>
      <c r="AP152" s="200" t="str">
        <f>IFERROR(VLOOKUP(TableHandbook[[#This Row],[UDC]],TableSTRUCHEMB[],7,FALSE),"")</f>
        <v/>
      </c>
      <c r="AQ152" s="200" t="str">
        <f>IFERROR(VLOOKUP(TableHandbook[[#This Row],[UDC]],TableSTRUECOB1[],7,FALSE),"")</f>
        <v/>
      </c>
      <c r="AR152" s="200" t="str">
        <f>IFERROR(VLOOKUP(TableHandbook[[#This Row],[UDC]],TableSTRUEDART[],7,FALSE),"")</f>
        <v/>
      </c>
      <c r="AS152" s="200" t="str">
        <f>IFERROR(VLOOKUP(TableHandbook[[#This Row],[UDC]],TableSTRUEDENG[],7,FALSE),"")</f>
        <v/>
      </c>
      <c r="AT152" s="200" t="str">
        <f>IFERROR(VLOOKUP(TableHandbook[[#This Row],[UDC]],TableSTRUEDHAS[],7,FALSE),"")</f>
        <v/>
      </c>
      <c r="AU152" s="200" t="str">
        <f>IFERROR(VLOOKUP(TableHandbook[[#This Row],[UDC]],TableSTRUEDMAT[],7,FALSE),"")</f>
        <v/>
      </c>
      <c r="AV152" s="200" t="str">
        <f>IFERROR(VLOOKUP(TableHandbook[[#This Row],[UDC]],TableSTRUEDSCI[],7,FALSE),"")</f>
        <v/>
      </c>
      <c r="AW152" s="200" t="str">
        <f>IFERROR(VLOOKUP(TableHandbook[[#This Row],[UDC]],TableSTRUENGLB[],7,FALSE),"")</f>
        <v/>
      </c>
      <c r="AX152" s="200" t="str">
        <f>IFERROR(VLOOKUP(TableHandbook[[#This Row],[UDC]],TableSTRUENGLM[],7,FALSE),"")</f>
        <v/>
      </c>
      <c r="AY152" s="200" t="str">
        <f>IFERROR(VLOOKUP(TableHandbook[[#This Row],[UDC]],TableSTRUGEOB1[],7,FALSE),"")</f>
        <v/>
      </c>
      <c r="AZ152" s="200" t="str">
        <f>IFERROR(VLOOKUP(TableHandbook[[#This Row],[UDC]],TableSTRUHISB1[],7,FALSE),"")</f>
        <v/>
      </c>
      <c r="BA152" s="200" t="str">
        <f>IFERROR(VLOOKUP(TableHandbook[[#This Row],[UDC]],TableSTRUHUMAM[],7,FALSE),"")</f>
        <v/>
      </c>
      <c r="BB152" s="200" t="str">
        <f>IFERROR(VLOOKUP(TableHandbook[[#This Row],[UDC]],TableSTRUHUMBB[],7,FALSE),"")</f>
        <v/>
      </c>
      <c r="BC152" s="200" t="str">
        <f>IFERROR(VLOOKUP(TableHandbook[[#This Row],[UDC]],TableSTRUMATHB[],7,FALSE),"")</f>
        <v/>
      </c>
      <c r="BD152" s="200" t="str">
        <f>IFERROR(VLOOKUP(TableHandbook[[#This Row],[UDC]],TableSTRUMATHM[],7,FALSE),"")</f>
        <v/>
      </c>
      <c r="BE152" s="200" t="str">
        <f>IFERROR(VLOOKUP(TableHandbook[[#This Row],[UDC]],TableSTRUPARTB[],7,FALSE),"")</f>
        <v/>
      </c>
      <c r="BF152" s="200" t="str">
        <f>IFERROR(VLOOKUP(TableHandbook[[#This Row],[UDC]],TableSTRUPARTM[],7,FALSE),"")</f>
        <v/>
      </c>
      <c r="BG152" s="200" t="str">
        <f>IFERROR(VLOOKUP(TableHandbook[[#This Row],[UDC]],TableSTRUPOLB1[],7,FALSE),"")</f>
        <v/>
      </c>
      <c r="BH152" s="200" t="str">
        <f>IFERROR(VLOOKUP(TableHandbook[[#This Row],[UDC]],TableSTRUPSCIM[],7,FALSE),"")</f>
        <v/>
      </c>
      <c r="BI152" s="200" t="str">
        <f>IFERROR(VLOOKUP(TableHandbook[[#This Row],[UDC]],TableSTRUPSYCB[],7,FALSE),"")</f>
        <v/>
      </c>
      <c r="BJ152" s="200" t="str">
        <f>IFERROR(VLOOKUP(TableHandbook[[#This Row],[UDC]],TableSTRUPSYCM[],7,FALSE),"")</f>
        <v/>
      </c>
      <c r="BK152" s="200" t="str">
        <f>IFERROR(VLOOKUP(TableHandbook[[#This Row],[UDC]],TableSTRUSOSCM[],7,FALSE),"")</f>
        <v/>
      </c>
      <c r="BL152" s="200" t="str">
        <f>IFERROR(VLOOKUP(TableHandbook[[#This Row],[UDC]],TableSTRUVARTB[],7,FALSE),"")</f>
        <v/>
      </c>
      <c r="BM152" s="200" t="str">
        <f>IFERROR(VLOOKUP(TableHandbook[[#This Row],[UDC]],TableSTRUVARTM[],7,FALSE),"")</f>
        <v/>
      </c>
    </row>
    <row r="153" spans="1:65" x14ac:dyDescent="0.25">
      <c r="A153" s="262" t="s">
        <v>337</v>
      </c>
      <c r="B153" s="12">
        <v>1</v>
      </c>
      <c r="C153" s="11"/>
      <c r="D153" s="11" t="s">
        <v>736</v>
      </c>
      <c r="E153" s="12">
        <v>25</v>
      </c>
      <c r="F153" s="131" t="s">
        <v>311</v>
      </c>
      <c r="G153" s="126" t="str">
        <f>IFERROR(IF(VLOOKUP(TableHandbook[[#This Row],[UDC]],TableAvailabilities[],2,FALSE)&gt;0,"Y",""),"")</f>
        <v>Y</v>
      </c>
      <c r="H153" s="127" t="str">
        <f>IFERROR(IF(VLOOKUP(TableHandbook[[#This Row],[UDC]],TableAvailabilities[],3,FALSE)&gt;0,"Y",""),"")</f>
        <v>Y</v>
      </c>
      <c r="I153" s="127" t="str">
        <f>IFERROR(IF(VLOOKUP(TableHandbook[[#This Row],[UDC]],TableAvailabilities[],4,FALSE)&gt;0,"Y",""),"")</f>
        <v/>
      </c>
      <c r="J153" s="128" t="str">
        <f>IFERROR(IF(VLOOKUP(TableHandbook[[#This Row],[UDC]],TableAvailabilities[],5,FALSE)&gt;0,"Y",""),"")</f>
        <v>Y</v>
      </c>
      <c r="K153" s="128" t="str">
        <f>IFERROR(IF(VLOOKUP(TableHandbook[[#This Row],[UDC]],TableAvailabilities[],6,FALSE)&gt;0,"Y",""),"")</f>
        <v>Y</v>
      </c>
      <c r="L153" s="127" t="str">
        <f>IFERROR(IF(VLOOKUP(TableHandbook[[#This Row],[UDC]],TableAvailabilities[],7,FALSE)&gt;0,"Y",""),"")</f>
        <v/>
      </c>
      <c r="M153" s="207"/>
      <c r="N153" s="205" t="str">
        <f>IFERROR(VLOOKUP(TableHandbook[[#This Row],[UDC]],TableBEDUC[],7,FALSE),"")</f>
        <v/>
      </c>
      <c r="O153" s="200" t="str">
        <f>IFERROR(VLOOKUP(TableHandbook[[#This Row],[UDC]],TableBEDEC[],7,FALSE),"")</f>
        <v/>
      </c>
      <c r="P153" s="200" t="str">
        <f>IFERROR(VLOOKUP(TableHandbook[[#This Row],[UDC]],TableBEDPR[],7,FALSE),"")</f>
        <v/>
      </c>
      <c r="Q153" s="200" t="str">
        <f>IFERROR(VLOOKUP(TableHandbook[[#This Row],[UDC]],TableSTRUCATHL[],7,FALSE),"")</f>
        <v/>
      </c>
      <c r="R153" s="200" t="str">
        <f>IFERROR(VLOOKUP(TableHandbook[[#This Row],[UDC]],TableSTRUENGLL[],7,FALSE),"")</f>
        <v/>
      </c>
      <c r="S153" s="200" t="str">
        <f>IFERROR(VLOOKUP(TableHandbook[[#This Row],[UDC]],TableSTRUINTBC[],7,FALSE),"")</f>
        <v/>
      </c>
      <c r="T153" s="200" t="str">
        <f>IFERROR(VLOOKUP(TableHandbook[[#This Row],[UDC]],TableSTRUISTEM[],7,FALSE),"")</f>
        <v/>
      </c>
      <c r="U153" s="200" t="str">
        <f>IFERROR(VLOOKUP(TableHandbook[[#This Row],[UDC]],TableSTRULITNU[],7,FALSE),"")</f>
        <v/>
      </c>
      <c r="V153" s="200" t="str">
        <f>IFERROR(VLOOKUP(TableHandbook[[#This Row],[UDC]],TableSTRUTECHS[],7,FALSE),"")</f>
        <v/>
      </c>
      <c r="W153" s="200" t="str">
        <f>IFERROR(VLOOKUP(TableHandbook[[#This Row],[UDC]],TableBEDSC[],7,FALSE),"")</f>
        <v/>
      </c>
      <c r="X153" s="200" t="str">
        <f>IFERROR(VLOOKUP(TableHandbook[[#This Row],[UDC]],TableMJRUARTDR[],7,FALSE),"")</f>
        <v/>
      </c>
      <c r="Y153" s="200" t="str">
        <f>IFERROR(VLOOKUP(TableHandbook[[#This Row],[UDC]],TableMJRUARTME[],7,FALSE),"")</f>
        <v/>
      </c>
      <c r="Z153" s="200" t="str">
        <f>IFERROR(VLOOKUP(TableHandbook[[#This Row],[UDC]],TableMJRUARTVA[],7,FALSE),"")</f>
        <v/>
      </c>
      <c r="AA153" s="200" t="str">
        <f>IFERROR(VLOOKUP(TableHandbook[[#This Row],[UDC]],TableMJRUENGLT[],7,FALSE),"")</f>
        <v/>
      </c>
      <c r="AB153" s="200" t="str">
        <f>IFERROR(VLOOKUP(TableHandbook[[#This Row],[UDC]],TableMJRUHLTPE[],7,FALSE),"")</f>
        <v/>
      </c>
      <c r="AC153" s="200" t="str">
        <f>IFERROR(VLOOKUP(TableHandbook[[#This Row],[UDC]],TableMJRUHUSEC[],7,FALSE),"")</f>
        <v/>
      </c>
      <c r="AD153" s="200" t="str">
        <f>IFERROR(VLOOKUP(TableHandbook[[#This Row],[UDC]],TableMJRUHUSGE[],7,FALSE),"")</f>
        <v/>
      </c>
      <c r="AE153" s="200" t="str">
        <f>IFERROR(VLOOKUP(TableHandbook[[#This Row],[UDC]],TableMJRUHUSHI[],7,FALSE),"")</f>
        <v/>
      </c>
      <c r="AF153" s="200" t="str">
        <f>IFERROR(VLOOKUP(TableHandbook[[#This Row],[UDC]],TableMJRUHUSPL[],7,FALSE),"")</f>
        <v/>
      </c>
      <c r="AG153" s="200" t="str">
        <f>IFERROR(VLOOKUP(TableHandbook[[#This Row],[UDC]],TableMJRUMATHT[],7,FALSE),"")</f>
        <v/>
      </c>
      <c r="AH153" s="200" t="str">
        <f>IFERROR(VLOOKUP(TableHandbook[[#This Row],[UDC]],TableMJRUSCIBI[],7,FALSE),"")</f>
        <v/>
      </c>
      <c r="AI153" s="200" t="str">
        <f>IFERROR(VLOOKUP(TableHandbook[[#This Row],[UDC]],TableMJRUSCICH[],7,FALSE),"")</f>
        <v/>
      </c>
      <c r="AJ153" s="200" t="str">
        <f>IFERROR(VLOOKUP(TableHandbook[[#This Row],[UDC]],TableMJRUSCIHB[],7,FALSE),"")</f>
        <v>Core</v>
      </c>
      <c r="AK153" s="200" t="str">
        <f>IFERROR(VLOOKUP(TableHandbook[[#This Row],[UDC]],TableMJRUSCIPH[],7,FALSE),"")</f>
        <v/>
      </c>
      <c r="AL153" s="200" t="str">
        <f>IFERROR(VLOOKUP(TableHandbook[[#This Row],[UDC]],TableMJRUSCIPS[],7,FALSE),"")</f>
        <v/>
      </c>
      <c r="AM153" s="202"/>
      <c r="AN153" s="200" t="str">
        <f>IFERROR(VLOOKUP(TableHandbook[[#This Row],[UDC]],TableSTRUBIOLB[],7,FALSE),"")</f>
        <v/>
      </c>
      <c r="AO153" s="200" t="str">
        <f>IFERROR(VLOOKUP(TableHandbook[[#This Row],[UDC]],TableSTRUBSCIM[],7,FALSE),"")</f>
        <v/>
      </c>
      <c r="AP153" s="200" t="str">
        <f>IFERROR(VLOOKUP(TableHandbook[[#This Row],[UDC]],TableSTRUCHEMB[],7,FALSE),"")</f>
        <v/>
      </c>
      <c r="AQ153" s="200" t="str">
        <f>IFERROR(VLOOKUP(TableHandbook[[#This Row],[UDC]],TableSTRUECOB1[],7,FALSE),"")</f>
        <v/>
      </c>
      <c r="AR153" s="200" t="str">
        <f>IFERROR(VLOOKUP(TableHandbook[[#This Row],[UDC]],TableSTRUEDART[],7,FALSE),"")</f>
        <v/>
      </c>
      <c r="AS153" s="200" t="str">
        <f>IFERROR(VLOOKUP(TableHandbook[[#This Row],[UDC]],TableSTRUEDENG[],7,FALSE),"")</f>
        <v/>
      </c>
      <c r="AT153" s="200" t="str">
        <f>IFERROR(VLOOKUP(TableHandbook[[#This Row],[UDC]],TableSTRUEDHAS[],7,FALSE),"")</f>
        <v/>
      </c>
      <c r="AU153" s="200" t="str">
        <f>IFERROR(VLOOKUP(TableHandbook[[#This Row],[UDC]],TableSTRUEDMAT[],7,FALSE),"")</f>
        <v/>
      </c>
      <c r="AV153" s="200" t="str">
        <f>IFERROR(VLOOKUP(TableHandbook[[#This Row],[UDC]],TableSTRUEDSCI[],7,FALSE),"")</f>
        <v/>
      </c>
      <c r="AW153" s="200" t="str">
        <f>IFERROR(VLOOKUP(TableHandbook[[#This Row],[UDC]],TableSTRUENGLB[],7,FALSE),"")</f>
        <v/>
      </c>
      <c r="AX153" s="200" t="str">
        <f>IFERROR(VLOOKUP(TableHandbook[[#This Row],[UDC]],TableSTRUENGLM[],7,FALSE),"")</f>
        <v/>
      </c>
      <c r="AY153" s="200" t="str">
        <f>IFERROR(VLOOKUP(TableHandbook[[#This Row],[UDC]],TableSTRUGEOB1[],7,FALSE),"")</f>
        <v/>
      </c>
      <c r="AZ153" s="200" t="str">
        <f>IFERROR(VLOOKUP(TableHandbook[[#This Row],[UDC]],TableSTRUHISB1[],7,FALSE),"")</f>
        <v/>
      </c>
      <c r="BA153" s="200" t="str">
        <f>IFERROR(VLOOKUP(TableHandbook[[#This Row],[UDC]],TableSTRUHUMAM[],7,FALSE),"")</f>
        <v/>
      </c>
      <c r="BB153" s="200" t="str">
        <f>IFERROR(VLOOKUP(TableHandbook[[#This Row],[UDC]],TableSTRUHUMBB[],7,FALSE),"")</f>
        <v/>
      </c>
      <c r="BC153" s="200" t="str">
        <f>IFERROR(VLOOKUP(TableHandbook[[#This Row],[UDC]],TableSTRUMATHB[],7,FALSE),"")</f>
        <v/>
      </c>
      <c r="BD153" s="200" t="str">
        <f>IFERROR(VLOOKUP(TableHandbook[[#This Row],[UDC]],TableSTRUMATHM[],7,FALSE),"")</f>
        <v/>
      </c>
      <c r="BE153" s="200" t="str">
        <f>IFERROR(VLOOKUP(TableHandbook[[#This Row],[UDC]],TableSTRUPARTB[],7,FALSE),"")</f>
        <v/>
      </c>
      <c r="BF153" s="200" t="str">
        <f>IFERROR(VLOOKUP(TableHandbook[[#This Row],[UDC]],TableSTRUPARTM[],7,FALSE),"")</f>
        <v/>
      </c>
      <c r="BG153" s="200" t="str">
        <f>IFERROR(VLOOKUP(TableHandbook[[#This Row],[UDC]],TableSTRUPOLB1[],7,FALSE),"")</f>
        <v/>
      </c>
      <c r="BH153" s="200" t="str">
        <f>IFERROR(VLOOKUP(TableHandbook[[#This Row],[UDC]],TableSTRUPSCIM[],7,FALSE),"")</f>
        <v/>
      </c>
      <c r="BI153" s="200" t="str">
        <f>IFERROR(VLOOKUP(TableHandbook[[#This Row],[UDC]],TableSTRUPSYCB[],7,FALSE),"")</f>
        <v/>
      </c>
      <c r="BJ153" s="200" t="str">
        <f>IFERROR(VLOOKUP(TableHandbook[[#This Row],[UDC]],TableSTRUPSYCM[],7,FALSE),"")</f>
        <v/>
      </c>
      <c r="BK153" s="200" t="str">
        <f>IFERROR(VLOOKUP(TableHandbook[[#This Row],[UDC]],TableSTRUSOSCM[],7,FALSE),"")</f>
        <v/>
      </c>
      <c r="BL153" s="200" t="str">
        <f>IFERROR(VLOOKUP(TableHandbook[[#This Row],[UDC]],TableSTRUVARTB[],7,FALSE),"")</f>
        <v/>
      </c>
      <c r="BM153" s="200" t="str">
        <f>IFERROR(VLOOKUP(TableHandbook[[#This Row],[UDC]],TableSTRUVARTM[],7,FALSE),"")</f>
        <v/>
      </c>
    </row>
    <row r="154" spans="1:65" x14ac:dyDescent="0.25">
      <c r="A154" s="262" t="s">
        <v>298</v>
      </c>
      <c r="B154" s="12">
        <v>1</v>
      </c>
      <c r="C154" s="11"/>
      <c r="D154" s="11" t="s">
        <v>737</v>
      </c>
      <c r="E154" s="12">
        <v>25</v>
      </c>
      <c r="F154" s="131" t="s">
        <v>738</v>
      </c>
      <c r="G154" s="126" t="str">
        <f>IFERROR(IF(VLOOKUP(TableHandbook[[#This Row],[UDC]],TableAvailabilities[],2,FALSE)&gt;0,"Y",""),"")</f>
        <v/>
      </c>
      <c r="H154" s="127" t="str">
        <f>IFERROR(IF(VLOOKUP(TableHandbook[[#This Row],[UDC]],TableAvailabilities[],3,FALSE)&gt;0,"Y",""),"")</f>
        <v/>
      </c>
      <c r="I154" s="127" t="str">
        <f>IFERROR(IF(VLOOKUP(TableHandbook[[#This Row],[UDC]],TableAvailabilities[],4,FALSE)&gt;0,"Y",""),"")</f>
        <v/>
      </c>
      <c r="J154" s="128" t="str">
        <f>IFERROR(IF(VLOOKUP(TableHandbook[[#This Row],[UDC]],TableAvailabilities[],5,FALSE)&gt;0,"Y",""),"")</f>
        <v>Y</v>
      </c>
      <c r="K154" s="128" t="str">
        <f>IFERROR(IF(VLOOKUP(TableHandbook[[#This Row],[UDC]],TableAvailabilities[],6,FALSE)&gt;0,"Y",""),"")</f>
        <v/>
      </c>
      <c r="L154" s="127" t="str">
        <f>IFERROR(IF(VLOOKUP(TableHandbook[[#This Row],[UDC]],TableAvailabilities[],7,FALSE)&gt;0,"Y",""),"")</f>
        <v/>
      </c>
      <c r="M154" s="207"/>
      <c r="N154" s="205" t="str">
        <f>IFERROR(VLOOKUP(TableHandbook[[#This Row],[UDC]],TableBEDUC[],7,FALSE),"")</f>
        <v/>
      </c>
      <c r="O154" s="200" t="str">
        <f>IFERROR(VLOOKUP(TableHandbook[[#This Row],[UDC]],TableBEDEC[],7,FALSE),"")</f>
        <v/>
      </c>
      <c r="P154" s="200" t="str">
        <f>IFERROR(VLOOKUP(TableHandbook[[#This Row],[UDC]],TableBEDPR[],7,FALSE),"")</f>
        <v/>
      </c>
      <c r="Q154" s="200" t="str">
        <f>IFERROR(VLOOKUP(TableHandbook[[#This Row],[UDC]],TableSTRUCATHL[],7,FALSE),"")</f>
        <v/>
      </c>
      <c r="R154" s="200" t="str">
        <f>IFERROR(VLOOKUP(TableHandbook[[#This Row],[UDC]],TableSTRUENGLL[],7,FALSE),"")</f>
        <v/>
      </c>
      <c r="S154" s="200" t="str">
        <f>IFERROR(VLOOKUP(TableHandbook[[#This Row],[UDC]],TableSTRUINTBC[],7,FALSE),"")</f>
        <v/>
      </c>
      <c r="T154" s="200" t="str">
        <f>IFERROR(VLOOKUP(TableHandbook[[#This Row],[UDC]],TableSTRUISTEM[],7,FALSE),"")</f>
        <v/>
      </c>
      <c r="U154" s="200" t="str">
        <f>IFERROR(VLOOKUP(TableHandbook[[#This Row],[UDC]],TableSTRULITNU[],7,FALSE),"")</f>
        <v/>
      </c>
      <c r="V154" s="200" t="str">
        <f>IFERROR(VLOOKUP(TableHandbook[[#This Row],[UDC]],TableSTRUTECHS[],7,FALSE),"")</f>
        <v/>
      </c>
      <c r="W154" s="200" t="str">
        <f>IFERROR(VLOOKUP(TableHandbook[[#This Row],[UDC]],TableBEDSC[],7,FALSE),"")</f>
        <v/>
      </c>
      <c r="X154" s="200" t="str">
        <f>IFERROR(VLOOKUP(TableHandbook[[#This Row],[UDC]],TableMJRUARTDR[],7,FALSE),"")</f>
        <v/>
      </c>
      <c r="Y154" s="200" t="str">
        <f>IFERROR(VLOOKUP(TableHandbook[[#This Row],[UDC]],TableMJRUARTME[],7,FALSE),"")</f>
        <v/>
      </c>
      <c r="Z154" s="200" t="str">
        <f>IFERROR(VLOOKUP(TableHandbook[[#This Row],[UDC]],TableMJRUARTVA[],7,FALSE),"")</f>
        <v/>
      </c>
      <c r="AA154" s="200" t="str">
        <f>IFERROR(VLOOKUP(TableHandbook[[#This Row],[UDC]],TableMJRUENGLT[],7,FALSE),"")</f>
        <v/>
      </c>
      <c r="AB154" s="200" t="str">
        <f>IFERROR(VLOOKUP(TableHandbook[[#This Row],[UDC]],TableMJRUHLTPE[],7,FALSE),"")</f>
        <v>Core</v>
      </c>
      <c r="AC154" s="200" t="str">
        <f>IFERROR(VLOOKUP(TableHandbook[[#This Row],[UDC]],TableMJRUHUSEC[],7,FALSE),"")</f>
        <v/>
      </c>
      <c r="AD154" s="200" t="str">
        <f>IFERROR(VLOOKUP(TableHandbook[[#This Row],[UDC]],TableMJRUHUSGE[],7,FALSE),"")</f>
        <v/>
      </c>
      <c r="AE154" s="200" t="str">
        <f>IFERROR(VLOOKUP(TableHandbook[[#This Row],[UDC]],TableMJRUHUSHI[],7,FALSE),"")</f>
        <v/>
      </c>
      <c r="AF154" s="200" t="str">
        <f>IFERROR(VLOOKUP(TableHandbook[[#This Row],[UDC]],TableMJRUHUSPL[],7,FALSE),"")</f>
        <v/>
      </c>
      <c r="AG154" s="200" t="str">
        <f>IFERROR(VLOOKUP(TableHandbook[[#This Row],[UDC]],TableMJRUMATHT[],7,FALSE),"")</f>
        <v/>
      </c>
      <c r="AH154" s="200" t="str">
        <f>IFERROR(VLOOKUP(TableHandbook[[#This Row],[UDC]],TableMJRUSCIBI[],7,FALSE),"")</f>
        <v/>
      </c>
      <c r="AI154" s="200" t="str">
        <f>IFERROR(VLOOKUP(TableHandbook[[#This Row],[UDC]],TableMJRUSCICH[],7,FALSE),"")</f>
        <v/>
      </c>
      <c r="AJ154" s="200" t="str">
        <f>IFERROR(VLOOKUP(TableHandbook[[#This Row],[UDC]],TableMJRUSCIHB[],7,FALSE),"")</f>
        <v/>
      </c>
      <c r="AK154" s="200" t="str">
        <f>IFERROR(VLOOKUP(TableHandbook[[#This Row],[UDC]],TableMJRUSCIPH[],7,FALSE),"")</f>
        <v/>
      </c>
      <c r="AL154" s="200" t="str">
        <f>IFERROR(VLOOKUP(TableHandbook[[#This Row],[UDC]],TableMJRUSCIPS[],7,FALSE),"")</f>
        <v/>
      </c>
      <c r="AM154" s="202"/>
      <c r="AN154" s="200" t="str">
        <f>IFERROR(VLOOKUP(TableHandbook[[#This Row],[UDC]],TableSTRUBIOLB[],7,FALSE),"")</f>
        <v/>
      </c>
      <c r="AO154" s="200" t="str">
        <f>IFERROR(VLOOKUP(TableHandbook[[#This Row],[UDC]],TableSTRUBSCIM[],7,FALSE),"")</f>
        <v/>
      </c>
      <c r="AP154" s="200" t="str">
        <f>IFERROR(VLOOKUP(TableHandbook[[#This Row],[UDC]],TableSTRUCHEMB[],7,FALSE),"")</f>
        <v/>
      </c>
      <c r="AQ154" s="200" t="str">
        <f>IFERROR(VLOOKUP(TableHandbook[[#This Row],[UDC]],TableSTRUECOB1[],7,FALSE),"")</f>
        <v/>
      </c>
      <c r="AR154" s="200" t="str">
        <f>IFERROR(VLOOKUP(TableHandbook[[#This Row],[UDC]],TableSTRUEDART[],7,FALSE),"")</f>
        <v/>
      </c>
      <c r="AS154" s="200" t="str">
        <f>IFERROR(VLOOKUP(TableHandbook[[#This Row],[UDC]],TableSTRUEDENG[],7,FALSE),"")</f>
        <v/>
      </c>
      <c r="AT154" s="200" t="str">
        <f>IFERROR(VLOOKUP(TableHandbook[[#This Row],[UDC]],TableSTRUEDHAS[],7,FALSE),"")</f>
        <v/>
      </c>
      <c r="AU154" s="200" t="str">
        <f>IFERROR(VLOOKUP(TableHandbook[[#This Row],[UDC]],TableSTRUEDMAT[],7,FALSE),"")</f>
        <v/>
      </c>
      <c r="AV154" s="200" t="str">
        <f>IFERROR(VLOOKUP(TableHandbook[[#This Row],[UDC]],TableSTRUEDSCI[],7,FALSE),"")</f>
        <v/>
      </c>
      <c r="AW154" s="200" t="str">
        <f>IFERROR(VLOOKUP(TableHandbook[[#This Row],[UDC]],TableSTRUENGLB[],7,FALSE),"")</f>
        <v/>
      </c>
      <c r="AX154" s="200" t="str">
        <f>IFERROR(VLOOKUP(TableHandbook[[#This Row],[UDC]],TableSTRUENGLM[],7,FALSE),"")</f>
        <v/>
      </c>
      <c r="AY154" s="200" t="str">
        <f>IFERROR(VLOOKUP(TableHandbook[[#This Row],[UDC]],TableSTRUGEOB1[],7,FALSE),"")</f>
        <v/>
      </c>
      <c r="AZ154" s="200" t="str">
        <f>IFERROR(VLOOKUP(TableHandbook[[#This Row],[UDC]],TableSTRUHISB1[],7,FALSE),"")</f>
        <v/>
      </c>
      <c r="BA154" s="200" t="str">
        <f>IFERROR(VLOOKUP(TableHandbook[[#This Row],[UDC]],TableSTRUHUMAM[],7,FALSE),"")</f>
        <v/>
      </c>
      <c r="BB154" s="200" t="str">
        <f>IFERROR(VLOOKUP(TableHandbook[[#This Row],[UDC]],TableSTRUHUMBB[],7,FALSE),"")</f>
        <v/>
      </c>
      <c r="BC154" s="200" t="str">
        <f>IFERROR(VLOOKUP(TableHandbook[[#This Row],[UDC]],TableSTRUMATHB[],7,FALSE),"")</f>
        <v/>
      </c>
      <c r="BD154" s="200" t="str">
        <f>IFERROR(VLOOKUP(TableHandbook[[#This Row],[UDC]],TableSTRUMATHM[],7,FALSE),"")</f>
        <v/>
      </c>
      <c r="BE154" s="200" t="str">
        <f>IFERROR(VLOOKUP(TableHandbook[[#This Row],[UDC]],TableSTRUPARTB[],7,FALSE),"")</f>
        <v/>
      </c>
      <c r="BF154" s="200" t="str">
        <f>IFERROR(VLOOKUP(TableHandbook[[#This Row],[UDC]],TableSTRUPARTM[],7,FALSE),"")</f>
        <v/>
      </c>
      <c r="BG154" s="200" t="str">
        <f>IFERROR(VLOOKUP(TableHandbook[[#This Row],[UDC]],TableSTRUPOLB1[],7,FALSE),"")</f>
        <v/>
      </c>
      <c r="BH154" s="200" t="str">
        <f>IFERROR(VLOOKUP(TableHandbook[[#This Row],[UDC]],TableSTRUPSCIM[],7,FALSE),"")</f>
        <v/>
      </c>
      <c r="BI154" s="200" t="str">
        <f>IFERROR(VLOOKUP(TableHandbook[[#This Row],[UDC]],TableSTRUPSYCB[],7,FALSE),"")</f>
        <v/>
      </c>
      <c r="BJ154" s="200" t="str">
        <f>IFERROR(VLOOKUP(TableHandbook[[#This Row],[UDC]],TableSTRUPSYCM[],7,FALSE),"")</f>
        <v/>
      </c>
      <c r="BK154" s="200" t="str">
        <f>IFERROR(VLOOKUP(TableHandbook[[#This Row],[UDC]],TableSTRUSOSCM[],7,FALSE),"")</f>
        <v/>
      </c>
      <c r="BL154" s="200" t="str">
        <f>IFERROR(VLOOKUP(TableHandbook[[#This Row],[UDC]],TableSTRUVARTB[],7,FALSE),"")</f>
        <v/>
      </c>
      <c r="BM154" s="200" t="str">
        <f>IFERROR(VLOOKUP(TableHandbook[[#This Row],[UDC]],TableSTRUVARTM[],7,FALSE),"")</f>
        <v/>
      </c>
    </row>
    <row r="155" spans="1:65" ht="26.25" x14ac:dyDescent="0.25">
      <c r="A155" s="262" t="s">
        <v>476</v>
      </c>
      <c r="B155" s="12">
        <v>1</v>
      </c>
      <c r="C155" s="11"/>
      <c r="D155" s="11" t="s">
        <v>739</v>
      </c>
      <c r="E155" s="12">
        <v>25</v>
      </c>
      <c r="F155" s="131" t="s">
        <v>544</v>
      </c>
      <c r="G155" s="126" t="str">
        <f>IFERROR(IF(VLOOKUP(TableHandbook[[#This Row],[UDC]],TableAvailabilities[],2,FALSE)&gt;0,"Y",""),"")</f>
        <v>Y</v>
      </c>
      <c r="H155" s="127" t="str">
        <f>IFERROR(IF(VLOOKUP(TableHandbook[[#This Row],[UDC]],TableAvailabilities[],3,FALSE)&gt;0,"Y",""),"")</f>
        <v/>
      </c>
      <c r="I155" s="127" t="str">
        <f>IFERROR(IF(VLOOKUP(TableHandbook[[#This Row],[UDC]],TableAvailabilities[],4,FALSE)&gt;0,"Y",""),"")</f>
        <v/>
      </c>
      <c r="J155" s="128" t="str">
        <f>IFERROR(IF(VLOOKUP(TableHandbook[[#This Row],[UDC]],TableAvailabilities[],5,FALSE)&gt;0,"Y",""),"")</f>
        <v/>
      </c>
      <c r="K155" s="128" t="str">
        <f>IFERROR(IF(VLOOKUP(TableHandbook[[#This Row],[UDC]],TableAvailabilities[],6,FALSE)&gt;0,"Y",""),"")</f>
        <v/>
      </c>
      <c r="L155" s="127" t="str">
        <f>IFERROR(IF(VLOOKUP(TableHandbook[[#This Row],[UDC]],TableAvailabilities[],7,FALSE)&gt;0,"Y",""),"")</f>
        <v/>
      </c>
      <c r="M155" s="207" t="s">
        <v>740</v>
      </c>
      <c r="N155" s="205" t="str">
        <f>IFERROR(VLOOKUP(TableHandbook[[#This Row],[UDC]],TableBEDUC[],7,FALSE),"")</f>
        <v/>
      </c>
      <c r="O155" s="200" t="str">
        <f>IFERROR(VLOOKUP(TableHandbook[[#This Row],[UDC]],TableBEDEC[],7,FALSE),"")</f>
        <v/>
      </c>
      <c r="P155" s="200" t="str">
        <f>IFERROR(VLOOKUP(TableHandbook[[#This Row],[UDC]],TableBEDPR[],7,FALSE),"")</f>
        <v/>
      </c>
      <c r="Q155" s="200" t="str">
        <f>IFERROR(VLOOKUP(TableHandbook[[#This Row],[UDC]],TableSTRUCATHL[],7,FALSE),"")</f>
        <v/>
      </c>
      <c r="R155" s="200" t="str">
        <f>IFERROR(VLOOKUP(TableHandbook[[#This Row],[UDC]],TableSTRUENGLL[],7,FALSE),"")</f>
        <v/>
      </c>
      <c r="S155" s="200" t="str">
        <f>IFERROR(VLOOKUP(TableHandbook[[#This Row],[UDC]],TableSTRUINTBC[],7,FALSE),"")</f>
        <v/>
      </c>
      <c r="T155" s="200" t="str">
        <f>IFERROR(VLOOKUP(TableHandbook[[#This Row],[UDC]],TableSTRUISTEM[],7,FALSE),"")</f>
        <v/>
      </c>
      <c r="U155" s="200" t="str">
        <f>IFERROR(VLOOKUP(TableHandbook[[#This Row],[UDC]],TableSTRULITNU[],7,FALSE),"")</f>
        <v/>
      </c>
      <c r="V155" s="200" t="str">
        <f>IFERROR(VLOOKUP(TableHandbook[[#This Row],[UDC]],TableSTRUTECHS[],7,FALSE),"")</f>
        <v/>
      </c>
      <c r="W155" s="200" t="str">
        <f>IFERROR(VLOOKUP(TableHandbook[[#This Row],[UDC]],TableBEDSC[],7,FALSE),"")</f>
        <v/>
      </c>
      <c r="X155" s="200" t="str">
        <f>IFERROR(VLOOKUP(TableHandbook[[#This Row],[UDC]],TableMJRUARTDR[],7,FALSE),"")</f>
        <v/>
      </c>
      <c r="Y155" s="200" t="str">
        <f>IFERROR(VLOOKUP(TableHandbook[[#This Row],[UDC]],TableMJRUARTME[],7,FALSE),"")</f>
        <v/>
      </c>
      <c r="Z155" s="200" t="str">
        <f>IFERROR(VLOOKUP(TableHandbook[[#This Row],[UDC]],TableMJRUARTVA[],7,FALSE),"")</f>
        <v/>
      </c>
      <c r="AA155" s="200" t="str">
        <f>IFERROR(VLOOKUP(TableHandbook[[#This Row],[UDC]],TableMJRUENGLT[],7,FALSE),"")</f>
        <v/>
      </c>
      <c r="AB155" s="200" t="str">
        <f>IFERROR(VLOOKUP(TableHandbook[[#This Row],[UDC]],TableMJRUHLTPE[],7,FALSE),"")</f>
        <v>Core</v>
      </c>
      <c r="AC155" s="200" t="str">
        <f>IFERROR(VLOOKUP(TableHandbook[[#This Row],[UDC]],TableMJRUHUSEC[],7,FALSE),"")</f>
        <v/>
      </c>
      <c r="AD155" s="200" t="str">
        <f>IFERROR(VLOOKUP(TableHandbook[[#This Row],[UDC]],TableMJRUHUSGE[],7,FALSE),"")</f>
        <v/>
      </c>
      <c r="AE155" s="200" t="str">
        <f>IFERROR(VLOOKUP(TableHandbook[[#This Row],[UDC]],TableMJRUHUSHI[],7,FALSE),"")</f>
        <v/>
      </c>
      <c r="AF155" s="200" t="str">
        <f>IFERROR(VLOOKUP(TableHandbook[[#This Row],[UDC]],TableMJRUHUSPL[],7,FALSE),"")</f>
        <v/>
      </c>
      <c r="AG155" s="200" t="str">
        <f>IFERROR(VLOOKUP(TableHandbook[[#This Row],[UDC]],TableMJRUMATHT[],7,FALSE),"")</f>
        <v/>
      </c>
      <c r="AH155" s="200" t="str">
        <f>IFERROR(VLOOKUP(TableHandbook[[#This Row],[UDC]],TableMJRUSCIBI[],7,FALSE),"")</f>
        <v/>
      </c>
      <c r="AI155" s="200" t="str">
        <f>IFERROR(VLOOKUP(TableHandbook[[#This Row],[UDC]],TableMJRUSCICH[],7,FALSE),"")</f>
        <v/>
      </c>
      <c r="AJ155" s="200" t="str">
        <f>IFERROR(VLOOKUP(TableHandbook[[#This Row],[UDC]],TableMJRUSCIHB[],7,FALSE),"")</f>
        <v/>
      </c>
      <c r="AK155" s="200" t="str">
        <f>IFERROR(VLOOKUP(TableHandbook[[#This Row],[UDC]],TableMJRUSCIPH[],7,FALSE),"")</f>
        <v/>
      </c>
      <c r="AL155" s="200" t="str">
        <f>IFERROR(VLOOKUP(TableHandbook[[#This Row],[UDC]],TableMJRUSCIPS[],7,FALSE),"")</f>
        <v/>
      </c>
      <c r="AM155" s="202"/>
      <c r="AN155" s="200" t="str">
        <f>IFERROR(VLOOKUP(TableHandbook[[#This Row],[UDC]],TableSTRUBIOLB[],7,FALSE),"")</f>
        <v/>
      </c>
      <c r="AO155" s="200" t="str">
        <f>IFERROR(VLOOKUP(TableHandbook[[#This Row],[UDC]],TableSTRUBSCIM[],7,FALSE),"")</f>
        <v/>
      </c>
      <c r="AP155" s="200" t="str">
        <f>IFERROR(VLOOKUP(TableHandbook[[#This Row],[UDC]],TableSTRUCHEMB[],7,FALSE),"")</f>
        <v/>
      </c>
      <c r="AQ155" s="200" t="str">
        <f>IFERROR(VLOOKUP(TableHandbook[[#This Row],[UDC]],TableSTRUECOB1[],7,FALSE),"")</f>
        <v/>
      </c>
      <c r="AR155" s="200" t="str">
        <f>IFERROR(VLOOKUP(TableHandbook[[#This Row],[UDC]],TableSTRUEDART[],7,FALSE),"")</f>
        <v/>
      </c>
      <c r="AS155" s="200" t="str">
        <f>IFERROR(VLOOKUP(TableHandbook[[#This Row],[UDC]],TableSTRUEDENG[],7,FALSE),"")</f>
        <v/>
      </c>
      <c r="AT155" s="200" t="str">
        <f>IFERROR(VLOOKUP(TableHandbook[[#This Row],[UDC]],TableSTRUEDHAS[],7,FALSE),"")</f>
        <v/>
      </c>
      <c r="AU155" s="200" t="str">
        <f>IFERROR(VLOOKUP(TableHandbook[[#This Row],[UDC]],TableSTRUEDMAT[],7,FALSE),"")</f>
        <v/>
      </c>
      <c r="AV155" s="200" t="str">
        <f>IFERROR(VLOOKUP(TableHandbook[[#This Row],[UDC]],TableSTRUEDSCI[],7,FALSE),"")</f>
        <v/>
      </c>
      <c r="AW155" s="200" t="str">
        <f>IFERROR(VLOOKUP(TableHandbook[[#This Row],[UDC]],TableSTRUENGLB[],7,FALSE),"")</f>
        <v/>
      </c>
      <c r="AX155" s="200" t="str">
        <f>IFERROR(VLOOKUP(TableHandbook[[#This Row],[UDC]],TableSTRUENGLM[],7,FALSE),"")</f>
        <v/>
      </c>
      <c r="AY155" s="200" t="str">
        <f>IFERROR(VLOOKUP(TableHandbook[[#This Row],[UDC]],TableSTRUGEOB1[],7,FALSE),"")</f>
        <v/>
      </c>
      <c r="AZ155" s="200" t="str">
        <f>IFERROR(VLOOKUP(TableHandbook[[#This Row],[UDC]],TableSTRUHISB1[],7,FALSE),"")</f>
        <v/>
      </c>
      <c r="BA155" s="200" t="str">
        <f>IFERROR(VLOOKUP(TableHandbook[[#This Row],[UDC]],TableSTRUHUMAM[],7,FALSE),"")</f>
        <v/>
      </c>
      <c r="BB155" s="200" t="str">
        <f>IFERROR(VLOOKUP(TableHandbook[[#This Row],[UDC]],TableSTRUHUMBB[],7,FALSE),"")</f>
        <v/>
      </c>
      <c r="BC155" s="200" t="str">
        <f>IFERROR(VLOOKUP(TableHandbook[[#This Row],[UDC]],TableSTRUMATHB[],7,FALSE),"")</f>
        <v/>
      </c>
      <c r="BD155" s="200" t="str">
        <f>IFERROR(VLOOKUP(TableHandbook[[#This Row],[UDC]],TableSTRUMATHM[],7,FALSE),"")</f>
        <v/>
      </c>
      <c r="BE155" s="200" t="str">
        <f>IFERROR(VLOOKUP(TableHandbook[[#This Row],[UDC]],TableSTRUPARTB[],7,FALSE),"")</f>
        <v/>
      </c>
      <c r="BF155" s="200" t="str">
        <f>IFERROR(VLOOKUP(TableHandbook[[#This Row],[UDC]],TableSTRUPARTM[],7,FALSE),"")</f>
        <v/>
      </c>
      <c r="BG155" s="200" t="str">
        <f>IFERROR(VLOOKUP(TableHandbook[[#This Row],[UDC]],TableSTRUPOLB1[],7,FALSE),"")</f>
        <v/>
      </c>
      <c r="BH155" s="200" t="str">
        <f>IFERROR(VLOOKUP(TableHandbook[[#This Row],[UDC]],TableSTRUPSCIM[],7,FALSE),"")</f>
        <v/>
      </c>
      <c r="BI155" s="200" t="str">
        <f>IFERROR(VLOOKUP(TableHandbook[[#This Row],[UDC]],TableSTRUPSYCB[],7,FALSE),"")</f>
        <v/>
      </c>
      <c r="BJ155" s="200" t="str">
        <f>IFERROR(VLOOKUP(TableHandbook[[#This Row],[UDC]],TableSTRUPSYCM[],7,FALSE),"")</f>
        <v/>
      </c>
      <c r="BK155" s="200" t="str">
        <f>IFERROR(VLOOKUP(TableHandbook[[#This Row],[UDC]],TableSTRUSOSCM[],7,FALSE),"")</f>
        <v/>
      </c>
      <c r="BL155" s="200" t="str">
        <f>IFERROR(VLOOKUP(TableHandbook[[#This Row],[UDC]],TableSTRUVARTB[],7,FALSE),"")</f>
        <v/>
      </c>
      <c r="BM155" s="200" t="str">
        <f>IFERROR(VLOOKUP(TableHandbook[[#This Row],[UDC]],TableSTRUVARTM[],7,FALSE),"")</f>
        <v/>
      </c>
    </row>
    <row r="156" spans="1:65" x14ac:dyDescent="0.25">
      <c r="A156" s="262" t="s">
        <v>506</v>
      </c>
      <c r="B156" s="12">
        <v>1</v>
      </c>
      <c r="C156" s="11"/>
      <c r="D156" s="11" t="s">
        <v>741</v>
      </c>
      <c r="E156" s="12">
        <v>25</v>
      </c>
      <c r="F156" s="131" t="s">
        <v>742</v>
      </c>
      <c r="G156" s="126" t="str">
        <f>IFERROR(IF(VLOOKUP(TableHandbook[[#This Row],[UDC]],TableAvailabilities[],2,FALSE)&gt;0,"Y",""),"")</f>
        <v>Y</v>
      </c>
      <c r="H156" s="127" t="str">
        <f>IFERROR(IF(VLOOKUP(TableHandbook[[#This Row],[UDC]],TableAvailabilities[],3,FALSE)&gt;0,"Y",""),"")</f>
        <v/>
      </c>
      <c r="I156" s="127" t="str">
        <f>IFERROR(IF(VLOOKUP(TableHandbook[[#This Row],[UDC]],TableAvailabilities[],4,FALSE)&gt;0,"Y",""),"")</f>
        <v/>
      </c>
      <c r="J156" s="128" t="str">
        <f>IFERROR(IF(VLOOKUP(TableHandbook[[#This Row],[UDC]],TableAvailabilities[],5,FALSE)&gt;0,"Y",""),"")</f>
        <v/>
      </c>
      <c r="K156" s="128" t="str">
        <f>IFERROR(IF(VLOOKUP(TableHandbook[[#This Row],[UDC]],TableAvailabilities[],6,FALSE)&gt;0,"Y",""),"")</f>
        <v/>
      </c>
      <c r="L156" s="127" t="str">
        <f>IFERROR(IF(VLOOKUP(TableHandbook[[#This Row],[UDC]],TableAvailabilities[],7,FALSE)&gt;0,"Y",""),"")</f>
        <v/>
      </c>
      <c r="M156" s="207"/>
      <c r="N156" s="205" t="str">
        <f>IFERROR(VLOOKUP(TableHandbook[[#This Row],[UDC]],TableBEDUC[],7,FALSE),"")</f>
        <v/>
      </c>
      <c r="O156" s="200" t="str">
        <f>IFERROR(VLOOKUP(TableHandbook[[#This Row],[UDC]],TableBEDEC[],7,FALSE),"")</f>
        <v/>
      </c>
      <c r="P156" s="200" t="str">
        <f>IFERROR(VLOOKUP(TableHandbook[[#This Row],[UDC]],TableBEDPR[],7,FALSE),"")</f>
        <v/>
      </c>
      <c r="Q156" s="200" t="str">
        <f>IFERROR(VLOOKUP(TableHandbook[[#This Row],[UDC]],TableSTRUCATHL[],7,FALSE),"")</f>
        <v/>
      </c>
      <c r="R156" s="200" t="str">
        <f>IFERROR(VLOOKUP(TableHandbook[[#This Row],[UDC]],TableSTRUENGLL[],7,FALSE),"")</f>
        <v/>
      </c>
      <c r="S156" s="200" t="str">
        <f>IFERROR(VLOOKUP(TableHandbook[[#This Row],[UDC]],TableSTRUINTBC[],7,FALSE),"")</f>
        <v/>
      </c>
      <c r="T156" s="200" t="str">
        <f>IFERROR(VLOOKUP(TableHandbook[[#This Row],[UDC]],TableSTRUISTEM[],7,FALSE),"")</f>
        <v/>
      </c>
      <c r="U156" s="200" t="str">
        <f>IFERROR(VLOOKUP(TableHandbook[[#This Row],[UDC]],TableSTRULITNU[],7,FALSE),"")</f>
        <v/>
      </c>
      <c r="V156" s="200" t="str">
        <f>IFERROR(VLOOKUP(TableHandbook[[#This Row],[UDC]],TableSTRUTECHS[],7,FALSE),"")</f>
        <v/>
      </c>
      <c r="W156" s="200" t="str">
        <f>IFERROR(VLOOKUP(TableHandbook[[#This Row],[UDC]],TableBEDSC[],7,FALSE),"")</f>
        <v/>
      </c>
      <c r="X156" s="200" t="str">
        <f>IFERROR(VLOOKUP(TableHandbook[[#This Row],[UDC]],TableMJRUARTDR[],7,FALSE),"")</f>
        <v/>
      </c>
      <c r="Y156" s="200" t="str">
        <f>IFERROR(VLOOKUP(TableHandbook[[#This Row],[UDC]],TableMJRUARTME[],7,FALSE),"")</f>
        <v/>
      </c>
      <c r="Z156" s="200" t="str">
        <f>IFERROR(VLOOKUP(TableHandbook[[#This Row],[UDC]],TableMJRUARTVA[],7,FALSE),"")</f>
        <v/>
      </c>
      <c r="AA156" s="200" t="str">
        <f>IFERROR(VLOOKUP(TableHandbook[[#This Row],[UDC]],TableMJRUENGLT[],7,FALSE),"")</f>
        <v/>
      </c>
      <c r="AB156" s="200" t="str">
        <f>IFERROR(VLOOKUP(TableHandbook[[#This Row],[UDC]],TableMJRUHLTPE[],7,FALSE),"")</f>
        <v>Core</v>
      </c>
      <c r="AC156" s="200" t="str">
        <f>IFERROR(VLOOKUP(TableHandbook[[#This Row],[UDC]],TableMJRUHUSEC[],7,FALSE),"")</f>
        <v/>
      </c>
      <c r="AD156" s="200" t="str">
        <f>IFERROR(VLOOKUP(TableHandbook[[#This Row],[UDC]],TableMJRUHUSGE[],7,FALSE),"")</f>
        <v/>
      </c>
      <c r="AE156" s="200" t="str">
        <f>IFERROR(VLOOKUP(TableHandbook[[#This Row],[UDC]],TableMJRUHUSHI[],7,FALSE),"")</f>
        <v/>
      </c>
      <c r="AF156" s="200" t="str">
        <f>IFERROR(VLOOKUP(TableHandbook[[#This Row],[UDC]],TableMJRUHUSPL[],7,FALSE),"")</f>
        <v/>
      </c>
      <c r="AG156" s="200" t="str">
        <f>IFERROR(VLOOKUP(TableHandbook[[#This Row],[UDC]],TableMJRUMATHT[],7,FALSE),"")</f>
        <v/>
      </c>
      <c r="AH156" s="200" t="str">
        <f>IFERROR(VLOOKUP(TableHandbook[[#This Row],[UDC]],TableMJRUSCIBI[],7,FALSE),"")</f>
        <v/>
      </c>
      <c r="AI156" s="200" t="str">
        <f>IFERROR(VLOOKUP(TableHandbook[[#This Row],[UDC]],TableMJRUSCICH[],7,FALSE),"")</f>
        <v/>
      </c>
      <c r="AJ156" s="200" t="str">
        <f>IFERROR(VLOOKUP(TableHandbook[[#This Row],[UDC]],TableMJRUSCIHB[],7,FALSE),"")</f>
        <v/>
      </c>
      <c r="AK156" s="200" t="str">
        <f>IFERROR(VLOOKUP(TableHandbook[[#This Row],[UDC]],TableMJRUSCIPH[],7,FALSE),"")</f>
        <v/>
      </c>
      <c r="AL156" s="200" t="str">
        <f>IFERROR(VLOOKUP(TableHandbook[[#This Row],[UDC]],TableMJRUSCIPS[],7,FALSE),"")</f>
        <v/>
      </c>
      <c r="AM156" s="202"/>
      <c r="AN156" s="200" t="str">
        <f>IFERROR(VLOOKUP(TableHandbook[[#This Row],[UDC]],TableSTRUBIOLB[],7,FALSE),"")</f>
        <v/>
      </c>
      <c r="AO156" s="200" t="str">
        <f>IFERROR(VLOOKUP(TableHandbook[[#This Row],[UDC]],TableSTRUBSCIM[],7,FALSE),"")</f>
        <v/>
      </c>
      <c r="AP156" s="200" t="str">
        <f>IFERROR(VLOOKUP(TableHandbook[[#This Row],[UDC]],TableSTRUCHEMB[],7,FALSE),"")</f>
        <v/>
      </c>
      <c r="AQ156" s="200" t="str">
        <f>IFERROR(VLOOKUP(TableHandbook[[#This Row],[UDC]],TableSTRUECOB1[],7,FALSE),"")</f>
        <v/>
      </c>
      <c r="AR156" s="200" t="str">
        <f>IFERROR(VLOOKUP(TableHandbook[[#This Row],[UDC]],TableSTRUEDART[],7,FALSE),"")</f>
        <v/>
      </c>
      <c r="AS156" s="200" t="str">
        <f>IFERROR(VLOOKUP(TableHandbook[[#This Row],[UDC]],TableSTRUEDENG[],7,FALSE),"")</f>
        <v/>
      </c>
      <c r="AT156" s="200" t="str">
        <f>IFERROR(VLOOKUP(TableHandbook[[#This Row],[UDC]],TableSTRUEDHAS[],7,FALSE),"")</f>
        <v/>
      </c>
      <c r="AU156" s="200" t="str">
        <f>IFERROR(VLOOKUP(TableHandbook[[#This Row],[UDC]],TableSTRUEDMAT[],7,FALSE),"")</f>
        <v/>
      </c>
      <c r="AV156" s="200" t="str">
        <f>IFERROR(VLOOKUP(TableHandbook[[#This Row],[UDC]],TableSTRUEDSCI[],7,FALSE),"")</f>
        <v/>
      </c>
      <c r="AW156" s="200" t="str">
        <f>IFERROR(VLOOKUP(TableHandbook[[#This Row],[UDC]],TableSTRUENGLB[],7,FALSE),"")</f>
        <v/>
      </c>
      <c r="AX156" s="200" t="str">
        <f>IFERROR(VLOOKUP(TableHandbook[[#This Row],[UDC]],TableSTRUENGLM[],7,FALSE),"")</f>
        <v/>
      </c>
      <c r="AY156" s="200" t="str">
        <f>IFERROR(VLOOKUP(TableHandbook[[#This Row],[UDC]],TableSTRUGEOB1[],7,FALSE),"")</f>
        <v/>
      </c>
      <c r="AZ156" s="200" t="str">
        <f>IFERROR(VLOOKUP(TableHandbook[[#This Row],[UDC]],TableSTRUHISB1[],7,FALSE),"")</f>
        <v/>
      </c>
      <c r="BA156" s="200" t="str">
        <f>IFERROR(VLOOKUP(TableHandbook[[#This Row],[UDC]],TableSTRUHUMAM[],7,FALSE),"")</f>
        <v/>
      </c>
      <c r="BB156" s="200" t="str">
        <f>IFERROR(VLOOKUP(TableHandbook[[#This Row],[UDC]],TableSTRUHUMBB[],7,FALSE),"")</f>
        <v/>
      </c>
      <c r="BC156" s="200" t="str">
        <f>IFERROR(VLOOKUP(TableHandbook[[#This Row],[UDC]],TableSTRUMATHB[],7,FALSE),"")</f>
        <v/>
      </c>
      <c r="BD156" s="200" t="str">
        <f>IFERROR(VLOOKUP(TableHandbook[[#This Row],[UDC]],TableSTRUMATHM[],7,FALSE),"")</f>
        <v/>
      </c>
      <c r="BE156" s="200" t="str">
        <f>IFERROR(VLOOKUP(TableHandbook[[#This Row],[UDC]],TableSTRUPARTB[],7,FALSE),"")</f>
        <v/>
      </c>
      <c r="BF156" s="200" t="str">
        <f>IFERROR(VLOOKUP(TableHandbook[[#This Row],[UDC]],TableSTRUPARTM[],7,FALSE),"")</f>
        <v/>
      </c>
      <c r="BG156" s="200" t="str">
        <f>IFERROR(VLOOKUP(TableHandbook[[#This Row],[UDC]],TableSTRUPOLB1[],7,FALSE),"")</f>
        <v/>
      </c>
      <c r="BH156" s="200" t="str">
        <f>IFERROR(VLOOKUP(TableHandbook[[#This Row],[UDC]],TableSTRUPSCIM[],7,FALSE),"")</f>
        <v/>
      </c>
      <c r="BI156" s="200" t="str">
        <f>IFERROR(VLOOKUP(TableHandbook[[#This Row],[UDC]],TableSTRUPSYCB[],7,FALSE),"")</f>
        <v/>
      </c>
      <c r="BJ156" s="200" t="str">
        <f>IFERROR(VLOOKUP(TableHandbook[[#This Row],[UDC]],TableSTRUPSYCM[],7,FALSE),"")</f>
        <v/>
      </c>
      <c r="BK156" s="200" t="str">
        <f>IFERROR(VLOOKUP(TableHandbook[[#This Row],[UDC]],TableSTRUSOSCM[],7,FALSE),"")</f>
        <v/>
      </c>
      <c r="BL156" s="200" t="str">
        <f>IFERROR(VLOOKUP(TableHandbook[[#This Row],[UDC]],TableSTRUVARTB[],7,FALSE),"")</f>
        <v/>
      </c>
      <c r="BM156" s="200" t="str">
        <f>IFERROR(VLOOKUP(TableHandbook[[#This Row],[UDC]],TableSTRUVARTM[],7,FALSE),"")</f>
        <v/>
      </c>
    </row>
    <row r="157" spans="1:65" x14ac:dyDescent="0.25">
      <c r="A157" s="262" t="s">
        <v>416</v>
      </c>
      <c r="B157" s="12">
        <v>1</v>
      </c>
      <c r="C157" s="11"/>
      <c r="D157" s="11" t="s">
        <v>743</v>
      </c>
      <c r="E157" s="12">
        <v>25</v>
      </c>
      <c r="F157" s="131" t="s">
        <v>744</v>
      </c>
      <c r="G157" s="126" t="str">
        <f>IFERROR(IF(VLOOKUP(TableHandbook[[#This Row],[UDC]],TableAvailabilities[],2,FALSE)&gt;0,"Y",""),"")</f>
        <v/>
      </c>
      <c r="H157" s="127" t="str">
        <f>IFERROR(IF(VLOOKUP(TableHandbook[[#This Row],[UDC]],TableAvailabilities[],3,FALSE)&gt;0,"Y",""),"")</f>
        <v/>
      </c>
      <c r="I157" s="127" t="str">
        <f>IFERROR(IF(VLOOKUP(TableHandbook[[#This Row],[UDC]],TableAvailabilities[],4,FALSE)&gt;0,"Y",""),"")</f>
        <v/>
      </c>
      <c r="J157" s="128" t="str">
        <f>IFERROR(IF(VLOOKUP(TableHandbook[[#This Row],[UDC]],TableAvailabilities[],5,FALSE)&gt;0,"Y",""),"")</f>
        <v>Y</v>
      </c>
      <c r="K157" s="128" t="str">
        <f>IFERROR(IF(VLOOKUP(TableHandbook[[#This Row],[UDC]],TableAvailabilities[],6,FALSE)&gt;0,"Y",""),"")</f>
        <v/>
      </c>
      <c r="L157" s="127" t="str">
        <f>IFERROR(IF(VLOOKUP(TableHandbook[[#This Row],[UDC]],TableAvailabilities[],7,FALSE)&gt;0,"Y",""),"")</f>
        <v/>
      </c>
      <c r="M157" s="207"/>
      <c r="N157" s="205" t="str">
        <f>IFERROR(VLOOKUP(TableHandbook[[#This Row],[UDC]],TableBEDUC[],7,FALSE),"")</f>
        <v/>
      </c>
      <c r="O157" s="200" t="str">
        <f>IFERROR(VLOOKUP(TableHandbook[[#This Row],[UDC]],TableBEDEC[],7,FALSE),"")</f>
        <v/>
      </c>
      <c r="P157" s="200" t="str">
        <f>IFERROR(VLOOKUP(TableHandbook[[#This Row],[UDC]],TableBEDPR[],7,FALSE),"")</f>
        <v/>
      </c>
      <c r="Q157" s="200" t="str">
        <f>IFERROR(VLOOKUP(TableHandbook[[#This Row],[UDC]],TableSTRUCATHL[],7,FALSE),"")</f>
        <v/>
      </c>
      <c r="R157" s="200" t="str">
        <f>IFERROR(VLOOKUP(TableHandbook[[#This Row],[UDC]],TableSTRUENGLL[],7,FALSE),"")</f>
        <v/>
      </c>
      <c r="S157" s="200" t="str">
        <f>IFERROR(VLOOKUP(TableHandbook[[#This Row],[UDC]],TableSTRUINTBC[],7,FALSE),"")</f>
        <v/>
      </c>
      <c r="T157" s="200" t="str">
        <f>IFERROR(VLOOKUP(TableHandbook[[#This Row],[UDC]],TableSTRUISTEM[],7,FALSE),"")</f>
        <v/>
      </c>
      <c r="U157" s="200" t="str">
        <f>IFERROR(VLOOKUP(TableHandbook[[#This Row],[UDC]],TableSTRULITNU[],7,FALSE),"")</f>
        <v/>
      </c>
      <c r="V157" s="200" t="str">
        <f>IFERROR(VLOOKUP(TableHandbook[[#This Row],[UDC]],TableSTRUTECHS[],7,FALSE),"")</f>
        <v/>
      </c>
      <c r="W157" s="200" t="str">
        <f>IFERROR(VLOOKUP(TableHandbook[[#This Row],[UDC]],TableBEDSC[],7,FALSE),"")</f>
        <v/>
      </c>
      <c r="X157" s="200" t="str">
        <f>IFERROR(VLOOKUP(TableHandbook[[#This Row],[UDC]],TableMJRUARTDR[],7,FALSE),"")</f>
        <v/>
      </c>
      <c r="Y157" s="200" t="str">
        <f>IFERROR(VLOOKUP(TableHandbook[[#This Row],[UDC]],TableMJRUARTME[],7,FALSE),"")</f>
        <v/>
      </c>
      <c r="Z157" s="200" t="str">
        <f>IFERROR(VLOOKUP(TableHandbook[[#This Row],[UDC]],TableMJRUARTVA[],7,FALSE),"")</f>
        <v/>
      </c>
      <c r="AA157" s="200" t="str">
        <f>IFERROR(VLOOKUP(TableHandbook[[#This Row],[UDC]],TableMJRUENGLT[],7,FALSE),"")</f>
        <v/>
      </c>
      <c r="AB157" s="200" t="str">
        <f>IFERROR(VLOOKUP(TableHandbook[[#This Row],[UDC]],TableMJRUHLTPE[],7,FALSE),"")</f>
        <v/>
      </c>
      <c r="AC157" s="200" t="str">
        <f>IFERROR(VLOOKUP(TableHandbook[[#This Row],[UDC]],TableMJRUHUSEC[],7,FALSE),"")</f>
        <v/>
      </c>
      <c r="AD157" s="200" t="str">
        <f>IFERROR(VLOOKUP(TableHandbook[[#This Row],[UDC]],TableMJRUHUSGE[],7,FALSE),"")</f>
        <v/>
      </c>
      <c r="AE157" s="200" t="str">
        <f>IFERROR(VLOOKUP(TableHandbook[[#This Row],[UDC]],TableMJRUHUSHI[],7,FALSE),"")</f>
        <v/>
      </c>
      <c r="AF157" s="200" t="str">
        <f>IFERROR(VLOOKUP(TableHandbook[[#This Row],[UDC]],TableMJRUHUSPL[],7,FALSE),"")</f>
        <v/>
      </c>
      <c r="AG157" s="200" t="str">
        <f>IFERROR(VLOOKUP(TableHandbook[[#This Row],[UDC]],TableMJRUMATHT[],7,FALSE),"")</f>
        <v/>
      </c>
      <c r="AH157" s="200" t="str">
        <f>IFERROR(VLOOKUP(TableHandbook[[#This Row],[UDC]],TableMJRUSCIBI[],7,FALSE),"")</f>
        <v/>
      </c>
      <c r="AI157" s="200" t="str">
        <f>IFERROR(VLOOKUP(TableHandbook[[#This Row],[UDC]],TableMJRUSCICH[],7,FALSE),"")</f>
        <v/>
      </c>
      <c r="AJ157" s="200" t="str">
        <f>IFERROR(VLOOKUP(TableHandbook[[#This Row],[UDC]],TableMJRUSCIHB[],7,FALSE),"")</f>
        <v>AltCore</v>
      </c>
      <c r="AK157" s="200" t="str">
        <f>IFERROR(VLOOKUP(TableHandbook[[#This Row],[UDC]],TableMJRUSCIPH[],7,FALSE),"")</f>
        <v/>
      </c>
      <c r="AL157" s="200" t="str">
        <f>IFERROR(VLOOKUP(TableHandbook[[#This Row],[UDC]],TableMJRUSCIPS[],7,FALSE),"")</f>
        <v/>
      </c>
      <c r="AM157" s="202"/>
      <c r="AN157" s="200" t="str">
        <f>IFERROR(VLOOKUP(TableHandbook[[#This Row],[UDC]],TableSTRUBIOLB[],7,FALSE),"")</f>
        <v/>
      </c>
      <c r="AO157" s="200" t="str">
        <f>IFERROR(VLOOKUP(TableHandbook[[#This Row],[UDC]],TableSTRUBSCIM[],7,FALSE),"")</f>
        <v/>
      </c>
      <c r="AP157" s="200" t="str">
        <f>IFERROR(VLOOKUP(TableHandbook[[#This Row],[UDC]],TableSTRUCHEMB[],7,FALSE),"")</f>
        <v/>
      </c>
      <c r="AQ157" s="200" t="str">
        <f>IFERROR(VLOOKUP(TableHandbook[[#This Row],[UDC]],TableSTRUECOB1[],7,FALSE),"")</f>
        <v/>
      </c>
      <c r="AR157" s="200" t="str">
        <f>IFERROR(VLOOKUP(TableHandbook[[#This Row],[UDC]],TableSTRUEDART[],7,FALSE),"")</f>
        <v/>
      </c>
      <c r="AS157" s="200" t="str">
        <f>IFERROR(VLOOKUP(TableHandbook[[#This Row],[UDC]],TableSTRUEDENG[],7,FALSE),"")</f>
        <v/>
      </c>
      <c r="AT157" s="200" t="str">
        <f>IFERROR(VLOOKUP(TableHandbook[[#This Row],[UDC]],TableSTRUEDHAS[],7,FALSE),"")</f>
        <v/>
      </c>
      <c r="AU157" s="200" t="str">
        <f>IFERROR(VLOOKUP(TableHandbook[[#This Row],[UDC]],TableSTRUEDMAT[],7,FALSE),"")</f>
        <v/>
      </c>
      <c r="AV157" s="200" t="str">
        <f>IFERROR(VLOOKUP(TableHandbook[[#This Row],[UDC]],TableSTRUEDSCI[],7,FALSE),"")</f>
        <v/>
      </c>
      <c r="AW157" s="200" t="str">
        <f>IFERROR(VLOOKUP(TableHandbook[[#This Row],[UDC]],TableSTRUENGLB[],7,FALSE),"")</f>
        <v/>
      </c>
      <c r="AX157" s="200" t="str">
        <f>IFERROR(VLOOKUP(TableHandbook[[#This Row],[UDC]],TableSTRUENGLM[],7,FALSE),"")</f>
        <v/>
      </c>
      <c r="AY157" s="200" t="str">
        <f>IFERROR(VLOOKUP(TableHandbook[[#This Row],[UDC]],TableSTRUGEOB1[],7,FALSE),"")</f>
        <v/>
      </c>
      <c r="AZ157" s="200" t="str">
        <f>IFERROR(VLOOKUP(TableHandbook[[#This Row],[UDC]],TableSTRUHISB1[],7,FALSE),"")</f>
        <v/>
      </c>
      <c r="BA157" s="200" t="str">
        <f>IFERROR(VLOOKUP(TableHandbook[[#This Row],[UDC]],TableSTRUHUMAM[],7,FALSE),"")</f>
        <v/>
      </c>
      <c r="BB157" s="200" t="str">
        <f>IFERROR(VLOOKUP(TableHandbook[[#This Row],[UDC]],TableSTRUHUMBB[],7,FALSE),"")</f>
        <v/>
      </c>
      <c r="BC157" s="200" t="str">
        <f>IFERROR(VLOOKUP(TableHandbook[[#This Row],[UDC]],TableSTRUMATHB[],7,FALSE),"")</f>
        <v/>
      </c>
      <c r="BD157" s="200" t="str">
        <f>IFERROR(VLOOKUP(TableHandbook[[#This Row],[UDC]],TableSTRUMATHM[],7,FALSE),"")</f>
        <v/>
      </c>
      <c r="BE157" s="200" t="str">
        <f>IFERROR(VLOOKUP(TableHandbook[[#This Row],[UDC]],TableSTRUPARTB[],7,FALSE),"")</f>
        <v/>
      </c>
      <c r="BF157" s="200" t="str">
        <f>IFERROR(VLOOKUP(TableHandbook[[#This Row],[UDC]],TableSTRUPARTM[],7,FALSE),"")</f>
        <v/>
      </c>
      <c r="BG157" s="200" t="str">
        <f>IFERROR(VLOOKUP(TableHandbook[[#This Row],[UDC]],TableSTRUPOLB1[],7,FALSE),"")</f>
        <v/>
      </c>
      <c r="BH157" s="200" t="str">
        <f>IFERROR(VLOOKUP(TableHandbook[[#This Row],[UDC]],TableSTRUPSCIM[],7,FALSE),"")</f>
        <v/>
      </c>
      <c r="BI157" s="200" t="str">
        <f>IFERROR(VLOOKUP(TableHandbook[[#This Row],[UDC]],TableSTRUPSYCB[],7,FALSE),"")</f>
        <v/>
      </c>
      <c r="BJ157" s="200" t="str">
        <f>IFERROR(VLOOKUP(TableHandbook[[#This Row],[UDC]],TableSTRUPSYCM[],7,FALSE),"")</f>
        <v/>
      </c>
      <c r="BK157" s="200" t="str">
        <f>IFERROR(VLOOKUP(TableHandbook[[#This Row],[UDC]],TableSTRUSOSCM[],7,FALSE),"")</f>
        <v/>
      </c>
      <c r="BL157" s="200" t="str">
        <f>IFERROR(VLOOKUP(TableHandbook[[#This Row],[UDC]],TableSTRUVARTB[],7,FALSE),"")</f>
        <v/>
      </c>
      <c r="BM157" s="200" t="str">
        <f>IFERROR(VLOOKUP(TableHandbook[[#This Row],[UDC]],TableSTRUVARTM[],7,FALSE),"")</f>
        <v/>
      </c>
    </row>
    <row r="158" spans="1:65" x14ac:dyDescent="0.25">
      <c r="A158" s="262" t="s">
        <v>358</v>
      </c>
      <c r="B158" s="12">
        <v>1</v>
      </c>
      <c r="C158" s="11"/>
      <c r="D158" s="11" t="s">
        <v>745</v>
      </c>
      <c r="E158" s="12">
        <v>25</v>
      </c>
      <c r="F158" s="131" t="s">
        <v>337</v>
      </c>
      <c r="G158" s="126" t="str">
        <f>IFERROR(IF(VLOOKUP(TableHandbook[[#This Row],[UDC]],TableAvailabilities[],2,FALSE)&gt;0,"Y",""),"")</f>
        <v/>
      </c>
      <c r="H158" s="127" t="str">
        <f>IFERROR(IF(VLOOKUP(TableHandbook[[#This Row],[UDC]],TableAvailabilities[],3,FALSE)&gt;0,"Y",""),"")</f>
        <v/>
      </c>
      <c r="I158" s="127" t="str">
        <f>IFERROR(IF(VLOOKUP(TableHandbook[[#This Row],[UDC]],TableAvailabilities[],4,FALSE)&gt;0,"Y",""),"")</f>
        <v/>
      </c>
      <c r="J158" s="128" t="str">
        <f>IFERROR(IF(VLOOKUP(TableHandbook[[#This Row],[UDC]],TableAvailabilities[],5,FALSE)&gt;0,"Y",""),"")</f>
        <v>Y</v>
      </c>
      <c r="K158" s="128" t="str">
        <f>IFERROR(IF(VLOOKUP(TableHandbook[[#This Row],[UDC]],TableAvailabilities[],6,FALSE)&gt;0,"Y",""),"")</f>
        <v/>
      </c>
      <c r="L158" s="127" t="str">
        <f>IFERROR(IF(VLOOKUP(TableHandbook[[#This Row],[UDC]],TableAvailabilities[],7,FALSE)&gt;0,"Y",""),"")</f>
        <v/>
      </c>
      <c r="M158" s="207"/>
      <c r="N158" s="205" t="str">
        <f>IFERROR(VLOOKUP(TableHandbook[[#This Row],[UDC]],TableBEDUC[],7,FALSE),"")</f>
        <v/>
      </c>
      <c r="O158" s="200" t="str">
        <f>IFERROR(VLOOKUP(TableHandbook[[#This Row],[UDC]],TableBEDEC[],7,FALSE),"")</f>
        <v/>
      </c>
      <c r="P158" s="200" t="str">
        <f>IFERROR(VLOOKUP(TableHandbook[[#This Row],[UDC]],TableBEDPR[],7,FALSE),"")</f>
        <v/>
      </c>
      <c r="Q158" s="200" t="str">
        <f>IFERROR(VLOOKUP(TableHandbook[[#This Row],[UDC]],TableSTRUCATHL[],7,FALSE),"")</f>
        <v/>
      </c>
      <c r="R158" s="200" t="str">
        <f>IFERROR(VLOOKUP(TableHandbook[[#This Row],[UDC]],TableSTRUENGLL[],7,FALSE),"")</f>
        <v/>
      </c>
      <c r="S158" s="200" t="str">
        <f>IFERROR(VLOOKUP(TableHandbook[[#This Row],[UDC]],TableSTRUINTBC[],7,FALSE),"")</f>
        <v/>
      </c>
      <c r="T158" s="200" t="str">
        <f>IFERROR(VLOOKUP(TableHandbook[[#This Row],[UDC]],TableSTRUISTEM[],7,FALSE),"")</f>
        <v/>
      </c>
      <c r="U158" s="200" t="str">
        <f>IFERROR(VLOOKUP(TableHandbook[[#This Row],[UDC]],TableSTRULITNU[],7,FALSE),"")</f>
        <v/>
      </c>
      <c r="V158" s="200" t="str">
        <f>IFERROR(VLOOKUP(TableHandbook[[#This Row],[UDC]],TableSTRUTECHS[],7,FALSE),"")</f>
        <v/>
      </c>
      <c r="W158" s="200" t="str">
        <f>IFERROR(VLOOKUP(TableHandbook[[#This Row],[UDC]],TableBEDSC[],7,FALSE),"")</f>
        <v/>
      </c>
      <c r="X158" s="200" t="str">
        <f>IFERROR(VLOOKUP(TableHandbook[[#This Row],[UDC]],TableMJRUARTDR[],7,FALSE),"")</f>
        <v/>
      </c>
      <c r="Y158" s="200" t="str">
        <f>IFERROR(VLOOKUP(TableHandbook[[#This Row],[UDC]],TableMJRUARTME[],7,FALSE),"")</f>
        <v/>
      </c>
      <c r="Z158" s="200" t="str">
        <f>IFERROR(VLOOKUP(TableHandbook[[#This Row],[UDC]],TableMJRUARTVA[],7,FALSE),"")</f>
        <v/>
      </c>
      <c r="AA158" s="200" t="str">
        <f>IFERROR(VLOOKUP(TableHandbook[[#This Row],[UDC]],TableMJRUENGLT[],7,FALSE),"")</f>
        <v/>
      </c>
      <c r="AB158" s="200" t="str">
        <f>IFERROR(VLOOKUP(TableHandbook[[#This Row],[UDC]],TableMJRUHLTPE[],7,FALSE),"")</f>
        <v/>
      </c>
      <c r="AC158" s="200" t="str">
        <f>IFERROR(VLOOKUP(TableHandbook[[#This Row],[UDC]],TableMJRUHUSEC[],7,FALSE),"")</f>
        <v/>
      </c>
      <c r="AD158" s="200" t="str">
        <f>IFERROR(VLOOKUP(TableHandbook[[#This Row],[UDC]],TableMJRUHUSGE[],7,FALSE),"")</f>
        <v/>
      </c>
      <c r="AE158" s="200" t="str">
        <f>IFERROR(VLOOKUP(TableHandbook[[#This Row],[UDC]],TableMJRUHUSHI[],7,FALSE),"")</f>
        <v/>
      </c>
      <c r="AF158" s="200" t="str">
        <f>IFERROR(VLOOKUP(TableHandbook[[#This Row],[UDC]],TableMJRUHUSPL[],7,FALSE),"")</f>
        <v/>
      </c>
      <c r="AG158" s="200" t="str">
        <f>IFERROR(VLOOKUP(TableHandbook[[#This Row],[UDC]],TableMJRUMATHT[],7,FALSE),"")</f>
        <v/>
      </c>
      <c r="AH158" s="200" t="str">
        <f>IFERROR(VLOOKUP(TableHandbook[[#This Row],[UDC]],TableMJRUSCIBI[],7,FALSE),"")</f>
        <v/>
      </c>
      <c r="AI158" s="200" t="str">
        <f>IFERROR(VLOOKUP(TableHandbook[[#This Row],[UDC]],TableMJRUSCICH[],7,FALSE),"")</f>
        <v/>
      </c>
      <c r="AJ158" s="200" t="str">
        <f>IFERROR(VLOOKUP(TableHandbook[[#This Row],[UDC]],TableMJRUSCIHB[],7,FALSE),"")</f>
        <v>Core</v>
      </c>
      <c r="AK158" s="200" t="str">
        <f>IFERROR(VLOOKUP(TableHandbook[[#This Row],[UDC]],TableMJRUSCIPH[],7,FALSE),"")</f>
        <v/>
      </c>
      <c r="AL158" s="200" t="str">
        <f>IFERROR(VLOOKUP(TableHandbook[[#This Row],[UDC]],TableMJRUSCIPS[],7,FALSE),"")</f>
        <v/>
      </c>
      <c r="AM158" s="202"/>
      <c r="AN158" s="200" t="str">
        <f>IFERROR(VLOOKUP(TableHandbook[[#This Row],[UDC]],TableSTRUBIOLB[],7,FALSE),"")</f>
        <v/>
      </c>
      <c r="AO158" s="200" t="str">
        <f>IFERROR(VLOOKUP(TableHandbook[[#This Row],[UDC]],TableSTRUBSCIM[],7,FALSE),"")</f>
        <v/>
      </c>
      <c r="AP158" s="200" t="str">
        <f>IFERROR(VLOOKUP(TableHandbook[[#This Row],[UDC]],TableSTRUCHEMB[],7,FALSE),"")</f>
        <v/>
      </c>
      <c r="AQ158" s="200" t="str">
        <f>IFERROR(VLOOKUP(TableHandbook[[#This Row],[UDC]],TableSTRUECOB1[],7,FALSE),"")</f>
        <v/>
      </c>
      <c r="AR158" s="200" t="str">
        <f>IFERROR(VLOOKUP(TableHandbook[[#This Row],[UDC]],TableSTRUEDART[],7,FALSE),"")</f>
        <v/>
      </c>
      <c r="AS158" s="200" t="str">
        <f>IFERROR(VLOOKUP(TableHandbook[[#This Row],[UDC]],TableSTRUEDENG[],7,FALSE),"")</f>
        <v/>
      </c>
      <c r="AT158" s="200" t="str">
        <f>IFERROR(VLOOKUP(TableHandbook[[#This Row],[UDC]],TableSTRUEDHAS[],7,FALSE),"")</f>
        <v/>
      </c>
      <c r="AU158" s="200" t="str">
        <f>IFERROR(VLOOKUP(TableHandbook[[#This Row],[UDC]],TableSTRUEDMAT[],7,FALSE),"")</f>
        <v/>
      </c>
      <c r="AV158" s="200" t="str">
        <f>IFERROR(VLOOKUP(TableHandbook[[#This Row],[UDC]],TableSTRUEDSCI[],7,FALSE),"")</f>
        <v/>
      </c>
      <c r="AW158" s="200" t="str">
        <f>IFERROR(VLOOKUP(TableHandbook[[#This Row],[UDC]],TableSTRUENGLB[],7,FALSE),"")</f>
        <v/>
      </c>
      <c r="AX158" s="200" t="str">
        <f>IFERROR(VLOOKUP(TableHandbook[[#This Row],[UDC]],TableSTRUENGLM[],7,FALSE),"")</f>
        <v/>
      </c>
      <c r="AY158" s="200" t="str">
        <f>IFERROR(VLOOKUP(TableHandbook[[#This Row],[UDC]],TableSTRUGEOB1[],7,FALSE),"")</f>
        <v/>
      </c>
      <c r="AZ158" s="200" t="str">
        <f>IFERROR(VLOOKUP(TableHandbook[[#This Row],[UDC]],TableSTRUHISB1[],7,FALSE),"")</f>
        <v/>
      </c>
      <c r="BA158" s="200" t="str">
        <f>IFERROR(VLOOKUP(TableHandbook[[#This Row],[UDC]],TableSTRUHUMAM[],7,FALSE),"")</f>
        <v/>
      </c>
      <c r="BB158" s="200" t="str">
        <f>IFERROR(VLOOKUP(TableHandbook[[#This Row],[UDC]],TableSTRUHUMBB[],7,FALSE),"")</f>
        <v/>
      </c>
      <c r="BC158" s="200" t="str">
        <f>IFERROR(VLOOKUP(TableHandbook[[#This Row],[UDC]],TableSTRUMATHB[],7,FALSE),"")</f>
        <v/>
      </c>
      <c r="BD158" s="200" t="str">
        <f>IFERROR(VLOOKUP(TableHandbook[[#This Row],[UDC]],TableSTRUMATHM[],7,FALSE),"")</f>
        <v/>
      </c>
      <c r="BE158" s="200" t="str">
        <f>IFERROR(VLOOKUP(TableHandbook[[#This Row],[UDC]],TableSTRUPARTB[],7,FALSE),"")</f>
        <v/>
      </c>
      <c r="BF158" s="200" t="str">
        <f>IFERROR(VLOOKUP(TableHandbook[[#This Row],[UDC]],TableSTRUPARTM[],7,FALSE),"")</f>
        <v/>
      </c>
      <c r="BG158" s="200" t="str">
        <f>IFERROR(VLOOKUP(TableHandbook[[#This Row],[UDC]],TableSTRUPOLB1[],7,FALSE),"")</f>
        <v/>
      </c>
      <c r="BH158" s="200" t="str">
        <f>IFERROR(VLOOKUP(TableHandbook[[#This Row],[UDC]],TableSTRUPSCIM[],7,FALSE),"")</f>
        <v/>
      </c>
      <c r="BI158" s="200" t="str">
        <f>IFERROR(VLOOKUP(TableHandbook[[#This Row],[UDC]],TableSTRUPSYCB[],7,FALSE),"")</f>
        <v/>
      </c>
      <c r="BJ158" s="200" t="str">
        <f>IFERROR(VLOOKUP(TableHandbook[[#This Row],[UDC]],TableSTRUPSYCM[],7,FALSE),"")</f>
        <v/>
      </c>
      <c r="BK158" s="200" t="str">
        <f>IFERROR(VLOOKUP(TableHandbook[[#This Row],[UDC]],TableSTRUSOSCM[],7,FALSE),"")</f>
        <v/>
      </c>
      <c r="BL158" s="200" t="str">
        <f>IFERROR(VLOOKUP(TableHandbook[[#This Row],[UDC]],TableSTRUVARTB[],7,FALSE),"")</f>
        <v/>
      </c>
      <c r="BM158" s="200" t="str">
        <f>IFERROR(VLOOKUP(TableHandbook[[#This Row],[UDC]],TableSTRUVARTM[],7,FALSE),"")</f>
        <v/>
      </c>
    </row>
    <row r="159" spans="1:65" x14ac:dyDescent="0.25">
      <c r="A159" s="262" t="s">
        <v>419</v>
      </c>
      <c r="B159" s="12">
        <v>1</v>
      </c>
      <c r="C159" s="11"/>
      <c r="D159" s="11" t="s">
        <v>746</v>
      </c>
      <c r="E159" s="12">
        <v>25</v>
      </c>
      <c r="F159" s="131" t="s">
        <v>744</v>
      </c>
      <c r="G159" s="126" t="str">
        <f>IFERROR(IF(VLOOKUP(TableHandbook[[#This Row],[UDC]],TableAvailabilities[],2,FALSE)&gt;0,"Y",""),"")</f>
        <v>Y</v>
      </c>
      <c r="H159" s="127" t="str">
        <f>IFERROR(IF(VLOOKUP(TableHandbook[[#This Row],[UDC]],TableAvailabilities[],3,FALSE)&gt;0,"Y",""),"")</f>
        <v/>
      </c>
      <c r="I159" s="127" t="str">
        <f>IFERROR(IF(VLOOKUP(TableHandbook[[#This Row],[UDC]],TableAvailabilities[],4,FALSE)&gt;0,"Y",""),"")</f>
        <v/>
      </c>
      <c r="J159" s="128" t="str">
        <f>IFERROR(IF(VLOOKUP(TableHandbook[[#This Row],[UDC]],TableAvailabilities[],5,FALSE)&gt;0,"Y",""),"")</f>
        <v/>
      </c>
      <c r="K159" s="128" t="str">
        <f>IFERROR(IF(VLOOKUP(TableHandbook[[#This Row],[UDC]],TableAvailabilities[],6,FALSE)&gt;0,"Y",""),"")</f>
        <v/>
      </c>
      <c r="L159" s="127" t="str">
        <f>IFERROR(IF(VLOOKUP(TableHandbook[[#This Row],[UDC]],TableAvailabilities[],7,FALSE)&gt;0,"Y",""),"")</f>
        <v/>
      </c>
      <c r="M159" s="207"/>
      <c r="N159" s="205" t="str">
        <f>IFERROR(VLOOKUP(TableHandbook[[#This Row],[UDC]],TableBEDUC[],7,FALSE),"")</f>
        <v/>
      </c>
      <c r="O159" s="200" t="str">
        <f>IFERROR(VLOOKUP(TableHandbook[[#This Row],[UDC]],TableBEDEC[],7,FALSE),"")</f>
        <v/>
      </c>
      <c r="P159" s="200" t="str">
        <f>IFERROR(VLOOKUP(TableHandbook[[#This Row],[UDC]],TableBEDPR[],7,FALSE),"")</f>
        <v/>
      </c>
      <c r="Q159" s="200" t="str">
        <f>IFERROR(VLOOKUP(TableHandbook[[#This Row],[UDC]],TableSTRUCATHL[],7,FALSE),"")</f>
        <v/>
      </c>
      <c r="R159" s="200" t="str">
        <f>IFERROR(VLOOKUP(TableHandbook[[#This Row],[UDC]],TableSTRUENGLL[],7,FALSE),"")</f>
        <v/>
      </c>
      <c r="S159" s="200" t="str">
        <f>IFERROR(VLOOKUP(TableHandbook[[#This Row],[UDC]],TableSTRUINTBC[],7,FALSE),"")</f>
        <v/>
      </c>
      <c r="T159" s="200" t="str">
        <f>IFERROR(VLOOKUP(TableHandbook[[#This Row],[UDC]],TableSTRUISTEM[],7,FALSE),"")</f>
        <v/>
      </c>
      <c r="U159" s="200" t="str">
        <f>IFERROR(VLOOKUP(TableHandbook[[#This Row],[UDC]],TableSTRULITNU[],7,FALSE),"")</f>
        <v/>
      </c>
      <c r="V159" s="200" t="str">
        <f>IFERROR(VLOOKUP(TableHandbook[[#This Row],[UDC]],TableSTRUTECHS[],7,FALSE),"")</f>
        <v/>
      </c>
      <c r="W159" s="200" t="str">
        <f>IFERROR(VLOOKUP(TableHandbook[[#This Row],[UDC]],TableBEDSC[],7,FALSE),"")</f>
        <v/>
      </c>
      <c r="X159" s="200" t="str">
        <f>IFERROR(VLOOKUP(TableHandbook[[#This Row],[UDC]],TableMJRUARTDR[],7,FALSE),"")</f>
        <v/>
      </c>
      <c r="Y159" s="200" t="str">
        <f>IFERROR(VLOOKUP(TableHandbook[[#This Row],[UDC]],TableMJRUARTME[],7,FALSE),"")</f>
        <v/>
      </c>
      <c r="Z159" s="200" t="str">
        <f>IFERROR(VLOOKUP(TableHandbook[[#This Row],[UDC]],TableMJRUARTVA[],7,FALSE),"")</f>
        <v/>
      </c>
      <c r="AA159" s="200" t="str">
        <f>IFERROR(VLOOKUP(TableHandbook[[#This Row],[UDC]],TableMJRUENGLT[],7,FALSE),"")</f>
        <v/>
      </c>
      <c r="AB159" s="200" t="str">
        <f>IFERROR(VLOOKUP(TableHandbook[[#This Row],[UDC]],TableMJRUHLTPE[],7,FALSE),"")</f>
        <v/>
      </c>
      <c r="AC159" s="200" t="str">
        <f>IFERROR(VLOOKUP(TableHandbook[[#This Row],[UDC]],TableMJRUHUSEC[],7,FALSE),"")</f>
        <v/>
      </c>
      <c r="AD159" s="200" t="str">
        <f>IFERROR(VLOOKUP(TableHandbook[[#This Row],[UDC]],TableMJRUHUSGE[],7,FALSE),"")</f>
        <v/>
      </c>
      <c r="AE159" s="200" t="str">
        <f>IFERROR(VLOOKUP(TableHandbook[[#This Row],[UDC]],TableMJRUHUSHI[],7,FALSE),"")</f>
        <v/>
      </c>
      <c r="AF159" s="200" t="str">
        <f>IFERROR(VLOOKUP(TableHandbook[[#This Row],[UDC]],TableMJRUHUSPL[],7,FALSE),"")</f>
        <v/>
      </c>
      <c r="AG159" s="200" t="str">
        <f>IFERROR(VLOOKUP(TableHandbook[[#This Row],[UDC]],TableMJRUMATHT[],7,FALSE),"")</f>
        <v/>
      </c>
      <c r="AH159" s="200" t="str">
        <f>IFERROR(VLOOKUP(TableHandbook[[#This Row],[UDC]],TableMJRUSCIBI[],7,FALSE),"")</f>
        <v/>
      </c>
      <c r="AI159" s="200" t="str">
        <f>IFERROR(VLOOKUP(TableHandbook[[#This Row],[UDC]],TableMJRUSCICH[],7,FALSE),"")</f>
        <v/>
      </c>
      <c r="AJ159" s="200" t="str">
        <f>IFERROR(VLOOKUP(TableHandbook[[#This Row],[UDC]],TableMJRUSCIHB[],7,FALSE),"")</f>
        <v>AltCore</v>
      </c>
      <c r="AK159" s="200" t="str">
        <f>IFERROR(VLOOKUP(TableHandbook[[#This Row],[UDC]],TableMJRUSCIPH[],7,FALSE),"")</f>
        <v/>
      </c>
      <c r="AL159" s="200" t="str">
        <f>IFERROR(VLOOKUP(TableHandbook[[#This Row],[UDC]],TableMJRUSCIPS[],7,FALSE),"")</f>
        <v/>
      </c>
      <c r="AM159" s="202"/>
      <c r="AN159" s="200" t="str">
        <f>IFERROR(VLOOKUP(TableHandbook[[#This Row],[UDC]],TableSTRUBIOLB[],7,FALSE),"")</f>
        <v/>
      </c>
      <c r="AO159" s="200" t="str">
        <f>IFERROR(VLOOKUP(TableHandbook[[#This Row],[UDC]],TableSTRUBSCIM[],7,FALSE),"")</f>
        <v/>
      </c>
      <c r="AP159" s="200" t="str">
        <f>IFERROR(VLOOKUP(TableHandbook[[#This Row],[UDC]],TableSTRUCHEMB[],7,FALSE),"")</f>
        <v/>
      </c>
      <c r="AQ159" s="200" t="str">
        <f>IFERROR(VLOOKUP(TableHandbook[[#This Row],[UDC]],TableSTRUECOB1[],7,FALSE),"")</f>
        <v/>
      </c>
      <c r="AR159" s="200" t="str">
        <f>IFERROR(VLOOKUP(TableHandbook[[#This Row],[UDC]],TableSTRUEDART[],7,FALSE),"")</f>
        <v/>
      </c>
      <c r="AS159" s="200" t="str">
        <f>IFERROR(VLOOKUP(TableHandbook[[#This Row],[UDC]],TableSTRUEDENG[],7,FALSE),"")</f>
        <v/>
      </c>
      <c r="AT159" s="200" t="str">
        <f>IFERROR(VLOOKUP(TableHandbook[[#This Row],[UDC]],TableSTRUEDHAS[],7,FALSE),"")</f>
        <v/>
      </c>
      <c r="AU159" s="200" t="str">
        <f>IFERROR(VLOOKUP(TableHandbook[[#This Row],[UDC]],TableSTRUEDMAT[],7,FALSE),"")</f>
        <v/>
      </c>
      <c r="AV159" s="200" t="str">
        <f>IFERROR(VLOOKUP(TableHandbook[[#This Row],[UDC]],TableSTRUEDSCI[],7,FALSE),"")</f>
        <v/>
      </c>
      <c r="AW159" s="200" t="str">
        <f>IFERROR(VLOOKUP(TableHandbook[[#This Row],[UDC]],TableSTRUENGLB[],7,FALSE),"")</f>
        <v/>
      </c>
      <c r="AX159" s="200" t="str">
        <f>IFERROR(VLOOKUP(TableHandbook[[#This Row],[UDC]],TableSTRUENGLM[],7,FALSE),"")</f>
        <v/>
      </c>
      <c r="AY159" s="200" t="str">
        <f>IFERROR(VLOOKUP(TableHandbook[[#This Row],[UDC]],TableSTRUGEOB1[],7,FALSE),"")</f>
        <v/>
      </c>
      <c r="AZ159" s="200" t="str">
        <f>IFERROR(VLOOKUP(TableHandbook[[#This Row],[UDC]],TableSTRUHISB1[],7,FALSE),"")</f>
        <v/>
      </c>
      <c r="BA159" s="200" t="str">
        <f>IFERROR(VLOOKUP(TableHandbook[[#This Row],[UDC]],TableSTRUHUMAM[],7,FALSE),"")</f>
        <v/>
      </c>
      <c r="BB159" s="200" t="str">
        <f>IFERROR(VLOOKUP(TableHandbook[[#This Row],[UDC]],TableSTRUHUMBB[],7,FALSE),"")</f>
        <v/>
      </c>
      <c r="BC159" s="200" t="str">
        <f>IFERROR(VLOOKUP(TableHandbook[[#This Row],[UDC]],TableSTRUMATHB[],7,FALSE),"")</f>
        <v/>
      </c>
      <c r="BD159" s="200" t="str">
        <f>IFERROR(VLOOKUP(TableHandbook[[#This Row],[UDC]],TableSTRUMATHM[],7,FALSE),"")</f>
        <v/>
      </c>
      <c r="BE159" s="200" t="str">
        <f>IFERROR(VLOOKUP(TableHandbook[[#This Row],[UDC]],TableSTRUPARTB[],7,FALSE),"")</f>
        <v/>
      </c>
      <c r="BF159" s="200" t="str">
        <f>IFERROR(VLOOKUP(TableHandbook[[#This Row],[UDC]],TableSTRUPARTM[],7,FALSE),"")</f>
        <v/>
      </c>
      <c r="BG159" s="200" t="str">
        <f>IFERROR(VLOOKUP(TableHandbook[[#This Row],[UDC]],TableSTRUPOLB1[],7,FALSE),"")</f>
        <v/>
      </c>
      <c r="BH159" s="200" t="str">
        <f>IFERROR(VLOOKUP(TableHandbook[[#This Row],[UDC]],TableSTRUPSCIM[],7,FALSE),"")</f>
        <v/>
      </c>
      <c r="BI159" s="200" t="str">
        <f>IFERROR(VLOOKUP(TableHandbook[[#This Row],[UDC]],TableSTRUPSYCB[],7,FALSE),"")</f>
        <v/>
      </c>
      <c r="BJ159" s="200" t="str">
        <f>IFERROR(VLOOKUP(TableHandbook[[#This Row],[UDC]],TableSTRUPSYCM[],7,FALSE),"")</f>
        <v/>
      </c>
      <c r="BK159" s="200" t="str">
        <f>IFERROR(VLOOKUP(TableHandbook[[#This Row],[UDC]],TableSTRUSOSCM[],7,FALSE),"")</f>
        <v/>
      </c>
      <c r="BL159" s="200" t="str">
        <f>IFERROR(VLOOKUP(TableHandbook[[#This Row],[UDC]],TableSTRUVARTB[],7,FALSE),"")</f>
        <v/>
      </c>
      <c r="BM159" s="200" t="str">
        <f>IFERROR(VLOOKUP(TableHandbook[[#This Row],[UDC]],TableSTRUVARTM[],7,FALSE),"")</f>
        <v/>
      </c>
    </row>
    <row r="160" spans="1:65" x14ac:dyDescent="0.25">
      <c r="A160" s="261" t="s">
        <v>501</v>
      </c>
      <c r="B160" s="12">
        <v>1</v>
      </c>
      <c r="C160" s="11"/>
      <c r="D160" s="11" t="s">
        <v>747</v>
      </c>
      <c r="E160" s="12">
        <v>25</v>
      </c>
      <c r="F160" s="131" t="s">
        <v>337</v>
      </c>
      <c r="G160" s="126" t="str">
        <f>IFERROR(IF(VLOOKUP(TableHandbook[[#This Row],[UDC]],TableAvailabilities[],2,FALSE)&gt;0,"Y",""),"")</f>
        <v>Y</v>
      </c>
      <c r="H160" s="127" t="str">
        <f>IFERROR(IF(VLOOKUP(TableHandbook[[#This Row],[UDC]],TableAvailabilities[],3,FALSE)&gt;0,"Y",""),"")</f>
        <v/>
      </c>
      <c r="I160" s="127" t="str">
        <f>IFERROR(IF(VLOOKUP(TableHandbook[[#This Row],[UDC]],TableAvailabilities[],4,FALSE)&gt;0,"Y",""),"")</f>
        <v/>
      </c>
      <c r="J160" s="128" t="str">
        <f>IFERROR(IF(VLOOKUP(TableHandbook[[#This Row],[UDC]],TableAvailabilities[],5,FALSE)&gt;0,"Y",""),"")</f>
        <v/>
      </c>
      <c r="K160" s="128" t="str">
        <f>IFERROR(IF(VLOOKUP(TableHandbook[[#This Row],[UDC]],TableAvailabilities[],6,FALSE)&gt;0,"Y",""),"")</f>
        <v/>
      </c>
      <c r="L160" s="127" t="str">
        <f>IFERROR(IF(VLOOKUP(TableHandbook[[#This Row],[UDC]],TableAvailabilities[],7,FALSE)&gt;0,"Y",""),"")</f>
        <v/>
      </c>
      <c r="M160" s="207"/>
      <c r="N160" s="205" t="str">
        <f>IFERROR(VLOOKUP(TableHandbook[[#This Row],[UDC]],TableBEDUC[],7,FALSE),"")</f>
        <v/>
      </c>
      <c r="O160" s="200" t="str">
        <f>IFERROR(VLOOKUP(TableHandbook[[#This Row],[UDC]],TableBEDEC[],7,FALSE),"")</f>
        <v/>
      </c>
      <c r="P160" s="200" t="str">
        <f>IFERROR(VLOOKUP(TableHandbook[[#This Row],[UDC]],TableBEDPR[],7,FALSE),"")</f>
        <v/>
      </c>
      <c r="Q160" s="200" t="str">
        <f>IFERROR(VLOOKUP(TableHandbook[[#This Row],[UDC]],TableSTRUCATHL[],7,FALSE),"")</f>
        <v/>
      </c>
      <c r="R160" s="200" t="str">
        <f>IFERROR(VLOOKUP(TableHandbook[[#This Row],[UDC]],TableSTRUENGLL[],7,FALSE),"")</f>
        <v/>
      </c>
      <c r="S160" s="200" t="str">
        <f>IFERROR(VLOOKUP(TableHandbook[[#This Row],[UDC]],TableSTRUINTBC[],7,FALSE),"")</f>
        <v/>
      </c>
      <c r="T160" s="200" t="str">
        <f>IFERROR(VLOOKUP(TableHandbook[[#This Row],[UDC]],TableSTRUISTEM[],7,FALSE),"")</f>
        <v/>
      </c>
      <c r="U160" s="200" t="str">
        <f>IFERROR(VLOOKUP(TableHandbook[[#This Row],[UDC]],TableSTRULITNU[],7,FALSE),"")</f>
        <v/>
      </c>
      <c r="V160" s="200" t="str">
        <f>IFERROR(VLOOKUP(TableHandbook[[#This Row],[UDC]],TableSTRUTECHS[],7,FALSE),"")</f>
        <v/>
      </c>
      <c r="W160" s="200" t="str">
        <f>IFERROR(VLOOKUP(TableHandbook[[#This Row],[UDC]],TableBEDSC[],7,FALSE),"")</f>
        <v/>
      </c>
      <c r="X160" s="200" t="str">
        <f>IFERROR(VLOOKUP(TableHandbook[[#This Row],[UDC]],TableMJRUARTDR[],7,FALSE),"")</f>
        <v/>
      </c>
      <c r="Y160" s="200" t="str">
        <f>IFERROR(VLOOKUP(TableHandbook[[#This Row],[UDC]],TableMJRUARTME[],7,FALSE),"")</f>
        <v/>
      </c>
      <c r="Z160" s="200" t="str">
        <f>IFERROR(VLOOKUP(TableHandbook[[#This Row],[UDC]],TableMJRUARTVA[],7,FALSE),"")</f>
        <v/>
      </c>
      <c r="AA160" s="200" t="str">
        <f>IFERROR(VLOOKUP(TableHandbook[[#This Row],[UDC]],TableMJRUENGLT[],7,FALSE),"")</f>
        <v/>
      </c>
      <c r="AB160" s="200" t="str">
        <f>IFERROR(VLOOKUP(TableHandbook[[#This Row],[UDC]],TableMJRUHLTPE[],7,FALSE),"")</f>
        <v/>
      </c>
      <c r="AC160" s="200" t="str">
        <f>IFERROR(VLOOKUP(TableHandbook[[#This Row],[UDC]],TableMJRUHUSEC[],7,FALSE),"")</f>
        <v/>
      </c>
      <c r="AD160" s="200" t="str">
        <f>IFERROR(VLOOKUP(TableHandbook[[#This Row],[UDC]],TableMJRUHUSGE[],7,FALSE),"")</f>
        <v/>
      </c>
      <c r="AE160" s="200" t="str">
        <f>IFERROR(VLOOKUP(TableHandbook[[#This Row],[UDC]],TableMJRUHUSHI[],7,FALSE),"")</f>
        <v/>
      </c>
      <c r="AF160" s="200" t="str">
        <f>IFERROR(VLOOKUP(TableHandbook[[#This Row],[UDC]],TableMJRUHUSPL[],7,FALSE),"")</f>
        <v/>
      </c>
      <c r="AG160" s="200" t="str">
        <f>IFERROR(VLOOKUP(TableHandbook[[#This Row],[UDC]],TableMJRUMATHT[],7,FALSE),"")</f>
        <v/>
      </c>
      <c r="AH160" s="200" t="str">
        <f>IFERROR(VLOOKUP(TableHandbook[[#This Row],[UDC]],TableMJRUSCIBI[],7,FALSE),"")</f>
        <v/>
      </c>
      <c r="AI160" s="200" t="str">
        <f>IFERROR(VLOOKUP(TableHandbook[[#This Row],[UDC]],TableMJRUSCICH[],7,FALSE),"")</f>
        <v/>
      </c>
      <c r="AJ160" s="200" t="str">
        <f>IFERROR(VLOOKUP(TableHandbook[[#This Row],[UDC]],TableMJRUSCIHB[],7,FALSE),"")</f>
        <v/>
      </c>
      <c r="AK160" s="200" t="str">
        <f>IFERROR(VLOOKUP(TableHandbook[[#This Row],[UDC]],TableMJRUSCIPH[],7,FALSE),"")</f>
        <v/>
      </c>
      <c r="AL160" s="200" t="str">
        <f>IFERROR(VLOOKUP(TableHandbook[[#This Row],[UDC]],TableMJRUSCIPS[],7,FALSE),"")</f>
        <v/>
      </c>
      <c r="AM160" s="202"/>
      <c r="AN160" s="200" t="str">
        <f>IFERROR(VLOOKUP(TableHandbook[[#This Row],[UDC]],TableSTRUBIOLB[],7,FALSE),"")</f>
        <v/>
      </c>
      <c r="AO160" s="200" t="str">
        <f>IFERROR(VLOOKUP(TableHandbook[[#This Row],[UDC]],TableSTRUBSCIM[],7,FALSE),"")</f>
        <v/>
      </c>
      <c r="AP160" s="200" t="str">
        <f>IFERROR(VLOOKUP(TableHandbook[[#This Row],[UDC]],TableSTRUCHEMB[],7,FALSE),"")</f>
        <v/>
      </c>
      <c r="AQ160" s="200" t="str">
        <f>IFERROR(VLOOKUP(TableHandbook[[#This Row],[UDC]],TableSTRUECOB1[],7,FALSE),"")</f>
        <v/>
      </c>
      <c r="AR160" s="200" t="str">
        <f>IFERROR(VLOOKUP(TableHandbook[[#This Row],[UDC]],TableSTRUEDART[],7,FALSE),"")</f>
        <v/>
      </c>
      <c r="AS160" s="200" t="str">
        <f>IFERROR(VLOOKUP(TableHandbook[[#This Row],[UDC]],TableSTRUEDENG[],7,FALSE),"")</f>
        <v/>
      </c>
      <c r="AT160" s="200" t="str">
        <f>IFERROR(VLOOKUP(TableHandbook[[#This Row],[UDC]],TableSTRUEDHAS[],7,FALSE),"")</f>
        <v/>
      </c>
      <c r="AU160" s="200" t="str">
        <f>IFERROR(VLOOKUP(TableHandbook[[#This Row],[UDC]],TableSTRUEDMAT[],7,FALSE),"")</f>
        <v/>
      </c>
      <c r="AV160" s="200" t="str">
        <f>IFERROR(VLOOKUP(TableHandbook[[#This Row],[UDC]],TableSTRUEDSCI[],7,FALSE),"")</f>
        <v/>
      </c>
      <c r="AW160" s="200" t="str">
        <f>IFERROR(VLOOKUP(TableHandbook[[#This Row],[UDC]],TableSTRUENGLB[],7,FALSE),"")</f>
        <v/>
      </c>
      <c r="AX160" s="200" t="str">
        <f>IFERROR(VLOOKUP(TableHandbook[[#This Row],[UDC]],TableSTRUENGLM[],7,FALSE),"")</f>
        <v/>
      </c>
      <c r="AY160" s="200" t="str">
        <f>IFERROR(VLOOKUP(TableHandbook[[#This Row],[UDC]],TableSTRUGEOB1[],7,FALSE),"")</f>
        <v/>
      </c>
      <c r="AZ160" s="200" t="str">
        <f>IFERROR(VLOOKUP(TableHandbook[[#This Row],[UDC]],TableSTRUHISB1[],7,FALSE),"")</f>
        <v/>
      </c>
      <c r="BA160" s="200" t="str">
        <f>IFERROR(VLOOKUP(TableHandbook[[#This Row],[UDC]],TableSTRUHUMAM[],7,FALSE),"")</f>
        <v/>
      </c>
      <c r="BB160" s="200" t="str">
        <f>IFERROR(VLOOKUP(TableHandbook[[#This Row],[UDC]],TableSTRUHUMBB[],7,FALSE),"")</f>
        <v>Core</v>
      </c>
      <c r="BC160" s="200" t="str">
        <f>IFERROR(VLOOKUP(TableHandbook[[#This Row],[UDC]],TableSTRUMATHB[],7,FALSE),"")</f>
        <v/>
      </c>
      <c r="BD160" s="200" t="str">
        <f>IFERROR(VLOOKUP(TableHandbook[[#This Row],[UDC]],TableSTRUMATHM[],7,FALSE),"")</f>
        <v/>
      </c>
      <c r="BE160" s="200" t="str">
        <f>IFERROR(VLOOKUP(TableHandbook[[#This Row],[UDC]],TableSTRUPARTB[],7,FALSE),"")</f>
        <v/>
      </c>
      <c r="BF160" s="200" t="str">
        <f>IFERROR(VLOOKUP(TableHandbook[[#This Row],[UDC]],TableSTRUPARTM[],7,FALSE),"")</f>
        <v/>
      </c>
      <c r="BG160" s="200" t="str">
        <f>IFERROR(VLOOKUP(TableHandbook[[#This Row],[UDC]],TableSTRUPOLB1[],7,FALSE),"")</f>
        <v/>
      </c>
      <c r="BH160" s="200" t="str">
        <f>IFERROR(VLOOKUP(TableHandbook[[#This Row],[UDC]],TableSTRUPSCIM[],7,FALSE),"")</f>
        <v/>
      </c>
      <c r="BI160" s="200" t="str">
        <f>IFERROR(VLOOKUP(TableHandbook[[#This Row],[UDC]],TableSTRUPSYCB[],7,FALSE),"")</f>
        <v/>
      </c>
      <c r="BJ160" s="200" t="str">
        <f>IFERROR(VLOOKUP(TableHandbook[[#This Row],[UDC]],TableSTRUPSYCM[],7,FALSE),"")</f>
        <v/>
      </c>
      <c r="BK160" s="200" t="str">
        <f>IFERROR(VLOOKUP(TableHandbook[[#This Row],[UDC]],TableSTRUSOSCM[],7,FALSE),"")</f>
        <v/>
      </c>
      <c r="BL160" s="200" t="str">
        <f>IFERROR(VLOOKUP(TableHandbook[[#This Row],[UDC]],TableSTRUVARTB[],7,FALSE),"")</f>
        <v/>
      </c>
      <c r="BM160" s="200" t="str">
        <f>IFERROR(VLOOKUP(TableHandbook[[#This Row],[UDC]],TableSTRUVARTM[],7,FALSE),"")</f>
        <v/>
      </c>
    </row>
    <row r="161" spans="1:65" x14ac:dyDescent="0.25">
      <c r="A161" s="262" t="s">
        <v>363</v>
      </c>
      <c r="B161" s="12">
        <v>1</v>
      </c>
      <c r="C161" s="11"/>
      <c r="D161" s="11" t="s">
        <v>748</v>
      </c>
      <c r="E161" s="12">
        <v>25</v>
      </c>
      <c r="F161" s="131" t="s">
        <v>749</v>
      </c>
      <c r="G161" s="126" t="str">
        <f>IFERROR(IF(VLOOKUP(TableHandbook[[#This Row],[UDC]],TableAvailabilities[],2,FALSE)&gt;0,"Y",""),"")</f>
        <v>Y</v>
      </c>
      <c r="H161" s="127" t="str">
        <f>IFERROR(IF(VLOOKUP(TableHandbook[[#This Row],[UDC]],TableAvailabilities[],3,FALSE)&gt;0,"Y",""),"")</f>
        <v/>
      </c>
      <c r="I161" s="127" t="str">
        <f>IFERROR(IF(VLOOKUP(TableHandbook[[#This Row],[UDC]],TableAvailabilities[],4,FALSE)&gt;0,"Y",""),"")</f>
        <v/>
      </c>
      <c r="J161" s="128" t="str">
        <f>IFERROR(IF(VLOOKUP(TableHandbook[[#This Row],[UDC]],TableAvailabilities[],5,FALSE)&gt;0,"Y",""),"")</f>
        <v/>
      </c>
      <c r="K161" s="128" t="str">
        <f>IFERROR(IF(VLOOKUP(TableHandbook[[#This Row],[UDC]],TableAvailabilities[],6,FALSE)&gt;0,"Y",""),"")</f>
        <v/>
      </c>
      <c r="L161" s="127" t="str">
        <f>IFERROR(IF(VLOOKUP(TableHandbook[[#This Row],[UDC]],TableAvailabilities[],7,FALSE)&gt;0,"Y",""),"")</f>
        <v/>
      </c>
      <c r="M161" s="207"/>
      <c r="N161" s="205" t="str">
        <f>IFERROR(VLOOKUP(TableHandbook[[#This Row],[UDC]],TableBEDUC[],7,FALSE),"")</f>
        <v/>
      </c>
      <c r="O161" s="200" t="str">
        <f>IFERROR(VLOOKUP(TableHandbook[[#This Row],[UDC]],TableBEDEC[],7,FALSE),"")</f>
        <v/>
      </c>
      <c r="P161" s="200" t="str">
        <f>IFERROR(VLOOKUP(TableHandbook[[#This Row],[UDC]],TableBEDPR[],7,FALSE),"")</f>
        <v/>
      </c>
      <c r="Q161" s="200" t="str">
        <f>IFERROR(VLOOKUP(TableHandbook[[#This Row],[UDC]],TableSTRUCATHL[],7,FALSE),"")</f>
        <v/>
      </c>
      <c r="R161" s="200" t="str">
        <f>IFERROR(VLOOKUP(TableHandbook[[#This Row],[UDC]],TableSTRUENGLL[],7,FALSE),"")</f>
        <v/>
      </c>
      <c r="S161" s="200" t="str">
        <f>IFERROR(VLOOKUP(TableHandbook[[#This Row],[UDC]],TableSTRUINTBC[],7,FALSE),"")</f>
        <v/>
      </c>
      <c r="T161" s="200" t="str">
        <f>IFERROR(VLOOKUP(TableHandbook[[#This Row],[UDC]],TableSTRUISTEM[],7,FALSE),"")</f>
        <v/>
      </c>
      <c r="U161" s="200" t="str">
        <f>IFERROR(VLOOKUP(TableHandbook[[#This Row],[UDC]],TableSTRULITNU[],7,FALSE),"")</f>
        <v/>
      </c>
      <c r="V161" s="200" t="str">
        <f>IFERROR(VLOOKUP(TableHandbook[[#This Row],[UDC]],TableSTRUTECHS[],7,FALSE),"")</f>
        <v/>
      </c>
      <c r="W161" s="200" t="str">
        <f>IFERROR(VLOOKUP(TableHandbook[[#This Row],[UDC]],TableBEDSC[],7,FALSE),"")</f>
        <v/>
      </c>
      <c r="X161" s="200" t="str">
        <f>IFERROR(VLOOKUP(TableHandbook[[#This Row],[UDC]],TableMJRUARTDR[],7,FALSE),"")</f>
        <v/>
      </c>
      <c r="Y161" s="200" t="str">
        <f>IFERROR(VLOOKUP(TableHandbook[[#This Row],[UDC]],TableMJRUARTME[],7,FALSE),"")</f>
        <v/>
      </c>
      <c r="Z161" s="200" t="str">
        <f>IFERROR(VLOOKUP(TableHandbook[[#This Row],[UDC]],TableMJRUARTVA[],7,FALSE),"")</f>
        <v/>
      </c>
      <c r="AA161" s="200" t="str">
        <f>IFERROR(VLOOKUP(TableHandbook[[#This Row],[UDC]],TableMJRUENGLT[],7,FALSE),"")</f>
        <v/>
      </c>
      <c r="AB161" s="200" t="str">
        <f>IFERROR(VLOOKUP(TableHandbook[[#This Row],[UDC]],TableMJRUHLTPE[],7,FALSE),"")</f>
        <v>Core</v>
      </c>
      <c r="AC161" s="200" t="str">
        <f>IFERROR(VLOOKUP(TableHandbook[[#This Row],[UDC]],TableMJRUHUSEC[],7,FALSE),"")</f>
        <v/>
      </c>
      <c r="AD161" s="200" t="str">
        <f>IFERROR(VLOOKUP(TableHandbook[[#This Row],[UDC]],TableMJRUHUSGE[],7,FALSE),"")</f>
        <v/>
      </c>
      <c r="AE161" s="200" t="str">
        <f>IFERROR(VLOOKUP(TableHandbook[[#This Row],[UDC]],TableMJRUHUSHI[],7,FALSE),"")</f>
        <v/>
      </c>
      <c r="AF161" s="200" t="str">
        <f>IFERROR(VLOOKUP(TableHandbook[[#This Row],[UDC]],TableMJRUHUSPL[],7,FALSE),"")</f>
        <v/>
      </c>
      <c r="AG161" s="200" t="str">
        <f>IFERROR(VLOOKUP(TableHandbook[[#This Row],[UDC]],TableMJRUMATHT[],7,FALSE),"")</f>
        <v/>
      </c>
      <c r="AH161" s="200" t="str">
        <f>IFERROR(VLOOKUP(TableHandbook[[#This Row],[UDC]],TableMJRUSCIBI[],7,FALSE),"")</f>
        <v/>
      </c>
      <c r="AI161" s="200" t="str">
        <f>IFERROR(VLOOKUP(TableHandbook[[#This Row],[UDC]],TableMJRUSCICH[],7,FALSE),"")</f>
        <v/>
      </c>
      <c r="AJ161" s="200" t="str">
        <f>IFERROR(VLOOKUP(TableHandbook[[#This Row],[UDC]],TableMJRUSCIHB[],7,FALSE),"")</f>
        <v/>
      </c>
      <c r="AK161" s="200" t="str">
        <f>IFERROR(VLOOKUP(TableHandbook[[#This Row],[UDC]],TableMJRUSCIPH[],7,FALSE),"")</f>
        <v/>
      </c>
      <c r="AL161" s="200" t="str">
        <f>IFERROR(VLOOKUP(TableHandbook[[#This Row],[UDC]],TableMJRUSCIPS[],7,FALSE),"")</f>
        <v/>
      </c>
      <c r="AM161" s="202"/>
      <c r="AN161" s="200" t="str">
        <f>IFERROR(VLOOKUP(TableHandbook[[#This Row],[UDC]],TableSTRUBIOLB[],7,FALSE),"")</f>
        <v/>
      </c>
      <c r="AO161" s="200" t="str">
        <f>IFERROR(VLOOKUP(TableHandbook[[#This Row],[UDC]],TableSTRUBSCIM[],7,FALSE),"")</f>
        <v/>
      </c>
      <c r="AP161" s="200" t="str">
        <f>IFERROR(VLOOKUP(TableHandbook[[#This Row],[UDC]],TableSTRUCHEMB[],7,FALSE),"")</f>
        <v/>
      </c>
      <c r="AQ161" s="200" t="str">
        <f>IFERROR(VLOOKUP(TableHandbook[[#This Row],[UDC]],TableSTRUECOB1[],7,FALSE),"")</f>
        <v/>
      </c>
      <c r="AR161" s="200" t="str">
        <f>IFERROR(VLOOKUP(TableHandbook[[#This Row],[UDC]],TableSTRUEDART[],7,FALSE),"")</f>
        <v/>
      </c>
      <c r="AS161" s="200" t="str">
        <f>IFERROR(VLOOKUP(TableHandbook[[#This Row],[UDC]],TableSTRUEDENG[],7,FALSE),"")</f>
        <v/>
      </c>
      <c r="AT161" s="200" t="str">
        <f>IFERROR(VLOOKUP(TableHandbook[[#This Row],[UDC]],TableSTRUEDHAS[],7,FALSE),"")</f>
        <v/>
      </c>
      <c r="AU161" s="200" t="str">
        <f>IFERROR(VLOOKUP(TableHandbook[[#This Row],[UDC]],TableSTRUEDMAT[],7,FALSE),"")</f>
        <v/>
      </c>
      <c r="AV161" s="200" t="str">
        <f>IFERROR(VLOOKUP(TableHandbook[[#This Row],[UDC]],TableSTRUEDSCI[],7,FALSE),"")</f>
        <v/>
      </c>
      <c r="AW161" s="200" t="str">
        <f>IFERROR(VLOOKUP(TableHandbook[[#This Row],[UDC]],TableSTRUENGLB[],7,FALSE),"")</f>
        <v/>
      </c>
      <c r="AX161" s="200" t="str">
        <f>IFERROR(VLOOKUP(TableHandbook[[#This Row],[UDC]],TableSTRUENGLM[],7,FALSE),"")</f>
        <v/>
      </c>
      <c r="AY161" s="200" t="str">
        <f>IFERROR(VLOOKUP(TableHandbook[[#This Row],[UDC]],TableSTRUGEOB1[],7,FALSE),"")</f>
        <v/>
      </c>
      <c r="AZ161" s="200" t="str">
        <f>IFERROR(VLOOKUP(TableHandbook[[#This Row],[UDC]],TableSTRUHISB1[],7,FALSE),"")</f>
        <v/>
      </c>
      <c r="BA161" s="200" t="str">
        <f>IFERROR(VLOOKUP(TableHandbook[[#This Row],[UDC]],TableSTRUHUMAM[],7,FALSE),"")</f>
        <v/>
      </c>
      <c r="BB161" s="200" t="str">
        <f>IFERROR(VLOOKUP(TableHandbook[[#This Row],[UDC]],TableSTRUHUMBB[],7,FALSE),"")</f>
        <v/>
      </c>
      <c r="BC161" s="200" t="str">
        <f>IFERROR(VLOOKUP(TableHandbook[[#This Row],[UDC]],TableSTRUMATHB[],7,FALSE),"")</f>
        <v/>
      </c>
      <c r="BD161" s="200" t="str">
        <f>IFERROR(VLOOKUP(TableHandbook[[#This Row],[UDC]],TableSTRUMATHM[],7,FALSE),"")</f>
        <v/>
      </c>
      <c r="BE161" s="200" t="str">
        <f>IFERROR(VLOOKUP(TableHandbook[[#This Row],[UDC]],TableSTRUPARTB[],7,FALSE),"")</f>
        <v/>
      </c>
      <c r="BF161" s="200" t="str">
        <f>IFERROR(VLOOKUP(TableHandbook[[#This Row],[UDC]],TableSTRUPARTM[],7,FALSE),"")</f>
        <v/>
      </c>
      <c r="BG161" s="200" t="str">
        <f>IFERROR(VLOOKUP(TableHandbook[[#This Row],[UDC]],TableSTRUPOLB1[],7,FALSE),"")</f>
        <v/>
      </c>
      <c r="BH161" s="200" t="str">
        <f>IFERROR(VLOOKUP(TableHandbook[[#This Row],[UDC]],TableSTRUPSCIM[],7,FALSE),"")</f>
        <v/>
      </c>
      <c r="BI161" s="200" t="str">
        <f>IFERROR(VLOOKUP(TableHandbook[[#This Row],[UDC]],TableSTRUPSYCB[],7,FALSE),"")</f>
        <v/>
      </c>
      <c r="BJ161" s="200" t="str">
        <f>IFERROR(VLOOKUP(TableHandbook[[#This Row],[UDC]],TableSTRUPSYCM[],7,FALSE),"")</f>
        <v/>
      </c>
      <c r="BK161" s="200" t="str">
        <f>IFERROR(VLOOKUP(TableHandbook[[#This Row],[UDC]],TableSTRUSOSCM[],7,FALSE),"")</f>
        <v/>
      </c>
      <c r="BL161" s="200" t="str">
        <f>IFERROR(VLOOKUP(TableHandbook[[#This Row],[UDC]],TableSTRUVARTB[],7,FALSE),"")</f>
        <v/>
      </c>
      <c r="BM161" s="200" t="str">
        <f>IFERROR(VLOOKUP(TableHandbook[[#This Row],[UDC]],TableSTRUVARTM[],7,FALSE),"")</f>
        <v/>
      </c>
    </row>
    <row r="162" spans="1:65" x14ac:dyDescent="0.25">
      <c r="A162" s="262" t="s">
        <v>414</v>
      </c>
      <c r="B162" s="12">
        <v>1</v>
      </c>
      <c r="C162" s="11"/>
      <c r="D162" s="11" t="s">
        <v>750</v>
      </c>
      <c r="E162" s="12">
        <v>25</v>
      </c>
      <c r="F162" s="131" t="s">
        <v>544</v>
      </c>
      <c r="G162" s="126" t="str">
        <f>IFERROR(IF(VLOOKUP(TableHandbook[[#This Row],[UDC]],TableAvailabilities[],2,FALSE)&gt;0,"Y",""),"")</f>
        <v>Y</v>
      </c>
      <c r="H162" s="127" t="str">
        <f>IFERROR(IF(VLOOKUP(TableHandbook[[#This Row],[UDC]],TableAvailabilities[],3,FALSE)&gt;0,"Y",""),"")</f>
        <v/>
      </c>
      <c r="I162" s="127" t="str">
        <f>IFERROR(IF(VLOOKUP(TableHandbook[[#This Row],[UDC]],TableAvailabilities[],4,FALSE)&gt;0,"Y",""),"")</f>
        <v/>
      </c>
      <c r="J162" s="128" t="str">
        <f>IFERROR(IF(VLOOKUP(TableHandbook[[#This Row],[UDC]],TableAvailabilities[],5,FALSE)&gt;0,"Y",""),"")</f>
        <v>Y</v>
      </c>
      <c r="K162" s="128" t="str">
        <f>IFERROR(IF(VLOOKUP(TableHandbook[[#This Row],[UDC]],TableAvailabilities[],6,FALSE)&gt;0,"Y",""),"")</f>
        <v/>
      </c>
      <c r="L162" s="127" t="str">
        <f>IFERROR(IF(VLOOKUP(TableHandbook[[#This Row],[UDC]],TableAvailabilities[],7,FALSE)&gt;0,"Y",""),"")</f>
        <v/>
      </c>
      <c r="M162" s="207"/>
      <c r="N162" s="205" t="str">
        <f>IFERROR(VLOOKUP(TableHandbook[[#This Row],[UDC]],TableBEDUC[],7,FALSE),"")</f>
        <v/>
      </c>
      <c r="O162" s="200" t="str">
        <f>IFERROR(VLOOKUP(TableHandbook[[#This Row],[UDC]],TableBEDEC[],7,FALSE),"")</f>
        <v/>
      </c>
      <c r="P162" s="200" t="str">
        <f>IFERROR(VLOOKUP(TableHandbook[[#This Row],[UDC]],TableBEDPR[],7,FALSE),"")</f>
        <v/>
      </c>
      <c r="Q162" s="200" t="str">
        <f>IFERROR(VLOOKUP(TableHandbook[[#This Row],[UDC]],TableSTRUCATHL[],7,FALSE),"")</f>
        <v/>
      </c>
      <c r="R162" s="200" t="str">
        <f>IFERROR(VLOOKUP(TableHandbook[[#This Row],[UDC]],TableSTRUENGLL[],7,FALSE),"")</f>
        <v/>
      </c>
      <c r="S162" s="200" t="str">
        <f>IFERROR(VLOOKUP(TableHandbook[[#This Row],[UDC]],TableSTRUINTBC[],7,FALSE),"")</f>
        <v/>
      </c>
      <c r="T162" s="200" t="str">
        <f>IFERROR(VLOOKUP(TableHandbook[[#This Row],[UDC]],TableSTRUISTEM[],7,FALSE),"")</f>
        <v/>
      </c>
      <c r="U162" s="200" t="str">
        <f>IFERROR(VLOOKUP(TableHandbook[[#This Row],[UDC]],TableSTRULITNU[],7,FALSE),"")</f>
        <v/>
      </c>
      <c r="V162" s="200" t="str">
        <f>IFERROR(VLOOKUP(TableHandbook[[#This Row],[UDC]],TableSTRUTECHS[],7,FALSE),"")</f>
        <v/>
      </c>
      <c r="W162" s="200" t="str">
        <f>IFERROR(VLOOKUP(TableHandbook[[#This Row],[UDC]],TableBEDSC[],7,FALSE),"")</f>
        <v/>
      </c>
      <c r="X162" s="200" t="str">
        <f>IFERROR(VLOOKUP(TableHandbook[[#This Row],[UDC]],TableMJRUARTDR[],7,FALSE),"")</f>
        <v/>
      </c>
      <c r="Y162" s="200" t="str">
        <f>IFERROR(VLOOKUP(TableHandbook[[#This Row],[UDC]],TableMJRUARTME[],7,FALSE),"")</f>
        <v/>
      </c>
      <c r="Z162" s="200" t="str">
        <f>IFERROR(VLOOKUP(TableHandbook[[#This Row],[UDC]],TableMJRUARTVA[],7,FALSE),"")</f>
        <v/>
      </c>
      <c r="AA162" s="200" t="str">
        <f>IFERROR(VLOOKUP(TableHandbook[[#This Row],[UDC]],TableMJRUENGLT[],7,FALSE),"")</f>
        <v/>
      </c>
      <c r="AB162" s="200" t="str">
        <f>IFERROR(VLOOKUP(TableHandbook[[#This Row],[UDC]],TableMJRUHLTPE[],7,FALSE),"")</f>
        <v/>
      </c>
      <c r="AC162" s="200" t="str">
        <f>IFERROR(VLOOKUP(TableHandbook[[#This Row],[UDC]],TableMJRUHUSEC[],7,FALSE),"")</f>
        <v/>
      </c>
      <c r="AD162" s="200" t="str">
        <f>IFERROR(VLOOKUP(TableHandbook[[#This Row],[UDC]],TableMJRUHUSGE[],7,FALSE),"")</f>
        <v/>
      </c>
      <c r="AE162" s="200" t="str">
        <f>IFERROR(VLOOKUP(TableHandbook[[#This Row],[UDC]],TableMJRUHUSHI[],7,FALSE),"")</f>
        <v/>
      </c>
      <c r="AF162" s="200" t="str">
        <f>IFERROR(VLOOKUP(TableHandbook[[#This Row],[UDC]],TableMJRUHUSPL[],7,FALSE),"")</f>
        <v>AltCore</v>
      </c>
      <c r="AG162" s="200" t="str">
        <f>IFERROR(VLOOKUP(TableHandbook[[#This Row],[UDC]],TableMJRUMATHT[],7,FALSE),"")</f>
        <v/>
      </c>
      <c r="AH162" s="200" t="str">
        <f>IFERROR(VLOOKUP(TableHandbook[[#This Row],[UDC]],TableMJRUSCIBI[],7,FALSE),"")</f>
        <v/>
      </c>
      <c r="AI162" s="200" t="str">
        <f>IFERROR(VLOOKUP(TableHandbook[[#This Row],[UDC]],TableMJRUSCICH[],7,FALSE),"")</f>
        <v/>
      </c>
      <c r="AJ162" s="200" t="str">
        <f>IFERROR(VLOOKUP(TableHandbook[[#This Row],[UDC]],TableMJRUSCIHB[],7,FALSE),"")</f>
        <v/>
      </c>
      <c r="AK162" s="200" t="str">
        <f>IFERROR(VLOOKUP(TableHandbook[[#This Row],[UDC]],TableMJRUSCIPH[],7,FALSE),"")</f>
        <v/>
      </c>
      <c r="AL162" s="200" t="str">
        <f>IFERROR(VLOOKUP(TableHandbook[[#This Row],[UDC]],TableMJRUSCIPS[],7,FALSE),"")</f>
        <v/>
      </c>
      <c r="AM162" s="202"/>
      <c r="AN162" s="200" t="str">
        <f>IFERROR(VLOOKUP(TableHandbook[[#This Row],[UDC]],TableSTRUBIOLB[],7,FALSE),"")</f>
        <v/>
      </c>
      <c r="AO162" s="200" t="str">
        <f>IFERROR(VLOOKUP(TableHandbook[[#This Row],[UDC]],TableSTRUBSCIM[],7,FALSE),"")</f>
        <v/>
      </c>
      <c r="AP162" s="200" t="str">
        <f>IFERROR(VLOOKUP(TableHandbook[[#This Row],[UDC]],TableSTRUCHEMB[],7,FALSE),"")</f>
        <v/>
      </c>
      <c r="AQ162" s="200" t="str">
        <f>IFERROR(VLOOKUP(TableHandbook[[#This Row],[UDC]],TableSTRUECOB1[],7,FALSE),"")</f>
        <v>AltCore</v>
      </c>
      <c r="AR162" s="200" t="str">
        <f>IFERROR(VLOOKUP(TableHandbook[[#This Row],[UDC]],TableSTRUEDART[],7,FALSE),"")</f>
        <v/>
      </c>
      <c r="AS162" s="200" t="str">
        <f>IFERROR(VLOOKUP(TableHandbook[[#This Row],[UDC]],TableSTRUEDENG[],7,FALSE),"")</f>
        <v/>
      </c>
      <c r="AT162" s="200" t="str">
        <f>IFERROR(VLOOKUP(TableHandbook[[#This Row],[UDC]],TableSTRUEDHAS[],7,FALSE),"")</f>
        <v/>
      </c>
      <c r="AU162" s="200" t="str">
        <f>IFERROR(VLOOKUP(TableHandbook[[#This Row],[UDC]],TableSTRUEDMAT[],7,FALSE),"")</f>
        <v/>
      </c>
      <c r="AV162" s="200" t="str">
        <f>IFERROR(VLOOKUP(TableHandbook[[#This Row],[UDC]],TableSTRUEDSCI[],7,FALSE),"")</f>
        <v/>
      </c>
      <c r="AW162" s="200" t="str">
        <f>IFERROR(VLOOKUP(TableHandbook[[#This Row],[UDC]],TableSTRUENGLB[],7,FALSE),"")</f>
        <v/>
      </c>
      <c r="AX162" s="200" t="str">
        <f>IFERROR(VLOOKUP(TableHandbook[[#This Row],[UDC]],TableSTRUENGLM[],7,FALSE),"")</f>
        <v/>
      </c>
      <c r="AY162" s="200" t="str">
        <f>IFERROR(VLOOKUP(TableHandbook[[#This Row],[UDC]],TableSTRUGEOB1[],7,FALSE),"")</f>
        <v>AltCore</v>
      </c>
      <c r="AZ162" s="200" t="str">
        <f>IFERROR(VLOOKUP(TableHandbook[[#This Row],[UDC]],TableSTRUHISB1[],7,FALSE),"")</f>
        <v>AltCore</v>
      </c>
      <c r="BA162" s="200" t="str">
        <f>IFERROR(VLOOKUP(TableHandbook[[#This Row],[UDC]],TableSTRUHUMAM[],7,FALSE),"")</f>
        <v>AltCore</v>
      </c>
      <c r="BB162" s="200" t="str">
        <f>IFERROR(VLOOKUP(TableHandbook[[#This Row],[UDC]],TableSTRUHUMBB[],7,FALSE),"")</f>
        <v/>
      </c>
      <c r="BC162" s="200" t="str">
        <f>IFERROR(VLOOKUP(TableHandbook[[#This Row],[UDC]],TableSTRUMATHB[],7,FALSE),"")</f>
        <v/>
      </c>
      <c r="BD162" s="200" t="str">
        <f>IFERROR(VLOOKUP(TableHandbook[[#This Row],[UDC]],TableSTRUMATHM[],7,FALSE),"")</f>
        <v/>
      </c>
      <c r="BE162" s="200" t="str">
        <f>IFERROR(VLOOKUP(TableHandbook[[#This Row],[UDC]],TableSTRUPARTB[],7,FALSE),"")</f>
        <v/>
      </c>
      <c r="BF162" s="200" t="str">
        <f>IFERROR(VLOOKUP(TableHandbook[[#This Row],[UDC]],TableSTRUPARTM[],7,FALSE),"")</f>
        <v/>
      </c>
      <c r="BG162" s="200" t="str">
        <f>IFERROR(VLOOKUP(TableHandbook[[#This Row],[UDC]],TableSTRUPOLB1[],7,FALSE),"")</f>
        <v/>
      </c>
      <c r="BH162" s="200" t="str">
        <f>IFERROR(VLOOKUP(TableHandbook[[#This Row],[UDC]],TableSTRUPSCIM[],7,FALSE),"")</f>
        <v/>
      </c>
      <c r="BI162" s="200" t="str">
        <f>IFERROR(VLOOKUP(TableHandbook[[#This Row],[UDC]],TableSTRUPSYCB[],7,FALSE),"")</f>
        <v/>
      </c>
      <c r="BJ162" s="200" t="str">
        <f>IFERROR(VLOOKUP(TableHandbook[[#This Row],[UDC]],TableSTRUPSYCM[],7,FALSE),"")</f>
        <v/>
      </c>
      <c r="BK162" s="200" t="str">
        <f>IFERROR(VLOOKUP(TableHandbook[[#This Row],[UDC]],TableSTRUSOSCM[],7,FALSE),"")</f>
        <v>AltCore</v>
      </c>
      <c r="BL162" s="200" t="str">
        <f>IFERROR(VLOOKUP(TableHandbook[[#This Row],[UDC]],TableSTRUVARTB[],7,FALSE),"")</f>
        <v/>
      </c>
      <c r="BM162" s="200" t="str">
        <f>IFERROR(VLOOKUP(TableHandbook[[#This Row],[UDC]],TableSTRUVARTM[],7,FALSE),"")</f>
        <v/>
      </c>
    </row>
    <row r="163" spans="1:65" x14ac:dyDescent="0.25">
      <c r="A163" s="262" t="s">
        <v>417</v>
      </c>
      <c r="B163" s="12">
        <v>2</v>
      </c>
      <c r="C163" s="11"/>
      <c r="D163" s="11" t="s">
        <v>751</v>
      </c>
      <c r="E163" s="12">
        <v>25</v>
      </c>
      <c r="F163" s="131" t="s">
        <v>544</v>
      </c>
      <c r="G163" s="126" t="str">
        <f>IFERROR(IF(VLOOKUP(TableHandbook[[#This Row],[UDC]],TableAvailabilities[],2,FALSE)&gt;0,"Y",""),"")</f>
        <v>Y</v>
      </c>
      <c r="H163" s="127" t="str">
        <f>IFERROR(IF(VLOOKUP(TableHandbook[[#This Row],[UDC]],TableAvailabilities[],3,FALSE)&gt;0,"Y",""),"")</f>
        <v/>
      </c>
      <c r="I163" s="127" t="str">
        <f>IFERROR(IF(VLOOKUP(TableHandbook[[#This Row],[UDC]],TableAvailabilities[],4,FALSE)&gt;0,"Y",""),"")</f>
        <v/>
      </c>
      <c r="J163" s="128" t="str">
        <f>IFERROR(IF(VLOOKUP(TableHandbook[[#This Row],[UDC]],TableAvailabilities[],5,FALSE)&gt;0,"Y",""),"")</f>
        <v>Y</v>
      </c>
      <c r="K163" s="128" t="str">
        <f>IFERROR(IF(VLOOKUP(TableHandbook[[#This Row],[UDC]],TableAvailabilities[],6,FALSE)&gt;0,"Y",""),"")</f>
        <v/>
      </c>
      <c r="L163" s="127" t="str">
        <f>IFERROR(IF(VLOOKUP(TableHandbook[[#This Row],[UDC]],TableAvailabilities[],7,FALSE)&gt;0,"Y",""),"")</f>
        <v/>
      </c>
      <c r="M163" s="207"/>
      <c r="N163" s="205" t="str">
        <f>IFERROR(VLOOKUP(TableHandbook[[#This Row],[UDC]],TableBEDUC[],7,FALSE),"")</f>
        <v/>
      </c>
      <c r="O163" s="200" t="str">
        <f>IFERROR(VLOOKUP(TableHandbook[[#This Row],[UDC]],TableBEDEC[],7,FALSE),"")</f>
        <v/>
      </c>
      <c r="P163" s="200" t="str">
        <f>IFERROR(VLOOKUP(TableHandbook[[#This Row],[UDC]],TableBEDPR[],7,FALSE),"")</f>
        <v/>
      </c>
      <c r="Q163" s="200" t="str">
        <f>IFERROR(VLOOKUP(TableHandbook[[#This Row],[UDC]],TableSTRUCATHL[],7,FALSE),"")</f>
        <v/>
      </c>
      <c r="R163" s="200" t="str">
        <f>IFERROR(VLOOKUP(TableHandbook[[#This Row],[UDC]],TableSTRUENGLL[],7,FALSE),"")</f>
        <v/>
      </c>
      <c r="S163" s="200" t="str">
        <f>IFERROR(VLOOKUP(TableHandbook[[#This Row],[UDC]],TableSTRUINTBC[],7,FALSE),"")</f>
        <v/>
      </c>
      <c r="T163" s="200" t="str">
        <f>IFERROR(VLOOKUP(TableHandbook[[#This Row],[UDC]],TableSTRUISTEM[],7,FALSE),"")</f>
        <v/>
      </c>
      <c r="U163" s="200" t="str">
        <f>IFERROR(VLOOKUP(TableHandbook[[#This Row],[UDC]],TableSTRULITNU[],7,FALSE),"")</f>
        <v/>
      </c>
      <c r="V163" s="200" t="str">
        <f>IFERROR(VLOOKUP(TableHandbook[[#This Row],[UDC]],TableSTRUTECHS[],7,FALSE),"")</f>
        <v/>
      </c>
      <c r="W163" s="200" t="str">
        <f>IFERROR(VLOOKUP(TableHandbook[[#This Row],[UDC]],TableBEDSC[],7,FALSE),"")</f>
        <v/>
      </c>
      <c r="X163" s="200" t="str">
        <f>IFERROR(VLOOKUP(TableHandbook[[#This Row],[UDC]],TableMJRUARTDR[],7,FALSE),"")</f>
        <v/>
      </c>
      <c r="Y163" s="200" t="str">
        <f>IFERROR(VLOOKUP(TableHandbook[[#This Row],[UDC]],TableMJRUARTME[],7,FALSE),"")</f>
        <v/>
      </c>
      <c r="Z163" s="200" t="str">
        <f>IFERROR(VLOOKUP(TableHandbook[[#This Row],[UDC]],TableMJRUARTVA[],7,FALSE),"")</f>
        <v/>
      </c>
      <c r="AA163" s="200" t="str">
        <f>IFERROR(VLOOKUP(TableHandbook[[#This Row],[UDC]],TableMJRUENGLT[],7,FALSE),"")</f>
        <v/>
      </c>
      <c r="AB163" s="200" t="str">
        <f>IFERROR(VLOOKUP(TableHandbook[[#This Row],[UDC]],TableMJRUHLTPE[],7,FALSE),"")</f>
        <v/>
      </c>
      <c r="AC163" s="200" t="str">
        <f>IFERROR(VLOOKUP(TableHandbook[[#This Row],[UDC]],TableMJRUHUSEC[],7,FALSE),"")</f>
        <v/>
      </c>
      <c r="AD163" s="200" t="str">
        <f>IFERROR(VLOOKUP(TableHandbook[[#This Row],[UDC]],TableMJRUHUSGE[],7,FALSE),"")</f>
        <v/>
      </c>
      <c r="AE163" s="200" t="str">
        <f>IFERROR(VLOOKUP(TableHandbook[[#This Row],[UDC]],TableMJRUHUSHI[],7,FALSE),"")</f>
        <v/>
      </c>
      <c r="AF163" s="200" t="str">
        <f>IFERROR(VLOOKUP(TableHandbook[[#This Row],[UDC]],TableMJRUHUSPL[],7,FALSE),"")</f>
        <v>AltCore</v>
      </c>
      <c r="AG163" s="200" t="str">
        <f>IFERROR(VLOOKUP(TableHandbook[[#This Row],[UDC]],TableMJRUMATHT[],7,FALSE),"")</f>
        <v/>
      </c>
      <c r="AH163" s="200" t="str">
        <f>IFERROR(VLOOKUP(TableHandbook[[#This Row],[UDC]],TableMJRUSCIBI[],7,FALSE),"")</f>
        <v/>
      </c>
      <c r="AI163" s="200" t="str">
        <f>IFERROR(VLOOKUP(TableHandbook[[#This Row],[UDC]],TableMJRUSCICH[],7,FALSE),"")</f>
        <v/>
      </c>
      <c r="AJ163" s="200" t="str">
        <f>IFERROR(VLOOKUP(TableHandbook[[#This Row],[UDC]],TableMJRUSCIHB[],7,FALSE),"")</f>
        <v/>
      </c>
      <c r="AK163" s="200" t="str">
        <f>IFERROR(VLOOKUP(TableHandbook[[#This Row],[UDC]],TableMJRUSCIPH[],7,FALSE),"")</f>
        <v/>
      </c>
      <c r="AL163" s="200" t="str">
        <f>IFERROR(VLOOKUP(TableHandbook[[#This Row],[UDC]],TableMJRUSCIPS[],7,FALSE),"")</f>
        <v/>
      </c>
      <c r="AM163" s="202"/>
      <c r="AN163" s="200" t="str">
        <f>IFERROR(VLOOKUP(TableHandbook[[#This Row],[UDC]],TableSTRUBIOLB[],7,FALSE),"")</f>
        <v/>
      </c>
      <c r="AO163" s="200" t="str">
        <f>IFERROR(VLOOKUP(TableHandbook[[#This Row],[UDC]],TableSTRUBSCIM[],7,FALSE),"")</f>
        <v/>
      </c>
      <c r="AP163" s="200" t="str">
        <f>IFERROR(VLOOKUP(TableHandbook[[#This Row],[UDC]],TableSTRUCHEMB[],7,FALSE),"")</f>
        <v/>
      </c>
      <c r="AQ163" s="200" t="str">
        <f>IFERROR(VLOOKUP(TableHandbook[[#This Row],[UDC]],TableSTRUECOB1[],7,FALSE),"")</f>
        <v>AltCore</v>
      </c>
      <c r="AR163" s="200" t="str">
        <f>IFERROR(VLOOKUP(TableHandbook[[#This Row],[UDC]],TableSTRUEDART[],7,FALSE),"")</f>
        <v/>
      </c>
      <c r="AS163" s="200" t="str">
        <f>IFERROR(VLOOKUP(TableHandbook[[#This Row],[UDC]],TableSTRUEDENG[],7,FALSE),"")</f>
        <v/>
      </c>
      <c r="AT163" s="200" t="str">
        <f>IFERROR(VLOOKUP(TableHandbook[[#This Row],[UDC]],TableSTRUEDHAS[],7,FALSE),"")</f>
        <v/>
      </c>
      <c r="AU163" s="200" t="str">
        <f>IFERROR(VLOOKUP(TableHandbook[[#This Row],[UDC]],TableSTRUEDMAT[],7,FALSE),"")</f>
        <v/>
      </c>
      <c r="AV163" s="200" t="str">
        <f>IFERROR(VLOOKUP(TableHandbook[[#This Row],[UDC]],TableSTRUEDSCI[],7,FALSE),"")</f>
        <v/>
      </c>
      <c r="AW163" s="200" t="str">
        <f>IFERROR(VLOOKUP(TableHandbook[[#This Row],[UDC]],TableSTRUENGLB[],7,FALSE),"")</f>
        <v/>
      </c>
      <c r="AX163" s="200" t="str">
        <f>IFERROR(VLOOKUP(TableHandbook[[#This Row],[UDC]],TableSTRUENGLM[],7,FALSE),"")</f>
        <v/>
      </c>
      <c r="AY163" s="200" t="str">
        <f>IFERROR(VLOOKUP(TableHandbook[[#This Row],[UDC]],TableSTRUGEOB1[],7,FALSE),"")</f>
        <v>AltCore</v>
      </c>
      <c r="AZ163" s="200" t="str">
        <f>IFERROR(VLOOKUP(TableHandbook[[#This Row],[UDC]],TableSTRUHISB1[],7,FALSE),"")</f>
        <v>AltCore</v>
      </c>
      <c r="BA163" s="200" t="str">
        <f>IFERROR(VLOOKUP(TableHandbook[[#This Row],[UDC]],TableSTRUHUMAM[],7,FALSE),"")</f>
        <v>AltCore</v>
      </c>
      <c r="BB163" s="200" t="str">
        <f>IFERROR(VLOOKUP(TableHandbook[[#This Row],[UDC]],TableSTRUHUMBB[],7,FALSE),"")</f>
        <v/>
      </c>
      <c r="BC163" s="200" t="str">
        <f>IFERROR(VLOOKUP(TableHandbook[[#This Row],[UDC]],TableSTRUMATHB[],7,FALSE),"")</f>
        <v/>
      </c>
      <c r="BD163" s="200" t="str">
        <f>IFERROR(VLOOKUP(TableHandbook[[#This Row],[UDC]],TableSTRUMATHM[],7,FALSE),"")</f>
        <v/>
      </c>
      <c r="BE163" s="200" t="str">
        <f>IFERROR(VLOOKUP(TableHandbook[[#This Row],[UDC]],TableSTRUPARTB[],7,FALSE),"")</f>
        <v/>
      </c>
      <c r="BF163" s="200" t="str">
        <f>IFERROR(VLOOKUP(TableHandbook[[#This Row],[UDC]],TableSTRUPARTM[],7,FALSE),"")</f>
        <v/>
      </c>
      <c r="BG163" s="200" t="str">
        <f>IFERROR(VLOOKUP(TableHandbook[[#This Row],[UDC]],TableSTRUPOLB1[],7,FALSE),"")</f>
        <v/>
      </c>
      <c r="BH163" s="200" t="str">
        <f>IFERROR(VLOOKUP(TableHandbook[[#This Row],[UDC]],TableSTRUPSCIM[],7,FALSE),"")</f>
        <v/>
      </c>
      <c r="BI163" s="200" t="str">
        <f>IFERROR(VLOOKUP(TableHandbook[[#This Row],[UDC]],TableSTRUPSYCB[],7,FALSE),"")</f>
        <v/>
      </c>
      <c r="BJ163" s="200" t="str">
        <f>IFERROR(VLOOKUP(TableHandbook[[#This Row],[UDC]],TableSTRUPSYCM[],7,FALSE),"")</f>
        <v/>
      </c>
      <c r="BK163" s="200" t="str">
        <f>IFERROR(VLOOKUP(TableHandbook[[#This Row],[UDC]],TableSTRUSOSCM[],7,FALSE),"")</f>
        <v>AltCore</v>
      </c>
      <c r="BL163" s="200" t="str">
        <f>IFERROR(VLOOKUP(TableHandbook[[#This Row],[UDC]],TableSTRUVARTB[],7,FALSE),"")</f>
        <v/>
      </c>
      <c r="BM163" s="200" t="str">
        <f>IFERROR(VLOOKUP(TableHandbook[[#This Row],[UDC]],TableSTRUVARTM[],7,FALSE),"")</f>
        <v/>
      </c>
    </row>
    <row r="164" spans="1:65" x14ac:dyDescent="0.25">
      <c r="A164" s="11" t="s">
        <v>110</v>
      </c>
      <c r="B164" s="12">
        <v>1</v>
      </c>
      <c r="C164" s="11"/>
      <c r="D164" s="11" t="s">
        <v>752</v>
      </c>
      <c r="E164" s="12">
        <v>25</v>
      </c>
      <c r="F164" s="131" t="s">
        <v>753</v>
      </c>
      <c r="G164" s="126" t="str">
        <f>IFERROR(IF(VLOOKUP(TableHandbook[[#This Row],[UDC]],TableAvailabilities[],2,FALSE)&gt;0,"Y",""),"")</f>
        <v>Y</v>
      </c>
      <c r="H164" s="127" t="str">
        <f>IFERROR(IF(VLOOKUP(TableHandbook[[#This Row],[UDC]],TableAvailabilities[],3,FALSE)&gt;0,"Y",""),"")</f>
        <v/>
      </c>
      <c r="I164" s="127" t="str">
        <f>IFERROR(IF(VLOOKUP(TableHandbook[[#This Row],[UDC]],TableAvailabilities[],4,FALSE)&gt;0,"Y",""),"")</f>
        <v>Y</v>
      </c>
      <c r="J164" s="128" t="str">
        <f>IFERROR(IF(VLOOKUP(TableHandbook[[#This Row],[UDC]],TableAvailabilities[],5,FALSE)&gt;0,"Y",""),"")</f>
        <v>Y</v>
      </c>
      <c r="K164" s="128" t="str">
        <f>IFERROR(IF(VLOOKUP(TableHandbook[[#This Row],[UDC]],TableAvailabilities[],6,FALSE)&gt;0,"Y",""),"")</f>
        <v/>
      </c>
      <c r="L164" s="127" t="str">
        <f>IFERROR(IF(VLOOKUP(TableHandbook[[#This Row],[UDC]],TableAvailabilities[],7,FALSE)&gt;0,"Y",""),"")</f>
        <v>Y</v>
      </c>
      <c r="M164" s="207"/>
      <c r="N164" s="205" t="str">
        <f>IFERROR(VLOOKUP(TableHandbook[[#This Row],[UDC]],TableBEDUC[],7,FALSE),"")</f>
        <v>Core</v>
      </c>
      <c r="O164" s="200" t="str">
        <f>IFERROR(VLOOKUP(TableHandbook[[#This Row],[UDC]],TableBEDEC[],7,FALSE),"")</f>
        <v>Core</v>
      </c>
      <c r="P164" s="200" t="str">
        <f>IFERROR(VLOOKUP(TableHandbook[[#This Row],[UDC]],TableBEDPR[],7,FALSE),"")</f>
        <v>Core</v>
      </c>
      <c r="Q164" s="200" t="str">
        <f>IFERROR(VLOOKUP(TableHandbook[[#This Row],[UDC]],TableSTRUCATHL[],7,FALSE),"")</f>
        <v/>
      </c>
      <c r="R164" s="200" t="str">
        <f>IFERROR(VLOOKUP(TableHandbook[[#This Row],[UDC]],TableSTRUENGLL[],7,FALSE),"")</f>
        <v/>
      </c>
      <c r="S164" s="200" t="str">
        <f>IFERROR(VLOOKUP(TableHandbook[[#This Row],[UDC]],TableSTRUINTBC[],7,FALSE),"")</f>
        <v/>
      </c>
      <c r="T164" s="200" t="str">
        <f>IFERROR(VLOOKUP(TableHandbook[[#This Row],[UDC]],TableSTRUISTEM[],7,FALSE),"")</f>
        <v/>
      </c>
      <c r="U164" s="200" t="str">
        <f>IFERROR(VLOOKUP(TableHandbook[[#This Row],[UDC]],TableSTRULITNU[],7,FALSE),"")</f>
        <v/>
      </c>
      <c r="V164" s="200" t="str">
        <f>IFERROR(VLOOKUP(TableHandbook[[#This Row],[UDC]],TableSTRUTECHS[],7,FALSE),"")</f>
        <v/>
      </c>
      <c r="W164" s="200" t="str">
        <f>IFERROR(VLOOKUP(TableHandbook[[#This Row],[UDC]],TableBEDSC[],7,FALSE),"")</f>
        <v>Core</v>
      </c>
      <c r="X164" s="200" t="str">
        <f>IFERROR(VLOOKUP(TableHandbook[[#This Row],[UDC]],TableMJRUARTDR[],7,FALSE),"")</f>
        <v/>
      </c>
      <c r="Y164" s="200" t="str">
        <f>IFERROR(VLOOKUP(TableHandbook[[#This Row],[UDC]],TableMJRUARTME[],7,FALSE),"")</f>
        <v/>
      </c>
      <c r="Z164" s="200" t="str">
        <f>IFERROR(VLOOKUP(TableHandbook[[#This Row],[UDC]],TableMJRUARTVA[],7,FALSE),"")</f>
        <v/>
      </c>
      <c r="AA164" s="200" t="str">
        <f>IFERROR(VLOOKUP(TableHandbook[[#This Row],[UDC]],TableMJRUENGLT[],7,FALSE),"")</f>
        <v/>
      </c>
      <c r="AB164" s="200" t="str">
        <f>IFERROR(VLOOKUP(TableHandbook[[#This Row],[UDC]],TableMJRUHLTPE[],7,FALSE),"")</f>
        <v/>
      </c>
      <c r="AC164" s="200" t="str">
        <f>IFERROR(VLOOKUP(TableHandbook[[#This Row],[UDC]],TableMJRUHUSEC[],7,FALSE),"")</f>
        <v/>
      </c>
      <c r="AD164" s="200" t="str">
        <f>IFERROR(VLOOKUP(TableHandbook[[#This Row],[UDC]],TableMJRUHUSGE[],7,FALSE),"")</f>
        <v/>
      </c>
      <c r="AE164" s="200" t="str">
        <f>IFERROR(VLOOKUP(TableHandbook[[#This Row],[UDC]],TableMJRUHUSHI[],7,FALSE),"")</f>
        <v/>
      </c>
      <c r="AF164" s="200" t="str">
        <f>IFERROR(VLOOKUP(TableHandbook[[#This Row],[UDC]],TableMJRUHUSPL[],7,FALSE),"")</f>
        <v/>
      </c>
      <c r="AG164" s="200" t="str">
        <f>IFERROR(VLOOKUP(TableHandbook[[#This Row],[UDC]],TableMJRUMATHT[],7,FALSE),"")</f>
        <v/>
      </c>
      <c r="AH164" s="200" t="str">
        <f>IFERROR(VLOOKUP(TableHandbook[[#This Row],[UDC]],TableMJRUSCIBI[],7,FALSE),"")</f>
        <v/>
      </c>
      <c r="AI164" s="200" t="str">
        <f>IFERROR(VLOOKUP(TableHandbook[[#This Row],[UDC]],TableMJRUSCICH[],7,FALSE),"")</f>
        <v/>
      </c>
      <c r="AJ164" s="200" t="str">
        <f>IFERROR(VLOOKUP(TableHandbook[[#This Row],[UDC]],TableMJRUSCIHB[],7,FALSE),"")</f>
        <v/>
      </c>
      <c r="AK164" s="200" t="str">
        <f>IFERROR(VLOOKUP(TableHandbook[[#This Row],[UDC]],TableMJRUSCIPH[],7,FALSE),"")</f>
        <v/>
      </c>
      <c r="AL164" s="200" t="str">
        <f>IFERROR(VLOOKUP(TableHandbook[[#This Row],[UDC]],TableMJRUSCIPS[],7,FALSE),"")</f>
        <v/>
      </c>
      <c r="AM164" s="202"/>
      <c r="AN164" s="200" t="str">
        <f>IFERROR(VLOOKUP(TableHandbook[[#This Row],[UDC]],TableSTRUBIOLB[],7,FALSE),"")</f>
        <v/>
      </c>
      <c r="AO164" s="200" t="str">
        <f>IFERROR(VLOOKUP(TableHandbook[[#This Row],[UDC]],TableSTRUBSCIM[],7,FALSE),"")</f>
        <v/>
      </c>
      <c r="AP164" s="200" t="str">
        <f>IFERROR(VLOOKUP(TableHandbook[[#This Row],[UDC]],TableSTRUCHEMB[],7,FALSE),"")</f>
        <v/>
      </c>
      <c r="AQ164" s="200" t="str">
        <f>IFERROR(VLOOKUP(TableHandbook[[#This Row],[UDC]],TableSTRUECOB1[],7,FALSE),"")</f>
        <v/>
      </c>
      <c r="AR164" s="200" t="str">
        <f>IFERROR(VLOOKUP(TableHandbook[[#This Row],[UDC]],TableSTRUEDART[],7,FALSE),"")</f>
        <v/>
      </c>
      <c r="AS164" s="200" t="str">
        <f>IFERROR(VLOOKUP(TableHandbook[[#This Row],[UDC]],TableSTRUEDENG[],7,FALSE),"")</f>
        <v/>
      </c>
      <c r="AT164" s="200" t="str">
        <f>IFERROR(VLOOKUP(TableHandbook[[#This Row],[UDC]],TableSTRUEDHAS[],7,FALSE),"")</f>
        <v/>
      </c>
      <c r="AU164" s="200" t="str">
        <f>IFERROR(VLOOKUP(TableHandbook[[#This Row],[UDC]],TableSTRUEDMAT[],7,FALSE),"")</f>
        <v/>
      </c>
      <c r="AV164" s="200" t="str">
        <f>IFERROR(VLOOKUP(TableHandbook[[#This Row],[UDC]],TableSTRUEDSCI[],7,FALSE),"")</f>
        <v/>
      </c>
      <c r="AW164" s="200" t="str">
        <f>IFERROR(VLOOKUP(TableHandbook[[#This Row],[UDC]],TableSTRUENGLB[],7,FALSE),"")</f>
        <v/>
      </c>
      <c r="AX164" s="200" t="str">
        <f>IFERROR(VLOOKUP(TableHandbook[[#This Row],[UDC]],TableSTRUENGLM[],7,FALSE),"")</f>
        <v/>
      </c>
      <c r="AY164" s="200" t="str">
        <f>IFERROR(VLOOKUP(TableHandbook[[#This Row],[UDC]],TableSTRUGEOB1[],7,FALSE),"")</f>
        <v/>
      </c>
      <c r="AZ164" s="200" t="str">
        <f>IFERROR(VLOOKUP(TableHandbook[[#This Row],[UDC]],TableSTRUHISB1[],7,FALSE),"")</f>
        <v/>
      </c>
      <c r="BA164" s="200" t="str">
        <f>IFERROR(VLOOKUP(TableHandbook[[#This Row],[UDC]],TableSTRUHUMAM[],7,FALSE),"")</f>
        <v/>
      </c>
      <c r="BB164" s="200" t="str">
        <f>IFERROR(VLOOKUP(TableHandbook[[#This Row],[UDC]],TableSTRUHUMBB[],7,FALSE),"")</f>
        <v/>
      </c>
      <c r="BC164" s="200" t="str">
        <f>IFERROR(VLOOKUP(TableHandbook[[#This Row],[UDC]],TableSTRUMATHB[],7,FALSE),"")</f>
        <v/>
      </c>
      <c r="BD164" s="200" t="str">
        <f>IFERROR(VLOOKUP(TableHandbook[[#This Row],[UDC]],TableSTRUMATHM[],7,FALSE),"")</f>
        <v/>
      </c>
      <c r="BE164" s="200" t="str">
        <f>IFERROR(VLOOKUP(TableHandbook[[#This Row],[UDC]],TableSTRUPARTB[],7,FALSE),"")</f>
        <v/>
      </c>
      <c r="BF164" s="200" t="str">
        <f>IFERROR(VLOOKUP(TableHandbook[[#This Row],[UDC]],TableSTRUPARTM[],7,FALSE),"")</f>
        <v/>
      </c>
      <c r="BG164" s="200" t="str">
        <f>IFERROR(VLOOKUP(TableHandbook[[#This Row],[UDC]],TableSTRUPOLB1[],7,FALSE),"")</f>
        <v/>
      </c>
      <c r="BH164" s="200" t="str">
        <f>IFERROR(VLOOKUP(TableHandbook[[#This Row],[UDC]],TableSTRUPSCIM[],7,FALSE),"")</f>
        <v/>
      </c>
      <c r="BI164" s="200" t="str">
        <f>IFERROR(VLOOKUP(TableHandbook[[#This Row],[UDC]],TableSTRUPSYCB[],7,FALSE),"")</f>
        <v/>
      </c>
      <c r="BJ164" s="200" t="str">
        <f>IFERROR(VLOOKUP(TableHandbook[[#This Row],[UDC]],TableSTRUPSYCM[],7,FALSE),"")</f>
        <v/>
      </c>
      <c r="BK164" s="200" t="str">
        <f>IFERROR(VLOOKUP(TableHandbook[[#This Row],[UDC]],TableSTRUSOSCM[],7,FALSE),"")</f>
        <v/>
      </c>
      <c r="BL164" s="200" t="str">
        <f>IFERROR(VLOOKUP(TableHandbook[[#This Row],[UDC]],TableSTRUVARTB[],7,FALSE),"")</f>
        <v/>
      </c>
      <c r="BM164" s="200" t="str">
        <f>IFERROR(VLOOKUP(TableHandbook[[#This Row],[UDC]],TableSTRUVARTM[],7,FALSE),"")</f>
        <v/>
      </c>
    </row>
    <row r="165" spans="1:65" x14ac:dyDescent="0.25">
      <c r="A165" s="262" t="s">
        <v>306</v>
      </c>
      <c r="B165" s="300">
        <v>2</v>
      </c>
      <c r="C165" s="11"/>
      <c r="D165" s="11" t="s">
        <v>754</v>
      </c>
      <c r="E165" s="12">
        <v>25</v>
      </c>
      <c r="F165" s="131" t="s">
        <v>544</v>
      </c>
      <c r="G165" s="126" t="str">
        <f>IFERROR(IF(VLOOKUP(TableHandbook[[#This Row],[UDC]],TableAvailabilities[],2,FALSE)&gt;0,"Y",""),"")</f>
        <v/>
      </c>
      <c r="H165" s="127" t="str">
        <f>IFERROR(IF(VLOOKUP(TableHandbook[[#This Row],[UDC]],TableAvailabilities[],3,FALSE)&gt;0,"Y",""),"")</f>
        <v/>
      </c>
      <c r="I165" s="127" t="str">
        <f>IFERROR(IF(VLOOKUP(TableHandbook[[#This Row],[UDC]],TableAvailabilities[],4,FALSE)&gt;0,"Y",""),"")</f>
        <v/>
      </c>
      <c r="J165" s="128" t="str">
        <f>IFERROR(IF(VLOOKUP(TableHandbook[[#This Row],[UDC]],TableAvailabilities[],5,FALSE)&gt;0,"Y",""),"")</f>
        <v>Y</v>
      </c>
      <c r="K165" s="128" t="str">
        <f>IFERROR(IF(VLOOKUP(TableHandbook[[#This Row],[UDC]],TableAvailabilities[],6,FALSE)&gt;0,"Y",""),"")</f>
        <v>Y</v>
      </c>
      <c r="L165" s="127" t="str">
        <f>IFERROR(IF(VLOOKUP(TableHandbook[[#This Row],[UDC]],TableAvailabilities[],7,FALSE)&gt;0,"Y",""),"")</f>
        <v/>
      </c>
      <c r="M165" s="208" t="s">
        <v>586</v>
      </c>
      <c r="N165" s="205" t="str">
        <f>IFERROR(VLOOKUP(TableHandbook[[#This Row],[UDC]],TableBEDUC[],7,FALSE),"")</f>
        <v/>
      </c>
      <c r="O165" s="200" t="str">
        <f>IFERROR(VLOOKUP(TableHandbook[[#This Row],[UDC]],TableBEDEC[],7,FALSE),"")</f>
        <v/>
      </c>
      <c r="P165" s="200" t="str">
        <f>IFERROR(VLOOKUP(TableHandbook[[#This Row],[UDC]],TableBEDPR[],7,FALSE),"")</f>
        <v/>
      </c>
      <c r="Q165" s="200" t="str">
        <f>IFERROR(VLOOKUP(TableHandbook[[#This Row],[UDC]],TableSTRUCATHL[],7,FALSE),"")</f>
        <v/>
      </c>
      <c r="R165" s="200" t="str">
        <f>IFERROR(VLOOKUP(TableHandbook[[#This Row],[UDC]],TableSTRUENGLL[],7,FALSE),"")</f>
        <v/>
      </c>
      <c r="S165" s="200" t="str">
        <f>IFERROR(VLOOKUP(TableHandbook[[#This Row],[UDC]],TableSTRUINTBC[],7,FALSE),"")</f>
        <v/>
      </c>
      <c r="T165" s="200" t="str">
        <f>IFERROR(VLOOKUP(TableHandbook[[#This Row],[UDC]],TableSTRUISTEM[],7,FALSE),"")</f>
        <v/>
      </c>
      <c r="U165" s="200" t="str">
        <f>IFERROR(VLOOKUP(TableHandbook[[#This Row],[UDC]],TableSTRULITNU[],7,FALSE),"")</f>
        <v/>
      </c>
      <c r="V165" s="200" t="str">
        <f>IFERROR(VLOOKUP(TableHandbook[[#This Row],[UDC]],TableSTRUTECHS[],7,FALSE),"")</f>
        <v/>
      </c>
      <c r="W165" s="200" t="str">
        <f>IFERROR(VLOOKUP(TableHandbook[[#This Row],[UDC]],TableBEDSC[],7,FALSE),"")</f>
        <v/>
      </c>
      <c r="X165" s="200" t="str">
        <f>IFERROR(VLOOKUP(TableHandbook[[#This Row],[UDC]],TableMJRUARTDR[],7,FALSE),"")</f>
        <v/>
      </c>
      <c r="Y165" s="200" t="str">
        <f>IFERROR(VLOOKUP(TableHandbook[[#This Row],[UDC]],TableMJRUARTME[],7,FALSE),"")</f>
        <v/>
      </c>
      <c r="Z165" s="200" t="str">
        <f>IFERROR(VLOOKUP(TableHandbook[[#This Row],[UDC]],TableMJRUARTVA[],7,FALSE),"")</f>
        <v/>
      </c>
      <c r="AA165" s="200" t="str">
        <f>IFERROR(VLOOKUP(TableHandbook[[#This Row],[UDC]],TableMJRUENGLT[],7,FALSE),"")</f>
        <v/>
      </c>
      <c r="AB165" s="200" t="str">
        <f>IFERROR(VLOOKUP(TableHandbook[[#This Row],[UDC]],TableMJRUHLTPE[],7,FALSE),"")</f>
        <v/>
      </c>
      <c r="AC165" s="200" t="str">
        <f>IFERROR(VLOOKUP(TableHandbook[[#This Row],[UDC]],TableMJRUHUSEC[],7,FALSE),"")</f>
        <v/>
      </c>
      <c r="AD165" s="200" t="str">
        <f>IFERROR(VLOOKUP(TableHandbook[[#This Row],[UDC]],TableMJRUHUSGE[],7,FALSE),"")</f>
        <v/>
      </c>
      <c r="AE165" s="200" t="str">
        <f>IFERROR(VLOOKUP(TableHandbook[[#This Row],[UDC]],TableMJRUHUSHI[],7,FALSE),"")</f>
        <v>Core</v>
      </c>
      <c r="AF165" s="200" t="str">
        <f>IFERROR(VLOOKUP(TableHandbook[[#This Row],[UDC]],TableMJRUHUSPL[],7,FALSE),"")</f>
        <v/>
      </c>
      <c r="AG165" s="200" t="str">
        <f>IFERROR(VLOOKUP(TableHandbook[[#This Row],[UDC]],TableMJRUMATHT[],7,FALSE),"")</f>
        <v/>
      </c>
      <c r="AH165" s="200" t="str">
        <f>IFERROR(VLOOKUP(TableHandbook[[#This Row],[UDC]],TableMJRUSCIBI[],7,FALSE),"")</f>
        <v/>
      </c>
      <c r="AI165" s="200" t="str">
        <f>IFERROR(VLOOKUP(TableHandbook[[#This Row],[UDC]],TableMJRUSCICH[],7,FALSE),"")</f>
        <v/>
      </c>
      <c r="AJ165" s="200" t="str">
        <f>IFERROR(VLOOKUP(TableHandbook[[#This Row],[UDC]],TableMJRUSCIHB[],7,FALSE),"")</f>
        <v/>
      </c>
      <c r="AK165" s="200" t="str">
        <f>IFERROR(VLOOKUP(TableHandbook[[#This Row],[UDC]],TableMJRUSCIPH[],7,FALSE),"")</f>
        <v/>
      </c>
      <c r="AL165" s="200" t="str">
        <f>IFERROR(VLOOKUP(TableHandbook[[#This Row],[UDC]],TableMJRUSCIPS[],7,FALSE),"")</f>
        <v/>
      </c>
      <c r="AM165" s="202"/>
      <c r="AN165" s="200" t="str">
        <f>IFERROR(VLOOKUP(TableHandbook[[#This Row],[UDC]],TableSTRUBIOLB[],7,FALSE),"")</f>
        <v/>
      </c>
      <c r="AO165" s="200" t="str">
        <f>IFERROR(VLOOKUP(TableHandbook[[#This Row],[UDC]],TableSTRUBSCIM[],7,FALSE),"")</f>
        <v/>
      </c>
      <c r="AP165" s="200" t="str">
        <f>IFERROR(VLOOKUP(TableHandbook[[#This Row],[UDC]],TableSTRUCHEMB[],7,FALSE),"")</f>
        <v/>
      </c>
      <c r="AQ165" s="200" t="str">
        <f>IFERROR(VLOOKUP(TableHandbook[[#This Row],[UDC]],TableSTRUECOB1[],7,FALSE),"")</f>
        <v/>
      </c>
      <c r="AR165" s="200" t="str">
        <f>IFERROR(VLOOKUP(TableHandbook[[#This Row],[UDC]],TableSTRUEDART[],7,FALSE),"")</f>
        <v/>
      </c>
      <c r="AS165" s="200" t="str">
        <f>IFERROR(VLOOKUP(TableHandbook[[#This Row],[UDC]],TableSTRUEDENG[],7,FALSE),"")</f>
        <v/>
      </c>
      <c r="AT165" s="200" t="str">
        <f>IFERROR(VLOOKUP(TableHandbook[[#This Row],[UDC]],TableSTRUEDHAS[],7,FALSE),"")</f>
        <v/>
      </c>
      <c r="AU165" s="200" t="str">
        <f>IFERROR(VLOOKUP(TableHandbook[[#This Row],[UDC]],TableSTRUEDMAT[],7,FALSE),"")</f>
        <v/>
      </c>
      <c r="AV165" s="200" t="str">
        <f>IFERROR(VLOOKUP(TableHandbook[[#This Row],[UDC]],TableSTRUEDSCI[],7,FALSE),"")</f>
        <v/>
      </c>
      <c r="AW165" s="200" t="str">
        <f>IFERROR(VLOOKUP(TableHandbook[[#This Row],[UDC]],TableSTRUENGLB[],7,FALSE),"")</f>
        <v/>
      </c>
      <c r="AX165" s="200" t="str">
        <f>IFERROR(VLOOKUP(TableHandbook[[#This Row],[UDC]],TableSTRUENGLM[],7,FALSE),"")</f>
        <v/>
      </c>
      <c r="AY165" s="200" t="str">
        <f>IFERROR(VLOOKUP(TableHandbook[[#This Row],[UDC]],TableSTRUGEOB1[],7,FALSE),"")</f>
        <v/>
      </c>
      <c r="AZ165" s="200" t="str">
        <f>IFERROR(VLOOKUP(TableHandbook[[#This Row],[UDC]],TableSTRUHISB1[],7,FALSE),"")</f>
        <v/>
      </c>
      <c r="BA165" s="200" t="str">
        <f>IFERROR(VLOOKUP(TableHandbook[[#This Row],[UDC]],TableSTRUHUMAM[],7,FALSE),"")</f>
        <v/>
      </c>
      <c r="BB165" s="200" t="str">
        <f>IFERROR(VLOOKUP(TableHandbook[[#This Row],[UDC]],TableSTRUHUMBB[],7,FALSE),"")</f>
        <v/>
      </c>
      <c r="BC165" s="200" t="str">
        <f>IFERROR(VLOOKUP(TableHandbook[[#This Row],[UDC]],TableSTRUMATHB[],7,FALSE),"")</f>
        <v/>
      </c>
      <c r="BD165" s="200" t="str">
        <f>IFERROR(VLOOKUP(TableHandbook[[#This Row],[UDC]],TableSTRUMATHM[],7,FALSE),"")</f>
        <v/>
      </c>
      <c r="BE165" s="200" t="str">
        <f>IFERROR(VLOOKUP(TableHandbook[[#This Row],[UDC]],TableSTRUPARTB[],7,FALSE),"")</f>
        <v/>
      </c>
      <c r="BF165" s="200" t="str">
        <f>IFERROR(VLOOKUP(TableHandbook[[#This Row],[UDC]],TableSTRUPARTM[],7,FALSE),"")</f>
        <v/>
      </c>
      <c r="BG165" s="200" t="str">
        <f>IFERROR(VLOOKUP(TableHandbook[[#This Row],[UDC]],TableSTRUPOLB1[],7,FALSE),"")</f>
        <v/>
      </c>
      <c r="BH165" s="200" t="str">
        <f>IFERROR(VLOOKUP(TableHandbook[[#This Row],[UDC]],TableSTRUPSCIM[],7,FALSE),"")</f>
        <v/>
      </c>
      <c r="BI165" s="200" t="str">
        <f>IFERROR(VLOOKUP(TableHandbook[[#This Row],[UDC]],TableSTRUPSYCB[],7,FALSE),"")</f>
        <v/>
      </c>
      <c r="BJ165" s="200" t="str">
        <f>IFERROR(VLOOKUP(TableHandbook[[#This Row],[UDC]],TableSTRUPSYCM[],7,FALSE),"")</f>
        <v/>
      </c>
      <c r="BK165" s="200" t="str">
        <f>IFERROR(VLOOKUP(TableHandbook[[#This Row],[UDC]],TableSTRUSOSCM[],7,FALSE),"")</f>
        <v/>
      </c>
      <c r="BL165" s="200" t="str">
        <f>IFERROR(VLOOKUP(TableHandbook[[#This Row],[UDC]],TableSTRUVARTB[],7,FALSE),"")</f>
        <v/>
      </c>
      <c r="BM165" s="200" t="str">
        <f>IFERROR(VLOOKUP(TableHandbook[[#This Row],[UDC]],TableSTRUVARTM[],7,FALSE),"")</f>
        <v/>
      </c>
    </row>
    <row r="166" spans="1:65" x14ac:dyDescent="0.25">
      <c r="A166" s="262" t="s">
        <v>755</v>
      </c>
      <c r="B166" s="12">
        <v>1</v>
      </c>
      <c r="C166" s="11"/>
      <c r="D166" s="11" t="s">
        <v>756</v>
      </c>
      <c r="E166" s="12">
        <v>25</v>
      </c>
      <c r="F166" s="131" t="s">
        <v>544</v>
      </c>
      <c r="G166" s="126" t="str">
        <f>IFERROR(IF(VLOOKUP(TableHandbook[[#This Row],[UDC]],TableAvailabilities[],2,FALSE)&gt;0,"Y",""),"")</f>
        <v/>
      </c>
      <c r="H166" s="127" t="str">
        <f>IFERROR(IF(VLOOKUP(TableHandbook[[#This Row],[UDC]],TableAvailabilities[],3,FALSE)&gt;0,"Y",""),"")</f>
        <v/>
      </c>
      <c r="I166" s="127" t="str">
        <f>IFERROR(IF(VLOOKUP(TableHandbook[[#This Row],[UDC]],TableAvailabilities[],4,FALSE)&gt;0,"Y",""),"")</f>
        <v/>
      </c>
      <c r="J166" s="128" t="str">
        <f>IFERROR(IF(VLOOKUP(TableHandbook[[#This Row],[UDC]],TableAvailabilities[],5,FALSE)&gt;0,"Y",""),"")</f>
        <v/>
      </c>
      <c r="K166" s="128" t="str">
        <f>IFERROR(IF(VLOOKUP(TableHandbook[[#This Row],[UDC]],TableAvailabilities[],6,FALSE)&gt;0,"Y",""),"")</f>
        <v/>
      </c>
      <c r="L166" s="127" t="str">
        <f>IFERROR(IF(VLOOKUP(TableHandbook[[#This Row],[UDC]],TableAvailabilities[],7,FALSE)&gt;0,"Y",""),"")</f>
        <v/>
      </c>
      <c r="M166" s="208" t="s">
        <v>589</v>
      </c>
      <c r="N166" s="205" t="str">
        <f>IFERROR(VLOOKUP(TableHandbook[[#This Row],[UDC]],TableBEDUC[],7,FALSE),"")</f>
        <v/>
      </c>
      <c r="O166" s="200" t="str">
        <f>IFERROR(VLOOKUP(TableHandbook[[#This Row],[UDC]],TableBEDEC[],7,FALSE),"")</f>
        <v/>
      </c>
      <c r="P166" s="200" t="str">
        <f>IFERROR(VLOOKUP(TableHandbook[[#This Row],[UDC]],TableBEDPR[],7,FALSE),"")</f>
        <v/>
      </c>
      <c r="Q166" s="200" t="str">
        <f>IFERROR(VLOOKUP(TableHandbook[[#This Row],[UDC]],TableSTRUCATHL[],7,FALSE),"")</f>
        <v/>
      </c>
      <c r="R166" s="200" t="str">
        <f>IFERROR(VLOOKUP(TableHandbook[[#This Row],[UDC]],TableSTRUENGLL[],7,FALSE),"")</f>
        <v/>
      </c>
      <c r="S166" s="200" t="str">
        <f>IFERROR(VLOOKUP(TableHandbook[[#This Row],[UDC]],TableSTRUINTBC[],7,FALSE),"")</f>
        <v/>
      </c>
      <c r="T166" s="200" t="str">
        <f>IFERROR(VLOOKUP(TableHandbook[[#This Row],[UDC]],TableSTRUISTEM[],7,FALSE),"")</f>
        <v/>
      </c>
      <c r="U166" s="200" t="str">
        <f>IFERROR(VLOOKUP(TableHandbook[[#This Row],[UDC]],TableSTRULITNU[],7,FALSE),"")</f>
        <v/>
      </c>
      <c r="V166" s="200" t="str">
        <f>IFERROR(VLOOKUP(TableHandbook[[#This Row],[UDC]],TableSTRUTECHS[],7,FALSE),"")</f>
        <v/>
      </c>
      <c r="W166" s="200" t="str">
        <f>IFERROR(VLOOKUP(TableHandbook[[#This Row],[UDC]],TableBEDSC[],7,FALSE),"")</f>
        <v/>
      </c>
      <c r="X166" s="200" t="str">
        <f>IFERROR(VLOOKUP(TableHandbook[[#This Row],[UDC]],TableMJRUARTDR[],7,FALSE),"")</f>
        <v/>
      </c>
      <c r="Y166" s="200" t="str">
        <f>IFERROR(VLOOKUP(TableHandbook[[#This Row],[UDC]],TableMJRUARTME[],7,FALSE),"")</f>
        <v/>
      </c>
      <c r="Z166" s="200" t="str">
        <f>IFERROR(VLOOKUP(TableHandbook[[#This Row],[UDC]],TableMJRUARTVA[],7,FALSE),"")</f>
        <v/>
      </c>
      <c r="AA166" s="200" t="str">
        <f>IFERROR(VLOOKUP(TableHandbook[[#This Row],[UDC]],TableMJRUENGLT[],7,FALSE),"")</f>
        <v/>
      </c>
      <c r="AB166" s="200" t="str">
        <f>IFERROR(VLOOKUP(TableHandbook[[#This Row],[UDC]],TableMJRUHLTPE[],7,FALSE),"")</f>
        <v/>
      </c>
      <c r="AC166" s="200" t="str">
        <f>IFERROR(VLOOKUP(TableHandbook[[#This Row],[UDC]],TableMJRUHUSEC[],7,FALSE),"")</f>
        <v/>
      </c>
      <c r="AD166" s="200" t="str">
        <f>IFERROR(VLOOKUP(TableHandbook[[#This Row],[UDC]],TableMJRUHUSGE[],7,FALSE),"")</f>
        <v/>
      </c>
      <c r="AE166" s="200" t="str">
        <f>IFERROR(VLOOKUP(TableHandbook[[#This Row],[UDC]],TableMJRUHUSHI[],7,FALSE),"")</f>
        <v/>
      </c>
      <c r="AF166" s="200" t="str">
        <f>IFERROR(VLOOKUP(TableHandbook[[#This Row],[UDC]],TableMJRUHUSPL[],7,FALSE),"")</f>
        <v/>
      </c>
      <c r="AG166" s="200" t="str">
        <f>IFERROR(VLOOKUP(TableHandbook[[#This Row],[UDC]],TableMJRUMATHT[],7,FALSE),"")</f>
        <v/>
      </c>
      <c r="AH166" s="200" t="str">
        <f>IFERROR(VLOOKUP(TableHandbook[[#This Row],[UDC]],TableMJRUSCIBI[],7,FALSE),"")</f>
        <v/>
      </c>
      <c r="AI166" s="200" t="str">
        <f>IFERROR(VLOOKUP(TableHandbook[[#This Row],[UDC]],TableMJRUSCICH[],7,FALSE),"")</f>
        <v/>
      </c>
      <c r="AJ166" s="200" t="str">
        <f>IFERROR(VLOOKUP(TableHandbook[[#This Row],[UDC]],TableMJRUSCIHB[],7,FALSE),"")</f>
        <v/>
      </c>
      <c r="AK166" s="200" t="str">
        <f>IFERROR(VLOOKUP(TableHandbook[[#This Row],[UDC]],TableMJRUSCIPH[],7,FALSE),"")</f>
        <v/>
      </c>
      <c r="AL166" s="200" t="str">
        <f>IFERROR(VLOOKUP(TableHandbook[[#This Row],[UDC]],TableMJRUSCIPS[],7,FALSE),"")</f>
        <v/>
      </c>
      <c r="AM166" s="202"/>
      <c r="AN166" s="200" t="str">
        <f>IFERROR(VLOOKUP(TableHandbook[[#This Row],[UDC]],TableSTRUBIOLB[],7,FALSE),"")</f>
        <v/>
      </c>
      <c r="AO166" s="200" t="str">
        <f>IFERROR(VLOOKUP(TableHandbook[[#This Row],[UDC]],TableSTRUBSCIM[],7,FALSE),"")</f>
        <v/>
      </c>
      <c r="AP166" s="200" t="str">
        <f>IFERROR(VLOOKUP(TableHandbook[[#This Row],[UDC]],TableSTRUCHEMB[],7,FALSE),"")</f>
        <v/>
      </c>
      <c r="AQ166" s="200" t="str">
        <f>IFERROR(VLOOKUP(TableHandbook[[#This Row],[UDC]],TableSTRUECOB1[],7,FALSE),"")</f>
        <v/>
      </c>
      <c r="AR166" s="200" t="str">
        <f>IFERROR(VLOOKUP(TableHandbook[[#This Row],[UDC]],TableSTRUEDART[],7,FALSE),"")</f>
        <v/>
      </c>
      <c r="AS166" s="200" t="str">
        <f>IFERROR(VLOOKUP(TableHandbook[[#This Row],[UDC]],TableSTRUEDENG[],7,FALSE),"")</f>
        <v/>
      </c>
      <c r="AT166" s="200" t="str">
        <f>IFERROR(VLOOKUP(TableHandbook[[#This Row],[UDC]],TableSTRUEDHAS[],7,FALSE),"")</f>
        <v/>
      </c>
      <c r="AU166" s="200" t="str">
        <f>IFERROR(VLOOKUP(TableHandbook[[#This Row],[UDC]],TableSTRUEDMAT[],7,FALSE),"")</f>
        <v/>
      </c>
      <c r="AV166" s="200" t="str">
        <f>IFERROR(VLOOKUP(TableHandbook[[#This Row],[UDC]],TableSTRUEDSCI[],7,FALSE),"")</f>
        <v/>
      </c>
      <c r="AW166" s="200" t="str">
        <f>IFERROR(VLOOKUP(TableHandbook[[#This Row],[UDC]],TableSTRUENGLB[],7,FALSE),"")</f>
        <v/>
      </c>
      <c r="AX166" s="200" t="str">
        <f>IFERROR(VLOOKUP(TableHandbook[[#This Row],[UDC]],TableSTRUENGLM[],7,FALSE),"")</f>
        <v/>
      </c>
      <c r="AY166" s="200" t="str">
        <f>IFERROR(VLOOKUP(TableHandbook[[#This Row],[UDC]],TableSTRUGEOB1[],7,FALSE),"")</f>
        <v/>
      </c>
      <c r="AZ166" s="200" t="str">
        <f>IFERROR(VLOOKUP(TableHandbook[[#This Row],[UDC]],TableSTRUHISB1[],7,FALSE),"")</f>
        <v/>
      </c>
      <c r="BA166" s="200" t="str">
        <f>IFERROR(VLOOKUP(TableHandbook[[#This Row],[UDC]],TableSTRUHUMAM[],7,FALSE),"")</f>
        <v/>
      </c>
      <c r="BB166" s="200" t="str">
        <f>IFERROR(VLOOKUP(TableHandbook[[#This Row],[UDC]],TableSTRUHUMBB[],7,FALSE),"")</f>
        <v/>
      </c>
      <c r="BC166" s="200" t="str">
        <f>IFERROR(VLOOKUP(TableHandbook[[#This Row],[UDC]],TableSTRUMATHB[],7,FALSE),"")</f>
        <v/>
      </c>
      <c r="BD166" s="200" t="str">
        <f>IFERROR(VLOOKUP(TableHandbook[[#This Row],[UDC]],TableSTRUMATHM[],7,FALSE),"")</f>
        <v/>
      </c>
      <c r="BE166" s="200" t="str">
        <f>IFERROR(VLOOKUP(TableHandbook[[#This Row],[UDC]],TableSTRUPARTB[],7,FALSE),"")</f>
        <v/>
      </c>
      <c r="BF166" s="200" t="str">
        <f>IFERROR(VLOOKUP(TableHandbook[[#This Row],[UDC]],TableSTRUPARTM[],7,FALSE),"")</f>
        <v/>
      </c>
      <c r="BG166" s="200" t="str">
        <f>IFERROR(VLOOKUP(TableHandbook[[#This Row],[UDC]],TableSTRUPOLB1[],7,FALSE),"")</f>
        <v/>
      </c>
      <c r="BH166" s="200" t="str">
        <f>IFERROR(VLOOKUP(TableHandbook[[#This Row],[UDC]],TableSTRUPSCIM[],7,FALSE),"")</f>
        <v/>
      </c>
      <c r="BI166" s="200" t="str">
        <f>IFERROR(VLOOKUP(TableHandbook[[#This Row],[UDC]],TableSTRUPSYCB[],7,FALSE),"")</f>
        <v/>
      </c>
      <c r="BJ166" s="200" t="str">
        <f>IFERROR(VLOOKUP(TableHandbook[[#This Row],[UDC]],TableSTRUPSYCM[],7,FALSE),"")</f>
        <v/>
      </c>
      <c r="BK166" s="200" t="str">
        <f>IFERROR(VLOOKUP(TableHandbook[[#This Row],[UDC]],TableSTRUSOSCM[],7,FALSE),"")</f>
        <v/>
      </c>
      <c r="BL166" s="200" t="str">
        <f>IFERROR(VLOOKUP(TableHandbook[[#This Row],[UDC]],TableSTRUVARTB[],7,FALSE),"")</f>
        <v/>
      </c>
      <c r="BM166" s="200" t="str">
        <f>IFERROR(VLOOKUP(TableHandbook[[#This Row],[UDC]],TableSTRUVARTM[],7,FALSE),"")</f>
        <v/>
      </c>
    </row>
    <row r="167" spans="1:65" x14ac:dyDescent="0.25">
      <c r="A167" s="262" t="s">
        <v>329</v>
      </c>
      <c r="B167" s="12">
        <v>1</v>
      </c>
      <c r="C167" s="11"/>
      <c r="D167" s="11" t="s">
        <v>757</v>
      </c>
      <c r="E167" s="12">
        <v>25</v>
      </c>
      <c r="F167" s="131" t="s">
        <v>544</v>
      </c>
      <c r="G167" s="126" t="str">
        <f>IFERROR(IF(VLOOKUP(TableHandbook[[#This Row],[UDC]],TableAvailabilities[],2,FALSE)&gt;0,"Y",""),"")</f>
        <v>Y</v>
      </c>
      <c r="H167" s="127" t="str">
        <f>IFERROR(IF(VLOOKUP(TableHandbook[[#This Row],[UDC]],TableAvailabilities[],3,FALSE)&gt;0,"Y",""),"")</f>
        <v>Y</v>
      </c>
      <c r="I167" s="127" t="str">
        <f>IFERROR(IF(VLOOKUP(TableHandbook[[#This Row],[UDC]],TableAvailabilities[],4,FALSE)&gt;0,"Y",""),"")</f>
        <v/>
      </c>
      <c r="J167" s="128" t="str">
        <f>IFERROR(IF(VLOOKUP(TableHandbook[[#This Row],[UDC]],TableAvailabilities[],5,FALSE)&gt;0,"Y",""),"")</f>
        <v/>
      </c>
      <c r="K167" s="128" t="str">
        <f>IFERROR(IF(VLOOKUP(TableHandbook[[#This Row],[UDC]],TableAvailabilities[],6,FALSE)&gt;0,"Y",""),"")</f>
        <v/>
      </c>
      <c r="L167" s="127" t="str">
        <f>IFERROR(IF(VLOOKUP(TableHandbook[[#This Row],[UDC]],TableAvailabilities[],7,FALSE)&gt;0,"Y",""),"")</f>
        <v/>
      </c>
      <c r="M167" s="207"/>
      <c r="N167" s="205" t="str">
        <f>IFERROR(VLOOKUP(TableHandbook[[#This Row],[UDC]],TableBEDUC[],7,FALSE),"")</f>
        <v/>
      </c>
      <c r="O167" s="200" t="str">
        <f>IFERROR(VLOOKUP(TableHandbook[[#This Row],[UDC]],TableBEDEC[],7,FALSE),"")</f>
        <v/>
      </c>
      <c r="P167" s="200" t="str">
        <f>IFERROR(VLOOKUP(TableHandbook[[#This Row],[UDC]],TableBEDPR[],7,FALSE),"")</f>
        <v/>
      </c>
      <c r="Q167" s="200" t="str">
        <f>IFERROR(VLOOKUP(TableHandbook[[#This Row],[UDC]],TableSTRUCATHL[],7,FALSE),"")</f>
        <v/>
      </c>
      <c r="R167" s="200" t="str">
        <f>IFERROR(VLOOKUP(TableHandbook[[#This Row],[UDC]],TableSTRUENGLL[],7,FALSE),"")</f>
        <v/>
      </c>
      <c r="S167" s="200" t="str">
        <f>IFERROR(VLOOKUP(TableHandbook[[#This Row],[UDC]],TableSTRUINTBC[],7,FALSE),"")</f>
        <v/>
      </c>
      <c r="T167" s="200" t="str">
        <f>IFERROR(VLOOKUP(TableHandbook[[#This Row],[UDC]],TableSTRUISTEM[],7,FALSE),"")</f>
        <v/>
      </c>
      <c r="U167" s="200" t="str">
        <f>IFERROR(VLOOKUP(TableHandbook[[#This Row],[UDC]],TableSTRULITNU[],7,FALSE),"")</f>
        <v/>
      </c>
      <c r="V167" s="200" t="str">
        <f>IFERROR(VLOOKUP(TableHandbook[[#This Row],[UDC]],TableSTRUTECHS[],7,FALSE),"")</f>
        <v/>
      </c>
      <c r="W167" s="200" t="str">
        <f>IFERROR(VLOOKUP(TableHandbook[[#This Row],[UDC]],TableBEDSC[],7,FALSE),"")</f>
        <v/>
      </c>
      <c r="X167" s="200" t="str">
        <f>IFERROR(VLOOKUP(TableHandbook[[#This Row],[UDC]],TableMJRUARTDR[],7,FALSE),"")</f>
        <v/>
      </c>
      <c r="Y167" s="200" t="str">
        <f>IFERROR(VLOOKUP(TableHandbook[[#This Row],[UDC]],TableMJRUARTME[],7,FALSE),"")</f>
        <v/>
      </c>
      <c r="Z167" s="200" t="str">
        <f>IFERROR(VLOOKUP(TableHandbook[[#This Row],[UDC]],TableMJRUARTVA[],7,FALSE),"")</f>
        <v/>
      </c>
      <c r="AA167" s="200" t="str">
        <f>IFERROR(VLOOKUP(TableHandbook[[#This Row],[UDC]],TableMJRUENGLT[],7,FALSE),"")</f>
        <v>Core</v>
      </c>
      <c r="AB167" s="200" t="str">
        <f>IFERROR(VLOOKUP(TableHandbook[[#This Row],[UDC]],TableMJRUHLTPE[],7,FALSE),"")</f>
        <v/>
      </c>
      <c r="AC167" s="200" t="str">
        <f>IFERROR(VLOOKUP(TableHandbook[[#This Row],[UDC]],TableMJRUHUSEC[],7,FALSE),"")</f>
        <v/>
      </c>
      <c r="AD167" s="200" t="str">
        <f>IFERROR(VLOOKUP(TableHandbook[[#This Row],[UDC]],TableMJRUHUSGE[],7,FALSE),"")</f>
        <v/>
      </c>
      <c r="AE167" s="200" t="str">
        <f>IFERROR(VLOOKUP(TableHandbook[[#This Row],[UDC]],TableMJRUHUSHI[],7,FALSE),"")</f>
        <v/>
      </c>
      <c r="AF167" s="200" t="str">
        <f>IFERROR(VLOOKUP(TableHandbook[[#This Row],[UDC]],TableMJRUHUSPL[],7,FALSE),"")</f>
        <v/>
      </c>
      <c r="AG167" s="200" t="str">
        <f>IFERROR(VLOOKUP(TableHandbook[[#This Row],[UDC]],TableMJRUMATHT[],7,FALSE),"")</f>
        <v/>
      </c>
      <c r="AH167" s="200" t="str">
        <f>IFERROR(VLOOKUP(TableHandbook[[#This Row],[UDC]],TableMJRUSCIBI[],7,FALSE),"")</f>
        <v/>
      </c>
      <c r="AI167" s="200" t="str">
        <f>IFERROR(VLOOKUP(TableHandbook[[#This Row],[UDC]],TableMJRUSCICH[],7,FALSE),"")</f>
        <v/>
      </c>
      <c r="AJ167" s="200" t="str">
        <f>IFERROR(VLOOKUP(TableHandbook[[#This Row],[UDC]],TableMJRUSCIHB[],7,FALSE),"")</f>
        <v/>
      </c>
      <c r="AK167" s="200" t="str">
        <f>IFERROR(VLOOKUP(TableHandbook[[#This Row],[UDC]],TableMJRUSCIPH[],7,FALSE),"")</f>
        <v/>
      </c>
      <c r="AL167" s="200" t="str">
        <f>IFERROR(VLOOKUP(TableHandbook[[#This Row],[UDC]],TableMJRUSCIPS[],7,FALSE),"")</f>
        <v/>
      </c>
      <c r="AM167" s="202"/>
      <c r="AN167" s="200" t="str">
        <f>IFERROR(VLOOKUP(TableHandbook[[#This Row],[UDC]],TableSTRUBIOLB[],7,FALSE),"")</f>
        <v/>
      </c>
      <c r="AO167" s="200" t="str">
        <f>IFERROR(VLOOKUP(TableHandbook[[#This Row],[UDC]],TableSTRUBSCIM[],7,FALSE),"")</f>
        <v/>
      </c>
      <c r="AP167" s="200" t="str">
        <f>IFERROR(VLOOKUP(TableHandbook[[#This Row],[UDC]],TableSTRUCHEMB[],7,FALSE),"")</f>
        <v/>
      </c>
      <c r="AQ167" s="200" t="str">
        <f>IFERROR(VLOOKUP(TableHandbook[[#This Row],[UDC]],TableSTRUECOB1[],7,FALSE),"")</f>
        <v/>
      </c>
      <c r="AR167" s="200" t="str">
        <f>IFERROR(VLOOKUP(TableHandbook[[#This Row],[UDC]],TableSTRUEDART[],7,FALSE),"")</f>
        <v/>
      </c>
      <c r="AS167" s="200" t="str">
        <f>IFERROR(VLOOKUP(TableHandbook[[#This Row],[UDC]],TableSTRUEDENG[],7,FALSE),"")</f>
        <v/>
      </c>
      <c r="AT167" s="200" t="str">
        <f>IFERROR(VLOOKUP(TableHandbook[[#This Row],[UDC]],TableSTRUEDHAS[],7,FALSE),"")</f>
        <v/>
      </c>
      <c r="AU167" s="200" t="str">
        <f>IFERROR(VLOOKUP(TableHandbook[[#This Row],[UDC]],TableSTRUEDMAT[],7,FALSE),"")</f>
        <v/>
      </c>
      <c r="AV167" s="200" t="str">
        <f>IFERROR(VLOOKUP(TableHandbook[[#This Row],[UDC]],TableSTRUEDSCI[],7,FALSE),"")</f>
        <v/>
      </c>
      <c r="AW167" s="200" t="str">
        <f>IFERROR(VLOOKUP(TableHandbook[[#This Row],[UDC]],TableSTRUENGLB[],7,FALSE),"")</f>
        <v/>
      </c>
      <c r="AX167" s="200" t="str">
        <f>IFERROR(VLOOKUP(TableHandbook[[#This Row],[UDC]],TableSTRUENGLM[],7,FALSE),"")</f>
        <v>Core</v>
      </c>
      <c r="AY167" s="200" t="str">
        <f>IFERROR(VLOOKUP(TableHandbook[[#This Row],[UDC]],TableSTRUGEOB1[],7,FALSE),"")</f>
        <v/>
      </c>
      <c r="AZ167" s="200" t="str">
        <f>IFERROR(VLOOKUP(TableHandbook[[#This Row],[UDC]],TableSTRUHISB1[],7,FALSE),"")</f>
        <v/>
      </c>
      <c r="BA167" s="200" t="str">
        <f>IFERROR(VLOOKUP(TableHandbook[[#This Row],[UDC]],TableSTRUHUMAM[],7,FALSE),"")</f>
        <v/>
      </c>
      <c r="BB167" s="200" t="str">
        <f>IFERROR(VLOOKUP(TableHandbook[[#This Row],[UDC]],TableSTRUHUMBB[],7,FALSE),"")</f>
        <v/>
      </c>
      <c r="BC167" s="200" t="str">
        <f>IFERROR(VLOOKUP(TableHandbook[[#This Row],[UDC]],TableSTRUMATHB[],7,FALSE),"")</f>
        <v/>
      </c>
      <c r="BD167" s="200" t="str">
        <f>IFERROR(VLOOKUP(TableHandbook[[#This Row],[UDC]],TableSTRUMATHM[],7,FALSE),"")</f>
        <v/>
      </c>
      <c r="BE167" s="200" t="str">
        <f>IFERROR(VLOOKUP(TableHandbook[[#This Row],[UDC]],TableSTRUPARTB[],7,FALSE),"")</f>
        <v/>
      </c>
      <c r="BF167" s="200" t="str">
        <f>IFERROR(VLOOKUP(TableHandbook[[#This Row],[UDC]],TableSTRUPARTM[],7,FALSE),"")</f>
        <v/>
      </c>
      <c r="BG167" s="200" t="str">
        <f>IFERROR(VLOOKUP(TableHandbook[[#This Row],[UDC]],TableSTRUPOLB1[],7,FALSE),"")</f>
        <v/>
      </c>
      <c r="BH167" s="200" t="str">
        <f>IFERROR(VLOOKUP(TableHandbook[[#This Row],[UDC]],TableSTRUPSCIM[],7,FALSE),"")</f>
        <v/>
      </c>
      <c r="BI167" s="200" t="str">
        <f>IFERROR(VLOOKUP(TableHandbook[[#This Row],[UDC]],TableSTRUPSYCB[],7,FALSE),"")</f>
        <v/>
      </c>
      <c r="BJ167" s="200" t="str">
        <f>IFERROR(VLOOKUP(TableHandbook[[#This Row],[UDC]],TableSTRUPSYCM[],7,FALSE),"")</f>
        <v/>
      </c>
      <c r="BK167" s="200" t="str">
        <f>IFERROR(VLOOKUP(TableHandbook[[#This Row],[UDC]],TableSTRUSOSCM[],7,FALSE),"")</f>
        <v/>
      </c>
      <c r="BL167" s="200" t="str">
        <f>IFERROR(VLOOKUP(TableHandbook[[#This Row],[UDC]],TableSTRUVARTB[],7,FALSE),"")</f>
        <v/>
      </c>
      <c r="BM167" s="200" t="str">
        <f>IFERROR(VLOOKUP(TableHandbook[[#This Row],[UDC]],TableSTRUVARTM[],7,FALSE),"")</f>
        <v/>
      </c>
    </row>
    <row r="168" spans="1:65" x14ac:dyDescent="0.25">
      <c r="A168" s="262" t="s">
        <v>367</v>
      </c>
      <c r="B168" s="300">
        <v>2</v>
      </c>
      <c r="C168" s="11"/>
      <c r="D168" s="11" t="s">
        <v>758</v>
      </c>
      <c r="E168" s="12">
        <v>25</v>
      </c>
      <c r="F168" s="131" t="s">
        <v>544</v>
      </c>
      <c r="G168" s="126" t="str">
        <f>IFERROR(IF(VLOOKUP(TableHandbook[[#This Row],[UDC]],TableAvailabilities[],2,FALSE)&gt;0,"Y",""),"")</f>
        <v>Y</v>
      </c>
      <c r="H168" s="127" t="str">
        <f>IFERROR(IF(VLOOKUP(TableHandbook[[#This Row],[UDC]],TableAvailabilities[],3,FALSE)&gt;0,"Y",""),"")</f>
        <v>Y</v>
      </c>
      <c r="I168" s="127" t="str">
        <f>IFERROR(IF(VLOOKUP(TableHandbook[[#This Row],[UDC]],TableAvailabilities[],4,FALSE)&gt;0,"Y",""),"")</f>
        <v/>
      </c>
      <c r="J168" s="128" t="str">
        <f>IFERROR(IF(VLOOKUP(TableHandbook[[#This Row],[UDC]],TableAvailabilities[],5,FALSE)&gt;0,"Y",""),"")</f>
        <v/>
      </c>
      <c r="K168" s="128" t="str">
        <f>IFERROR(IF(VLOOKUP(TableHandbook[[#This Row],[UDC]],TableAvailabilities[],6,FALSE)&gt;0,"Y",""),"")</f>
        <v/>
      </c>
      <c r="L168" s="127" t="str">
        <f>IFERROR(IF(VLOOKUP(TableHandbook[[#This Row],[UDC]],TableAvailabilities[],7,FALSE)&gt;0,"Y",""),"")</f>
        <v/>
      </c>
      <c r="M168" s="207" t="s">
        <v>586</v>
      </c>
      <c r="N168" s="205" t="str">
        <f>IFERROR(VLOOKUP(TableHandbook[[#This Row],[UDC]],TableBEDUC[],7,FALSE),"")</f>
        <v/>
      </c>
      <c r="O168" s="200" t="str">
        <f>IFERROR(VLOOKUP(TableHandbook[[#This Row],[UDC]],TableBEDEC[],7,FALSE),"")</f>
        <v/>
      </c>
      <c r="P168" s="200" t="str">
        <f>IFERROR(VLOOKUP(TableHandbook[[#This Row],[UDC]],TableBEDPR[],7,FALSE),"")</f>
        <v/>
      </c>
      <c r="Q168" s="200" t="str">
        <f>IFERROR(VLOOKUP(TableHandbook[[#This Row],[UDC]],TableSTRUCATHL[],7,FALSE),"")</f>
        <v/>
      </c>
      <c r="R168" s="200" t="str">
        <f>IFERROR(VLOOKUP(TableHandbook[[#This Row],[UDC]],TableSTRUENGLL[],7,FALSE),"")</f>
        <v/>
      </c>
      <c r="S168" s="200" t="str">
        <f>IFERROR(VLOOKUP(TableHandbook[[#This Row],[UDC]],TableSTRUINTBC[],7,FALSE),"")</f>
        <v/>
      </c>
      <c r="T168" s="200" t="str">
        <f>IFERROR(VLOOKUP(TableHandbook[[#This Row],[UDC]],TableSTRUISTEM[],7,FALSE),"")</f>
        <v/>
      </c>
      <c r="U168" s="200" t="str">
        <f>IFERROR(VLOOKUP(TableHandbook[[#This Row],[UDC]],TableSTRULITNU[],7,FALSE),"")</f>
        <v/>
      </c>
      <c r="V168" s="200" t="str">
        <f>IFERROR(VLOOKUP(TableHandbook[[#This Row],[UDC]],TableSTRUTECHS[],7,FALSE),"")</f>
        <v/>
      </c>
      <c r="W168" s="200" t="str">
        <f>IFERROR(VLOOKUP(TableHandbook[[#This Row],[UDC]],TableBEDSC[],7,FALSE),"")</f>
        <v/>
      </c>
      <c r="X168" s="200" t="str">
        <f>IFERROR(VLOOKUP(TableHandbook[[#This Row],[UDC]],TableMJRUARTDR[],7,FALSE),"")</f>
        <v/>
      </c>
      <c r="Y168" s="200" t="str">
        <f>IFERROR(VLOOKUP(TableHandbook[[#This Row],[UDC]],TableMJRUARTME[],7,FALSE),"")</f>
        <v/>
      </c>
      <c r="Z168" s="200" t="str">
        <f>IFERROR(VLOOKUP(TableHandbook[[#This Row],[UDC]],TableMJRUARTVA[],7,FALSE),"")</f>
        <v/>
      </c>
      <c r="AA168" s="200" t="str">
        <f>IFERROR(VLOOKUP(TableHandbook[[#This Row],[UDC]],TableMJRUENGLT[],7,FALSE),"")</f>
        <v>Core</v>
      </c>
      <c r="AB168" s="200" t="str">
        <f>IFERROR(VLOOKUP(TableHandbook[[#This Row],[UDC]],TableMJRUHLTPE[],7,FALSE),"")</f>
        <v/>
      </c>
      <c r="AC168" s="200" t="str">
        <f>IFERROR(VLOOKUP(TableHandbook[[#This Row],[UDC]],TableMJRUHUSEC[],7,FALSE),"")</f>
        <v/>
      </c>
      <c r="AD168" s="200" t="str">
        <f>IFERROR(VLOOKUP(TableHandbook[[#This Row],[UDC]],TableMJRUHUSGE[],7,FALSE),"")</f>
        <v/>
      </c>
      <c r="AE168" s="200" t="str">
        <f>IFERROR(VLOOKUP(TableHandbook[[#This Row],[UDC]],TableMJRUHUSHI[],7,FALSE),"")</f>
        <v/>
      </c>
      <c r="AF168" s="200" t="str">
        <f>IFERROR(VLOOKUP(TableHandbook[[#This Row],[UDC]],TableMJRUHUSPL[],7,FALSE),"")</f>
        <v/>
      </c>
      <c r="AG168" s="200" t="str">
        <f>IFERROR(VLOOKUP(TableHandbook[[#This Row],[UDC]],TableMJRUMATHT[],7,FALSE),"")</f>
        <v/>
      </c>
      <c r="AH168" s="200" t="str">
        <f>IFERROR(VLOOKUP(TableHandbook[[#This Row],[UDC]],TableMJRUSCIBI[],7,FALSE),"")</f>
        <v/>
      </c>
      <c r="AI168" s="200" t="str">
        <f>IFERROR(VLOOKUP(TableHandbook[[#This Row],[UDC]],TableMJRUSCICH[],7,FALSE),"")</f>
        <v/>
      </c>
      <c r="AJ168" s="200" t="str">
        <f>IFERROR(VLOOKUP(TableHandbook[[#This Row],[UDC]],TableMJRUSCIHB[],7,FALSE),"")</f>
        <v/>
      </c>
      <c r="AK168" s="200" t="str">
        <f>IFERROR(VLOOKUP(TableHandbook[[#This Row],[UDC]],TableMJRUSCIPH[],7,FALSE),"")</f>
        <v/>
      </c>
      <c r="AL168" s="200" t="str">
        <f>IFERROR(VLOOKUP(TableHandbook[[#This Row],[UDC]],TableMJRUSCIPS[],7,FALSE),"")</f>
        <v/>
      </c>
      <c r="AM168" s="202"/>
      <c r="AN168" s="200" t="str">
        <f>IFERROR(VLOOKUP(TableHandbook[[#This Row],[UDC]],TableSTRUBIOLB[],7,FALSE),"")</f>
        <v/>
      </c>
      <c r="AO168" s="200" t="str">
        <f>IFERROR(VLOOKUP(TableHandbook[[#This Row],[UDC]],TableSTRUBSCIM[],7,FALSE),"")</f>
        <v/>
      </c>
      <c r="AP168" s="200" t="str">
        <f>IFERROR(VLOOKUP(TableHandbook[[#This Row],[UDC]],TableSTRUCHEMB[],7,FALSE),"")</f>
        <v/>
      </c>
      <c r="AQ168" s="200" t="str">
        <f>IFERROR(VLOOKUP(TableHandbook[[#This Row],[UDC]],TableSTRUECOB1[],7,FALSE),"")</f>
        <v/>
      </c>
      <c r="AR168" s="200" t="str">
        <f>IFERROR(VLOOKUP(TableHandbook[[#This Row],[UDC]],TableSTRUEDART[],7,FALSE),"")</f>
        <v/>
      </c>
      <c r="AS168" s="200" t="str">
        <f>IFERROR(VLOOKUP(TableHandbook[[#This Row],[UDC]],TableSTRUEDENG[],7,FALSE),"")</f>
        <v/>
      </c>
      <c r="AT168" s="200" t="str">
        <f>IFERROR(VLOOKUP(TableHandbook[[#This Row],[UDC]],TableSTRUEDHAS[],7,FALSE),"")</f>
        <v/>
      </c>
      <c r="AU168" s="200" t="str">
        <f>IFERROR(VLOOKUP(TableHandbook[[#This Row],[UDC]],TableSTRUEDMAT[],7,FALSE),"")</f>
        <v/>
      </c>
      <c r="AV168" s="200" t="str">
        <f>IFERROR(VLOOKUP(TableHandbook[[#This Row],[UDC]],TableSTRUEDSCI[],7,FALSE),"")</f>
        <v/>
      </c>
      <c r="AW168" s="200" t="str">
        <f>IFERROR(VLOOKUP(TableHandbook[[#This Row],[UDC]],TableSTRUENGLB[],7,FALSE),"")</f>
        <v/>
      </c>
      <c r="AX168" s="200" t="str">
        <f>IFERROR(VLOOKUP(TableHandbook[[#This Row],[UDC]],TableSTRUENGLM[],7,FALSE),"")</f>
        <v>Core</v>
      </c>
      <c r="AY168" s="200" t="str">
        <f>IFERROR(VLOOKUP(TableHandbook[[#This Row],[UDC]],TableSTRUGEOB1[],7,FALSE),"")</f>
        <v/>
      </c>
      <c r="AZ168" s="200" t="str">
        <f>IFERROR(VLOOKUP(TableHandbook[[#This Row],[UDC]],TableSTRUHISB1[],7,FALSE),"")</f>
        <v/>
      </c>
      <c r="BA168" s="200" t="str">
        <f>IFERROR(VLOOKUP(TableHandbook[[#This Row],[UDC]],TableSTRUHUMAM[],7,FALSE),"")</f>
        <v/>
      </c>
      <c r="BB168" s="200" t="str">
        <f>IFERROR(VLOOKUP(TableHandbook[[#This Row],[UDC]],TableSTRUHUMBB[],7,FALSE),"")</f>
        <v/>
      </c>
      <c r="BC168" s="200" t="str">
        <f>IFERROR(VLOOKUP(TableHandbook[[#This Row],[UDC]],TableSTRUMATHB[],7,FALSE),"")</f>
        <v/>
      </c>
      <c r="BD168" s="200" t="str">
        <f>IFERROR(VLOOKUP(TableHandbook[[#This Row],[UDC]],TableSTRUMATHM[],7,FALSE),"")</f>
        <v/>
      </c>
      <c r="BE168" s="200" t="str">
        <f>IFERROR(VLOOKUP(TableHandbook[[#This Row],[UDC]],TableSTRUPARTB[],7,FALSE),"")</f>
        <v/>
      </c>
      <c r="BF168" s="200" t="str">
        <f>IFERROR(VLOOKUP(TableHandbook[[#This Row],[UDC]],TableSTRUPARTM[],7,FALSE),"")</f>
        <v/>
      </c>
      <c r="BG168" s="200" t="str">
        <f>IFERROR(VLOOKUP(TableHandbook[[#This Row],[UDC]],TableSTRUPOLB1[],7,FALSE),"")</f>
        <v/>
      </c>
      <c r="BH168" s="200" t="str">
        <f>IFERROR(VLOOKUP(TableHandbook[[#This Row],[UDC]],TableSTRUPSCIM[],7,FALSE),"")</f>
        <v/>
      </c>
      <c r="BI168" s="200" t="str">
        <f>IFERROR(VLOOKUP(TableHandbook[[#This Row],[UDC]],TableSTRUPSYCB[],7,FALSE),"")</f>
        <v/>
      </c>
      <c r="BJ168" s="200" t="str">
        <f>IFERROR(VLOOKUP(TableHandbook[[#This Row],[UDC]],TableSTRUPSYCM[],7,FALSE),"")</f>
        <v/>
      </c>
      <c r="BK168" s="200" t="str">
        <f>IFERROR(VLOOKUP(TableHandbook[[#This Row],[UDC]],TableSTRUSOSCM[],7,FALSE),"")</f>
        <v/>
      </c>
      <c r="BL168" s="200" t="str">
        <f>IFERROR(VLOOKUP(TableHandbook[[#This Row],[UDC]],TableSTRUVARTB[],7,FALSE),"")</f>
        <v/>
      </c>
      <c r="BM168" s="200" t="str">
        <f>IFERROR(VLOOKUP(TableHandbook[[#This Row],[UDC]],TableSTRUVARTM[],7,FALSE),"")</f>
        <v/>
      </c>
    </row>
    <row r="169" spans="1:65" x14ac:dyDescent="0.25">
      <c r="A169" s="262" t="s">
        <v>759</v>
      </c>
      <c r="B169" s="12">
        <v>1</v>
      </c>
      <c r="C169" s="11"/>
      <c r="D169" s="11" t="s">
        <v>760</v>
      </c>
      <c r="E169" s="12">
        <v>25</v>
      </c>
      <c r="F169" s="131" t="s">
        <v>544</v>
      </c>
      <c r="G169" s="126" t="str">
        <f>IFERROR(IF(VLOOKUP(TableHandbook[[#This Row],[UDC]],TableAvailabilities[],2,FALSE)&gt;0,"Y",""),"")</f>
        <v/>
      </c>
      <c r="H169" s="127" t="str">
        <f>IFERROR(IF(VLOOKUP(TableHandbook[[#This Row],[UDC]],TableAvailabilities[],3,FALSE)&gt;0,"Y",""),"")</f>
        <v/>
      </c>
      <c r="I169" s="127" t="str">
        <f>IFERROR(IF(VLOOKUP(TableHandbook[[#This Row],[UDC]],TableAvailabilities[],4,FALSE)&gt;0,"Y",""),"")</f>
        <v/>
      </c>
      <c r="J169" s="128" t="str">
        <f>IFERROR(IF(VLOOKUP(TableHandbook[[#This Row],[UDC]],TableAvailabilities[],5,FALSE)&gt;0,"Y",""),"")</f>
        <v/>
      </c>
      <c r="K169" s="128" t="str">
        <f>IFERROR(IF(VLOOKUP(TableHandbook[[#This Row],[UDC]],TableAvailabilities[],6,FALSE)&gt;0,"Y",""),"")</f>
        <v/>
      </c>
      <c r="L169" s="127" t="str">
        <f>IFERROR(IF(VLOOKUP(TableHandbook[[#This Row],[UDC]],TableAvailabilities[],7,FALSE)&gt;0,"Y",""),"")</f>
        <v/>
      </c>
      <c r="M169" s="207" t="s">
        <v>589</v>
      </c>
      <c r="N169" s="205" t="str">
        <f>IFERROR(VLOOKUP(TableHandbook[[#This Row],[UDC]],TableBEDUC[],7,FALSE),"")</f>
        <v/>
      </c>
      <c r="O169" s="200" t="str">
        <f>IFERROR(VLOOKUP(TableHandbook[[#This Row],[UDC]],TableBEDEC[],7,FALSE),"")</f>
        <v/>
      </c>
      <c r="P169" s="200" t="str">
        <f>IFERROR(VLOOKUP(TableHandbook[[#This Row],[UDC]],TableBEDPR[],7,FALSE),"")</f>
        <v/>
      </c>
      <c r="Q169" s="200" t="str">
        <f>IFERROR(VLOOKUP(TableHandbook[[#This Row],[UDC]],TableSTRUCATHL[],7,FALSE),"")</f>
        <v/>
      </c>
      <c r="R169" s="200" t="str">
        <f>IFERROR(VLOOKUP(TableHandbook[[#This Row],[UDC]],TableSTRUENGLL[],7,FALSE),"")</f>
        <v/>
      </c>
      <c r="S169" s="200" t="str">
        <f>IFERROR(VLOOKUP(TableHandbook[[#This Row],[UDC]],TableSTRUINTBC[],7,FALSE),"")</f>
        <v/>
      </c>
      <c r="T169" s="200" t="str">
        <f>IFERROR(VLOOKUP(TableHandbook[[#This Row],[UDC]],TableSTRUISTEM[],7,FALSE),"")</f>
        <v/>
      </c>
      <c r="U169" s="200" t="str">
        <f>IFERROR(VLOOKUP(TableHandbook[[#This Row],[UDC]],TableSTRULITNU[],7,FALSE),"")</f>
        <v/>
      </c>
      <c r="V169" s="200" t="str">
        <f>IFERROR(VLOOKUP(TableHandbook[[#This Row],[UDC]],TableSTRUTECHS[],7,FALSE),"")</f>
        <v/>
      </c>
      <c r="W169" s="200" t="str">
        <f>IFERROR(VLOOKUP(TableHandbook[[#This Row],[UDC]],TableBEDSC[],7,FALSE),"")</f>
        <v/>
      </c>
      <c r="X169" s="200" t="str">
        <f>IFERROR(VLOOKUP(TableHandbook[[#This Row],[UDC]],TableMJRUARTDR[],7,FALSE),"")</f>
        <v/>
      </c>
      <c r="Y169" s="200" t="str">
        <f>IFERROR(VLOOKUP(TableHandbook[[#This Row],[UDC]],TableMJRUARTME[],7,FALSE),"")</f>
        <v/>
      </c>
      <c r="Z169" s="200" t="str">
        <f>IFERROR(VLOOKUP(TableHandbook[[#This Row],[UDC]],TableMJRUARTVA[],7,FALSE),"")</f>
        <v/>
      </c>
      <c r="AA169" s="200" t="str">
        <f>IFERROR(VLOOKUP(TableHandbook[[#This Row],[UDC]],TableMJRUENGLT[],7,FALSE),"")</f>
        <v/>
      </c>
      <c r="AB169" s="200" t="str">
        <f>IFERROR(VLOOKUP(TableHandbook[[#This Row],[UDC]],TableMJRUHLTPE[],7,FALSE),"")</f>
        <v/>
      </c>
      <c r="AC169" s="200" t="str">
        <f>IFERROR(VLOOKUP(TableHandbook[[#This Row],[UDC]],TableMJRUHUSEC[],7,FALSE),"")</f>
        <v/>
      </c>
      <c r="AD169" s="200" t="str">
        <f>IFERROR(VLOOKUP(TableHandbook[[#This Row],[UDC]],TableMJRUHUSGE[],7,FALSE),"")</f>
        <v/>
      </c>
      <c r="AE169" s="200" t="str">
        <f>IFERROR(VLOOKUP(TableHandbook[[#This Row],[UDC]],TableMJRUHUSHI[],7,FALSE),"")</f>
        <v/>
      </c>
      <c r="AF169" s="200" t="str">
        <f>IFERROR(VLOOKUP(TableHandbook[[#This Row],[UDC]],TableMJRUHUSPL[],7,FALSE),"")</f>
        <v/>
      </c>
      <c r="AG169" s="200" t="str">
        <f>IFERROR(VLOOKUP(TableHandbook[[#This Row],[UDC]],TableMJRUMATHT[],7,FALSE),"")</f>
        <v/>
      </c>
      <c r="AH169" s="200" t="str">
        <f>IFERROR(VLOOKUP(TableHandbook[[#This Row],[UDC]],TableMJRUSCIBI[],7,FALSE),"")</f>
        <v/>
      </c>
      <c r="AI169" s="200" t="str">
        <f>IFERROR(VLOOKUP(TableHandbook[[#This Row],[UDC]],TableMJRUSCICH[],7,FALSE),"")</f>
        <v/>
      </c>
      <c r="AJ169" s="200" t="str">
        <f>IFERROR(VLOOKUP(TableHandbook[[#This Row],[UDC]],TableMJRUSCIHB[],7,FALSE),"")</f>
        <v/>
      </c>
      <c r="AK169" s="200" t="str">
        <f>IFERROR(VLOOKUP(TableHandbook[[#This Row],[UDC]],TableMJRUSCIPH[],7,FALSE),"")</f>
        <v/>
      </c>
      <c r="AL169" s="200" t="str">
        <f>IFERROR(VLOOKUP(TableHandbook[[#This Row],[UDC]],TableMJRUSCIPS[],7,FALSE),"")</f>
        <v/>
      </c>
      <c r="AM169" s="202"/>
      <c r="AN169" s="200" t="str">
        <f>IFERROR(VLOOKUP(TableHandbook[[#This Row],[UDC]],TableSTRUBIOLB[],7,FALSE),"")</f>
        <v/>
      </c>
      <c r="AO169" s="200" t="str">
        <f>IFERROR(VLOOKUP(TableHandbook[[#This Row],[UDC]],TableSTRUBSCIM[],7,FALSE),"")</f>
        <v/>
      </c>
      <c r="AP169" s="200" t="str">
        <f>IFERROR(VLOOKUP(TableHandbook[[#This Row],[UDC]],TableSTRUCHEMB[],7,FALSE),"")</f>
        <v/>
      </c>
      <c r="AQ169" s="200" t="str">
        <f>IFERROR(VLOOKUP(TableHandbook[[#This Row],[UDC]],TableSTRUECOB1[],7,FALSE),"")</f>
        <v/>
      </c>
      <c r="AR169" s="200" t="str">
        <f>IFERROR(VLOOKUP(TableHandbook[[#This Row],[UDC]],TableSTRUEDART[],7,FALSE),"")</f>
        <v/>
      </c>
      <c r="AS169" s="200" t="str">
        <f>IFERROR(VLOOKUP(TableHandbook[[#This Row],[UDC]],TableSTRUEDENG[],7,FALSE),"")</f>
        <v/>
      </c>
      <c r="AT169" s="200" t="str">
        <f>IFERROR(VLOOKUP(TableHandbook[[#This Row],[UDC]],TableSTRUEDHAS[],7,FALSE),"")</f>
        <v/>
      </c>
      <c r="AU169" s="200" t="str">
        <f>IFERROR(VLOOKUP(TableHandbook[[#This Row],[UDC]],TableSTRUEDMAT[],7,FALSE),"")</f>
        <v/>
      </c>
      <c r="AV169" s="200" t="str">
        <f>IFERROR(VLOOKUP(TableHandbook[[#This Row],[UDC]],TableSTRUEDSCI[],7,FALSE),"")</f>
        <v/>
      </c>
      <c r="AW169" s="200" t="str">
        <f>IFERROR(VLOOKUP(TableHandbook[[#This Row],[UDC]],TableSTRUENGLB[],7,FALSE),"")</f>
        <v/>
      </c>
      <c r="AX169" s="200" t="str">
        <f>IFERROR(VLOOKUP(TableHandbook[[#This Row],[UDC]],TableSTRUENGLM[],7,FALSE),"")</f>
        <v/>
      </c>
      <c r="AY169" s="200" t="str">
        <f>IFERROR(VLOOKUP(TableHandbook[[#This Row],[UDC]],TableSTRUGEOB1[],7,FALSE),"")</f>
        <v/>
      </c>
      <c r="AZ169" s="200" t="str">
        <f>IFERROR(VLOOKUP(TableHandbook[[#This Row],[UDC]],TableSTRUHISB1[],7,FALSE),"")</f>
        <v/>
      </c>
      <c r="BA169" s="200" t="str">
        <f>IFERROR(VLOOKUP(TableHandbook[[#This Row],[UDC]],TableSTRUHUMAM[],7,FALSE),"")</f>
        <v/>
      </c>
      <c r="BB169" s="200" t="str">
        <f>IFERROR(VLOOKUP(TableHandbook[[#This Row],[UDC]],TableSTRUHUMBB[],7,FALSE),"")</f>
        <v/>
      </c>
      <c r="BC169" s="200" t="str">
        <f>IFERROR(VLOOKUP(TableHandbook[[#This Row],[UDC]],TableSTRUMATHB[],7,FALSE),"")</f>
        <v/>
      </c>
      <c r="BD169" s="200" t="str">
        <f>IFERROR(VLOOKUP(TableHandbook[[#This Row],[UDC]],TableSTRUMATHM[],7,FALSE),"")</f>
        <v/>
      </c>
      <c r="BE169" s="200" t="str">
        <f>IFERROR(VLOOKUP(TableHandbook[[#This Row],[UDC]],TableSTRUPARTB[],7,FALSE),"")</f>
        <v/>
      </c>
      <c r="BF169" s="200" t="str">
        <f>IFERROR(VLOOKUP(TableHandbook[[#This Row],[UDC]],TableSTRUPARTM[],7,FALSE),"")</f>
        <v/>
      </c>
      <c r="BG169" s="200" t="str">
        <f>IFERROR(VLOOKUP(TableHandbook[[#This Row],[UDC]],TableSTRUPOLB1[],7,FALSE),"")</f>
        <v/>
      </c>
      <c r="BH169" s="200" t="str">
        <f>IFERROR(VLOOKUP(TableHandbook[[#This Row],[UDC]],TableSTRUPSCIM[],7,FALSE),"")</f>
        <v/>
      </c>
      <c r="BI169" s="200" t="str">
        <f>IFERROR(VLOOKUP(TableHandbook[[#This Row],[UDC]],TableSTRUPSYCB[],7,FALSE),"")</f>
        <v/>
      </c>
      <c r="BJ169" s="200" t="str">
        <f>IFERROR(VLOOKUP(TableHandbook[[#This Row],[UDC]],TableSTRUPSYCM[],7,FALSE),"")</f>
        <v/>
      </c>
      <c r="BK169" s="200" t="str">
        <f>IFERROR(VLOOKUP(TableHandbook[[#This Row],[UDC]],TableSTRUSOSCM[],7,FALSE),"")</f>
        <v/>
      </c>
      <c r="BL169" s="200" t="str">
        <f>IFERROR(VLOOKUP(TableHandbook[[#This Row],[UDC]],TableSTRUVARTB[],7,FALSE),"")</f>
        <v/>
      </c>
      <c r="BM169" s="200" t="str">
        <f>IFERROR(VLOOKUP(TableHandbook[[#This Row],[UDC]],TableSTRUVARTM[],7,FALSE),"")</f>
        <v/>
      </c>
    </row>
    <row r="170" spans="1:65" x14ac:dyDescent="0.25">
      <c r="A170" s="262" t="s">
        <v>351</v>
      </c>
      <c r="B170" s="12">
        <v>1</v>
      </c>
      <c r="C170" s="11"/>
      <c r="D170" s="11" t="s">
        <v>761</v>
      </c>
      <c r="E170" s="12">
        <v>25</v>
      </c>
      <c r="F170" s="131" t="s">
        <v>544</v>
      </c>
      <c r="G170" s="126" t="str">
        <f>IFERROR(IF(VLOOKUP(TableHandbook[[#This Row],[UDC]],TableAvailabilities[],2,FALSE)&gt;0,"Y",""),"")</f>
        <v/>
      </c>
      <c r="H170" s="127" t="str">
        <f>IFERROR(IF(VLOOKUP(TableHandbook[[#This Row],[UDC]],TableAvailabilities[],3,FALSE)&gt;0,"Y",""),"")</f>
        <v/>
      </c>
      <c r="I170" s="127" t="str">
        <f>IFERROR(IF(VLOOKUP(TableHandbook[[#This Row],[UDC]],TableAvailabilities[],4,FALSE)&gt;0,"Y",""),"")</f>
        <v/>
      </c>
      <c r="J170" s="128" t="str">
        <f>IFERROR(IF(VLOOKUP(TableHandbook[[#This Row],[UDC]],TableAvailabilities[],5,FALSE)&gt;0,"Y",""),"")</f>
        <v>Y</v>
      </c>
      <c r="K170" s="128" t="str">
        <f>IFERROR(IF(VLOOKUP(TableHandbook[[#This Row],[UDC]],TableAvailabilities[],6,FALSE)&gt;0,"Y",""),"")</f>
        <v>Y</v>
      </c>
      <c r="L170" s="127" t="str">
        <f>IFERROR(IF(VLOOKUP(TableHandbook[[#This Row],[UDC]],TableAvailabilities[],7,FALSE)&gt;0,"Y",""),"")</f>
        <v/>
      </c>
      <c r="M170" s="207"/>
      <c r="N170" s="205" t="str">
        <f>IFERROR(VLOOKUP(TableHandbook[[#This Row],[UDC]],TableBEDUC[],7,FALSE),"")</f>
        <v/>
      </c>
      <c r="O170" s="200" t="str">
        <f>IFERROR(VLOOKUP(TableHandbook[[#This Row],[UDC]],TableBEDEC[],7,FALSE),"")</f>
        <v/>
      </c>
      <c r="P170" s="200" t="str">
        <f>IFERROR(VLOOKUP(TableHandbook[[#This Row],[UDC]],TableBEDPR[],7,FALSE),"")</f>
        <v/>
      </c>
      <c r="Q170" s="200" t="str">
        <f>IFERROR(VLOOKUP(TableHandbook[[#This Row],[UDC]],TableSTRUCATHL[],7,FALSE),"")</f>
        <v/>
      </c>
      <c r="R170" s="200" t="str">
        <f>IFERROR(VLOOKUP(TableHandbook[[#This Row],[UDC]],TableSTRUENGLL[],7,FALSE),"")</f>
        <v/>
      </c>
      <c r="S170" s="200" t="str">
        <f>IFERROR(VLOOKUP(TableHandbook[[#This Row],[UDC]],TableSTRUINTBC[],7,FALSE),"")</f>
        <v/>
      </c>
      <c r="T170" s="200" t="str">
        <f>IFERROR(VLOOKUP(TableHandbook[[#This Row],[UDC]],TableSTRUISTEM[],7,FALSE),"")</f>
        <v/>
      </c>
      <c r="U170" s="200" t="str">
        <f>IFERROR(VLOOKUP(TableHandbook[[#This Row],[UDC]],TableSTRULITNU[],7,FALSE),"")</f>
        <v/>
      </c>
      <c r="V170" s="200" t="str">
        <f>IFERROR(VLOOKUP(TableHandbook[[#This Row],[UDC]],TableSTRUTECHS[],7,FALSE),"")</f>
        <v/>
      </c>
      <c r="W170" s="200" t="str">
        <f>IFERROR(VLOOKUP(TableHandbook[[#This Row],[UDC]],TableBEDSC[],7,FALSE),"")</f>
        <v/>
      </c>
      <c r="X170" s="200" t="str">
        <f>IFERROR(VLOOKUP(TableHandbook[[#This Row],[UDC]],TableMJRUARTDR[],7,FALSE),"")</f>
        <v/>
      </c>
      <c r="Y170" s="200" t="str">
        <f>IFERROR(VLOOKUP(TableHandbook[[#This Row],[UDC]],TableMJRUARTME[],7,FALSE),"")</f>
        <v/>
      </c>
      <c r="Z170" s="200" t="str">
        <f>IFERROR(VLOOKUP(TableHandbook[[#This Row],[UDC]],TableMJRUARTVA[],7,FALSE),"")</f>
        <v/>
      </c>
      <c r="AA170" s="200" t="str">
        <f>IFERROR(VLOOKUP(TableHandbook[[#This Row],[UDC]],TableMJRUENGLT[],7,FALSE),"")</f>
        <v>Core</v>
      </c>
      <c r="AB170" s="200" t="str">
        <f>IFERROR(VLOOKUP(TableHandbook[[#This Row],[UDC]],TableMJRUHLTPE[],7,FALSE),"")</f>
        <v/>
      </c>
      <c r="AC170" s="200" t="str">
        <f>IFERROR(VLOOKUP(TableHandbook[[#This Row],[UDC]],TableMJRUHUSEC[],7,FALSE),"")</f>
        <v/>
      </c>
      <c r="AD170" s="200" t="str">
        <f>IFERROR(VLOOKUP(TableHandbook[[#This Row],[UDC]],TableMJRUHUSGE[],7,FALSE),"")</f>
        <v/>
      </c>
      <c r="AE170" s="200" t="str">
        <f>IFERROR(VLOOKUP(TableHandbook[[#This Row],[UDC]],TableMJRUHUSHI[],7,FALSE),"")</f>
        <v/>
      </c>
      <c r="AF170" s="200" t="str">
        <f>IFERROR(VLOOKUP(TableHandbook[[#This Row],[UDC]],TableMJRUHUSPL[],7,FALSE),"")</f>
        <v/>
      </c>
      <c r="AG170" s="200" t="str">
        <f>IFERROR(VLOOKUP(TableHandbook[[#This Row],[UDC]],TableMJRUMATHT[],7,FALSE),"")</f>
        <v/>
      </c>
      <c r="AH170" s="200" t="str">
        <f>IFERROR(VLOOKUP(TableHandbook[[#This Row],[UDC]],TableMJRUSCIBI[],7,FALSE),"")</f>
        <v/>
      </c>
      <c r="AI170" s="200" t="str">
        <f>IFERROR(VLOOKUP(TableHandbook[[#This Row],[UDC]],TableMJRUSCICH[],7,FALSE),"")</f>
        <v/>
      </c>
      <c r="AJ170" s="200" t="str">
        <f>IFERROR(VLOOKUP(TableHandbook[[#This Row],[UDC]],TableMJRUSCIHB[],7,FALSE),"")</f>
        <v/>
      </c>
      <c r="AK170" s="200" t="str">
        <f>IFERROR(VLOOKUP(TableHandbook[[#This Row],[UDC]],TableMJRUSCIPH[],7,FALSE),"")</f>
        <v/>
      </c>
      <c r="AL170" s="200" t="str">
        <f>IFERROR(VLOOKUP(TableHandbook[[#This Row],[UDC]],TableMJRUSCIPS[],7,FALSE),"")</f>
        <v/>
      </c>
      <c r="AM170" s="202"/>
      <c r="AN170" s="200" t="str">
        <f>IFERROR(VLOOKUP(TableHandbook[[#This Row],[UDC]],TableSTRUBIOLB[],7,FALSE),"")</f>
        <v/>
      </c>
      <c r="AO170" s="200" t="str">
        <f>IFERROR(VLOOKUP(TableHandbook[[#This Row],[UDC]],TableSTRUBSCIM[],7,FALSE),"")</f>
        <v/>
      </c>
      <c r="AP170" s="200" t="str">
        <f>IFERROR(VLOOKUP(TableHandbook[[#This Row],[UDC]],TableSTRUCHEMB[],7,FALSE),"")</f>
        <v/>
      </c>
      <c r="AQ170" s="200" t="str">
        <f>IFERROR(VLOOKUP(TableHandbook[[#This Row],[UDC]],TableSTRUECOB1[],7,FALSE),"")</f>
        <v/>
      </c>
      <c r="AR170" s="200" t="str">
        <f>IFERROR(VLOOKUP(TableHandbook[[#This Row],[UDC]],TableSTRUEDART[],7,FALSE),"")</f>
        <v/>
      </c>
      <c r="AS170" s="200" t="str">
        <f>IFERROR(VLOOKUP(TableHandbook[[#This Row],[UDC]],TableSTRUEDENG[],7,FALSE),"")</f>
        <v/>
      </c>
      <c r="AT170" s="200" t="str">
        <f>IFERROR(VLOOKUP(TableHandbook[[#This Row],[UDC]],TableSTRUEDHAS[],7,FALSE),"")</f>
        <v/>
      </c>
      <c r="AU170" s="200" t="str">
        <f>IFERROR(VLOOKUP(TableHandbook[[#This Row],[UDC]],TableSTRUEDMAT[],7,FALSE),"")</f>
        <v/>
      </c>
      <c r="AV170" s="200" t="str">
        <f>IFERROR(VLOOKUP(TableHandbook[[#This Row],[UDC]],TableSTRUEDSCI[],7,FALSE),"")</f>
        <v/>
      </c>
      <c r="AW170" s="200" t="str">
        <f>IFERROR(VLOOKUP(TableHandbook[[#This Row],[UDC]],TableSTRUENGLB[],7,FALSE),"")</f>
        <v/>
      </c>
      <c r="AX170" s="200" t="str">
        <f>IFERROR(VLOOKUP(TableHandbook[[#This Row],[UDC]],TableSTRUENGLM[],7,FALSE),"")</f>
        <v>Core</v>
      </c>
      <c r="AY170" s="200" t="str">
        <f>IFERROR(VLOOKUP(TableHandbook[[#This Row],[UDC]],TableSTRUGEOB1[],7,FALSE),"")</f>
        <v/>
      </c>
      <c r="AZ170" s="200" t="str">
        <f>IFERROR(VLOOKUP(TableHandbook[[#This Row],[UDC]],TableSTRUHISB1[],7,FALSE),"")</f>
        <v/>
      </c>
      <c r="BA170" s="200" t="str">
        <f>IFERROR(VLOOKUP(TableHandbook[[#This Row],[UDC]],TableSTRUHUMAM[],7,FALSE),"")</f>
        <v/>
      </c>
      <c r="BB170" s="200" t="str">
        <f>IFERROR(VLOOKUP(TableHandbook[[#This Row],[UDC]],TableSTRUHUMBB[],7,FALSE),"")</f>
        <v/>
      </c>
      <c r="BC170" s="200" t="str">
        <f>IFERROR(VLOOKUP(TableHandbook[[#This Row],[UDC]],TableSTRUMATHB[],7,FALSE),"")</f>
        <v/>
      </c>
      <c r="BD170" s="200" t="str">
        <f>IFERROR(VLOOKUP(TableHandbook[[#This Row],[UDC]],TableSTRUMATHM[],7,FALSE),"")</f>
        <v/>
      </c>
      <c r="BE170" s="200" t="str">
        <f>IFERROR(VLOOKUP(TableHandbook[[#This Row],[UDC]],TableSTRUPARTB[],7,FALSE),"")</f>
        <v/>
      </c>
      <c r="BF170" s="200" t="str">
        <f>IFERROR(VLOOKUP(TableHandbook[[#This Row],[UDC]],TableSTRUPARTM[],7,FALSE),"")</f>
        <v/>
      </c>
      <c r="BG170" s="200" t="str">
        <f>IFERROR(VLOOKUP(TableHandbook[[#This Row],[UDC]],TableSTRUPOLB1[],7,FALSE),"")</f>
        <v/>
      </c>
      <c r="BH170" s="200" t="str">
        <f>IFERROR(VLOOKUP(TableHandbook[[#This Row],[UDC]],TableSTRUPSCIM[],7,FALSE),"")</f>
        <v/>
      </c>
      <c r="BI170" s="200" t="str">
        <f>IFERROR(VLOOKUP(TableHandbook[[#This Row],[UDC]],TableSTRUPSYCB[],7,FALSE),"")</f>
        <v/>
      </c>
      <c r="BJ170" s="200" t="str">
        <f>IFERROR(VLOOKUP(TableHandbook[[#This Row],[UDC]],TableSTRUPSYCM[],7,FALSE),"")</f>
        <v/>
      </c>
      <c r="BK170" s="200" t="str">
        <f>IFERROR(VLOOKUP(TableHandbook[[#This Row],[UDC]],TableSTRUSOSCM[],7,FALSE),"")</f>
        <v/>
      </c>
      <c r="BL170" s="200" t="str">
        <f>IFERROR(VLOOKUP(TableHandbook[[#This Row],[UDC]],TableSTRUVARTB[],7,FALSE),"")</f>
        <v/>
      </c>
      <c r="BM170" s="200" t="str">
        <f>IFERROR(VLOOKUP(TableHandbook[[#This Row],[UDC]],TableSTRUVARTM[],7,FALSE),"")</f>
        <v/>
      </c>
    </row>
    <row r="171" spans="1:65" x14ac:dyDescent="0.25">
      <c r="A171" s="262" t="s">
        <v>397</v>
      </c>
      <c r="B171" s="12">
        <v>1</v>
      </c>
      <c r="C171" s="11"/>
      <c r="D171" s="11" t="s">
        <v>762</v>
      </c>
      <c r="E171" s="12">
        <v>25</v>
      </c>
      <c r="F171" s="131" t="s">
        <v>544</v>
      </c>
      <c r="G171" s="126" t="str">
        <f>IFERROR(IF(VLOOKUP(TableHandbook[[#This Row],[UDC]],TableAvailabilities[],2,FALSE)&gt;0,"Y",""),"")</f>
        <v>Y</v>
      </c>
      <c r="H171" s="127" t="str">
        <f>IFERROR(IF(VLOOKUP(TableHandbook[[#This Row],[UDC]],TableAvailabilities[],3,FALSE)&gt;0,"Y",""),"")</f>
        <v>Y</v>
      </c>
      <c r="I171" s="127" t="str">
        <f>IFERROR(IF(VLOOKUP(TableHandbook[[#This Row],[UDC]],TableAvailabilities[],4,FALSE)&gt;0,"Y",""),"")</f>
        <v/>
      </c>
      <c r="J171" s="128" t="str">
        <f>IFERROR(IF(VLOOKUP(TableHandbook[[#This Row],[UDC]],TableAvailabilities[],5,FALSE)&gt;0,"Y",""),"")</f>
        <v/>
      </c>
      <c r="K171" s="128" t="str">
        <f>IFERROR(IF(VLOOKUP(TableHandbook[[#This Row],[UDC]],TableAvailabilities[],6,FALSE)&gt;0,"Y",""),"")</f>
        <v/>
      </c>
      <c r="L171" s="127" t="str">
        <f>IFERROR(IF(VLOOKUP(TableHandbook[[#This Row],[UDC]],TableAvailabilities[],7,FALSE)&gt;0,"Y",""),"")</f>
        <v/>
      </c>
      <c r="M171" s="207"/>
      <c r="N171" s="205" t="str">
        <f>IFERROR(VLOOKUP(TableHandbook[[#This Row],[UDC]],TableBEDUC[],7,FALSE),"")</f>
        <v/>
      </c>
      <c r="O171" s="200" t="str">
        <f>IFERROR(VLOOKUP(TableHandbook[[#This Row],[UDC]],TableBEDEC[],7,FALSE),"")</f>
        <v/>
      </c>
      <c r="P171" s="200" t="str">
        <f>IFERROR(VLOOKUP(TableHandbook[[#This Row],[UDC]],TableBEDPR[],7,FALSE),"")</f>
        <v/>
      </c>
      <c r="Q171" s="200" t="str">
        <f>IFERROR(VLOOKUP(TableHandbook[[#This Row],[UDC]],TableSTRUCATHL[],7,FALSE),"")</f>
        <v/>
      </c>
      <c r="R171" s="200" t="str">
        <f>IFERROR(VLOOKUP(TableHandbook[[#This Row],[UDC]],TableSTRUENGLL[],7,FALSE),"")</f>
        <v/>
      </c>
      <c r="S171" s="200" t="str">
        <f>IFERROR(VLOOKUP(TableHandbook[[#This Row],[UDC]],TableSTRUINTBC[],7,FALSE),"")</f>
        <v/>
      </c>
      <c r="T171" s="200" t="str">
        <f>IFERROR(VLOOKUP(TableHandbook[[#This Row],[UDC]],TableSTRUISTEM[],7,FALSE),"")</f>
        <v/>
      </c>
      <c r="U171" s="200" t="str">
        <f>IFERROR(VLOOKUP(TableHandbook[[#This Row],[UDC]],TableSTRULITNU[],7,FALSE),"")</f>
        <v/>
      </c>
      <c r="V171" s="200" t="str">
        <f>IFERROR(VLOOKUP(TableHandbook[[#This Row],[UDC]],TableSTRUTECHS[],7,FALSE),"")</f>
        <v/>
      </c>
      <c r="W171" s="200" t="str">
        <f>IFERROR(VLOOKUP(TableHandbook[[#This Row],[UDC]],TableBEDSC[],7,FALSE),"")</f>
        <v/>
      </c>
      <c r="X171" s="200" t="str">
        <f>IFERROR(VLOOKUP(TableHandbook[[#This Row],[UDC]],TableMJRUARTDR[],7,FALSE),"")</f>
        <v/>
      </c>
      <c r="Y171" s="200" t="str">
        <f>IFERROR(VLOOKUP(TableHandbook[[#This Row],[UDC]],TableMJRUARTME[],7,FALSE),"")</f>
        <v/>
      </c>
      <c r="Z171" s="200" t="str">
        <f>IFERROR(VLOOKUP(TableHandbook[[#This Row],[UDC]],TableMJRUARTVA[],7,FALSE),"")</f>
        <v/>
      </c>
      <c r="AA171" s="200" t="str">
        <f>IFERROR(VLOOKUP(TableHandbook[[#This Row],[UDC]],TableMJRUENGLT[],7,FALSE),"")</f>
        <v>Core</v>
      </c>
      <c r="AB171" s="200" t="str">
        <f>IFERROR(VLOOKUP(TableHandbook[[#This Row],[UDC]],TableMJRUHLTPE[],7,FALSE),"")</f>
        <v/>
      </c>
      <c r="AC171" s="200" t="str">
        <f>IFERROR(VLOOKUP(TableHandbook[[#This Row],[UDC]],TableMJRUHUSEC[],7,FALSE),"")</f>
        <v/>
      </c>
      <c r="AD171" s="200" t="str">
        <f>IFERROR(VLOOKUP(TableHandbook[[#This Row],[UDC]],TableMJRUHUSGE[],7,FALSE),"")</f>
        <v/>
      </c>
      <c r="AE171" s="200" t="str">
        <f>IFERROR(VLOOKUP(TableHandbook[[#This Row],[UDC]],TableMJRUHUSHI[],7,FALSE),"")</f>
        <v/>
      </c>
      <c r="AF171" s="200" t="str">
        <f>IFERROR(VLOOKUP(TableHandbook[[#This Row],[UDC]],TableMJRUHUSPL[],7,FALSE),"")</f>
        <v/>
      </c>
      <c r="AG171" s="200" t="str">
        <f>IFERROR(VLOOKUP(TableHandbook[[#This Row],[UDC]],TableMJRUMATHT[],7,FALSE),"")</f>
        <v/>
      </c>
      <c r="AH171" s="200" t="str">
        <f>IFERROR(VLOOKUP(TableHandbook[[#This Row],[UDC]],TableMJRUSCIBI[],7,FALSE),"")</f>
        <v/>
      </c>
      <c r="AI171" s="200" t="str">
        <f>IFERROR(VLOOKUP(TableHandbook[[#This Row],[UDC]],TableMJRUSCICH[],7,FALSE),"")</f>
        <v/>
      </c>
      <c r="AJ171" s="200" t="str">
        <f>IFERROR(VLOOKUP(TableHandbook[[#This Row],[UDC]],TableMJRUSCIHB[],7,FALSE),"")</f>
        <v/>
      </c>
      <c r="AK171" s="200" t="str">
        <f>IFERROR(VLOOKUP(TableHandbook[[#This Row],[UDC]],TableMJRUSCIPH[],7,FALSE),"")</f>
        <v/>
      </c>
      <c r="AL171" s="200" t="str">
        <f>IFERROR(VLOOKUP(TableHandbook[[#This Row],[UDC]],TableMJRUSCIPS[],7,FALSE),"")</f>
        <v/>
      </c>
      <c r="AM171" s="202"/>
      <c r="AN171" s="200" t="str">
        <f>IFERROR(VLOOKUP(TableHandbook[[#This Row],[UDC]],TableSTRUBIOLB[],7,FALSE),"")</f>
        <v/>
      </c>
      <c r="AO171" s="200" t="str">
        <f>IFERROR(VLOOKUP(TableHandbook[[#This Row],[UDC]],TableSTRUBSCIM[],7,FALSE),"")</f>
        <v/>
      </c>
      <c r="AP171" s="200" t="str">
        <f>IFERROR(VLOOKUP(TableHandbook[[#This Row],[UDC]],TableSTRUCHEMB[],7,FALSE),"")</f>
        <v/>
      </c>
      <c r="AQ171" s="200" t="str">
        <f>IFERROR(VLOOKUP(TableHandbook[[#This Row],[UDC]],TableSTRUECOB1[],7,FALSE),"")</f>
        <v/>
      </c>
      <c r="AR171" s="200" t="str">
        <f>IFERROR(VLOOKUP(TableHandbook[[#This Row],[UDC]],TableSTRUEDART[],7,FALSE),"")</f>
        <v/>
      </c>
      <c r="AS171" s="200" t="str">
        <f>IFERROR(VLOOKUP(TableHandbook[[#This Row],[UDC]],TableSTRUEDENG[],7,FALSE),"")</f>
        <v/>
      </c>
      <c r="AT171" s="200" t="str">
        <f>IFERROR(VLOOKUP(TableHandbook[[#This Row],[UDC]],TableSTRUEDHAS[],7,FALSE),"")</f>
        <v/>
      </c>
      <c r="AU171" s="200" t="str">
        <f>IFERROR(VLOOKUP(TableHandbook[[#This Row],[UDC]],TableSTRUEDMAT[],7,FALSE),"")</f>
        <v/>
      </c>
      <c r="AV171" s="200" t="str">
        <f>IFERROR(VLOOKUP(TableHandbook[[#This Row],[UDC]],TableSTRUEDSCI[],7,FALSE),"")</f>
        <v/>
      </c>
      <c r="AW171" s="200" t="str">
        <f>IFERROR(VLOOKUP(TableHandbook[[#This Row],[UDC]],TableSTRUENGLB[],7,FALSE),"")</f>
        <v/>
      </c>
      <c r="AX171" s="200" t="str">
        <f>IFERROR(VLOOKUP(TableHandbook[[#This Row],[UDC]],TableSTRUENGLM[],7,FALSE),"")</f>
        <v/>
      </c>
      <c r="AY171" s="200" t="str">
        <f>IFERROR(VLOOKUP(TableHandbook[[#This Row],[UDC]],TableSTRUGEOB1[],7,FALSE),"")</f>
        <v/>
      </c>
      <c r="AZ171" s="200" t="str">
        <f>IFERROR(VLOOKUP(TableHandbook[[#This Row],[UDC]],TableSTRUHISB1[],7,FALSE),"")</f>
        <v/>
      </c>
      <c r="BA171" s="200" t="str">
        <f>IFERROR(VLOOKUP(TableHandbook[[#This Row],[UDC]],TableSTRUHUMAM[],7,FALSE),"")</f>
        <v/>
      </c>
      <c r="BB171" s="200" t="str">
        <f>IFERROR(VLOOKUP(TableHandbook[[#This Row],[UDC]],TableSTRUHUMBB[],7,FALSE),"")</f>
        <v/>
      </c>
      <c r="BC171" s="200" t="str">
        <f>IFERROR(VLOOKUP(TableHandbook[[#This Row],[UDC]],TableSTRUMATHB[],7,FALSE),"")</f>
        <v/>
      </c>
      <c r="BD171" s="200" t="str">
        <f>IFERROR(VLOOKUP(TableHandbook[[#This Row],[UDC]],TableSTRUMATHM[],7,FALSE),"")</f>
        <v/>
      </c>
      <c r="BE171" s="200" t="str">
        <f>IFERROR(VLOOKUP(TableHandbook[[#This Row],[UDC]],TableSTRUPARTB[],7,FALSE),"")</f>
        <v/>
      </c>
      <c r="BF171" s="200" t="str">
        <f>IFERROR(VLOOKUP(TableHandbook[[#This Row],[UDC]],TableSTRUPARTM[],7,FALSE),"")</f>
        <v/>
      </c>
      <c r="BG171" s="200" t="str">
        <f>IFERROR(VLOOKUP(TableHandbook[[#This Row],[UDC]],TableSTRUPOLB1[],7,FALSE),"")</f>
        <v/>
      </c>
      <c r="BH171" s="200" t="str">
        <f>IFERROR(VLOOKUP(TableHandbook[[#This Row],[UDC]],TableSTRUPSCIM[],7,FALSE),"")</f>
        <v/>
      </c>
      <c r="BI171" s="200" t="str">
        <f>IFERROR(VLOOKUP(TableHandbook[[#This Row],[UDC]],TableSTRUPSYCB[],7,FALSE),"")</f>
        <v/>
      </c>
      <c r="BJ171" s="200" t="str">
        <f>IFERROR(VLOOKUP(TableHandbook[[#This Row],[UDC]],TableSTRUPSYCM[],7,FALSE),"")</f>
        <v/>
      </c>
      <c r="BK171" s="200" t="str">
        <f>IFERROR(VLOOKUP(TableHandbook[[#This Row],[UDC]],TableSTRUSOSCM[],7,FALSE),"")</f>
        <v/>
      </c>
      <c r="BL171" s="200" t="str">
        <f>IFERROR(VLOOKUP(TableHandbook[[#This Row],[UDC]],TableSTRUVARTB[],7,FALSE),"")</f>
        <v/>
      </c>
      <c r="BM171" s="200" t="str">
        <f>IFERROR(VLOOKUP(TableHandbook[[#This Row],[UDC]],TableSTRUVARTM[],7,FALSE),"")</f>
        <v/>
      </c>
    </row>
    <row r="172" spans="1:65" x14ac:dyDescent="0.25">
      <c r="A172" s="262" t="s">
        <v>381</v>
      </c>
      <c r="B172" s="12">
        <v>1</v>
      </c>
      <c r="C172" s="11"/>
      <c r="D172" s="11" t="s">
        <v>763</v>
      </c>
      <c r="E172" s="12">
        <v>25</v>
      </c>
      <c r="F172" s="131" t="s">
        <v>544</v>
      </c>
      <c r="G172" s="126" t="str">
        <f>IFERROR(IF(VLOOKUP(TableHandbook[[#This Row],[UDC]],TableAvailabilities[],2,FALSE)&gt;0,"Y",""),"")</f>
        <v/>
      </c>
      <c r="H172" s="127" t="str">
        <f>IFERROR(IF(VLOOKUP(TableHandbook[[#This Row],[UDC]],TableAvailabilities[],3,FALSE)&gt;0,"Y",""),"")</f>
        <v/>
      </c>
      <c r="I172" s="127" t="str">
        <f>IFERROR(IF(VLOOKUP(TableHandbook[[#This Row],[UDC]],TableAvailabilities[],4,FALSE)&gt;0,"Y",""),"")</f>
        <v/>
      </c>
      <c r="J172" s="128" t="str">
        <f>IFERROR(IF(VLOOKUP(TableHandbook[[#This Row],[UDC]],TableAvailabilities[],5,FALSE)&gt;0,"Y",""),"")</f>
        <v>Y</v>
      </c>
      <c r="K172" s="128" t="str">
        <f>IFERROR(IF(VLOOKUP(TableHandbook[[#This Row],[UDC]],TableAvailabilities[],6,FALSE)&gt;0,"Y",""),"")</f>
        <v>Y</v>
      </c>
      <c r="L172" s="127" t="str">
        <f>IFERROR(IF(VLOOKUP(TableHandbook[[#This Row],[UDC]],TableAvailabilities[],7,FALSE)&gt;0,"Y",""),"")</f>
        <v/>
      </c>
      <c r="M172" s="207"/>
      <c r="N172" s="205" t="str">
        <f>IFERROR(VLOOKUP(TableHandbook[[#This Row],[UDC]],TableBEDUC[],7,FALSE),"")</f>
        <v/>
      </c>
      <c r="O172" s="200" t="str">
        <f>IFERROR(VLOOKUP(TableHandbook[[#This Row],[UDC]],TableBEDEC[],7,FALSE),"")</f>
        <v/>
      </c>
      <c r="P172" s="200" t="str">
        <f>IFERROR(VLOOKUP(TableHandbook[[#This Row],[UDC]],TableBEDPR[],7,FALSE),"")</f>
        <v/>
      </c>
      <c r="Q172" s="200" t="str">
        <f>IFERROR(VLOOKUP(TableHandbook[[#This Row],[UDC]],TableSTRUCATHL[],7,FALSE),"")</f>
        <v/>
      </c>
      <c r="R172" s="200" t="str">
        <f>IFERROR(VLOOKUP(TableHandbook[[#This Row],[UDC]],TableSTRUENGLL[],7,FALSE),"")</f>
        <v/>
      </c>
      <c r="S172" s="200" t="str">
        <f>IFERROR(VLOOKUP(TableHandbook[[#This Row],[UDC]],TableSTRUINTBC[],7,FALSE),"")</f>
        <v/>
      </c>
      <c r="T172" s="200" t="str">
        <f>IFERROR(VLOOKUP(TableHandbook[[#This Row],[UDC]],TableSTRUISTEM[],7,FALSE),"")</f>
        <v/>
      </c>
      <c r="U172" s="200" t="str">
        <f>IFERROR(VLOOKUP(TableHandbook[[#This Row],[UDC]],TableSTRULITNU[],7,FALSE),"")</f>
        <v/>
      </c>
      <c r="V172" s="200" t="str">
        <f>IFERROR(VLOOKUP(TableHandbook[[#This Row],[UDC]],TableSTRUTECHS[],7,FALSE),"")</f>
        <v/>
      </c>
      <c r="W172" s="200" t="str">
        <f>IFERROR(VLOOKUP(TableHandbook[[#This Row],[UDC]],TableBEDSC[],7,FALSE),"")</f>
        <v/>
      </c>
      <c r="X172" s="200" t="str">
        <f>IFERROR(VLOOKUP(TableHandbook[[#This Row],[UDC]],TableMJRUARTDR[],7,FALSE),"")</f>
        <v/>
      </c>
      <c r="Y172" s="200" t="str">
        <f>IFERROR(VLOOKUP(TableHandbook[[#This Row],[UDC]],TableMJRUARTME[],7,FALSE),"")</f>
        <v/>
      </c>
      <c r="Z172" s="200" t="str">
        <f>IFERROR(VLOOKUP(TableHandbook[[#This Row],[UDC]],TableMJRUARTVA[],7,FALSE),"")</f>
        <v/>
      </c>
      <c r="AA172" s="200" t="str">
        <f>IFERROR(VLOOKUP(TableHandbook[[#This Row],[UDC]],TableMJRUENGLT[],7,FALSE),"")</f>
        <v>Core</v>
      </c>
      <c r="AB172" s="200" t="str">
        <f>IFERROR(VLOOKUP(TableHandbook[[#This Row],[UDC]],TableMJRUHLTPE[],7,FALSE),"")</f>
        <v/>
      </c>
      <c r="AC172" s="200" t="str">
        <f>IFERROR(VLOOKUP(TableHandbook[[#This Row],[UDC]],TableMJRUHUSEC[],7,FALSE),"")</f>
        <v/>
      </c>
      <c r="AD172" s="200" t="str">
        <f>IFERROR(VLOOKUP(TableHandbook[[#This Row],[UDC]],TableMJRUHUSGE[],7,FALSE),"")</f>
        <v/>
      </c>
      <c r="AE172" s="200" t="str">
        <f>IFERROR(VLOOKUP(TableHandbook[[#This Row],[UDC]],TableMJRUHUSHI[],7,FALSE),"")</f>
        <v/>
      </c>
      <c r="AF172" s="200" t="str">
        <f>IFERROR(VLOOKUP(TableHandbook[[#This Row],[UDC]],TableMJRUHUSPL[],7,FALSE),"")</f>
        <v/>
      </c>
      <c r="AG172" s="200" t="str">
        <f>IFERROR(VLOOKUP(TableHandbook[[#This Row],[UDC]],TableMJRUMATHT[],7,FALSE),"")</f>
        <v/>
      </c>
      <c r="AH172" s="200" t="str">
        <f>IFERROR(VLOOKUP(TableHandbook[[#This Row],[UDC]],TableMJRUSCIBI[],7,FALSE),"")</f>
        <v/>
      </c>
      <c r="AI172" s="200" t="str">
        <f>IFERROR(VLOOKUP(TableHandbook[[#This Row],[UDC]],TableMJRUSCICH[],7,FALSE),"")</f>
        <v/>
      </c>
      <c r="AJ172" s="200" t="str">
        <f>IFERROR(VLOOKUP(TableHandbook[[#This Row],[UDC]],TableMJRUSCIHB[],7,FALSE),"")</f>
        <v/>
      </c>
      <c r="AK172" s="200" t="str">
        <f>IFERROR(VLOOKUP(TableHandbook[[#This Row],[UDC]],TableMJRUSCIPH[],7,FALSE),"")</f>
        <v/>
      </c>
      <c r="AL172" s="200" t="str">
        <f>IFERROR(VLOOKUP(TableHandbook[[#This Row],[UDC]],TableMJRUSCIPS[],7,FALSE),"")</f>
        <v/>
      </c>
      <c r="AM172" s="202"/>
      <c r="AN172" s="200" t="str">
        <f>IFERROR(VLOOKUP(TableHandbook[[#This Row],[UDC]],TableSTRUBIOLB[],7,FALSE),"")</f>
        <v/>
      </c>
      <c r="AO172" s="200" t="str">
        <f>IFERROR(VLOOKUP(TableHandbook[[#This Row],[UDC]],TableSTRUBSCIM[],7,FALSE),"")</f>
        <v/>
      </c>
      <c r="AP172" s="200" t="str">
        <f>IFERROR(VLOOKUP(TableHandbook[[#This Row],[UDC]],TableSTRUCHEMB[],7,FALSE),"")</f>
        <v/>
      </c>
      <c r="AQ172" s="200" t="str">
        <f>IFERROR(VLOOKUP(TableHandbook[[#This Row],[UDC]],TableSTRUECOB1[],7,FALSE),"")</f>
        <v/>
      </c>
      <c r="AR172" s="200" t="str">
        <f>IFERROR(VLOOKUP(TableHandbook[[#This Row],[UDC]],TableSTRUEDART[],7,FALSE),"")</f>
        <v/>
      </c>
      <c r="AS172" s="200" t="str">
        <f>IFERROR(VLOOKUP(TableHandbook[[#This Row],[UDC]],TableSTRUEDENG[],7,FALSE),"")</f>
        <v/>
      </c>
      <c r="AT172" s="200" t="str">
        <f>IFERROR(VLOOKUP(TableHandbook[[#This Row],[UDC]],TableSTRUEDHAS[],7,FALSE),"")</f>
        <v/>
      </c>
      <c r="AU172" s="200" t="str">
        <f>IFERROR(VLOOKUP(TableHandbook[[#This Row],[UDC]],TableSTRUEDMAT[],7,FALSE),"")</f>
        <v/>
      </c>
      <c r="AV172" s="200" t="str">
        <f>IFERROR(VLOOKUP(TableHandbook[[#This Row],[UDC]],TableSTRUEDSCI[],7,FALSE),"")</f>
        <v/>
      </c>
      <c r="AW172" s="200" t="str">
        <f>IFERROR(VLOOKUP(TableHandbook[[#This Row],[UDC]],TableSTRUENGLB[],7,FALSE),"")</f>
        <v/>
      </c>
      <c r="AX172" s="200" t="str">
        <f>IFERROR(VLOOKUP(TableHandbook[[#This Row],[UDC]],TableSTRUENGLM[],7,FALSE),"")</f>
        <v/>
      </c>
      <c r="AY172" s="200" t="str">
        <f>IFERROR(VLOOKUP(TableHandbook[[#This Row],[UDC]],TableSTRUGEOB1[],7,FALSE),"")</f>
        <v/>
      </c>
      <c r="AZ172" s="200" t="str">
        <f>IFERROR(VLOOKUP(TableHandbook[[#This Row],[UDC]],TableSTRUHISB1[],7,FALSE),"")</f>
        <v/>
      </c>
      <c r="BA172" s="200" t="str">
        <f>IFERROR(VLOOKUP(TableHandbook[[#This Row],[UDC]],TableSTRUHUMAM[],7,FALSE),"")</f>
        <v/>
      </c>
      <c r="BB172" s="200" t="str">
        <f>IFERROR(VLOOKUP(TableHandbook[[#This Row],[UDC]],TableSTRUHUMBB[],7,FALSE),"")</f>
        <v/>
      </c>
      <c r="BC172" s="200" t="str">
        <f>IFERROR(VLOOKUP(TableHandbook[[#This Row],[UDC]],TableSTRUMATHB[],7,FALSE),"")</f>
        <v/>
      </c>
      <c r="BD172" s="200" t="str">
        <f>IFERROR(VLOOKUP(TableHandbook[[#This Row],[UDC]],TableSTRUMATHM[],7,FALSE),"")</f>
        <v/>
      </c>
      <c r="BE172" s="200" t="str">
        <f>IFERROR(VLOOKUP(TableHandbook[[#This Row],[UDC]],TableSTRUPARTB[],7,FALSE),"")</f>
        <v/>
      </c>
      <c r="BF172" s="200" t="str">
        <f>IFERROR(VLOOKUP(TableHandbook[[#This Row],[UDC]],TableSTRUPARTM[],7,FALSE),"")</f>
        <v/>
      </c>
      <c r="BG172" s="200" t="str">
        <f>IFERROR(VLOOKUP(TableHandbook[[#This Row],[UDC]],TableSTRUPOLB1[],7,FALSE),"")</f>
        <v/>
      </c>
      <c r="BH172" s="200" t="str">
        <f>IFERROR(VLOOKUP(TableHandbook[[#This Row],[UDC]],TableSTRUPSCIM[],7,FALSE),"")</f>
        <v/>
      </c>
      <c r="BI172" s="200" t="str">
        <f>IFERROR(VLOOKUP(TableHandbook[[#This Row],[UDC]],TableSTRUPSYCB[],7,FALSE),"")</f>
        <v/>
      </c>
      <c r="BJ172" s="200" t="str">
        <f>IFERROR(VLOOKUP(TableHandbook[[#This Row],[UDC]],TableSTRUPSYCM[],7,FALSE),"")</f>
        <v/>
      </c>
      <c r="BK172" s="200" t="str">
        <f>IFERROR(VLOOKUP(TableHandbook[[#This Row],[UDC]],TableSTRUSOSCM[],7,FALSE),"")</f>
        <v/>
      </c>
      <c r="BL172" s="200" t="str">
        <f>IFERROR(VLOOKUP(TableHandbook[[#This Row],[UDC]],TableSTRUVARTB[],7,FALSE),"")</f>
        <v/>
      </c>
      <c r="BM172" s="200" t="str">
        <f>IFERROR(VLOOKUP(TableHandbook[[#This Row],[UDC]],TableSTRUVARTM[],7,FALSE),"")</f>
        <v/>
      </c>
    </row>
    <row r="173" spans="1:65" ht="26.25" x14ac:dyDescent="0.25">
      <c r="A173" s="262" t="s">
        <v>525</v>
      </c>
      <c r="B173" s="12">
        <v>1</v>
      </c>
      <c r="C173" s="11"/>
      <c r="D173" s="11" t="s">
        <v>764</v>
      </c>
      <c r="E173" s="12">
        <v>25</v>
      </c>
      <c r="F173" s="131" t="s">
        <v>544</v>
      </c>
      <c r="G173" s="126" t="str">
        <f>IFERROR(IF(VLOOKUP(TableHandbook[[#This Row],[UDC]],TableAvailabilities[],2,FALSE)&gt;0,"Y",""),"")</f>
        <v>Y</v>
      </c>
      <c r="H173" s="127" t="str">
        <f>IFERROR(IF(VLOOKUP(TableHandbook[[#This Row],[UDC]],TableAvailabilities[],3,FALSE)&gt;0,"Y",""),"")</f>
        <v/>
      </c>
      <c r="I173" s="127" t="str">
        <f>IFERROR(IF(VLOOKUP(TableHandbook[[#This Row],[UDC]],TableAvailabilities[],4,FALSE)&gt;0,"Y",""),"")</f>
        <v/>
      </c>
      <c r="J173" s="128" t="str">
        <f>IFERROR(IF(VLOOKUP(TableHandbook[[#This Row],[UDC]],TableAvailabilities[],5,FALSE)&gt;0,"Y",""),"")</f>
        <v>Y</v>
      </c>
      <c r="K173" s="128" t="str">
        <f>IFERROR(IF(VLOOKUP(TableHandbook[[#This Row],[UDC]],TableAvailabilities[],6,FALSE)&gt;0,"Y",""),"")</f>
        <v/>
      </c>
      <c r="L173" s="127" t="str">
        <f>IFERROR(IF(VLOOKUP(TableHandbook[[#This Row],[UDC]],TableAvailabilities[],7,FALSE)&gt;0,"Y",""),"")</f>
        <v/>
      </c>
      <c r="M173" s="207" t="s">
        <v>765</v>
      </c>
      <c r="N173" s="205" t="str">
        <f>IFERROR(VLOOKUP(TableHandbook[[#This Row],[UDC]],TableBEDUC[],7,FALSE),"")</f>
        <v/>
      </c>
      <c r="O173" s="200" t="str">
        <f>IFERROR(VLOOKUP(TableHandbook[[#This Row],[UDC]],TableBEDEC[],7,FALSE),"")</f>
        <v/>
      </c>
      <c r="P173" s="200" t="str">
        <f>IFERROR(VLOOKUP(TableHandbook[[#This Row],[UDC]],TableBEDPR[],7,FALSE),"")</f>
        <v/>
      </c>
      <c r="Q173" s="200" t="str">
        <f>IFERROR(VLOOKUP(TableHandbook[[#This Row],[UDC]],TableSTRUCATHL[],7,FALSE),"")</f>
        <v/>
      </c>
      <c r="R173" s="200" t="str">
        <f>IFERROR(VLOOKUP(TableHandbook[[#This Row],[UDC]],TableSTRUENGLL[],7,FALSE),"")</f>
        <v/>
      </c>
      <c r="S173" s="200" t="str">
        <f>IFERROR(VLOOKUP(TableHandbook[[#This Row],[UDC]],TableSTRUINTBC[],7,FALSE),"")</f>
        <v/>
      </c>
      <c r="T173" s="200" t="str">
        <f>IFERROR(VLOOKUP(TableHandbook[[#This Row],[UDC]],TableSTRUISTEM[],7,FALSE),"")</f>
        <v/>
      </c>
      <c r="U173" s="200" t="str">
        <f>IFERROR(VLOOKUP(TableHandbook[[#This Row],[UDC]],TableSTRULITNU[],7,FALSE),"")</f>
        <v/>
      </c>
      <c r="V173" s="200" t="str">
        <f>IFERROR(VLOOKUP(TableHandbook[[#This Row],[UDC]],TableSTRUTECHS[],7,FALSE),"")</f>
        <v/>
      </c>
      <c r="W173" s="200" t="str">
        <f>IFERROR(VLOOKUP(TableHandbook[[#This Row],[UDC]],TableBEDSC[],7,FALSE),"")</f>
        <v/>
      </c>
      <c r="X173" s="200" t="str">
        <f>IFERROR(VLOOKUP(TableHandbook[[#This Row],[UDC]],TableMJRUARTDR[],7,FALSE),"")</f>
        <v/>
      </c>
      <c r="Y173" s="200" t="str">
        <f>IFERROR(VLOOKUP(TableHandbook[[#This Row],[UDC]],TableMJRUARTME[],7,FALSE),"")</f>
        <v/>
      </c>
      <c r="Z173" s="200" t="str">
        <f>IFERROR(VLOOKUP(TableHandbook[[#This Row],[UDC]],TableMJRUARTVA[],7,FALSE),"")</f>
        <v/>
      </c>
      <c r="AA173" s="200" t="str">
        <f>IFERROR(VLOOKUP(TableHandbook[[#This Row],[UDC]],TableMJRUENGLT[],7,FALSE),"")</f>
        <v/>
      </c>
      <c r="AB173" s="200" t="str">
        <f>IFERROR(VLOOKUP(TableHandbook[[#This Row],[UDC]],TableMJRUHLTPE[],7,FALSE),"")</f>
        <v/>
      </c>
      <c r="AC173" s="200" t="str">
        <f>IFERROR(VLOOKUP(TableHandbook[[#This Row],[UDC]],TableMJRUHUSEC[],7,FALSE),"")</f>
        <v/>
      </c>
      <c r="AD173" s="200" t="str">
        <f>IFERROR(VLOOKUP(TableHandbook[[#This Row],[UDC]],TableMJRUHUSGE[],7,FALSE),"")</f>
        <v/>
      </c>
      <c r="AE173" s="200" t="str">
        <f>IFERROR(VLOOKUP(TableHandbook[[#This Row],[UDC]],TableMJRUHUSHI[],7,FALSE),"")</f>
        <v/>
      </c>
      <c r="AF173" s="200" t="str">
        <f>IFERROR(VLOOKUP(TableHandbook[[#This Row],[UDC]],TableMJRUHUSPL[],7,FALSE),"")</f>
        <v/>
      </c>
      <c r="AG173" s="200" t="str">
        <f>IFERROR(VLOOKUP(TableHandbook[[#This Row],[UDC]],TableMJRUMATHT[],7,FALSE),"")</f>
        <v/>
      </c>
      <c r="AH173" s="200" t="str">
        <f>IFERROR(VLOOKUP(TableHandbook[[#This Row],[UDC]],TableMJRUSCIBI[],7,FALSE),"")</f>
        <v/>
      </c>
      <c r="AI173" s="200" t="str">
        <f>IFERROR(VLOOKUP(TableHandbook[[#This Row],[UDC]],TableMJRUSCICH[],7,FALSE),"")</f>
        <v/>
      </c>
      <c r="AJ173" s="200" t="str">
        <f>IFERROR(VLOOKUP(TableHandbook[[#This Row],[UDC]],TableMJRUSCIHB[],7,FALSE),"")</f>
        <v/>
      </c>
      <c r="AK173" s="200" t="str">
        <f>IFERROR(VLOOKUP(TableHandbook[[#This Row],[UDC]],TableMJRUSCIPH[],7,FALSE),"")</f>
        <v/>
      </c>
      <c r="AL173" s="200" t="str">
        <f>IFERROR(VLOOKUP(TableHandbook[[#This Row],[UDC]],TableMJRUSCIPS[],7,FALSE),"")</f>
        <v/>
      </c>
      <c r="AM173" s="202"/>
      <c r="AN173" s="200" t="str">
        <f>IFERROR(VLOOKUP(TableHandbook[[#This Row],[UDC]],TableSTRUBIOLB[],7,FALSE),"")</f>
        <v/>
      </c>
      <c r="AO173" s="200" t="str">
        <f>IFERROR(VLOOKUP(TableHandbook[[#This Row],[UDC]],TableSTRUBSCIM[],7,FALSE),"")</f>
        <v/>
      </c>
      <c r="AP173" s="200" t="str">
        <f>IFERROR(VLOOKUP(TableHandbook[[#This Row],[UDC]],TableSTRUCHEMB[],7,FALSE),"")</f>
        <v/>
      </c>
      <c r="AQ173" s="200" t="str">
        <f>IFERROR(VLOOKUP(TableHandbook[[#This Row],[UDC]],TableSTRUECOB1[],7,FALSE),"")</f>
        <v/>
      </c>
      <c r="AR173" s="200" t="str">
        <f>IFERROR(VLOOKUP(TableHandbook[[#This Row],[UDC]],TableSTRUEDART[],7,FALSE),"")</f>
        <v/>
      </c>
      <c r="AS173" s="200" t="str">
        <f>IFERROR(VLOOKUP(TableHandbook[[#This Row],[UDC]],TableSTRUEDENG[],7,FALSE),"")</f>
        <v/>
      </c>
      <c r="AT173" s="200" t="str">
        <f>IFERROR(VLOOKUP(TableHandbook[[#This Row],[UDC]],TableSTRUEDHAS[],7,FALSE),"")</f>
        <v/>
      </c>
      <c r="AU173" s="200" t="str">
        <f>IFERROR(VLOOKUP(TableHandbook[[#This Row],[UDC]],TableSTRUEDMAT[],7,FALSE),"")</f>
        <v/>
      </c>
      <c r="AV173" s="200" t="str">
        <f>IFERROR(VLOOKUP(TableHandbook[[#This Row],[UDC]],TableSTRUEDSCI[],7,FALSE),"")</f>
        <v/>
      </c>
      <c r="AW173" s="200" t="str">
        <f>IFERROR(VLOOKUP(TableHandbook[[#This Row],[UDC]],TableSTRUENGLB[],7,FALSE),"")</f>
        <v/>
      </c>
      <c r="AX173" s="200" t="str">
        <f>IFERROR(VLOOKUP(TableHandbook[[#This Row],[UDC]],TableSTRUENGLM[],7,FALSE),"")</f>
        <v/>
      </c>
      <c r="AY173" s="200" t="str">
        <f>IFERROR(VLOOKUP(TableHandbook[[#This Row],[UDC]],TableSTRUGEOB1[],7,FALSE),"")</f>
        <v/>
      </c>
      <c r="AZ173" s="200" t="str">
        <f>IFERROR(VLOOKUP(TableHandbook[[#This Row],[UDC]],TableSTRUHISB1[],7,FALSE),"")</f>
        <v/>
      </c>
      <c r="BA173" s="200" t="str">
        <f>IFERROR(VLOOKUP(TableHandbook[[#This Row],[UDC]],TableSTRUHUMAM[],7,FALSE),"")</f>
        <v/>
      </c>
      <c r="BB173" s="200" t="str">
        <f>IFERROR(VLOOKUP(TableHandbook[[#This Row],[UDC]],TableSTRUHUMBB[],7,FALSE),"")</f>
        <v/>
      </c>
      <c r="BC173" s="200" t="str">
        <f>IFERROR(VLOOKUP(TableHandbook[[#This Row],[UDC]],TableSTRUMATHB[],7,FALSE),"")</f>
        <v/>
      </c>
      <c r="BD173" s="200" t="str">
        <f>IFERROR(VLOOKUP(TableHandbook[[#This Row],[UDC]],TableSTRUMATHM[],7,FALSE),"")</f>
        <v>Elective</v>
      </c>
      <c r="BE173" s="200" t="str">
        <f>IFERROR(VLOOKUP(TableHandbook[[#This Row],[UDC]],TableSTRUPARTB[],7,FALSE),"")</f>
        <v/>
      </c>
      <c r="BF173" s="200" t="str">
        <f>IFERROR(VLOOKUP(TableHandbook[[#This Row],[UDC]],TableSTRUPARTM[],7,FALSE),"")</f>
        <v/>
      </c>
      <c r="BG173" s="200" t="str">
        <f>IFERROR(VLOOKUP(TableHandbook[[#This Row],[UDC]],TableSTRUPOLB1[],7,FALSE),"")</f>
        <v/>
      </c>
      <c r="BH173" s="200" t="str">
        <f>IFERROR(VLOOKUP(TableHandbook[[#This Row],[UDC]],TableSTRUPSCIM[],7,FALSE),"")</f>
        <v/>
      </c>
      <c r="BI173" s="200" t="str">
        <f>IFERROR(VLOOKUP(TableHandbook[[#This Row],[UDC]],TableSTRUPSYCB[],7,FALSE),"")</f>
        <v/>
      </c>
      <c r="BJ173" s="200" t="str">
        <f>IFERROR(VLOOKUP(TableHandbook[[#This Row],[UDC]],TableSTRUPSYCM[],7,FALSE),"")</f>
        <v/>
      </c>
      <c r="BK173" s="200" t="str">
        <f>IFERROR(VLOOKUP(TableHandbook[[#This Row],[UDC]],TableSTRUSOSCM[],7,FALSE),"")</f>
        <v/>
      </c>
      <c r="BL173" s="200" t="str">
        <f>IFERROR(VLOOKUP(TableHandbook[[#This Row],[UDC]],TableSTRUVARTB[],7,FALSE),"")</f>
        <v/>
      </c>
      <c r="BM173" s="200" t="str">
        <f>IFERROR(VLOOKUP(TableHandbook[[#This Row],[UDC]],TableSTRUVARTM[],7,FALSE),"")</f>
        <v/>
      </c>
    </row>
    <row r="174" spans="1:65" x14ac:dyDescent="0.25">
      <c r="A174" s="262" t="s">
        <v>299</v>
      </c>
      <c r="B174" s="12">
        <v>1</v>
      </c>
      <c r="C174" s="11"/>
      <c r="D174" s="11" t="s">
        <v>766</v>
      </c>
      <c r="E174" s="12">
        <v>25</v>
      </c>
      <c r="F174" s="131" t="s">
        <v>544</v>
      </c>
      <c r="G174" s="126" t="str">
        <f>IFERROR(IF(VLOOKUP(TableHandbook[[#This Row],[UDC]],TableAvailabilities[],2,FALSE)&gt;0,"Y",""),"")</f>
        <v>Y</v>
      </c>
      <c r="H174" s="127" t="str">
        <f>IFERROR(IF(VLOOKUP(TableHandbook[[#This Row],[UDC]],TableAvailabilities[],3,FALSE)&gt;0,"Y",""),"")</f>
        <v/>
      </c>
      <c r="I174" s="127" t="str">
        <f>IFERROR(IF(VLOOKUP(TableHandbook[[#This Row],[UDC]],TableAvailabilities[],4,FALSE)&gt;0,"Y",""),"")</f>
        <v/>
      </c>
      <c r="J174" s="128" t="str">
        <f>IFERROR(IF(VLOOKUP(TableHandbook[[#This Row],[UDC]],TableAvailabilities[],5,FALSE)&gt;0,"Y",""),"")</f>
        <v>Y</v>
      </c>
      <c r="K174" s="128" t="str">
        <f>IFERROR(IF(VLOOKUP(TableHandbook[[#This Row],[UDC]],TableAvailabilities[],6,FALSE)&gt;0,"Y",""),"")</f>
        <v/>
      </c>
      <c r="L174" s="127" t="str">
        <f>IFERROR(IF(VLOOKUP(TableHandbook[[#This Row],[UDC]],TableAvailabilities[],7,FALSE)&gt;0,"Y",""),"")</f>
        <v/>
      </c>
      <c r="M174" s="207"/>
      <c r="N174" s="205" t="str">
        <f>IFERROR(VLOOKUP(TableHandbook[[#This Row],[UDC]],TableBEDUC[],7,FALSE),"")</f>
        <v/>
      </c>
      <c r="O174" s="200" t="str">
        <f>IFERROR(VLOOKUP(TableHandbook[[#This Row],[UDC]],TableBEDEC[],7,FALSE),"")</f>
        <v/>
      </c>
      <c r="P174" s="200" t="str">
        <f>IFERROR(VLOOKUP(TableHandbook[[#This Row],[UDC]],TableBEDPR[],7,FALSE),"")</f>
        <v/>
      </c>
      <c r="Q174" s="200" t="str">
        <f>IFERROR(VLOOKUP(TableHandbook[[#This Row],[UDC]],TableSTRUCATHL[],7,FALSE),"")</f>
        <v/>
      </c>
      <c r="R174" s="200" t="str">
        <f>IFERROR(VLOOKUP(TableHandbook[[#This Row],[UDC]],TableSTRUENGLL[],7,FALSE),"")</f>
        <v/>
      </c>
      <c r="S174" s="200" t="str">
        <f>IFERROR(VLOOKUP(TableHandbook[[#This Row],[UDC]],TableSTRUINTBC[],7,FALSE),"")</f>
        <v/>
      </c>
      <c r="T174" s="200" t="str">
        <f>IFERROR(VLOOKUP(TableHandbook[[#This Row],[UDC]],TableSTRUISTEM[],7,FALSE),"")</f>
        <v/>
      </c>
      <c r="U174" s="200" t="str">
        <f>IFERROR(VLOOKUP(TableHandbook[[#This Row],[UDC]],TableSTRULITNU[],7,FALSE),"")</f>
        <v/>
      </c>
      <c r="V174" s="200" t="str">
        <f>IFERROR(VLOOKUP(TableHandbook[[#This Row],[UDC]],TableSTRUTECHS[],7,FALSE),"")</f>
        <v/>
      </c>
      <c r="W174" s="200" t="str">
        <f>IFERROR(VLOOKUP(TableHandbook[[#This Row],[UDC]],TableBEDSC[],7,FALSE),"")</f>
        <v/>
      </c>
      <c r="X174" s="200" t="str">
        <f>IFERROR(VLOOKUP(TableHandbook[[#This Row],[UDC]],TableMJRUARTDR[],7,FALSE),"")</f>
        <v/>
      </c>
      <c r="Y174" s="200" t="str">
        <f>IFERROR(VLOOKUP(TableHandbook[[#This Row],[UDC]],TableMJRUARTME[],7,FALSE),"")</f>
        <v/>
      </c>
      <c r="Z174" s="200" t="str">
        <f>IFERROR(VLOOKUP(TableHandbook[[#This Row],[UDC]],TableMJRUARTVA[],7,FALSE),"")</f>
        <v/>
      </c>
      <c r="AA174" s="200" t="str">
        <f>IFERROR(VLOOKUP(TableHandbook[[#This Row],[UDC]],TableMJRUENGLT[],7,FALSE),"")</f>
        <v/>
      </c>
      <c r="AB174" s="200" t="str">
        <f>IFERROR(VLOOKUP(TableHandbook[[#This Row],[UDC]],TableMJRUHLTPE[],7,FALSE),"")</f>
        <v/>
      </c>
      <c r="AC174" s="200" t="str">
        <f>IFERROR(VLOOKUP(TableHandbook[[#This Row],[UDC]],TableMJRUHUSEC[],7,FALSE),"")</f>
        <v/>
      </c>
      <c r="AD174" s="200" t="str">
        <f>IFERROR(VLOOKUP(TableHandbook[[#This Row],[UDC]],TableMJRUHUSGE[],7,FALSE),"")</f>
        <v/>
      </c>
      <c r="AE174" s="200" t="str">
        <f>IFERROR(VLOOKUP(TableHandbook[[#This Row],[UDC]],TableMJRUHUSHI[],7,FALSE),"")</f>
        <v/>
      </c>
      <c r="AF174" s="200" t="str">
        <f>IFERROR(VLOOKUP(TableHandbook[[#This Row],[UDC]],TableMJRUHUSPL[],7,FALSE),"")</f>
        <v/>
      </c>
      <c r="AG174" s="200" t="str">
        <f>IFERROR(VLOOKUP(TableHandbook[[#This Row],[UDC]],TableMJRUMATHT[],7,FALSE),"")</f>
        <v/>
      </c>
      <c r="AH174" s="200" t="str">
        <f>IFERROR(VLOOKUP(TableHandbook[[#This Row],[UDC]],TableMJRUSCIBI[],7,FALSE),"")</f>
        <v/>
      </c>
      <c r="AI174" s="200" t="str">
        <f>IFERROR(VLOOKUP(TableHandbook[[#This Row],[UDC]],TableMJRUSCICH[],7,FALSE),"")</f>
        <v/>
      </c>
      <c r="AJ174" s="200" t="str">
        <f>IFERROR(VLOOKUP(TableHandbook[[#This Row],[UDC]],TableMJRUSCIHB[],7,FALSE),"")</f>
        <v/>
      </c>
      <c r="AK174" s="200" t="str">
        <f>IFERROR(VLOOKUP(TableHandbook[[#This Row],[UDC]],TableMJRUSCIPH[],7,FALSE),"")</f>
        <v>Core</v>
      </c>
      <c r="AL174" s="200" t="str">
        <f>IFERROR(VLOOKUP(TableHandbook[[#This Row],[UDC]],TableMJRUSCIPS[],7,FALSE),"")</f>
        <v/>
      </c>
      <c r="AM174" s="202"/>
      <c r="AN174" s="200" t="str">
        <f>IFERROR(VLOOKUP(TableHandbook[[#This Row],[UDC]],TableSTRUBIOLB[],7,FALSE),"")</f>
        <v/>
      </c>
      <c r="AO174" s="200" t="str">
        <f>IFERROR(VLOOKUP(TableHandbook[[#This Row],[UDC]],TableSTRUBSCIM[],7,FALSE),"")</f>
        <v/>
      </c>
      <c r="AP174" s="200" t="str">
        <f>IFERROR(VLOOKUP(TableHandbook[[#This Row],[UDC]],TableSTRUCHEMB[],7,FALSE),"")</f>
        <v/>
      </c>
      <c r="AQ174" s="200" t="str">
        <f>IFERROR(VLOOKUP(TableHandbook[[#This Row],[UDC]],TableSTRUECOB1[],7,FALSE),"")</f>
        <v/>
      </c>
      <c r="AR174" s="200" t="str">
        <f>IFERROR(VLOOKUP(TableHandbook[[#This Row],[UDC]],TableSTRUEDART[],7,FALSE),"")</f>
        <v/>
      </c>
      <c r="AS174" s="200" t="str">
        <f>IFERROR(VLOOKUP(TableHandbook[[#This Row],[UDC]],TableSTRUEDENG[],7,FALSE),"")</f>
        <v/>
      </c>
      <c r="AT174" s="200" t="str">
        <f>IFERROR(VLOOKUP(TableHandbook[[#This Row],[UDC]],TableSTRUEDHAS[],7,FALSE),"")</f>
        <v/>
      </c>
      <c r="AU174" s="200" t="str">
        <f>IFERROR(VLOOKUP(TableHandbook[[#This Row],[UDC]],TableSTRUEDMAT[],7,FALSE),"")</f>
        <v/>
      </c>
      <c r="AV174" s="200" t="str">
        <f>IFERROR(VLOOKUP(TableHandbook[[#This Row],[UDC]],TableSTRUEDSCI[],7,FALSE),"")</f>
        <v/>
      </c>
      <c r="AW174" s="200" t="str">
        <f>IFERROR(VLOOKUP(TableHandbook[[#This Row],[UDC]],TableSTRUENGLB[],7,FALSE),"")</f>
        <v/>
      </c>
      <c r="AX174" s="200" t="str">
        <f>IFERROR(VLOOKUP(TableHandbook[[#This Row],[UDC]],TableSTRUENGLM[],7,FALSE),"")</f>
        <v/>
      </c>
      <c r="AY174" s="200" t="str">
        <f>IFERROR(VLOOKUP(TableHandbook[[#This Row],[UDC]],TableSTRUGEOB1[],7,FALSE),"")</f>
        <v/>
      </c>
      <c r="AZ174" s="200" t="str">
        <f>IFERROR(VLOOKUP(TableHandbook[[#This Row],[UDC]],TableSTRUHISB1[],7,FALSE),"")</f>
        <v/>
      </c>
      <c r="BA174" s="200" t="str">
        <f>IFERROR(VLOOKUP(TableHandbook[[#This Row],[UDC]],TableSTRUHUMAM[],7,FALSE),"")</f>
        <v/>
      </c>
      <c r="BB174" s="200" t="str">
        <f>IFERROR(VLOOKUP(TableHandbook[[#This Row],[UDC]],TableSTRUHUMBB[],7,FALSE),"")</f>
        <v/>
      </c>
      <c r="BC174" s="200" t="str">
        <f>IFERROR(VLOOKUP(TableHandbook[[#This Row],[UDC]],TableSTRUMATHB[],7,FALSE),"")</f>
        <v>Core</v>
      </c>
      <c r="BD174" s="200" t="str">
        <f>IFERROR(VLOOKUP(TableHandbook[[#This Row],[UDC]],TableSTRUMATHM[],7,FALSE),"")</f>
        <v/>
      </c>
      <c r="BE174" s="200" t="str">
        <f>IFERROR(VLOOKUP(TableHandbook[[#This Row],[UDC]],TableSTRUPARTB[],7,FALSE),"")</f>
        <v/>
      </c>
      <c r="BF174" s="200" t="str">
        <f>IFERROR(VLOOKUP(TableHandbook[[#This Row],[UDC]],TableSTRUPARTM[],7,FALSE),"")</f>
        <v/>
      </c>
      <c r="BG174" s="200" t="str">
        <f>IFERROR(VLOOKUP(TableHandbook[[#This Row],[UDC]],TableSTRUPOLB1[],7,FALSE),"")</f>
        <v/>
      </c>
      <c r="BH174" s="200" t="str">
        <f>IFERROR(VLOOKUP(TableHandbook[[#This Row],[UDC]],TableSTRUPSCIM[],7,FALSE),"")</f>
        <v/>
      </c>
      <c r="BI174" s="200" t="str">
        <f>IFERROR(VLOOKUP(TableHandbook[[#This Row],[UDC]],TableSTRUPSYCB[],7,FALSE),"")</f>
        <v/>
      </c>
      <c r="BJ174" s="200" t="str">
        <f>IFERROR(VLOOKUP(TableHandbook[[#This Row],[UDC]],TableSTRUPSYCM[],7,FALSE),"")</f>
        <v/>
      </c>
      <c r="BK174" s="200" t="str">
        <f>IFERROR(VLOOKUP(TableHandbook[[#This Row],[UDC]],TableSTRUSOSCM[],7,FALSE),"")</f>
        <v/>
      </c>
      <c r="BL174" s="200" t="str">
        <f>IFERROR(VLOOKUP(TableHandbook[[#This Row],[UDC]],TableSTRUVARTB[],7,FALSE),"")</f>
        <v/>
      </c>
      <c r="BM174" s="200" t="str">
        <f>IFERROR(VLOOKUP(TableHandbook[[#This Row],[UDC]],TableSTRUVARTM[],7,FALSE),"")</f>
        <v/>
      </c>
    </row>
    <row r="175" spans="1:65" x14ac:dyDescent="0.25">
      <c r="A175" s="262" t="s">
        <v>308</v>
      </c>
      <c r="B175" s="12">
        <v>1</v>
      </c>
      <c r="C175" s="11"/>
      <c r="D175" s="11" t="s">
        <v>767</v>
      </c>
      <c r="E175" s="12">
        <v>25</v>
      </c>
      <c r="F175" s="131" t="s">
        <v>544</v>
      </c>
      <c r="G175" s="126" t="str">
        <f>IFERROR(IF(VLOOKUP(TableHandbook[[#This Row],[UDC]],TableAvailabilities[],2,FALSE)&gt;0,"Y",""),"")</f>
        <v>Y</v>
      </c>
      <c r="H175" s="127" t="str">
        <f>IFERROR(IF(VLOOKUP(TableHandbook[[#This Row],[UDC]],TableAvailabilities[],3,FALSE)&gt;0,"Y",""),"")</f>
        <v/>
      </c>
      <c r="I175" s="127" t="str">
        <f>IFERROR(IF(VLOOKUP(TableHandbook[[#This Row],[UDC]],TableAvailabilities[],4,FALSE)&gt;0,"Y",""),"")</f>
        <v/>
      </c>
      <c r="J175" s="128" t="str">
        <f>IFERROR(IF(VLOOKUP(TableHandbook[[#This Row],[UDC]],TableAvailabilities[],5,FALSE)&gt;0,"Y",""),"")</f>
        <v>Y</v>
      </c>
      <c r="K175" s="128" t="str">
        <f>IFERROR(IF(VLOOKUP(TableHandbook[[#This Row],[UDC]],TableAvailabilities[],6,FALSE)&gt;0,"Y",""),"")</f>
        <v/>
      </c>
      <c r="L175" s="127" t="str">
        <f>IFERROR(IF(VLOOKUP(TableHandbook[[#This Row],[UDC]],TableAvailabilities[],7,FALSE)&gt;0,"Y",""),"")</f>
        <v/>
      </c>
      <c r="M175" s="207"/>
      <c r="N175" s="205" t="str">
        <f>IFERROR(VLOOKUP(TableHandbook[[#This Row],[UDC]],TableBEDUC[],7,FALSE),"")</f>
        <v/>
      </c>
      <c r="O175" s="200" t="str">
        <f>IFERROR(VLOOKUP(TableHandbook[[#This Row],[UDC]],TableBEDEC[],7,FALSE),"")</f>
        <v/>
      </c>
      <c r="P175" s="200" t="str">
        <f>IFERROR(VLOOKUP(TableHandbook[[#This Row],[UDC]],TableBEDPR[],7,FALSE),"")</f>
        <v/>
      </c>
      <c r="Q175" s="200" t="str">
        <f>IFERROR(VLOOKUP(TableHandbook[[#This Row],[UDC]],TableSTRUCATHL[],7,FALSE),"")</f>
        <v/>
      </c>
      <c r="R175" s="200" t="str">
        <f>IFERROR(VLOOKUP(TableHandbook[[#This Row],[UDC]],TableSTRUENGLL[],7,FALSE),"")</f>
        <v/>
      </c>
      <c r="S175" s="200" t="str">
        <f>IFERROR(VLOOKUP(TableHandbook[[#This Row],[UDC]],TableSTRUINTBC[],7,FALSE),"")</f>
        <v/>
      </c>
      <c r="T175" s="200" t="str">
        <f>IFERROR(VLOOKUP(TableHandbook[[#This Row],[UDC]],TableSTRUISTEM[],7,FALSE),"")</f>
        <v/>
      </c>
      <c r="U175" s="200" t="str">
        <f>IFERROR(VLOOKUP(TableHandbook[[#This Row],[UDC]],TableSTRULITNU[],7,FALSE),"")</f>
        <v/>
      </c>
      <c r="V175" s="200" t="str">
        <f>IFERROR(VLOOKUP(TableHandbook[[#This Row],[UDC]],TableSTRUTECHS[],7,FALSE),"")</f>
        <v/>
      </c>
      <c r="W175" s="200" t="str">
        <f>IFERROR(VLOOKUP(TableHandbook[[#This Row],[UDC]],TableBEDSC[],7,FALSE),"")</f>
        <v/>
      </c>
      <c r="X175" s="200" t="str">
        <f>IFERROR(VLOOKUP(TableHandbook[[#This Row],[UDC]],TableMJRUARTDR[],7,FALSE),"")</f>
        <v/>
      </c>
      <c r="Y175" s="200" t="str">
        <f>IFERROR(VLOOKUP(TableHandbook[[#This Row],[UDC]],TableMJRUARTME[],7,FALSE),"")</f>
        <v/>
      </c>
      <c r="Z175" s="200" t="str">
        <f>IFERROR(VLOOKUP(TableHandbook[[#This Row],[UDC]],TableMJRUARTVA[],7,FALSE),"")</f>
        <v/>
      </c>
      <c r="AA175" s="200" t="str">
        <f>IFERROR(VLOOKUP(TableHandbook[[#This Row],[UDC]],TableMJRUENGLT[],7,FALSE),"")</f>
        <v/>
      </c>
      <c r="AB175" s="200" t="str">
        <f>IFERROR(VLOOKUP(TableHandbook[[#This Row],[UDC]],TableMJRUHLTPE[],7,FALSE),"")</f>
        <v/>
      </c>
      <c r="AC175" s="200" t="str">
        <f>IFERROR(VLOOKUP(TableHandbook[[#This Row],[UDC]],TableMJRUHUSEC[],7,FALSE),"")</f>
        <v/>
      </c>
      <c r="AD175" s="200" t="str">
        <f>IFERROR(VLOOKUP(TableHandbook[[#This Row],[UDC]],TableMJRUHUSGE[],7,FALSE),"")</f>
        <v/>
      </c>
      <c r="AE175" s="200" t="str">
        <f>IFERROR(VLOOKUP(TableHandbook[[#This Row],[UDC]],TableMJRUHUSHI[],7,FALSE),"")</f>
        <v/>
      </c>
      <c r="AF175" s="200" t="str">
        <f>IFERROR(VLOOKUP(TableHandbook[[#This Row],[UDC]],TableMJRUHUSPL[],7,FALSE),"")</f>
        <v/>
      </c>
      <c r="AG175" s="200" t="str">
        <f>IFERROR(VLOOKUP(TableHandbook[[#This Row],[UDC]],TableMJRUMATHT[],7,FALSE),"")</f>
        <v>Core</v>
      </c>
      <c r="AH175" s="200" t="str">
        <f>IFERROR(VLOOKUP(TableHandbook[[#This Row],[UDC]],TableMJRUSCIBI[],7,FALSE),"")</f>
        <v/>
      </c>
      <c r="AI175" s="200" t="str">
        <f>IFERROR(VLOOKUP(TableHandbook[[#This Row],[UDC]],TableMJRUSCICH[],7,FALSE),"")</f>
        <v/>
      </c>
      <c r="AJ175" s="200" t="str">
        <f>IFERROR(VLOOKUP(TableHandbook[[#This Row],[UDC]],TableMJRUSCIHB[],7,FALSE),"")</f>
        <v/>
      </c>
      <c r="AK175" s="200" t="str">
        <f>IFERROR(VLOOKUP(TableHandbook[[#This Row],[UDC]],TableMJRUSCIPH[],7,FALSE),"")</f>
        <v>Core</v>
      </c>
      <c r="AL175" s="200" t="str">
        <f>IFERROR(VLOOKUP(TableHandbook[[#This Row],[UDC]],TableMJRUSCIPS[],7,FALSE),"")</f>
        <v/>
      </c>
      <c r="AM175" s="202"/>
      <c r="AN175" s="200" t="str">
        <f>IFERROR(VLOOKUP(TableHandbook[[#This Row],[UDC]],TableSTRUBIOLB[],7,FALSE),"")</f>
        <v/>
      </c>
      <c r="AO175" s="200" t="str">
        <f>IFERROR(VLOOKUP(TableHandbook[[#This Row],[UDC]],TableSTRUBSCIM[],7,FALSE),"")</f>
        <v/>
      </c>
      <c r="AP175" s="200" t="str">
        <f>IFERROR(VLOOKUP(TableHandbook[[#This Row],[UDC]],TableSTRUCHEMB[],7,FALSE),"")</f>
        <v/>
      </c>
      <c r="AQ175" s="200" t="str">
        <f>IFERROR(VLOOKUP(TableHandbook[[#This Row],[UDC]],TableSTRUECOB1[],7,FALSE),"")</f>
        <v/>
      </c>
      <c r="AR175" s="200" t="str">
        <f>IFERROR(VLOOKUP(TableHandbook[[#This Row],[UDC]],TableSTRUEDART[],7,FALSE),"")</f>
        <v/>
      </c>
      <c r="AS175" s="200" t="str">
        <f>IFERROR(VLOOKUP(TableHandbook[[#This Row],[UDC]],TableSTRUEDENG[],7,FALSE),"")</f>
        <v/>
      </c>
      <c r="AT175" s="200" t="str">
        <f>IFERROR(VLOOKUP(TableHandbook[[#This Row],[UDC]],TableSTRUEDHAS[],7,FALSE),"")</f>
        <v/>
      </c>
      <c r="AU175" s="200" t="str">
        <f>IFERROR(VLOOKUP(TableHandbook[[#This Row],[UDC]],TableSTRUEDMAT[],7,FALSE),"")</f>
        <v/>
      </c>
      <c r="AV175" s="200" t="str">
        <f>IFERROR(VLOOKUP(TableHandbook[[#This Row],[UDC]],TableSTRUEDSCI[],7,FALSE),"")</f>
        <v/>
      </c>
      <c r="AW175" s="200" t="str">
        <f>IFERROR(VLOOKUP(TableHandbook[[#This Row],[UDC]],TableSTRUENGLB[],7,FALSE),"")</f>
        <v/>
      </c>
      <c r="AX175" s="200" t="str">
        <f>IFERROR(VLOOKUP(TableHandbook[[#This Row],[UDC]],TableSTRUENGLM[],7,FALSE),"")</f>
        <v/>
      </c>
      <c r="AY175" s="200" t="str">
        <f>IFERROR(VLOOKUP(TableHandbook[[#This Row],[UDC]],TableSTRUGEOB1[],7,FALSE),"")</f>
        <v/>
      </c>
      <c r="AZ175" s="200" t="str">
        <f>IFERROR(VLOOKUP(TableHandbook[[#This Row],[UDC]],TableSTRUHISB1[],7,FALSE),"")</f>
        <v/>
      </c>
      <c r="BA175" s="200" t="str">
        <f>IFERROR(VLOOKUP(TableHandbook[[#This Row],[UDC]],TableSTRUHUMAM[],7,FALSE),"")</f>
        <v/>
      </c>
      <c r="BB175" s="200" t="str">
        <f>IFERROR(VLOOKUP(TableHandbook[[#This Row],[UDC]],TableSTRUHUMBB[],7,FALSE),"")</f>
        <v/>
      </c>
      <c r="BC175" s="200" t="str">
        <f>IFERROR(VLOOKUP(TableHandbook[[#This Row],[UDC]],TableSTRUMATHB[],7,FALSE),"")</f>
        <v/>
      </c>
      <c r="BD175" s="200" t="str">
        <f>IFERROR(VLOOKUP(TableHandbook[[#This Row],[UDC]],TableSTRUMATHM[],7,FALSE),"")</f>
        <v>Core</v>
      </c>
      <c r="BE175" s="200" t="str">
        <f>IFERROR(VLOOKUP(TableHandbook[[#This Row],[UDC]],TableSTRUPARTB[],7,FALSE),"")</f>
        <v/>
      </c>
      <c r="BF175" s="200" t="str">
        <f>IFERROR(VLOOKUP(TableHandbook[[#This Row],[UDC]],TableSTRUPARTM[],7,FALSE),"")</f>
        <v/>
      </c>
      <c r="BG175" s="200" t="str">
        <f>IFERROR(VLOOKUP(TableHandbook[[#This Row],[UDC]],TableSTRUPOLB1[],7,FALSE),"")</f>
        <v/>
      </c>
      <c r="BH175" s="200" t="str">
        <f>IFERROR(VLOOKUP(TableHandbook[[#This Row],[UDC]],TableSTRUPSCIM[],7,FALSE),"")</f>
        <v/>
      </c>
      <c r="BI175" s="200" t="str">
        <f>IFERROR(VLOOKUP(TableHandbook[[#This Row],[UDC]],TableSTRUPSYCB[],7,FALSE),"")</f>
        <v/>
      </c>
      <c r="BJ175" s="200" t="str">
        <f>IFERROR(VLOOKUP(TableHandbook[[#This Row],[UDC]],TableSTRUPSYCM[],7,FALSE),"")</f>
        <v/>
      </c>
      <c r="BK175" s="200" t="str">
        <f>IFERROR(VLOOKUP(TableHandbook[[#This Row],[UDC]],TableSTRUSOSCM[],7,FALSE),"")</f>
        <v/>
      </c>
      <c r="BL175" s="200" t="str">
        <f>IFERROR(VLOOKUP(TableHandbook[[#This Row],[UDC]],TableSTRUVARTB[],7,FALSE),"")</f>
        <v/>
      </c>
      <c r="BM175" s="200" t="str">
        <f>IFERROR(VLOOKUP(TableHandbook[[#This Row],[UDC]],TableSTRUVARTM[],7,FALSE),"")</f>
        <v/>
      </c>
    </row>
    <row r="176" spans="1:65" x14ac:dyDescent="0.25">
      <c r="A176" s="262" t="s">
        <v>347</v>
      </c>
      <c r="B176" s="12">
        <v>1</v>
      </c>
      <c r="C176" s="11"/>
      <c r="D176" s="11" t="s">
        <v>768</v>
      </c>
      <c r="E176" s="12">
        <v>25</v>
      </c>
      <c r="F176" s="131" t="s">
        <v>544</v>
      </c>
      <c r="G176" s="126" t="str">
        <f>IFERROR(IF(VLOOKUP(TableHandbook[[#This Row],[UDC]],TableAvailabilities[],2,FALSE)&gt;0,"Y",""),"")</f>
        <v/>
      </c>
      <c r="H176" s="127" t="str">
        <f>IFERROR(IF(VLOOKUP(TableHandbook[[#This Row],[UDC]],TableAvailabilities[],3,FALSE)&gt;0,"Y",""),"")</f>
        <v/>
      </c>
      <c r="I176" s="127" t="str">
        <f>IFERROR(IF(VLOOKUP(TableHandbook[[#This Row],[UDC]],TableAvailabilities[],4,FALSE)&gt;0,"Y",""),"")</f>
        <v/>
      </c>
      <c r="J176" s="128" t="str">
        <f>IFERROR(IF(VLOOKUP(TableHandbook[[#This Row],[UDC]],TableAvailabilities[],5,FALSE)&gt;0,"Y",""),"")</f>
        <v>Y</v>
      </c>
      <c r="K176" s="128" t="str">
        <f>IFERROR(IF(VLOOKUP(TableHandbook[[#This Row],[UDC]],TableAvailabilities[],6,FALSE)&gt;0,"Y",""),"")</f>
        <v/>
      </c>
      <c r="L176" s="127" t="str">
        <f>IFERROR(IF(VLOOKUP(TableHandbook[[#This Row],[UDC]],TableAvailabilities[],7,FALSE)&gt;0,"Y",""),"")</f>
        <v/>
      </c>
      <c r="M176" s="207"/>
      <c r="N176" s="205" t="str">
        <f>IFERROR(VLOOKUP(TableHandbook[[#This Row],[UDC]],TableBEDUC[],7,FALSE),"")</f>
        <v/>
      </c>
      <c r="O176" s="200" t="str">
        <f>IFERROR(VLOOKUP(TableHandbook[[#This Row],[UDC]],TableBEDEC[],7,FALSE),"")</f>
        <v/>
      </c>
      <c r="P176" s="200" t="str">
        <f>IFERROR(VLOOKUP(TableHandbook[[#This Row],[UDC]],TableBEDPR[],7,FALSE),"")</f>
        <v/>
      </c>
      <c r="Q176" s="200" t="str">
        <f>IFERROR(VLOOKUP(TableHandbook[[#This Row],[UDC]],TableSTRUCATHL[],7,FALSE),"")</f>
        <v/>
      </c>
      <c r="R176" s="200" t="str">
        <f>IFERROR(VLOOKUP(TableHandbook[[#This Row],[UDC]],TableSTRUENGLL[],7,FALSE),"")</f>
        <v/>
      </c>
      <c r="S176" s="200" t="str">
        <f>IFERROR(VLOOKUP(TableHandbook[[#This Row],[UDC]],TableSTRUINTBC[],7,FALSE),"")</f>
        <v/>
      </c>
      <c r="T176" s="200" t="str">
        <f>IFERROR(VLOOKUP(TableHandbook[[#This Row],[UDC]],TableSTRUISTEM[],7,FALSE),"")</f>
        <v/>
      </c>
      <c r="U176" s="200" t="str">
        <f>IFERROR(VLOOKUP(TableHandbook[[#This Row],[UDC]],TableSTRULITNU[],7,FALSE),"")</f>
        <v/>
      </c>
      <c r="V176" s="200" t="str">
        <f>IFERROR(VLOOKUP(TableHandbook[[#This Row],[UDC]],TableSTRUTECHS[],7,FALSE),"")</f>
        <v/>
      </c>
      <c r="W176" s="200" t="str">
        <f>IFERROR(VLOOKUP(TableHandbook[[#This Row],[UDC]],TableBEDSC[],7,FALSE),"")</f>
        <v/>
      </c>
      <c r="X176" s="200" t="str">
        <f>IFERROR(VLOOKUP(TableHandbook[[#This Row],[UDC]],TableMJRUARTDR[],7,FALSE),"")</f>
        <v/>
      </c>
      <c r="Y176" s="200" t="str">
        <f>IFERROR(VLOOKUP(TableHandbook[[#This Row],[UDC]],TableMJRUARTME[],7,FALSE),"")</f>
        <v/>
      </c>
      <c r="Z176" s="200" t="str">
        <f>IFERROR(VLOOKUP(TableHandbook[[#This Row],[UDC]],TableMJRUARTVA[],7,FALSE),"")</f>
        <v/>
      </c>
      <c r="AA176" s="200" t="str">
        <f>IFERROR(VLOOKUP(TableHandbook[[#This Row],[UDC]],TableMJRUENGLT[],7,FALSE),"")</f>
        <v/>
      </c>
      <c r="AB176" s="200" t="str">
        <f>IFERROR(VLOOKUP(TableHandbook[[#This Row],[UDC]],TableMJRUHLTPE[],7,FALSE),"")</f>
        <v/>
      </c>
      <c r="AC176" s="200" t="str">
        <f>IFERROR(VLOOKUP(TableHandbook[[#This Row],[UDC]],TableMJRUHUSEC[],7,FALSE),"")</f>
        <v/>
      </c>
      <c r="AD176" s="200" t="str">
        <f>IFERROR(VLOOKUP(TableHandbook[[#This Row],[UDC]],TableMJRUHUSGE[],7,FALSE),"")</f>
        <v/>
      </c>
      <c r="AE176" s="200" t="str">
        <f>IFERROR(VLOOKUP(TableHandbook[[#This Row],[UDC]],TableMJRUHUSHI[],7,FALSE),"")</f>
        <v/>
      </c>
      <c r="AF176" s="200" t="str">
        <f>IFERROR(VLOOKUP(TableHandbook[[#This Row],[UDC]],TableMJRUHUSPL[],7,FALSE),"")</f>
        <v/>
      </c>
      <c r="AG176" s="200" t="str">
        <f>IFERROR(VLOOKUP(TableHandbook[[#This Row],[UDC]],TableMJRUMATHT[],7,FALSE),"")</f>
        <v>Core</v>
      </c>
      <c r="AH176" s="200" t="str">
        <f>IFERROR(VLOOKUP(TableHandbook[[#This Row],[UDC]],TableMJRUSCIBI[],7,FALSE),"")</f>
        <v/>
      </c>
      <c r="AI176" s="200" t="str">
        <f>IFERROR(VLOOKUP(TableHandbook[[#This Row],[UDC]],TableMJRUSCICH[],7,FALSE),"")</f>
        <v/>
      </c>
      <c r="AJ176" s="200" t="str">
        <f>IFERROR(VLOOKUP(TableHandbook[[#This Row],[UDC]],TableMJRUSCIHB[],7,FALSE),"")</f>
        <v/>
      </c>
      <c r="AK176" s="200" t="str">
        <f>IFERROR(VLOOKUP(TableHandbook[[#This Row],[UDC]],TableMJRUSCIPH[],7,FALSE),"")</f>
        <v>Core</v>
      </c>
      <c r="AL176" s="200" t="str">
        <f>IFERROR(VLOOKUP(TableHandbook[[#This Row],[UDC]],TableMJRUSCIPS[],7,FALSE),"")</f>
        <v/>
      </c>
      <c r="AM176" s="202"/>
      <c r="AN176" s="200" t="str">
        <f>IFERROR(VLOOKUP(TableHandbook[[#This Row],[UDC]],TableSTRUBIOLB[],7,FALSE),"")</f>
        <v/>
      </c>
      <c r="AO176" s="200" t="str">
        <f>IFERROR(VLOOKUP(TableHandbook[[#This Row],[UDC]],TableSTRUBSCIM[],7,FALSE),"")</f>
        <v/>
      </c>
      <c r="AP176" s="200" t="str">
        <f>IFERROR(VLOOKUP(TableHandbook[[#This Row],[UDC]],TableSTRUCHEMB[],7,FALSE),"")</f>
        <v/>
      </c>
      <c r="AQ176" s="200" t="str">
        <f>IFERROR(VLOOKUP(TableHandbook[[#This Row],[UDC]],TableSTRUECOB1[],7,FALSE),"")</f>
        <v/>
      </c>
      <c r="AR176" s="200" t="str">
        <f>IFERROR(VLOOKUP(TableHandbook[[#This Row],[UDC]],TableSTRUEDART[],7,FALSE),"")</f>
        <v/>
      </c>
      <c r="AS176" s="200" t="str">
        <f>IFERROR(VLOOKUP(TableHandbook[[#This Row],[UDC]],TableSTRUEDENG[],7,FALSE),"")</f>
        <v/>
      </c>
      <c r="AT176" s="200" t="str">
        <f>IFERROR(VLOOKUP(TableHandbook[[#This Row],[UDC]],TableSTRUEDHAS[],7,FALSE),"")</f>
        <v/>
      </c>
      <c r="AU176" s="200" t="str">
        <f>IFERROR(VLOOKUP(TableHandbook[[#This Row],[UDC]],TableSTRUEDMAT[],7,FALSE),"")</f>
        <v/>
      </c>
      <c r="AV176" s="200" t="str">
        <f>IFERROR(VLOOKUP(TableHandbook[[#This Row],[UDC]],TableSTRUEDSCI[],7,FALSE),"")</f>
        <v/>
      </c>
      <c r="AW176" s="200" t="str">
        <f>IFERROR(VLOOKUP(TableHandbook[[#This Row],[UDC]],TableSTRUENGLB[],7,FALSE),"")</f>
        <v/>
      </c>
      <c r="AX176" s="200" t="str">
        <f>IFERROR(VLOOKUP(TableHandbook[[#This Row],[UDC]],TableSTRUENGLM[],7,FALSE),"")</f>
        <v/>
      </c>
      <c r="AY176" s="200" t="str">
        <f>IFERROR(VLOOKUP(TableHandbook[[#This Row],[UDC]],TableSTRUGEOB1[],7,FALSE),"")</f>
        <v/>
      </c>
      <c r="AZ176" s="200" t="str">
        <f>IFERROR(VLOOKUP(TableHandbook[[#This Row],[UDC]],TableSTRUHISB1[],7,FALSE),"")</f>
        <v/>
      </c>
      <c r="BA176" s="200" t="str">
        <f>IFERROR(VLOOKUP(TableHandbook[[#This Row],[UDC]],TableSTRUHUMAM[],7,FALSE),"")</f>
        <v/>
      </c>
      <c r="BB176" s="200" t="str">
        <f>IFERROR(VLOOKUP(TableHandbook[[#This Row],[UDC]],TableSTRUHUMBB[],7,FALSE),"")</f>
        <v/>
      </c>
      <c r="BC176" s="200" t="str">
        <f>IFERROR(VLOOKUP(TableHandbook[[#This Row],[UDC]],TableSTRUMATHB[],7,FALSE),"")</f>
        <v/>
      </c>
      <c r="BD176" s="200" t="str">
        <f>IFERROR(VLOOKUP(TableHandbook[[#This Row],[UDC]],TableSTRUMATHM[],7,FALSE),"")</f>
        <v>Core</v>
      </c>
      <c r="BE176" s="200" t="str">
        <f>IFERROR(VLOOKUP(TableHandbook[[#This Row],[UDC]],TableSTRUPARTB[],7,FALSE),"")</f>
        <v/>
      </c>
      <c r="BF176" s="200" t="str">
        <f>IFERROR(VLOOKUP(TableHandbook[[#This Row],[UDC]],TableSTRUPARTM[],7,FALSE),"")</f>
        <v/>
      </c>
      <c r="BG176" s="200" t="str">
        <f>IFERROR(VLOOKUP(TableHandbook[[#This Row],[UDC]],TableSTRUPOLB1[],7,FALSE),"")</f>
        <v/>
      </c>
      <c r="BH176" s="200" t="str">
        <f>IFERROR(VLOOKUP(TableHandbook[[#This Row],[UDC]],TableSTRUPSCIM[],7,FALSE),"")</f>
        <v/>
      </c>
      <c r="BI176" s="200" t="str">
        <f>IFERROR(VLOOKUP(TableHandbook[[#This Row],[UDC]],TableSTRUPSYCB[],7,FALSE),"")</f>
        <v/>
      </c>
      <c r="BJ176" s="200" t="str">
        <f>IFERROR(VLOOKUP(TableHandbook[[#This Row],[UDC]],TableSTRUPSYCM[],7,FALSE),"")</f>
        <v/>
      </c>
      <c r="BK176" s="200" t="str">
        <f>IFERROR(VLOOKUP(TableHandbook[[#This Row],[UDC]],TableSTRUSOSCM[],7,FALSE),"")</f>
        <v/>
      </c>
      <c r="BL176" s="200" t="str">
        <f>IFERROR(VLOOKUP(TableHandbook[[#This Row],[UDC]],TableSTRUVARTB[],7,FALSE),"")</f>
        <v/>
      </c>
      <c r="BM176" s="200" t="str">
        <f>IFERROR(VLOOKUP(TableHandbook[[#This Row],[UDC]],TableSTRUVARTM[],7,FALSE),"")</f>
        <v/>
      </c>
    </row>
    <row r="177" spans="1:65" x14ac:dyDescent="0.25">
      <c r="A177" s="262" t="s">
        <v>325</v>
      </c>
      <c r="B177" s="12">
        <v>2</v>
      </c>
      <c r="C177" s="11"/>
      <c r="D177" s="11" t="s">
        <v>769</v>
      </c>
      <c r="E177" s="12">
        <v>25</v>
      </c>
      <c r="F177" s="131" t="s">
        <v>308</v>
      </c>
      <c r="G177" s="126" t="str">
        <f>IFERROR(IF(VLOOKUP(TableHandbook[[#This Row],[UDC]],TableAvailabilities[],2,FALSE)&gt;0,"Y",""),"")</f>
        <v>Y</v>
      </c>
      <c r="H177" s="127" t="str">
        <f>IFERROR(IF(VLOOKUP(TableHandbook[[#This Row],[UDC]],TableAvailabilities[],3,FALSE)&gt;0,"Y",""),"")</f>
        <v/>
      </c>
      <c r="I177" s="127" t="str">
        <f>IFERROR(IF(VLOOKUP(TableHandbook[[#This Row],[UDC]],TableAvailabilities[],4,FALSE)&gt;0,"Y",""),"")</f>
        <v/>
      </c>
      <c r="J177" s="128" t="str">
        <f>IFERROR(IF(VLOOKUP(TableHandbook[[#This Row],[UDC]],TableAvailabilities[],5,FALSE)&gt;0,"Y",""),"")</f>
        <v/>
      </c>
      <c r="K177" s="128" t="str">
        <f>IFERROR(IF(VLOOKUP(TableHandbook[[#This Row],[UDC]],TableAvailabilities[],6,FALSE)&gt;0,"Y",""),"")</f>
        <v/>
      </c>
      <c r="L177" s="127" t="str">
        <f>IFERROR(IF(VLOOKUP(TableHandbook[[#This Row],[UDC]],TableAvailabilities[],7,FALSE)&gt;0,"Y",""),"")</f>
        <v/>
      </c>
      <c r="M177" s="207"/>
      <c r="N177" s="205" t="str">
        <f>IFERROR(VLOOKUP(TableHandbook[[#This Row],[UDC]],TableBEDUC[],7,FALSE),"")</f>
        <v/>
      </c>
      <c r="O177" s="200" t="str">
        <f>IFERROR(VLOOKUP(TableHandbook[[#This Row],[UDC]],TableBEDEC[],7,FALSE),"")</f>
        <v/>
      </c>
      <c r="P177" s="200" t="str">
        <f>IFERROR(VLOOKUP(TableHandbook[[#This Row],[UDC]],TableBEDPR[],7,FALSE),"")</f>
        <v/>
      </c>
      <c r="Q177" s="200" t="str">
        <f>IFERROR(VLOOKUP(TableHandbook[[#This Row],[UDC]],TableSTRUCATHL[],7,FALSE),"")</f>
        <v/>
      </c>
      <c r="R177" s="200" t="str">
        <f>IFERROR(VLOOKUP(TableHandbook[[#This Row],[UDC]],TableSTRUENGLL[],7,FALSE),"")</f>
        <v/>
      </c>
      <c r="S177" s="200" t="str">
        <f>IFERROR(VLOOKUP(TableHandbook[[#This Row],[UDC]],TableSTRUINTBC[],7,FALSE),"")</f>
        <v/>
      </c>
      <c r="T177" s="200" t="str">
        <f>IFERROR(VLOOKUP(TableHandbook[[#This Row],[UDC]],TableSTRUISTEM[],7,FALSE),"")</f>
        <v/>
      </c>
      <c r="U177" s="200" t="str">
        <f>IFERROR(VLOOKUP(TableHandbook[[#This Row],[UDC]],TableSTRULITNU[],7,FALSE),"")</f>
        <v/>
      </c>
      <c r="V177" s="200" t="str">
        <f>IFERROR(VLOOKUP(TableHandbook[[#This Row],[UDC]],TableSTRUTECHS[],7,FALSE),"")</f>
        <v/>
      </c>
      <c r="W177" s="200" t="str">
        <f>IFERROR(VLOOKUP(TableHandbook[[#This Row],[UDC]],TableBEDSC[],7,FALSE),"")</f>
        <v/>
      </c>
      <c r="X177" s="200" t="str">
        <f>IFERROR(VLOOKUP(TableHandbook[[#This Row],[UDC]],TableMJRUARTDR[],7,FALSE),"")</f>
        <v/>
      </c>
      <c r="Y177" s="200" t="str">
        <f>IFERROR(VLOOKUP(TableHandbook[[#This Row],[UDC]],TableMJRUARTME[],7,FALSE),"")</f>
        <v/>
      </c>
      <c r="Z177" s="200" t="str">
        <f>IFERROR(VLOOKUP(TableHandbook[[#This Row],[UDC]],TableMJRUARTVA[],7,FALSE),"")</f>
        <v/>
      </c>
      <c r="AA177" s="200" t="str">
        <f>IFERROR(VLOOKUP(TableHandbook[[#This Row],[UDC]],TableMJRUENGLT[],7,FALSE),"")</f>
        <v/>
      </c>
      <c r="AB177" s="200" t="str">
        <f>IFERROR(VLOOKUP(TableHandbook[[#This Row],[UDC]],TableMJRUHLTPE[],7,FALSE),"")</f>
        <v/>
      </c>
      <c r="AC177" s="200" t="str">
        <f>IFERROR(VLOOKUP(TableHandbook[[#This Row],[UDC]],TableMJRUHUSEC[],7,FALSE),"")</f>
        <v/>
      </c>
      <c r="AD177" s="200" t="str">
        <f>IFERROR(VLOOKUP(TableHandbook[[#This Row],[UDC]],TableMJRUHUSGE[],7,FALSE),"")</f>
        <v/>
      </c>
      <c r="AE177" s="200" t="str">
        <f>IFERROR(VLOOKUP(TableHandbook[[#This Row],[UDC]],TableMJRUHUSHI[],7,FALSE),"")</f>
        <v/>
      </c>
      <c r="AF177" s="200" t="str">
        <f>IFERROR(VLOOKUP(TableHandbook[[#This Row],[UDC]],TableMJRUHUSPL[],7,FALSE),"")</f>
        <v/>
      </c>
      <c r="AG177" s="200" t="str">
        <f>IFERROR(VLOOKUP(TableHandbook[[#This Row],[UDC]],TableMJRUMATHT[],7,FALSE),"")</f>
        <v>Core</v>
      </c>
      <c r="AH177" s="200" t="str">
        <f>IFERROR(VLOOKUP(TableHandbook[[#This Row],[UDC]],TableMJRUSCIBI[],7,FALSE),"")</f>
        <v/>
      </c>
      <c r="AI177" s="200" t="str">
        <f>IFERROR(VLOOKUP(TableHandbook[[#This Row],[UDC]],TableMJRUSCICH[],7,FALSE),"")</f>
        <v/>
      </c>
      <c r="AJ177" s="200" t="str">
        <f>IFERROR(VLOOKUP(TableHandbook[[#This Row],[UDC]],TableMJRUSCIHB[],7,FALSE),"")</f>
        <v/>
      </c>
      <c r="AK177" s="200" t="str">
        <f>IFERROR(VLOOKUP(TableHandbook[[#This Row],[UDC]],TableMJRUSCIPH[],7,FALSE),"")</f>
        <v>Core</v>
      </c>
      <c r="AL177" s="200" t="str">
        <f>IFERROR(VLOOKUP(TableHandbook[[#This Row],[UDC]],TableMJRUSCIPS[],7,FALSE),"")</f>
        <v/>
      </c>
      <c r="AM177" s="202"/>
      <c r="AN177" s="200" t="str">
        <f>IFERROR(VLOOKUP(TableHandbook[[#This Row],[UDC]],TableSTRUBIOLB[],7,FALSE),"")</f>
        <v/>
      </c>
      <c r="AO177" s="200" t="str">
        <f>IFERROR(VLOOKUP(TableHandbook[[#This Row],[UDC]],TableSTRUBSCIM[],7,FALSE),"")</f>
        <v/>
      </c>
      <c r="AP177" s="200" t="str">
        <f>IFERROR(VLOOKUP(TableHandbook[[#This Row],[UDC]],TableSTRUCHEMB[],7,FALSE),"")</f>
        <v/>
      </c>
      <c r="AQ177" s="200" t="str">
        <f>IFERROR(VLOOKUP(TableHandbook[[#This Row],[UDC]],TableSTRUECOB1[],7,FALSE),"")</f>
        <v/>
      </c>
      <c r="AR177" s="200" t="str">
        <f>IFERROR(VLOOKUP(TableHandbook[[#This Row],[UDC]],TableSTRUEDART[],7,FALSE),"")</f>
        <v/>
      </c>
      <c r="AS177" s="200" t="str">
        <f>IFERROR(VLOOKUP(TableHandbook[[#This Row],[UDC]],TableSTRUEDENG[],7,FALSE),"")</f>
        <v/>
      </c>
      <c r="AT177" s="200" t="str">
        <f>IFERROR(VLOOKUP(TableHandbook[[#This Row],[UDC]],TableSTRUEDHAS[],7,FALSE),"")</f>
        <v/>
      </c>
      <c r="AU177" s="200" t="str">
        <f>IFERROR(VLOOKUP(TableHandbook[[#This Row],[UDC]],TableSTRUEDMAT[],7,FALSE),"")</f>
        <v/>
      </c>
      <c r="AV177" s="200" t="str">
        <f>IFERROR(VLOOKUP(TableHandbook[[#This Row],[UDC]],TableSTRUEDSCI[],7,FALSE),"")</f>
        <v/>
      </c>
      <c r="AW177" s="200" t="str">
        <f>IFERROR(VLOOKUP(TableHandbook[[#This Row],[UDC]],TableSTRUENGLB[],7,FALSE),"")</f>
        <v/>
      </c>
      <c r="AX177" s="200" t="str">
        <f>IFERROR(VLOOKUP(TableHandbook[[#This Row],[UDC]],TableSTRUENGLM[],7,FALSE),"")</f>
        <v/>
      </c>
      <c r="AY177" s="200" t="str">
        <f>IFERROR(VLOOKUP(TableHandbook[[#This Row],[UDC]],TableSTRUGEOB1[],7,FALSE),"")</f>
        <v/>
      </c>
      <c r="AZ177" s="200" t="str">
        <f>IFERROR(VLOOKUP(TableHandbook[[#This Row],[UDC]],TableSTRUHISB1[],7,FALSE),"")</f>
        <v/>
      </c>
      <c r="BA177" s="200" t="str">
        <f>IFERROR(VLOOKUP(TableHandbook[[#This Row],[UDC]],TableSTRUHUMAM[],7,FALSE),"")</f>
        <v/>
      </c>
      <c r="BB177" s="200" t="str">
        <f>IFERROR(VLOOKUP(TableHandbook[[#This Row],[UDC]],TableSTRUHUMBB[],7,FALSE),"")</f>
        <v/>
      </c>
      <c r="BC177" s="200" t="str">
        <f>IFERROR(VLOOKUP(TableHandbook[[#This Row],[UDC]],TableSTRUMATHB[],7,FALSE),"")</f>
        <v/>
      </c>
      <c r="BD177" s="200" t="str">
        <f>IFERROR(VLOOKUP(TableHandbook[[#This Row],[UDC]],TableSTRUMATHM[],7,FALSE),"")</f>
        <v>Core</v>
      </c>
      <c r="BE177" s="200" t="str">
        <f>IFERROR(VLOOKUP(TableHandbook[[#This Row],[UDC]],TableSTRUPARTB[],7,FALSE),"")</f>
        <v/>
      </c>
      <c r="BF177" s="200" t="str">
        <f>IFERROR(VLOOKUP(TableHandbook[[#This Row],[UDC]],TableSTRUPARTM[],7,FALSE),"")</f>
        <v/>
      </c>
      <c r="BG177" s="200" t="str">
        <f>IFERROR(VLOOKUP(TableHandbook[[#This Row],[UDC]],TableSTRUPOLB1[],7,FALSE),"")</f>
        <v/>
      </c>
      <c r="BH177" s="200" t="str">
        <f>IFERROR(VLOOKUP(TableHandbook[[#This Row],[UDC]],TableSTRUPSCIM[],7,FALSE),"")</f>
        <v/>
      </c>
      <c r="BI177" s="200" t="str">
        <f>IFERROR(VLOOKUP(TableHandbook[[#This Row],[UDC]],TableSTRUPSYCB[],7,FALSE),"")</f>
        <v/>
      </c>
      <c r="BJ177" s="200" t="str">
        <f>IFERROR(VLOOKUP(TableHandbook[[#This Row],[UDC]],TableSTRUPSYCM[],7,FALSE),"")</f>
        <v/>
      </c>
      <c r="BK177" s="200" t="str">
        <f>IFERROR(VLOOKUP(TableHandbook[[#This Row],[UDC]],TableSTRUSOSCM[],7,FALSE),"")</f>
        <v/>
      </c>
      <c r="BL177" s="200" t="str">
        <f>IFERROR(VLOOKUP(TableHandbook[[#This Row],[UDC]],TableSTRUVARTB[],7,FALSE),"")</f>
        <v/>
      </c>
      <c r="BM177" s="200" t="str">
        <f>IFERROR(VLOOKUP(TableHandbook[[#This Row],[UDC]],TableSTRUVARTM[],7,FALSE),"")</f>
        <v/>
      </c>
    </row>
    <row r="178" spans="1:65" x14ac:dyDescent="0.25">
      <c r="A178" s="262" t="s">
        <v>378</v>
      </c>
      <c r="B178" s="12">
        <v>1</v>
      </c>
      <c r="C178" s="11"/>
      <c r="D178" s="11" t="s">
        <v>770</v>
      </c>
      <c r="E178" s="12">
        <v>25</v>
      </c>
      <c r="F178" s="131" t="s">
        <v>325</v>
      </c>
      <c r="G178" s="126" t="str">
        <f>IFERROR(IF(VLOOKUP(TableHandbook[[#This Row],[UDC]],TableAvailabilities[],2,FALSE)&gt;0,"Y",""),"")</f>
        <v/>
      </c>
      <c r="H178" s="127" t="str">
        <f>IFERROR(IF(VLOOKUP(TableHandbook[[#This Row],[UDC]],TableAvailabilities[],3,FALSE)&gt;0,"Y",""),"")</f>
        <v/>
      </c>
      <c r="I178" s="127" t="str">
        <f>IFERROR(IF(VLOOKUP(TableHandbook[[#This Row],[UDC]],TableAvailabilities[],4,FALSE)&gt;0,"Y",""),"")</f>
        <v/>
      </c>
      <c r="J178" s="128" t="str">
        <f>IFERROR(IF(VLOOKUP(TableHandbook[[#This Row],[UDC]],TableAvailabilities[],5,FALSE)&gt;0,"Y",""),"")</f>
        <v>Y</v>
      </c>
      <c r="K178" s="128" t="str">
        <f>IFERROR(IF(VLOOKUP(TableHandbook[[#This Row],[UDC]],TableAvailabilities[],6,FALSE)&gt;0,"Y",""),"")</f>
        <v/>
      </c>
      <c r="L178" s="127" t="str">
        <f>IFERROR(IF(VLOOKUP(TableHandbook[[#This Row],[UDC]],TableAvailabilities[],7,FALSE)&gt;0,"Y",""),"")</f>
        <v/>
      </c>
      <c r="M178" s="207"/>
      <c r="N178" s="205" t="str">
        <f>IFERROR(VLOOKUP(TableHandbook[[#This Row],[UDC]],TableBEDUC[],7,FALSE),"")</f>
        <v/>
      </c>
      <c r="O178" s="200" t="str">
        <f>IFERROR(VLOOKUP(TableHandbook[[#This Row],[UDC]],TableBEDEC[],7,FALSE),"")</f>
        <v/>
      </c>
      <c r="P178" s="200" t="str">
        <f>IFERROR(VLOOKUP(TableHandbook[[#This Row],[UDC]],TableBEDPR[],7,FALSE),"")</f>
        <v/>
      </c>
      <c r="Q178" s="200" t="str">
        <f>IFERROR(VLOOKUP(TableHandbook[[#This Row],[UDC]],TableSTRUCATHL[],7,FALSE),"")</f>
        <v/>
      </c>
      <c r="R178" s="200" t="str">
        <f>IFERROR(VLOOKUP(TableHandbook[[#This Row],[UDC]],TableSTRUENGLL[],7,FALSE),"")</f>
        <v/>
      </c>
      <c r="S178" s="200" t="str">
        <f>IFERROR(VLOOKUP(TableHandbook[[#This Row],[UDC]],TableSTRUINTBC[],7,FALSE),"")</f>
        <v/>
      </c>
      <c r="T178" s="200" t="str">
        <f>IFERROR(VLOOKUP(TableHandbook[[#This Row],[UDC]],TableSTRUISTEM[],7,FALSE),"")</f>
        <v/>
      </c>
      <c r="U178" s="200" t="str">
        <f>IFERROR(VLOOKUP(TableHandbook[[#This Row],[UDC]],TableSTRULITNU[],7,FALSE),"")</f>
        <v/>
      </c>
      <c r="V178" s="200" t="str">
        <f>IFERROR(VLOOKUP(TableHandbook[[#This Row],[UDC]],TableSTRUTECHS[],7,FALSE),"")</f>
        <v/>
      </c>
      <c r="W178" s="200" t="str">
        <f>IFERROR(VLOOKUP(TableHandbook[[#This Row],[UDC]],TableBEDSC[],7,FALSE),"")</f>
        <v/>
      </c>
      <c r="X178" s="200" t="str">
        <f>IFERROR(VLOOKUP(TableHandbook[[#This Row],[UDC]],TableMJRUARTDR[],7,FALSE),"")</f>
        <v/>
      </c>
      <c r="Y178" s="200" t="str">
        <f>IFERROR(VLOOKUP(TableHandbook[[#This Row],[UDC]],TableMJRUARTME[],7,FALSE),"")</f>
        <v/>
      </c>
      <c r="Z178" s="200" t="str">
        <f>IFERROR(VLOOKUP(TableHandbook[[#This Row],[UDC]],TableMJRUARTVA[],7,FALSE),"")</f>
        <v/>
      </c>
      <c r="AA178" s="200" t="str">
        <f>IFERROR(VLOOKUP(TableHandbook[[#This Row],[UDC]],TableMJRUENGLT[],7,FALSE),"")</f>
        <v/>
      </c>
      <c r="AB178" s="200" t="str">
        <f>IFERROR(VLOOKUP(TableHandbook[[#This Row],[UDC]],TableMJRUHLTPE[],7,FALSE),"")</f>
        <v/>
      </c>
      <c r="AC178" s="200" t="str">
        <f>IFERROR(VLOOKUP(TableHandbook[[#This Row],[UDC]],TableMJRUHUSEC[],7,FALSE),"")</f>
        <v/>
      </c>
      <c r="AD178" s="200" t="str">
        <f>IFERROR(VLOOKUP(TableHandbook[[#This Row],[UDC]],TableMJRUHUSGE[],7,FALSE),"")</f>
        <v/>
      </c>
      <c r="AE178" s="200" t="str">
        <f>IFERROR(VLOOKUP(TableHandbook[[#This Row],[UDC]],TableMJRUHUSHI[],7,FALSE),"")</f>
        <v/>
      </c>
      <c r="AF178" s="200" t="str">
        <f>IFERROR(VLOOKUP(TableHandbook[[#This Row],[UDC]],TableMJRUHUSPL[],7,FALSE),"")</f>
        <v/>
      </c>
      <c r="AG178" s="200" t="str">
        <f>IFERROR(VLOOKUP(TableHandbook[[#This Row],[UDC]],TableMJRUMATHT[],7,FALSE),"")</f>
        <v>Core</v>
      </c>
      <c r="AH178" s="200" t="str">
        <f>IFERROR(VLOOKUP(TableHandbook[[#This Row],[UDC]],TableMJRUSCIBI[],7,FALSE),"")</f>
        <v/>
      </c>
      <c r="AI178" s="200" t="str">
        <f>IFERROR(VLOOKUP(TableHandbook[[#This Row],[UDC]],TableMJRUSCICH[],7,FALSE),"")</f>
        <v/>
      </c>
      <c r="AJ178" s="200" t="str">
        <f>IFERROR(VLOOKUP(TableHandbook[[#This Row],[UDC]],TableMJRUSCIHB[],7,FALSE),"")</f>
        <v/>
      </c>
      <c r="AK178" s="200" t="str">
        <f>IFERROR(VLOOKUP(TableHandbook[[#This Row],[UDC]],TableMJRUSCIPH[],7,FALSE),"")</f>
        <v>Core</v>
      </c>
      <c r="AL178" s="200" t="str">
        <f>IFERROR(VLOOKUP(TableHandbook[[#This Row],[UDC]],TableMJRUSCIPS[],7,FALSE),"")</f>
        <v/>
      </c>
      <c r="AM178" s="202"/>
      <c r="AN178" s="200" t="str">
        <f>IFERROR(VLOOKUP(TableHandbook[[#This Row],[UDC]],TableSTRUBIOLB[],7,FALSE),"")</f>
        <v/>
      </c>
      <c r="AO178" s="200" t="str">
        <f>IFERROR(VLOOKUP(TableHandbook[[#This Row],[UDC]],TableSTRUBSCIM[],7,FALSE),"")</f>
        <v/>
      </c>
      <c r="AP178" s="200" t="str">
        <f>IFERROR(VLOOKUP(TableHandbook[[#This Row],[UDC]],TableSTRUCHEMB[],7,FALSE),"")</f>
        <v/>
      </c>
      <c r="AQ178" s="200" t="str">
        <f>IFERROR(VLOOKUP(TableHandbook[[#This Row],[UDC]],TableSTRUECOB1[],7,FALSE),"")</f>
        <v/>
      </c>
      <c r="AR178" s="200" t="str">
        <f>IFERROR(VLOOKUP(TableHandbook[[#This Row],[UDC]],TableSTRUEDART[],7,FALSE),"")</f>
        <v/>
      </c>
      <c r="AS178" s="200" t="str">
        <f>IFERROR(VLOOKUP(TableHandbook[[#This Row],[UDC]],TableSTRUEDENG[],7,FALSE),"")</f>
        <v/>
      </c>
      <c r="AT178" s="200" t="str">
        <f>IFERROR(VLOOKUP(TableHandbook[[#This Row],[UDC]],TableSTRUEDHAS[],7,FALSE),"")</f>
        <v/>
      </c>
      <c r="AU178" s="200" t="str">
        <f>IFERROR(VLOOKUP(TableHandbook[[#This Row],[UDC]],TableSTRUEDMAT[],7,FALSE),"")</f>
        <v/>
      </c>
      <c r="AV178" s="200" t="str">
        <f>IFERROR(VLOOKUP(TableHandbook[[#This Row],[UDC]],TableSTRUEDSCI[],7,FALSE),"")</f>
        <v/>
      </c>
      <c r="AW178" s="200" t="str">
        <f>IFERROR(VLOOKUP(TableHandbook[[#This Row],[UDC]],TableSTRUENGLB[],7,FALSE),"")</f>
        <v/>
      </c>
      <c r="AX178" s="200" t="str">
        <f>IFERROR(VLOOKUP(TableHandbook[[#This Row],[UDC]],TableSTRUENGLM[],7,FALSE),"")</f>
        <v/>
      </c>
      <c r="AY178" s="200" t="str">
        <f>IFERROR(VLOOKUP(TableHandbook[[#This Row],[UDC]],TableSTRUGEOB1[],7,FALSE),"")</f>
        <v/>
      </c>
      <c r="AZ178" s="200" t="str">
        <f>IFERROR(VLOOKUP(TableHandbook[[#This Row],[UDC]],TableSTRUHISB1[],7,FALSE),"")</f>
        <v/>
      </c>
      <c r="BA178" s="200" t="str">
        <f>IFERROR(VLOOKUP(TableHandbook[[#This Row],[UDC]],TableSTRUHUMAM[],7,FALSE),"")</f>
        <v/>
      </c>
      <c r="BB178" s="200" t="str">
        <f>IFERROR(VLOOKUP(TableHandbook[[#This Row],[UDC]],TableSTRUHUMBB[],7,FALSE),"")</f>
        <v/>
      </c>
      <c r="BC178" s="200" t="str">
        <f>IFERROR(VLOOKUP(TableHandbook[[#This Row],[UDC]],TableSTRUMATHB[],7,FALSE),"")</f>
        <v/>
      </c>
      <c r="BD178" s="200" t="str">
        <f>IFERROR(VLOOKUP(TableHandbook[[#This Row],[UDC]],TableSTRUMATHM[],7,FALSE),"")</f>
        <v/>
      </c>
      <c r="BE178" s="200" t="str">
        <f>IFERROR(VLOOKUP(TableHandbook[[#This Row],[UDC]],TableSTRUPARTB[],7,FALSE),"")</f>
        <v/>
      </c>
      <c r="BF178" s="200" t="str">
        <f>IFERROR(VLOOKUP(TableHandbook[[#This Row],[UDC]],TableSTRUPARTM[],7,FALSE),"")</f>
        <v/>
      </c>
      <c r="BG178" s="200" t="str">
        <f>IFERROR(VLOOKUP(TableHandbook[[#This Row],[UDC]],TableSTRUPOLB1[],7,FALSE),"")</f>
        <v/>
      </c>
      <c r="BH178" s="200" t="str">
        <f>IFERROR(VLOOKUP(TableHandbook[[#This Row],[UDC]],TableSTRUPSCIM[],7,FALSE),"")</f>
        <v/>
      </c>
      <c r="BI178" s="200" t="str">
        <f>IFERROR(VLOOKUP(TableHandbook[[#This Row],[UDC]],TableSTRUPSYCB[],7,FALSE),"")</f>
        <v/>
      </c>
      <c r="BJ178" s="200" t="str">
        <f>IFERROR(VLOOKUP(TableHandbook[[#This Row],[UDC]],TableSTRUPSYCM[],7,FALSE),"")</f>
        <v/>
      </c>
      <c r="BK178" s="200" t="str">
        <f>IFERROR(VLOOKUP(TableHandbook[[#This Row],[UDC]],TableSTRUSOSCM[],7,FALSE),"")</f>
        <v/>
      </c>
      <c r="BL178" s="200" t="str">
        <f>IFERROR(VLOOKUP(TableHandbook[[#This Row],[UDC]],TableSTRUVARTB[],7,FALSE),"")</f>
        <v/>
      </c>
      <c r="BM178" s="200" t="str">
        <f>IFERROR(VLOOKUP(TableHandbook[[#This Row],[UDC]],TableSTRUVARTM[],7,FALSE),"")</f>
        <v/>
      </c>
    </row>
    <row r="179" spans="1:65" x14ac:dyDescent="0.25">
      <c r="A179" s="262" t="s">
        <v>402</v>
      </c>
      <c r="B179" s="12">
        <v>1</v>
      </c>
      <c r="C179" s="11"/>
      <c r="D179" s="11" t="s">
        <v>771</v>
      </c>
      <c r="E179" s="12">
        <v>25</v>
      </c>
      <c r="F179" s="131" t="s">
        <v>325</v>
      </c>
      <c r="G179" s="126" t="str">
        <f>IFERROR(IF(VLOOKUP(TableHandbook[[#This Row],[UDC]],TableAvailabilities[],2,FALSE)&gt;0,"Y",""),"")</f>
        <v>Y</v>
      </c>
      <c r="H179" s="127" t="str">
        <f>IFERROR(IF(VLOOKUP(TableHandbook[[#This Row],[UDC]],TableAvailabilities[],3,FALSE)&gt;0,"Y",""),"")</f>
        <v/>
      </c>
      <c r="I179" s="127" t="str">
        <f>IFERROR(IF(VLOOKUP(TableHandbook[[#This Row],[UDC]],TableAvailabilities[],4,FALSE)&gt;0,"Y",""),"")</f>
        <v/>
      </c>
      <c r="J179" s="128" t="str">
        <f>IFERROR(IF(VLOOKUP(TableHandbook[[#This Row],[UDC]],TableAvailabilities[],5,FALSE)&gt;0,"Y",""),"")</f>
        <v/>
      </c>
      <c r="K179" s="128" t="str">
        <f>IFERROR(IF(VLOOKUP(TableHandbook[[#This Row],[UDC]],TableAvailabilities[],6,FALSE)&gt;0,"Y",""),"")</f>
        <v/>
      </c>
      <c r="L179" s="127" t="str">
        <f>IFERROR(IF(VLOOKUP(TableHandbook[[#This Row],[UDC]],TableAvailabilities[],7,FALSE)&gt;0,"Y",""),"")</f>
        <v/>
      </c>
      <c r="M179" s="207"/>
      <c r="N179" s="205" t="str">
        <f>IFERROR(VLOOKUP(TableHandbook[[#This Row],[UDC]],TableBEDUC[],7,FALSE),"")</f>
        <v/>
      </c>
      <c r="O179" s="200" t="str">
        <f>IFERROR(VLOOKUP(TableHandbook[[#This Row],[UDC]],TableBEDEC[],7,FALSE),"")</f>
        <v/>
      </c>
      <c r="P179" s="200" t="str">
        <f>IFERROR(VLOOKUP(TableHandbook[[#This Row],[UDC]],TableBEDPR[],7,FALSE),"")</f>
        <v/>
      </c>
      <c r="Q179" s="200" t="str">
        <f>IFERROR(VLOOKUP(TableHandbook[[#This Row],[UDC]],TableSTRUCATHL[],7,FALSE),"")</f>
        <v/>
      </c>
      <c r="R179" s="200" t="str">
        <f>IFERROR(VLOOKUP(TableHandbook[[#This Row],[UDC]],TableSTRUENGLL[],7,FALSE),"")</f>
        <v/>
      </c>
      <c r="S179" s="200" t="str">
        <f>IFERROR(VLOOKUP(TableHandbook[[#This Row],[UDC]],TableSTRUINTBC[],7,FALSE),"")</f>
        <v/>
      </c>
      <c r="T179" s="200" t="str">
        <f>IFERROR(VLOOKUP(TableHandbook[[#This Row],[UDC]],TableSTRUISTEM[],7,FALSE),"")</f>
        <v/>
      </c>
      <c r="U179" s="200" t="str">
        <f>IFERROR(VLOOKUP(TableHandbook[[#This Row],[UDC]],TableSTRULITNU[],7,FALSE),"")</f>
        <v/>
      </c>
      <c r="V179" s="200" t="str">
        <f>IFERROR(VLOOKUP(TableHandbook[[#This Row],[UDC]],TableSTRUTECHS[],7,FALSE),"")</f>
        <v/>
      </c>
      <c r="W179" s="200" t="str">
        <f>IFERROR(VLOOKUP(TableHandbook[[#This Row],[UDC]],TableBEDSC[],7,FALSE),"")</f>
        <v/>
      </c>
      <c r="X179" s="200" t="str">
        <f>IFERROR(VLOOKUP(TableHandbook[[#This Row],[UDC]],TableMJRUARTDR[],7,FALSE),"")</f>
        <v/>
      </c>
      <c r="Y179" s="200" t="str">
        <f>IFERROR(VLOOKUP(TableHandbook[[#This Row],[UDC]],TableMJRUARTME[],7,FALSE),"")</f>
        <v/>
      </c>
      <c r="Z179" s="200" t="str">
        <f>IFERROR(VLOOKUP(TableHandbook[[#This Row],[UDC]],TableMJRUARTVA[],7,FALSE),"")</f>
        <v/>
      </c>
      <c r="AA179" s="200" t="str">
        <f>IFERROR(VLOOKUP(TableHandbook[[#This Row],[UDC]],TableMJRUENGLT[],7,FALSE),"")</f>
        <v/>
      </c>
      <c r="AB179" s="200" t="str">
        <f>IFERROR(VLOOKUP(TableHandbook[[#This Row],[UDC]],TableMJRUHLTPE[],7,FALSE),"")</f>
        <v/>
      </c>
      <c r="AC179" s="200" t="str">
        <f>IFERROR(VLOOKUP(TableHandbook[[#This Row],[UDC]],TableMJRUHUSEC[],7,FALSE),"")</f>
        <v/>
      </c>
      <c r="AD179" s="200" t="str">
        <f>IFERROR(VLOOKUP(TableHandbook[[#This Row],[UDC]],TableMJRUHUSGE[],7,FALSE),"")</f>
        <v/>
      </c>
      <c r="AE179" s="200" t="str">
        <f>IFERROR(VLOOKUP(TableHandbook[[#This Row],[UDC]],TableMJRUHUSHI[],7,FALSE),"")</f>
        <v/>
      </c>
      <c r="AF179" s="200" t="str">
        <f>IFERROR(VLOOKUP(TableHandbook[[#This Row],[UDC]],TableMJRUHUSPL[],7,FALSE),"")</f>
        <v/>
      </c>
      <c r="AG179" s="200" t="str">
        <f>IFERROR(VLOOKUP(TableHandbook[[#This Row],[UDC]],TableMJRUMATHT[],7,FALSE),"")</f>
        <v>Core</v>
      </c>
      <c r="AH179" s="200" t="str">
        <f>IFERROR(VLOOKUP(TableHandbook[[#This Row],[UDC]],TableMJRUSCIBI[],7,FALSE),"")</f>
        <v/>
      </c>
      <c r="AI179" s="200" t="str">
        <f>IFERROR(VLOOKUP(TableHandbook[[#This Row],[UDC]],TableMJRUSCICH[],7,FALSE),"")</f>
        <v/>
      </c>
      <c r="AJ179" s="200" t="str">
        <f>IFERROR(VLOOKUP(TableHandbook[[#This Row],[UDC]],TableMJRUSCIHB[],7,FALSE),"")</f>
        <v/>
      </c>
      <c r="AK179" s="200" t="str">
        <f>IFERROR(VLOOKUP(TableHandbook[[#This Row],[UDC]],TableMJRUSCIPH[],7,FALSE),"")</f>
        <v/>
      </c>
      <c r="AL179" s="200" t="str">
        <f>IFERROR(VLOOKUP(TableHandbook[[#This Row],[UDC]],TableMJRUSCIPS[],7,FALSE),"")</f>
        <v/>
      </c>
      <c r="AM179" s="202"/>
      <c r="AN179" s="200" t="str">
        <f>IFERROR(VLOOKUP(TableHandbook[[#This Row],[UDC]],TableSTRUBIOLB[],7,FALSE),"")</f>
        <v/>
      </c>
      <c r="AO179" s="200" t="str">
        <f>IFERROR(VLOOKUP(TableHandbook[[#This Row],[UDC]],TableSTRUBSCIM[],7,FALSE),"")</f>
        <v/>
      </c>
      <c r="AP179" s="200" t="str">
        <f>IFERROR(VLOOKUP(TableHandbook[[#This Row],[UDC]],TableSTRUCHEMB[],7,FALSE),"")</f>
        <v/>
      </c>
      <c r="AQ179" s="200" t="str">
        <f>IFERROR(VLOOKUP(TableHandbook[[#This Row],[UDC]],TableSTRUECOB1[],7,FALSE),"")</f>
        <v/>
      </c>
      <c r="AR179" s="200" t="str">
        <f>IFERROR(VLOOKUP(TableHandbook[[#This Row],[UDC]],TableSTRUEDART[],7,FALSE),"")</f>
        <v/>
      </c>
      <c r="AS179" s="200" t="str">
        <f>IFERROR(VLOOKUP(TableHandbook[[#This Row],[UDC]],TableSTRUEDENG[],7,FALSE),"")</f>
        <v/>
      </c>
      <c r="AT179" s="200" t="str">
        <f>IFERROR(VLOOKUP(TableHandbook[[#This Row],[UDC]],TableSTRUEDHAS[],7,FALSE),"")</f>
        <v/>
      </c>
      <c r="AU179" s="200" t="str">
        <f>IFERROR(VLOOKUP(TableHandbook[[#This Row],[UDC]],TableSTRUEDMAT[],7,FALSE),"")</f>
        <v/>
      </c>
      <c r="AV179" s="200" t="str">
        <f>IFERROR(VLOOKUP(TableHandbook[[#This Row],[UDC]],TableSTRUEDSCI[],7,FALSE),"")</f>
        <v/>
      </c>
      <c r="AW179" s="200" t="str">
        <f>IFERROR(VLOOKUP(TableHandbook[[#This Row],[UDC]],TableSTRUENGLB[],7,FALSE),"")</f>
        <v/>
      </c>
      <c r="AX179" s="200" t="str">
        <f>IFERROR(VLOOKUP(TableHandbook[[#This Row],[UDC]],TableSTRUENGLM[],7,FALSE),"")</f>
        <v/>
      </c>
      <c r="AY179" s="200" t="str">
        <f>IFERROR(VLOOKUP(TableHandbook[[#This Row],[UDC]],TableSTRUGEOB1[],7,FALSE),"")</f>
        <v/>
      </c>
      <c r="AZ179" s="200" t="str">
        <f>IFERROR(VLOOKUP(TableHandbook[[#This Row],[UDC]],TableSTRUHISB1[],7,FALSE),"")</f>
        <v/>
      </c>
      <c r="BA179" s="200" t="str">
        <f>IFERROR(VLOOKUP(TableHandbook[[#This Row],[UDC]],TableSTRUHUMAM[],7,FALSE),"")</f>
        <v/>
      </c>
      <c r="BB179" s="200" t="str">
        <f>IFERROR(VLOOKUP(TableHandbook[[#This Row],[UDC]],TableSTRUHUMBB[],7,FALSE),"")</f>
        <v/>
      </c>
      <c r="BC179" s="200" t="str">
        <f>IFERROR(VLOOKUP(TableHandbook[[#This Row],[UDC]],TableSTRUMATHB[],7,FALSE),"")</f>
        <v/>
      </c>
      <c r="BD179" s="200" t="str">
        <f>IFERROR(VLOOKUP(TableHandbook[[#This Row],[UDC]],TableSTRUMATHM[],7,FALSE),"")</f>
        <v/>
      </c>
      <c r="BE179" s="200" t="str">
        <f>IFERROR(VLOOKUP(TableHandbook[[#This Row],[UDC]],TableSTRUPARTB[],7,FALSE),"")</f>
        <v/>
      </c>
      <c r="BF179" s="200" t="str">
        <f>IFERROR(VLOOKUP(TableHandbook[[#This Row],[UDC]],TableSTRUPARTM[],7,FALSE),"")</f>
        <v/>
      </c>
      <c r="BG179" s="200" t="str">
        <f>IFERROR(VLOOKUP(TableHandbook[[#This Row],[UDC]],TableSTRUPOLB1[],7,FALSE),"")</f>
        <v/>
      </c>
      <c r="BH179" s="200" t="str">
        <f>IFERROR(VLOOKUP(TableHandbook[[#This Row],[UDC]],TableSTRUPSCIM[],7,FALSE),"")</f>
        <v/>
      </c>
      <c r="BI179" s="200" t="str">
        <f>IFERROR(VLOOKUP(TableHandbook[[#This Row],[UDC]],TableSTRUPSYCB[],7,FALSE),"")</f>
        <v/>
      </c>
      <c r="BJ179" s="200" t="str">
        <f>IFERROR(VLOOKUP(TableHandbook[[#This Row],[UDC]],TableSTRUPSYCM[],7,FALSE),"")</f>
        <v/>
      </c>
      <c r="BK179" s="200" t="str">
        <f>IFERROR(VLOOKUP(TableHandbook[[#This Row],[UDC]],TableSTRUSOSCM[],7,FALSE),"")</f>
        <v/>
      </c>
      <c r="BL179" s="200" t="str">
        <f>IFERROR(VLOOKUP(TableHandbook[[#This Row],[UDC]],TableSTRUVARTB[],7,FALSE),"")</f>
        <v/>
      </c>
      <c r="BM179" s="200" t="str">
        <f>IFERROR(VLOOKUP(TableHandbook[[#This Row],[UDC]],TableSTRUVARTM[],7,FALSE),"")</f>
        <v/>
      </c>
    </row>
    <row r="180" spans="1:65" ht="26.25" x14ac:dyDescent="0.25">
      <c r="A180" s="261" t="s">
        <v>481</v>
      </c>
      <c r="B180" s="12">
        <v>1</v>
      </c>
      <c r="C180" s="11"/>
      <c r="D180" s="11" t="s">
        <v>772</v>
      </c>
      <c r="E180" s="12">
        <v>25</v>
      </c>
      <c r="F180" s="131" t="s">
        <v>544</v>
      </c>
      <c r="G180" s="126" t="str">
        <f>IFERROR(IF(VLOOKUP(TableHandbook[[#This Row],[UDC]],TableAvailabilities[],2,FALSE)&gt;0,"Y",""),"")</f>
        <v>Y</v>
      </c>
      <c r="H180" s="127" t="str">
        <f>IFERROR(IF(VLOOKUP(TableHandbook[[#This Row],[UDC]],TableAvailabilities[],3,FALSE)&gt;0,"Y",""),"")</f>
        <v/>
      </c>
      <c r="I180" s="127" t="str">
        <f>IFERROR(IF(VLOOKUP(TableHandbook[[#This Row],[UDC]],TableAvailabilities[],4,FALSE)&gt;0,"Y",""),"")</f>
        <v/>
      </c>
      <c r="J180" s="128" t="str">
        <f>IFERROR(IF(VLOOKUP(TableHandbook[[#This Row],[UDC]],TableAvailabilities[],5,FALSE)&gt;0,"Y",""),"")</f>
        <v>Y</v>
      </c>
      <c r="K180" s="128" t="str">
        <f>IFERROR(IF(VLOOKUP(TableHandbook[[#This Row],[UDC]],TableAvailabilities[],6,FALSE)&gt;0,"Y",""),"")</f>
        <v/>
      </c>
      <c r="L180" s="127" t="str">
        <f>IFERROR(IF(VLOOKUP(TableHandbook[[#This Row],[UDC]],TableAvailabilities[],7,FALSE)&gt;0,"Y",""),"")</f>
        <v/>
      </c>
      <c r="M180" s="207" t="s">
        <v>773</v>
      </c>
      <c r="N180" s="205" t="str">
        <f>IFERROR(VLOOKUP(TableHandbook[[#This Row],[UDC]],TableBEDUC[],7,FALSE),"")</f>
        <v/>
      </c>
      <c r="O180" s="200" t="str">
        <f>IFERROR(VLOOKUP(TableHandbook[[#This Row],[UDC]],TableBEDEC[],7,FALSE),"")</f>
        <v/>
      </c>
      <c r="P180" s="200" t="str">
        <f>IFERROR(VLOOKUP(TableHandbook[[#This Row],[UDC]],TableBEDPR[],7,FALSE),"")</f>
        <v/>
      </c>
      <c r="Q180" s="200" t="str">
        <f>IFERROR(VLOOKUP(TableHandbook[[#This Row],[UDC]],TableSTRUCATHL[],7,FALSE),"")</f>
        <v/>
      </c>
      <c r="R180" s="200" t="str">
        <f>IFERROR(VLOOKUP(TableHandbook[[#This Row],[UDC]],TableSTRUENGLL[],7,FALSE),"")</f>
        <v/>
      </c>
      <c r="S180" s="200" t="str">
        <f>IFERROR(VLOOKUP(TableHandbook[[#This Row],[UDC]],TableSTRUINTBC[],7,FALSE),"")</f>
        <v/>
      </c>
      <c r="T180" s="200" t="str">
        <f>IFERROR(VLOOKUP(TableHandbook[[#This Row],[UDC]],TableSTRUISTEM[],7,FALSE),"")</f>
        <v/>
      </c>
      <c r="U180" s="200" t="str">
        <f>IFERROR(VLOOKUP(TableHandbook[[#This Row],[UDC]],TableSTRULITNU[],7,FALSE),"")</f>
        <v/>
      </c>
      <c r="V180" s="200" t="str">
        <f>IFERROR(VLOOKUP(TableHandbook[[#This Row],[UDC]],TableSTRUTECHS[],7,FALSE),"")</f>
        <v/>
      </c>
      <c r="W180" s="200" t="str">
        <f>IFERROR(VLOOKUP(TableHandbook[[#This Row],[UDC]],TableBEDSC[],7,FALSE),"")</f>
        <v/>
      </c>
      <c r="X180" s="200" t="str">
        <f>IFERROR(VLOOKUP(TableHandbook[[#This Row],[UDC]],TableMJRUARTDR[],7,FALSE),"")</f>
        <v/>
      </c>
      <c r="Y180" s="200" t="str">
        <f>IFERROR(VLOOKUP(TableHandbook[[#This Row],[UDC]],TableMJRUARTME[],7,FALSE),"")</f>
        <v/>
      </c>
      <c r="Z180" s="200" t="str">
        <f>IFERROR(VLOOKUP(TableHandbook[[#This Row],[UDC]],TableMJRUARTVA[],7,FALSE),"")</f>
        <v/>
      </c>
      <c r="AA180" s="200" t="str">
        <f>IFERROR(VLOOKUP(TableHandbook[[#This Row],[UDC]],TableMJRUENGLT[],7,FALSE),"")</f>
        <v/>
      </c>
      <c r="AB180" s="200" t="str">
        <f>IFERROR(VLOOKUP(TableHandbook[[#This Row],[UDC]],TableMJRUHLTPE[],7,FALSE),"")</f>
        <v/>
      </c>
      <c r="AC180" s="200" t="str">
        <f>IFERROR(VLOOKUP(TableHandbook[[#This Row],[UDC]],TableMJRUHUSEC[],7,FALSE),"")</f>
        <v/>
      </c>
      <c r="AD180" s="200" t="str">
        <f>IFERROR(VLOOKUP(TableHandbook[[#This Row],[UDC]],TableMJRUHUSGE[],7,FALSE),"")</f>
        <v/>
      </c>
      <c r="AE180" s="200" t="str">
        <f>IFERROR(VLOOKUP(TableHandbook[[#This Row],[UDC]],TableMJRUHUSHI[],7,FALSE),"")</f>
        <v/>
      </c>
      <c r="AF180" s="200" t="str">
        <f>IFERROR(VLOOKUP(TableHandbook[[#This Row],[UDC]],TableMJRUHUSPL[],7,FALSE),"")</f>
        <v/>
      </c>
      <c r="AG180" s="200" t="str">
        <f>IFERROR(VLOOKUP(TableHandbook[[#This Row],[UDC]],TableMJRUMATHT[],7,FALSE),"")</f>
        <v/>
      </c>
      <c r="AH180" s="200" t="str">
        <f>IFERROR(VLOOKUP(TableHandbook[[#This Row],[UDC]],TableMJRUSCIBI[],7,FALSE),"")</f>
        <v/>
      </c>
      <c r="AI180" s="200" t="str">
        <f>IFERROR(VLOOKUP(TableHandbook[[#This Row],[UDC]],TableMJRUSCICH[],7,FALSE),"")</f>
        <v/>
      </c>
      <c r="AJ180" s="200" t="str">
        <f>IFERROR(VLOOKUP(TableHandbook[[#This Row],[UDC]],TableMJRUSCIHB[],7,FALSE),"")</f>
        <v/>
      </c>
      <c r="AK180" s="200" t="str">
        <f>IFERROR(VLOOKUP(TableHandbook[[#This Row],[UDC]],TableMJRUSCIPH[],7,FALSE),"")</f>
        <v/>
      </c>
      <c r="AL180" s="200" t="str">
        <f>IFERROR(VLOOKUP(TableHandbook[[#This Row],[UDC]],TableMJRUSCIPS[],7,FALSE),"")</f>
        <v/>
      </c>
      <c r="AM180" s="202"/>
      <c r="AN180" s="200" t="str">
        <f>IFERROR(VLOOKUP(TableHandbook[[#This Row],[UDC]],TableSTRUBIOLB[],7,FALSE),"")</f>
        <v/>
      </c>
      <c r="AO180" s="200" t="str">
        <f>IFERROR(VLOOKUP(TableHandbook[[#This Row],[UDC]],TableSTRUBSCIM[],7,FALSE),"")</f>
        <v/>
      </c>
      <c r="AP180" s="200" t="str">
        <f>IFERROR(VLOOKUP(TableHandbook[[#This Row],[UDC]],TableSTRUCHEMB[],7,FALSE),"")</f>
        <v/>
      </c>
      <c r="AQ180" s="200" t="str">
        <f>IFERROR(VLOOKUP(TableHandbook[[#This Row],[UDC]],TableSTRUECOB1[],7,FALSE),"")</f>
        <v/>
      </c>
      <c r="AR180" s="200" t="str">
        <f>IFERROR(VLOOKUP(TableHandbook[[#This Row],[UDC]],TableSTRUEDART[],7,FALSE),"")</f>
        <v/>
      </c>
      <c r="AS180" s="200" t="str">
        <f>IFERROR(VLOOKUP(TableHandbook[[#This Row],[UDC]],TableSTRUEDENG[],7,FALSE),"")</f>
        <v/>
      </c>
      <c r="AT180" s="200" t="str">
        <f>IFERROR(VLOOKUP(TableHandbook[[#This Row],[UDC]],TableSTRUEDHAS[],7,FALSE),"")</f>
        <v/>
      </c>
      <c r="AU180" s="200" t="str">
        <f>IFERROR(VLOOKUP(TableHandbook[[#This Row],[UDC]],TableSTRUEDMAT[],7,FALSE),"")</f>
        <v/>
      </c>
      <c r="AV180" s="200" t="str">
        <f>IFERROR(VLOOKUP(TableHandbook[[#This Row],[UDC]],TableSTRUEDSCI[],7,FALSE),"")</f>
        <v/>
      </c>
      <c r="AW180" s="200" t="str">
        <f>IFERROR(VLOOKUP(TableHandbook[[#This Row],[UDC]],TableSTRUENGLB[],7,FALSE),"")</f>
        <v/>
      </c>
      <c r="AX180" s="200" t="str">
        <f>IFERROR(VLOOKUP(TableHandbook[[#This Row],[UDC]],TableSTRUENGLM[],7,FALSE),"")</f>
        <v/>
      </c>
      <c r="AY180" s="200" t="str">
        <f>IFERROR(VLOOKUP(TableHandbook[[#This Row],[UDC]],TableSTRUGEOB1[],7,FALSE),"")</f>
        <v/>
      </c>
      <c r="AZ180" s="200" t="str">
        <f>IFERROR(VLOOKUP(TableHandbook[[#This Row],[UDC]],TableSTRUHISB1[],7,FALSE),"")</f>
        <v/>
      </c>
      <c r="BA180" s="200" t="str">
        <f>IFERROR(VLOOKUP(TableHandbook[[#This Row],[UDC]],TableSTRUHUMAM[],7,FALSE),"")</f>
        <v/>
      </c>
      <c r="BB180" s="200" t="str">
        <f>IFERROR(VLOOKUP(TableHandbook[[#This Row],[UDC]],TableSTRUHUMBB[],7,FALSE),"")</f>
        <v>Core</v>
      </c>
      <c r="BC180" s="200" t="str">
        <f>IFERROR(VLOOKUP(TableHandbook[[#This Row],[UDC]],TableSTRUMATHB[],7,FALSE),"")</f>
        <v/>
      </c>
      <c r="BD180" s="200" t="str">
        <f>IFERROR(VLOOKUP(TableHandbook[[#This Row],[UDC]],TableSTRUMATHM[],7,FALSE),"")</f>
        <v/>
      </c>
      <c r="BE180" s="200" t="str">
        <f>IFERROR(VLOOKUP(TableHandbook[[#This Row],[UDC]],TableSTRUPARTB[],7,FALSE),"")</f>
        <v/>
      </c>
      <c r="BF180" s="200" t="str">
        <f>IFERROR(VLOOKUP(TableHandbook[[#This Row],[UDC]],TableSTRUPARTM[],7,FALSE),"")</f>
        <v/>
      </c>
      <c r="BG180" s="200" t="str">
        <f>IFERROR(VLOOKUP(TableHandbook[[#This Row],[UDC]],TableSTRUPOLB1[],7,FALSE),"")</f>
        <v/>
      </c>
      <c r="BH180" s="200" t="str">
        <f>IFERROR(VLOOKUP(TableHandbook[[#This Row],[UDC]],TableSTRUPSCIM[],7,FALSE),"")</f>
        <v/>
      </c>
      <c r="BI180" s="200" t="str">
        <f>IFERROR(VLOOKUP(TableHandbook[[#This Row],[UDC]],TableSTRUPSYCB[],7,FALSE),"")</f>
        <v/>
      </c>
      <c r="BJ180" s="200" t="str">
        <f>IFERROR(VLOOKUP(TableHandbook[[#This Row],[UDC]],TableSTRUPSYCM[],7,FALSE),"")</f>
        <v/>
      </c>
      <c r="BK180" s="200" t="str">
        <f>IFERROR(VLOOKUP(TableHandbook[[#This Row],[UDC]],TableSTRUSOSCM[],7,FALSE),"")</f>
        <v/>
      </c>
      <c r="BL180" s="200" t="str">
        <f>IFERROR(VLOOKUP(TableHandbook[[#This Row],[UDC]],TableSTRUVARTB[],7,FALSE),"")</f>
        <v/>
      </c>
      <c r="BM180" s="200" t="str">
        <f>IFERROR(VLOOKUP(TableHandbook[[#This Row],[UDC]],TableSTRUVARTM[],7,FALSE),"")</f>
        <v/>
      </c>
    </row>
    <row r="181" spans="1:65" x14ac:dyDescent="0.25">
      <c r="A181" s="261" t="s">
        <v>513</v>
      </c>
      <c r="B181" s="12">
        <v>1</v>
      </c>
      <c r="C181" s="11"/>
      <c r="D181" s="11" t="s">
        <v>774</v>
      </c>
      <c r="E181" s="12">
        <v>25</v>
      </c>
      <c r="F181" s="131" t="s">
        <v>775</v>
      </c>
      <c r="G181" s="126" t="str">
        <f>IFERROR(IF(VLOOKUP(TableHandbook[[#This Row],[UDC]],TableAvailabilities[],2,FALSE)&gt;0,"Y",""),"")</f>
        <v/>
      </c>
      <c r="H181" s="127" t="str">
        <f>IFERROR(IF(VLOOKUP(TableHandbook[[#This Row],[UDC]],TableAvailabilities[],3,FALSE)&gt;0,"Y",""),"")</f>
        <v/>
      </c>
      <c r="I181" s="127" t="str">
        <f>IFERROR(IF(VLOOKUP(TableHandbook[[#This Row],[UDC]],TableAvailabilities[],4,FALSE)&gt;0,"Y",""),"")</f>
        <v/>
      </c>
      <c r="J181" s="128" t="str">
        <f>IFERROR(IF(VLOOKUP(TableHandbook[[#This Row],[UDC]],TableAvailabilities[],5,FALSE)&gt;0,"Y",""),"")</f>
        <v>Y</v>
      </c>
      <c r="K181" s="128" t="str">
        <f>IFERROR(IF(VLOOKUP(TableHandbook[[#This Row],[UDC]],TableAvailabilities[],6,FALSE)&gt;0,"Y",""),"")</f>
        <v/>
      </c>
      <c r="L181" s="127" t="str">
        <f>IFERROR(IF(VLOOKUP(TableHandbook[[#This Row],[UDC]],TableAvailabilities[],7,FALSE)&gt;0,"Y",""),"")</f>
        <v/>
      </c>
      <c r="M181" s="207"/>
      <c r="N181" s="205" t="str">
        <f>IFERROR(VLOOKUP(TableHandbook[[#This Row],[UDC]],TableBEDUC[],7,FALSE),"")</f>
        <v/>
      </c>
      <c r="O181" s="200" t="str">
        <f>IFERROR(VLOOKUP(TableHandbook[[#This Row],[UDC]],TableBEDEC[],7,FALSE),"")</f>
        <v/>
      </c>
      <c r="P181" s="200" t="str">
        <f>IFERROR(VLOOKUP(TableHandbook[[#This Row],[UDC]],TableBEDPR[],7,FALSE),"")</f>
        <v/>
      </c>
      <c r="Q181" s="200" t="str">
        <f>IFERROR(VLOOKUP(TableHandbook[[#This Row],[UDC]],TableSTRUCATHL[],7,FALSE),"")</f>
        <v/>
      </c>
      <c r="R181" s="200" t="str">
        <f>IFERROR(VLOOKUP(TableHandbook[[#This Row],[UDC]],TableSTRUENGLL[],7,FALSE),"")</f>
        <v/>
      </c>
      <c r="S181" s="200" t="str">
        <f>IFERROR(VLOOKUP(TableHandbook[[#This Row],[UDC]],TableSTRUINTBC[],7,FALSE),"")</f>
        <v/>
      </c>
      <c r="T181" s="200" t="str">
        <f>IFERROR(VLOOKUP(TableHandbook[[#This Row],[UDC]],TableSTRUISTEM[],7,FALSE),"")</f>
        <v/>
      </c>
      <c r="U181" s="200" t="str">
        <f>IFERROR(VLOOKUP(TableHandbook[[#This Row],[UDC]],TableSTRULITNU[],7,FALSE),"")</f>
        <v/>
      </c>
      <c r="V181" s="200" t="str">
        <f>IFERROR(VLOOKUP(TableHandbook[[#This Row],[UDC]],TableSTRUTECHS[],7,FALSE),"")</f>
        <v/>
      </c>
      <c r="W181" s="200" t="str">
        <f>IFERROR(VLOOKUP(TableHandbook[[#This Row],[UDC]],TableBEDSC[],7,FALSE),"")</f>
        <v/>
      </c>
      <c r="X181" s="200" t="str">
        <f>IFERROR(VLOOKUP(TableHandbook[[#This Row],[UDC]],TableMJRUARTDR[],7,FALSE),"")</f>
        <v/>
      </c>
      <c r="Y181" s="200" t="str">
        <f>IFERROR(VLOOKUP(TableHandbook[[#This Row],[UDC]],TableMJRUARTME[],7,FALSE),"")</f>
        <v/>
      </c>
      <c r="Z181" s="200" t="str">
        <f>IFERROR(VLOOKUP(TableHandbook[[#This Row],[UDC]],TableMJRUARTVA[],7,FALSE),"")</f>
        <v/>
      </c>
      <c r="AA181" s="200" t="str">
        <f>IFERROR(VLOOKUP(TableHandbook[[#This Row],[UDC]],TableMJRUENGLT[],7,FALSE),"")</f>
        <v/>
      </c>
      <c r="AB181" s="200" t="str">
        <f>IFERROR(VLOOKUP(TableHandbook[[#This Row],[UDC]],TableMJRUHLTPE[],7,FALSE),"")</f>
        <v/>
      </c>
      <c r="AC181" s="200" t="str">
        <f>IFERROR(VLOOKUP(TableHandbook[[#This Row],[UDC]],TableMJRUHUSEC[],7,FALSE),"")</f>
        <v/>
      </c>
      <c r="AD181" s="200" t="str">
        <f>IFERROR(VLOOKUP(TableHandbook[[#This Row],[UDC]],TableMJRUHUSGE[],7,FALSE),"")</f>
        <v/>
      </c>
      <c r="AE181" s="200" t="str">
        <f>IFERROR(VLOOKUP(TableHandbook[[#This Row],[UDC]],TableMJRUHUSHI[],7,FALSE),"")</f>
        <v/>
      </c>
      <c r="AF181" s="200" t="str">
        <f>IFERROR(VLOOKUP(TableHandbook[[#This Row],[UDC]],TableMJRUHUSPL[],7,FALSE),"")</f>
        <v/>
      </c>
      <c r="AG181" s="200" t="str">
        <f>IFERROR(VLOOKUP(TableHandbook[[#This Row],[UDC]],TableMJRUMATHT[],7,FALSE),"")</f>
        <v/>
      </c>
      <c r="AH181" s="200" t="str">
        <f>IFERROR(VLOOKUP(TableHandbook[[#This Row],[UDC]],TableMJRUSCIBI[],7,FALSE),"")</f>
        <v/>
      </c>
      <c r="AI181" s="200" t="str">
        <f>IFERROR(VLOOKUP(TableHandbook[[#This Row],[UDC]],TableMJRUSCICH[],7,FALSE),"")</f>
        <v/>
      </c>
      <c r="AJ181" s="200" t="str">
        <f>IFERROR(VLOOKUP(TableHandbook[[#This Row],[UDC]],TableMJRUSCIHB[],7,FALSE),"")</f>
        <v/>
      </c>
      <c r="AK181" s="200" t="str">
        <f>IFERROR(VLOOKUP(TableHandbook[[#This Row],[UDC]],TableMJRUSCIPH[],7,FALSE),"")</f>
        <v/>
      </c>
      <c r="AL181" s="200" t="str">
        <f>IFERROR(VLOOKUP(TableHandbook[[#This Row],[UDC]],TableMJRUSCIPS[],7,FALSE),"")</f>
        <v/>
      </c>
      <c r="AM181" s="202"/>
      <c r="AN181" s="200" t="str">
        <f>IFERROR(VLOOKUP(TableHandbook[[#This Row],[UDC]],TableSTRUBIOLB[],7,FALSE),"")</f>
        <v/>
      </c>
      <c r="AO181" s="200" t="str">
        <f>IFERROR(VLOOKUP(TableHandbook[[#This Row],[UDC]],TableSTRUBSCIM[],7,FALSE),"")</f>
        <v/>
      </c>
      <c r="AP181" s="200" t="str">
        <f>IFERROR(VLOOKUP(TableHandbook[[#This Row],[UDC]],TableSTRUCHEMB[],7,FALSE),"")</f>
        <v/>
      </c>
      <c r="AQ181" s="200" t="str">
        <f>IFERROR(VLOOKUP(TableHandbook[[#This Row],[UDC]],TableSTRUECOB1[],7,FALSE),"")</f>
        <v/>
      </c>
      <c r="AR181" s="200" t="str">
        <f>IFERROR(VLOOKUP(TableHandbook[[#This Row],[UDC]],TableSTRUEDART[],7,FALSE),"")</f>
        <v/>
      </c>
      <c r="AS181" s="200" t="str">
        <f>IFERROR(VLOOKUP(TableHandbook[[#This Row],[UDC]],TableSTRUEDENG[],7,FALSE),"")</f>
        <v/>
      </c>
      <c r="AT181" s="200" t="str">
        <f>IFERROR(VLOOKUP(TableHandbook[[#This Row],[UDC]],TableSTRUEDHAS[],7,FALSE),"")</f>
        <v/>
      </c>
      <c r="AU181" s="200" t="str">
        <f>IFERROR(VLOOKUP(TableHandbook[[#This Row],[UDC]],TableSTRUEDMAT[],7,FALSE),"")</f>
        <v/>
      </c>
      <c r="AV181" s="200" t="str">
        <f>IFERROR(VLOOKUP(TableHandbook[[#This Row],[UDC]],TableSTRUEDSCI[],7,FALSE),"")</f>
        <v/>
      </c>
      <c r="AW181" s="200" t="str">
        <f>IFERROR(VLOOKUP(TableHandbook[[#This Row],[UDC]],TableSTRUENGLB[],7,FALSE),"")</f>
        <v/>
      </c>
      <c r="AX181" s="200" t="str">
        <f>IFERROR(VLOOKUP(TableHandbook[[#This Row],[UDC]],TableSTRUENGLM[],7,FALSE),"")</f>
        <v/>
      </c>
      <c r="AY181" s="200" t="str">
        <f>IFERROR(VLOOKUP(TableHandbook[[#This Row],[UDC]],TableSTRUGEOB1[],7,FALSE),"")</f>
        <v/>
      </c>
      <c r="AZ181" s="200" t="str">
        <f>IFERROR(VLOOKUP(TableHandbook[[#This Row],[UDC]],TableSTRUHISB1[],7,FALSE),"")</f>
        <v/>
      </c>
      <c r="BA181" s="200" t="str">
        <f>IFERROR(VLOOKUP(TableHandbook[[#This Row],[UDC]],TableSTRUHUMAM[],7,FALSE),"")</f>
        <v/>
      </c>
      <c r="BB181" s="200" t="str">
        <f>IFERROR(VLOOKUP(TableHandbook[[#This Row],[UDC]],TableSTRUHUMBB[],7,FALSE),"")</f>
        <v>Core</v>
      </c>
      <c r="BC181" s="200" t="str">
        <f>IFERROR(VLOOKUP(TableHandbook[[#This Row],[UDC]],TableSTRUMATHB[],7,FALSE),"")</f>
        <v/>
      </c>
      <c r="BD181" s="200" t="str">
        <f>IFERROR(VLOOKUP(TableHandbook[[#This Row],[UDC]],TableSTRUMATHM[],7,FALSE),"")</f>
        <v/>
      </c>
      <c r="BE181" s="200" t="str">
        <f>IFERROR(VLOOKUP(TableHandbook[[#This Row],[UDC]],TableSTRUPARTB[],7,FALSE),"")</f>
        <v/>
      </c>
      <c r="BF181" s="200" t="str">
        <f>IFERROR(VLOOKUP(TableHandbook[[#This Row],[UDC]],TableSTRUPARTM[],7,FALSE),"")</f>
        <v/>
      </c>
      <c r="BG181" s="200" t="str">
        <f>IFERROR(VLOOKUP(TableHandbook[[#This Row],[UDC]],TableSTRUPOLB1[],7,FALSE),"")</f>
        <v/>
      </c>
      <c r="BH181" s="200" t="str">
        <f>IFERROR(VLOOKUP(TableHandbook[[#This Row],[UDC]],TableSTRUPSCIM[],7,FALSE),"")</f>
        <v/>
      </c>
      <c r="BI181" s="200" t="str">
        <f>IFERROR(VLOOKUP(TableHandbook[[#This Row],[UDC]],TableSTRUPSYCB[],7,FALSE),"")</f>
        <v/>
      </c>
      <c r="BJ181" s="200" t="str">
        <f>IFERROR(VLOOKUP(TableHandbook[[#This Row],[UDC]],TableSTRUPSYCM[],7,FALSE),"")</f>
        <v/>
      </c>
      <c r="BK181" s="200" t="str">
        <f>IFERROR(VLOOKUP(TableHandbook[[#This Row],[UDC]],TableSTRUSOSCM[],7,FALSE),"")</f>
        <v/>
      </c>
      <c r="BL181" s="200" t="str">
        <f>IFERROR(VLOOKUP(TableHandbook[[#This Row],[UDC]],TableSTRUVARTB[],7,FALSE),"")</f>
        <v/>
      </c>
      <c r="BM181" s="200" t="str">
        <f>IFERROR(VLOOKUP(TableHandbook[[#This Row],[UDC]],TableSTRUVARTM[],7,FALSE),"")</f>
        <v/>
      </c>
    </row>
    <row r="182" spans="1:65" ht="26.25" x14ac:dyDescent="0.25">
      <c r="A182" s="262" t="s">
        <v>388</v>
      </c>
      <c r="B182" s="12">
        <v>1</v>
      </c>
      <c r="C182" s="11"/>
      <c r="D182" s="11" t="s">
        <v>776</v>
      </c>
      <c r="E182" s="12">
        <v>25</v>
      </c>
      <c r="F182" s="131" t="s">
        <v>777</v>
      </c>
      <c r="G182" s="126" t="str">
        <f>IFERROR(IF(VLOOKUP(TableHandbook[[#This Row],[UDC]],TableAvailabilities[],2,FALSE)&gt;0,"Y",""),"")</f>
        <v/>
      </c>
      <c r="H182" s="127" t="str">
        <f>IFERROR(IF(VLOOKUP(TableHandbook[[#This Row],[UDC]],TableAvailabilities[],3,FALSE)&gt;0,"Y",""),"")</f>
        <v/>
      </c>
      <c r="I182" s="127" t="str">
        <f>IFERROR(IF(VLOOKUP(TableHandbook[[#This Row],[UDC]],TableAvailabilities[],4,FALSE)&gt;0,"Y",""),"")</f>
        <v/>
      </c>
      <c r="J182" s="128" t="str">
        <f>IFERROR(IF(VLOOKUP(TableHandbook[[#This Row],[UDC]],TableAvailabilities[],5,FALSE)&gt;0,"Y",""),"")</f>
        <v/>
      </c>
      <c r="K182" s="128" t="str">
        <f>IFERROR(IF(VLOOKUP(TableHandbook[[#This Row],[UDC]],TableAvailabilities[],6,FALSE)&gt;0,"Y",""),"")</f>
        <v>Y</v>
      </c>
      <c r="L182" s="127" t="str">
        <f>IFERROR(IF(VLOOKUP(TableHandbook[[#This Row],[UDC]],TableAvailabilities[],7,FALSE)&gt;0,"Y",""),"")</f>
        <v/>
      </c>
      <c r="M182" s="207"/>
      <c r="N182" s="205" t="str">
        <f>IFERROR(VLOOKUP(TableHandbook[[#This Row],[UDC]],TableBEDUC[],7,FALSE),"")</f>
        <v/>
      </c>
      <c r="O182" s="200" t="str">
        <f>IFERROR(VLOOKUP(TableHandbook[[#This Row],[UDC]],TableBEDEC[],7,FALSE),"")</f>
        <v/>
      </c>
      <c r="P182" s="200" t="str">
        <f>IFERROR(VLOOKUP(TableHandbook[[#This Row],[UDC]],TableBEDPR[],7,FALSE),"")</f>
        <v/>
      </c>
      <c r="Q182" s="200" t="str">
        <f>IFERROR(VLOOKUP(TableHandbook[[#This Row],[UDC]],TableSTRUCATHL[],7,FALSE),"")</f>
        <v/>
      </c>
      <c r="R182" s="200" t="str">
        <f>IFERROR(VLOOKUP(TableHandbook[[#This Row],[UDC]],TableSTRUENGLL[],7,FALSE),"")</f>
        <v/>
      </c>
      <c r="S182" s="200" t="str">
        <f>IFERROR(VLOOKUP(TableHandbook[[#This Row],[UDC]],TableSTRUINTBC[],7,FALSE),"")</f>
        <v/>
      </c>
      <c r="T182" s="200" t="str">
        <f>IFERROR(VLOOKUP(TableHandbook[[#This Row],[UDC]],TableSTRUISTEM[],7,FALSE),"")</f>
        <v/>
      </c>
      <c r="U182" s="200" t="str">
        <f>IFERROR(VLOOKUP(TableHandbook[[#This Row],[UDC]],TableSTRULITNU[],7,FALSE),"")</f>
        <v/>
      </c>
      <c r="V182" s="200" t="str">
        <f>IFERROR(VLOOKUP(TableHandbook[[#This Row],[UDC]],TableSTRUTECHS[],7,FALSE),"")</f>
        <v/>
      </c>
      <c r="W182" s="200" t="str">
        <f>IFERROR(VLOOKUP(TableHandbook[[#This Row],[UDC]],TableBEDSC[],7,FALSE),"")</f>
        <v/>
      </c>
      <c r="X182" s="200" t="str">
        <f>IFERROR(VLOOKUP(TableHandbook[[#This Row],[UDC]],TableMJRUARTDR[],7,FALSE),"")</f>
        <v/>
      </c>
      <c r="Y182" s="200" t="str">
        <f>IFERROR(VLOOKUP(TableHandbook[[#This Row],[UDC]],TableMJRUARTME[],7,FALSE),"")</f>
        <v/>
      </c>
      <c r="Z182" s="200" t="str">
        <f>IFERROR(VLOOKUP(TableHandbook[[#This Row],[UDC]],TableMJRUARTVA[],7,FALSE),"")</f>
        <v/>
      </c>
      <c r="AA182" s="200" t="str">
        <f>IFERROR(VLOOKUP(TableHandbook[[#This Row],[UDC]],TableMJRUENGLT[],7,FALSE),"")</f>
        <v/>
      </c>
      <c r="AB182" s="200" t="str">
        <f>IFERROR(VLOOKUP(TableHandbook[[#This Row],[UDC]],TableMJRUHLTPE[],7,FALSE),"")</f>
        <v/>
      </c>
      <c r="AC182" s="200" t="str">
        <f>IFERROR(VLOOKUP(TableHandbook[[#This Row],[UDC]],TableMJRUHUSEC[],7,FALSE),"")</f>
        <v/>
      </c>
      <c r="AD182" s="200" t="str">
        <f>IFERROR(VLOOKUP(TableHandbook[[#This Row],[UDC]],TableMJRUHUSGE[],7,FALSE),"")</f>
        <v/>
      </c>
      <c r="AE182" s="200" t="str">
        <f>IFERROR(VLOOKUP(TableHandbook[[#This Row],[UDC]],TableMJRUHUSHI[],7,FALSE),"")</f>
        <v/>
      </c>
      <c r="AF182" s="200" t="str">
        <f>IFERROR(VLOOKUP(TableHandbook[[#This Row],[UDC]],TableMJRUHUSPL[],7,FALSE),"")</f>
        <v/>
      </c>
      <c r="AG182" s="200" t="str">
        <f>IFERROR(VLOOKUP(TableHandbook[[#This Row],[UDC]],TableMJRUMATHT[],7,FALSE),"")</f>
        <v/>
      </c>
      <c r="AH182" s="200" t="str">
        <f>IFERROR(VLOOKUP(TableHandbook[[#This Row],[UDC]],TableMJRUSCIBI[],7,FALSE),"")</f>
        <v/>
      </c>
      <c r="AI182" s="200" t="str">
        <f>IFERROR(VLOOKUP(TableHandbook[[#This Row],[UDC]],TableMJRUSCICH[],7,FALSE),"")</f>
        <v/>
      </c>
      <c r="AJ182" s="200" t="str">
        <f>IFERROR(VLOOKUP(TableHandbook[[#This Row],[UDC]],TableMJRUSCIHB[],7,FALSE),"")</f>
        <v>Core</v>
      </c>
      <c r="AK182" s="200" t="str">
        <f>IFERROR(VLOOKUP(TableHandbook[[#This Row],[UDC]],TableMJRUSCIPH[],7,FALSE),"")</f>
        <v/>
      </c>
      <c r="AL182" s="200" t="str">
        <f>IFERROR(VLOOKUP(TableHandbook[[#This Row],[UDC]],TableMJRUSCIPS[],7,FALSE),"")</f>
        <v/>
      </c>
      <c r="AM182" s="202"/>
      <c r="AN182" s="200" t="str">
        <f>IFERROR(VLOOKUP(TableHandbook[[#This Row],[UDC]],TableSTRUBIOLB[],7,FALSE),"")</f>
        <v/>
      </c>
      <c r="AO182" s="200" t="str">
        <f>IFERROR(VLOOKUP(TableHandbook[[#This Row],[UDC]],TableSTRUBSCIM[],7,FALSE),"")</f>
        <v/>
      </c>
      <c r="AP182" s="200" t="str">
        <f>IFERROR(VLOOKUP(TableHandbook[[#This Row],[UDC]],TableSTRUCHEMB[],7,FALSE),"")</f>
        <v/>
      </c>
      <c r="AQ182" s="200" t="str">
        <f>IFERROR(VLOOKUP(TableHandbook[[#This Row],[UDC]],TableSTRUECOB1[],7,FALSE),"")</f>
        <v/>
      </c>
      <c r="AR182" s="200" t="str">
        <f>IFERROR(VLOOKUP(TableHandbook[[#This Row],[UDC]],TableSTRUEDART[],7,FALSE),"")</f>
        <v/>
      </c>
      <c r="AS182" s="200" t="str">
        <f>IFERROR(VLOOKUP(TableHandbook[[#This Row],[UDC]],TableSTRUEDENG[],7,FALSE),"")</f>
        <v/>
      </c>
      <c r="AT182" s="200" t="str">
        <f>IFERROR(VLOOKUP(TableHandbook[[#This Row],[UDC]],TableSTRUEDHAS[],7,FALSE),"")</f>
        <v/>
      </c>
      <c r="AU182" s="200" t="str">
        <f>IFERROR(VLOOKUP(TableHandbook[[#This Row],[UDC]],TableSTRUEDMAT[],7,FALSE),"")</f>
        <v/>
      </c>
      <c r="AV182" s="200" t="str">
        <f>IFERROR(VLOOKUP(TableHandbook[[#This Row],[UDC]],TableSTRUEDSCI[],7,FALSE),"")</f>
        <v/>
      </c>
      <c r="AW182" s="200" t="str">
        <f>IFERROR(VLOOKUP(TableHandbook[[#This Row],[UDC]],TableSTRUENGLB[],7,FALSE),"")</f>
        <v/>
      </c>
      <c r="AX182" s="200" t="str">
        <f>IFERROR(VLOOKUP(TableHandbook[[#This Row],[UDC]],TableSTRUENGLM[],7,FALSE),"")</f>
        <v/>
      </c>
      <c r="AY182" s="200" t="str">
        <f>IFERROR(VLOOKUP(TableHandbook[[#This Row],[UDC]],TableSTRUGEOB1[],7,FALSE),"")</f>
        <v/>
      </c>
      <c r="AZ182" s="200" t="str">
        <f>IFERROR(VLOOKUP(TableHandbook[[#This Row],[UDC]],TableSTRUHISB1[],7,FALSE),"")</f>
        <v/>
      </c>
      <c r="BA182" s="200" t="str">
        <f>IFERROR(VLOOKUP(TableHandbook[[#This Row],[UDC]],TableSTRUHUMAM[],7,FALSE),"")</f>
        <v/>
      </c>
      <c r="BB182" s="200" t="str">
        <f>IFERROR(VLOOKUP(TableHandbook[[#This Row],[UDC]],TableSTRUHUMBB[],7,FALSE),"")</f>
        <v/>
      </c>
      <c r="BC182" s="200" t="str">
        <f>IFERROR(VLOOKUP(TableHandbook[[#This Row],[UDC]],TableSTRUMATHB[],7,FALSE),"")</f>
        <v/>
      </c>
      <c r="BD182" s="200" t="str">
        <f>IFERROR(VLOOKUP(TableHandbook[[#This Row],[UDC]],TableSTRUMATHM[],7,FALSE),"")</f>
        <v/>
      </c>
      <c r="BE182" s="200" t="str">
        <f>IFERROR(VLOOKUP(TableHandbook[[#This Row],[UDC]],TableSTRUPARTB[],7,FALSE),"")</f>
        <v/>
      </c>
      <c r="BF182" s="200" t="str">
        <f>IFERROR(VLOOKUP(TableHandbook[[#This Row],[UDC]],TableSTRUPARTM[],7,FALSE),"")</f>
        <v/>
      </c>
      <c r="BG182" s="200" t="str">
        <f>IFERROR(VLOOKUP(TableHandbook[[#This Row],[UDC]],TableSTRUPOLB1[],7,FALSE),"")</f>
        <v/>
      </c>
      <c r="BH182" s="200" t="str">
        <f>IFERROR(VLOOKUP(TableHandbook[[#This Row],[UDC]],TableSTRUPSCIM[],7,FALSE),"")</f>
        <v/>
      </c>
      <c r="BI182" s="200" t="str">
        <f>IFERROR(VLOOKUP(TableHandbook[[#This Row],[UDC]],TableSTRUPSYCB[],7,FALSE),"")</f>
        <v/>
      </c>
      <c r="BJ182" s="200" t="str">
        <f>IFERROR(VLOOKUP(TableHandbook[[#This Row],[UDC]],TableSTRUPSYCM[],7,FALSE),"")</f>
        <v/>
      </c>
      <c r="BK182" s="200" t="str">
        <f>IFERROR(VLOOKUP(TableHandbook[[#This Row],[UDC]],TableSTRUSOSCM[],7,FALSE),"")</f>
        <v/>
      </c>
      <c r="BL182" s="200" t="str">
        <f>IFERROR(VLOOKUP(TableHandbook[[#This Row],[UDC]],TableSTRUVARTB[],7,FALSE),"")</f>
        <v/>
      </c>
      <c r="BM182" s="200" t="str">
        <f>IFERROR(VLOOKUP(TableHandbook[[#This Row],[UDC]],TableSTRUVARTM[],7,FALSE),"")</f>
        <v/>
      </c>
    </row>
    <row r="183" spans="1:65" x14ac:dyDescent="0.25">
      <c r="A183" s="262" t="s">
        <v>192</v>
      </c>
      <c r="B183" s="12">
        <v>1</v>
      </c>
      <c r="C183" s="11"/>
      <c r="D183" s="11" t="s">
        <v>199</v>
      </c>
      <c r="E183" s="12">
        <v>400</v>
      </c>
      <c r="F183" s="131" t="s">
        <v>540</v>
      </c>
      <c r="G183" s="126" t="str">
        <f>IFERROR(IF(VLOOKUP(TableHandbook[[#This Row],[UDC]],TableAvailabilities[],2,FALSE)&gt;0,"Y",""),"")</f>
        <v/>
      </c>
      <c r="H183" s="127" t="str">
        <f>IFERROR(IF(VLOOKUP(TableHandbook[[#This Row],[UDC]],TableAvailabilities[],3,FALSE)&gt;0,"Y",""),"")</f>
        <v/>
      </c>
      <c r="I183" s="127" t="str">
        <f>IFERROR(IF(VLOOKUP(TableHandbook[[#This Row],[UDC]],TableAvailabilities[],4,FALSE)&gt;0,"Y",""),"")</f>
        <v/>
      </c>
      <c r="J183" s="128" t="str">
        <f>IFERROR(IF(VLOOKUP(TableHandbook[[#This Row],[UDC]],TableAvailabilities[],5,FALSE)&gt;0,"Y",""),"")</f>
        <v/>
      </c>
      <c r="K183" s="128" t="str">
        <f>IFERROR(IF(VLOOKUP(TableHandbook[[#This Row],[UDC]],TableAvailabilities[],6,FALSE)&gt;0,"Y",""),"")</f>
        <v/>
      </c>
      <c r="L183" s="127" t="str">
        <f>IFERROR(IF(VLOOKUP(TableHandbook[[#This Row],[UDC]],TableAvailabilities[],7,FALSE)&gt;0,"Y",""),"")</f>
        <v/>
      </c>
      <c r="M183" s="207"/>
      <c r="N183" s="205" t="str">
        <f>IFERROR(VLOOKUP(TableHandbook[[#This Row],[UDC]],TableBEDUC[],7,FALSE),"")</f>
        <v/>
      </c>
      <c r="O183" s="200" t="str">
        <f>IFERROR(VLOOKUP(TableHandbook[[#This Row],[UDC]],TableBEDEC[],7,FALSE),"")</f>
        <v/>
      </c>
      <c r="P183" s="200" t="str">
        <f>IFERROR(VLOOKUP(TableHandbook[[#This Row],[UDC]],TableBEDPR[],7,FALSE),"")</f>
        <v/>
      </c>
      <c r="Q183" s="200" t="str">
        <f>IFERROR(VLOOKUP(TableHandbook[[#This Row],[UDC]],TableSTRUCATHL[],7,FALSE),"")</f>
        <v/>
      </c>
      <c r="R183" s="200" t="str">
        <f>IFERROR(VLOOKUP(TableHandbook[[#This Row],[UDC]],TableSTRUENGLL[],7,FALSE),"")</f>
        <v/>
      </c>
      <c r="S183" s="200" t="str">
        <f>IFERROR(VLOOKUP(TableHandbook[[#This Row],[UDC]],TableSTRUINTBC[],7,FALSE),"")</f>
        <v/>
      </c>
      <c r="T183" s="200" t="str">
        <f>IFERROR(VLOOKUP(TableHandbook[[#This Row],[UDC]],TableSTRUISTEM[],7,FALSE),"")</f>
        <v/>
      </c>
      <c r="U183" s="200" t="str">
        <f>IFERROR(VLOOKUP(TableHandbook[[#This Row],[UDC]],TableSTRULITNU[],7,FALSE),"")</f>
        <v/>
      </c>
      <c r="V183" s="200" t="str">
        <f>IFERROR(VLOOKUP(TableHandbook[[#This Row],[UDC]],TableSTRUTECHS[],7,FALSE),"")</f>
        <v/>
      </c>
      <c r="W183" s="200" t="str">
        <f>IFERROR(VLOOKUP(TableHandbook[[#This Row],[UDC]],TableBEDSC[],7,FALSE),"")</f>
        <v>AltCore</v>
      </c>
      <c r="X183" s="200" t="str">
        <f>IFERROR(VLOOKUP(TableHandbook[[#This Row],[UDC]],TableMJRUARTDR[],7,FALSE),"")</f>
        <v/>
      </c>
      <c r="Y183" s="200" t="str">
        <f>IFERROR(VLOOKUP(TableHandbook[[#This Row],[UDC]],TableMJRUARTME[],7,FALSE),"")</f>
        <v/>
      </c>
      <c r="Z183" s="200" t="str">
        <f>IFERROR(VLOOKUP(TableHandbook[[#This Row],[UDC]],TableMJRUARTVA[],7,FALSE),"")</f>
        <v/>
      </c>
      <c r="AA183" s="200" t="str">
        <f>IFERROR(VLOOKUP(TableHandbook[[#This Row],[UDC]],TableMJRUENGLT[],7,FALSE),"")</f>
        <v/>
      </c>
      <c r="AB183" s="200" t="str">
        <f>IFERROR(VLOOKUP(TableHandbook[[#This Row],[UDC]],TableMJRUHLTPE[],7,FALSE),"")</f>
        <v/>
      </c>
      <c r="AC183" s="200" t="str">
        <f>IFERROR(VLOOKUP(TableHandbook[[#This Row],[UDC]],TableMJRUHUSEC[],7,FALSE),"")</f>
        <v/>
      </c>
      <c r="AD183" s="200" t="str">
        <f>IFERROR(VLOOKUP(TableHandbook[[#This Row],[UDC]],TableMJRUHUSGE[],7,FALSE),"")</f>
        <v/>
      </c>
      <c r="AE183" s="200" t="str">
        <f>IFERROR(VLOOKUP(TableHandbook[[#This Row],[UDC]],TableMJRUHUSHI[],7,FALSE),"")</f>
        <v/>
      </c>
      <c r="AF183" s="200" t="str">
        <f>IFERROR(VLOOKUP(TableHandbook[[#This Row],[UDC]],TableMJRUHUSPL[],7,FALSE),"")</f>
        <v/>
      </c>
      <c r="AG183" s="200" t="str">
        <f>IFERROR(VLOOKUP(TableHandbook[[#This Row],[UDC]],TableMJRUMATHT[],7,FALSE),"")</f>
        <v/>
      </c>
      <c r="AH183" s="200" t="str">
        <f>IFERROR(VLOOKUP(TableHandbook[[#This Row],[UDC]],TableMJRUSCIBI[],7,FALSE),"")</f>
        <v/>
      </c>
      <c r="AI183" s="200" t="str">
        <f>IFERROR(VLOOKUP(TableHandbook[[#This Row],[UDC]],TableMJRUSCICH[],7,FALSE),"")</f>
        <v/>
      </c>
      <c r="AJ183" s="200" t="str">
        <f>IFERROR(VLOOKUP(TableHandbook[[#This Row],[UDC]],TableMJRUSCIHB[],7,FALSE),"")</f>
        <v/>
      </c>
      <c r="AK183" s="200" t="str">
        <f>IFERROR(VLOOKUP(TableHandbook[[#This Row],[UDC]],TableMJRUSCIPH[],7,FALSE),"")</f>
        <v/>
      </c>
      <c r="AL183" s="200" t="str">
        <f>IFERROR(VLOOKUP(TableHandbook[[#This Row],[UDC]],TableMJRUSCIPS[],7,FALSE),"")</f>
        <v/>
      </c>
      <c r="AM183" s="202"/>
      <c r="AN183" s="200" t="str">
        <f>IFERROR(VLOOKUP(TableHandbook[[#This Row],[UDC]],TableSTRUBIOLB[],7,FALSE),"")</f>
        <v/>
      </c>
      <c r="AO183" s="200" t="str">
        <f>IFERROR(VLOOKUP(TableHandbook[[#This Row],[UDC]],TableSTRUBSCIM[],7,FALSE),"")</f>
        <v/>
      </c>
      <c r="AP183" s="200" t="str">
        <f>IFERROR(VLOOKUP(TableHandbook[[#This Row],[UDC]],TableSTRUCHEMB[],7,FALSE),"")</f>
        <v/>
      </c>
      <c r="AQ183" s="200" t="str">
        <f>IFERROR(VLOOKUP(TableHandbook[[#This Row],[UDC]],TableSTRUECOB1[],7,FALSE),"")</f>
        <v/>
      </c>
      <c r="AR183" s="200" t="str">
        <f>IFERROR(VLOOKUP(TableHandbook[[#This Row],[UDC]],TableSTRUEDART[],7,FALSE),"")</f>
        <v/>
      </c>
      <c r="AS183" s="200" t="str">
        <f>IFERROR(VLOOKUP(TableHandbook[[#This Row],[UDC]],TableSTRUEDENG[],7,FALSE),"")</f>
        <v/>
      </c>
      <c r="AT183" s="200" t="str">
        <f>IFERROR(VLOOKUP(TableHandbook[[#This Row],[UDC]],TableSTRUEDHAS[],7,FALSE),"")</f>
        <v/>
      </c>
      <c r="AU183" s="200" t="str">
        <f>IFERROR(VLOOKUP(TableHandbook[[#This Row],[UDC]],TableSTRUEDMAT[],7,FALSE),"")</f>
        <v/>
      </c>
      <c r="AV183" s="200" t="str">
        <f>IFERROR(VLOOKUP(TableHandbook[[#This Row],[UDC]],TableSTRUEDSCI[],7,FALSE),"")</f>
        <v/>
      </c>
      <c r="AW183" s="200" t="str">
        <f>IFERROR(VLOOKUP(TableHandbook[[#This Row],[UDC]],TableSTRUENGLB[],7,FALSE),"")</f>
        <v/>
      </c>
      <c r="AX183" s="200" t="str">
        <f>IFERROR(VLOOKUP(TableHandbook[[#This Row],[UDC]],TableSTRUENGLM[],7,FALSE),"")</f>
        <v/>
      </c>
      <c r="AY183" s="200" t="str">
        <f>IFERROR(VLOOKUP(TableHandbook[[#This Row],[UDC]],TableSTRUGEOB1[],7,FALSE),"")</f>
        <v/>
      </c>
      <c r="AZ183" s="200" t="str">
        <f>IFERROR(VLOOKUP(TableHandbook[[#This Row],[UDC]],TableSTRUHISB1[],7,FALSE),"")</f>
        <v/>
      </c>
      <c r="BA183" s="200" t="str">
        <f>IFERROR(VLOOKUP(TableHandbook[[#This Row],[UDC]],TableSTRUHUMAM[],7,FALSE),"")</f>
        <v/>
      </c>
      <c r="BB183" s="200" t="str">
        <f>IFERROR(VLOOKUP(TableHandbook[[#This Row],[UDC]],TableSTRUHUMBB[],7,FALSE),"")</f>
        <v/>
      </c>
      <c r="BC183" s="200" t="str">
        <f>IFERROR(VLOOKUP(TableHandbook[[#This Row],[UDC]],TableSTRUMATHB[],7,FALSE),"")</f>
        <v/>
      </c>
      <c r="BD183" s="200" t="str">
        <f>IFERROR(VLOOKUP(TableHandbook[[#This Row],[UDC]],TableSTRUMATHM[],7,FALSE),"")</f>
        <v/>
      </c>
      <c r="BE183" s="200" t="str">
        <f>IFERROR(VLOOKUP(TableHandbook[[#This Row],[UDC]],TableSTRUPARTB[],7,FALSE),"")</f>
        <v/>
      </c>
      <c r="BF183" s="200" t="str">
        <f>IFERROR(VLOOKUP(TableHandbook[[#This Row],[UDC]],TableSTRUPARTM[],7,FALSE),"")</f>
        <v/>
      </c>
      <c r="BG183" s="200" t="str">
        <f>IFERROR(VLOOKUP(TableHandbook[[#This Row],[UDC]],TableSTRUPOLB1[],7,FALSE),"")</f>
        <v/>
      </c>
      <c r="BH183" s="200" t="str">
        <f>IFERROR(VLOOKUP(TableHandbook[[#This Row],[UDC]],TableSTRUPSCIM[],7,FALSE),"")</f>
        <v/>
      </c>
      <c r="BI183" s="200" t="str">
        <f>IFERROR(VLOOKUP(TableHandbook[[#This Row],[UDC]],TableSTRUPSYCB[],7,FALSE),"")</f>
        <v/>
      </c>
      <c r="BJ183" s="200" t="str">
        <f>IFERROR(VLOOKUP(TableHandbook[[#This Row],[UDC]],TableSTRUPSYCM[],7,FALSE),"")</f>
        <v/>
      </c>
      <c r="BK183" s="200" t="str">
        <f>IFERROR(VLOOKUP(TableHandbook[[#This Row],[UDC]],TableSTRUSOSCM[],7,FALSE),"")</f>
        <v/>
      </c>
      <c r="BL183" s="200" t="str">
        <f>IFERROR(VLOOKUP(TableHandbook[[#This Row],[UDC]],TableSTRUVARTB[],7,FALSE),"")</f>
        <v/>
      </c>
      <c r="BM183" s="200" t="str">
        <f>IFERROR(VLOOKUP(TableHandbook[[#This Row],[UDC]],TableSTRUVARTM[],7,FALSE),"")</f>
        <v/>
      </c>
    </row>
    <row r="184" spans="1:65" x14ac:dyDescent="0.25">
      <c r="A184" s="262" t="s">
        <v>204</v>
      </c>
      <c r="B184" s="12">
        <v>1</v>
      </c>
      <c r="C184" s="11"/>
      <c r="D184" s="11" t="s">
        <v>203</v>
      </c>
      <c r="E184" s="12">
        <v>400</v>
      </c>
      <c r="F184" s="131" t="s">
        <v>540</v>
      </c>
      <c r="G184" s="126" t="str">
        <f>IFERROR(IF(VLOOKUP(TableHandbook[[#This Row],[UDC]],TableAvailabilities[],2,FALSE)&gt;0,"Y",""),"")</f>
        <v/>
      </c>
      <c r="H184" s="127" t="str">
        <f>IFERROR(IF(VLOOKUP(TableHandbook[[#This Row],[UDC]],TableAvailabilities[],3,FALSE)&gt;0,"Y",""),"")</f>
        <v/>
      </c>
      <c r="I184" s="127" t="str">
        <f>IFERROR(IF(VLOOKUP(TableHandbook[[#This Row],[UDC]],TableAvailabilities[],4,FALSE)&gt;0,"Y",""),"")</f>
        <v/>
      </c>
      <c r="J184" s="128" t="str">
        <f>IFERROR(IF(VLOOKUP(TableHandbook[[#This Row],[UDC]],TableAvailabilities[],5,FALSE)&gt;0,"Y",""),"")</f>
        <v/>
      </c>
      <c r="K184" s="128" t="str">
        <f>IFERROR(IF(VLOOKUP(TableHandbook[[#This Row],[UDC]],TableAvailabilities[],6,FALSE)&gt;0,"Y",""),"")</f>
        <v/>
      </c>
      <c r="L184" s="127" t="str">
        <f>IFERROR(IF(VLOOKUP(TableHandbook[[#This Row],[UDC]],TableAvailabilities[],7,FALSE)&gt;0,"Y",""),"")</f>
        <v/>
      </c>
      <c r="M184" s="207"/>
      <c r="N184" s="205" t="str">
        <f>IFERROR(VLOOKUP(TableHandbook[[#This Row],[UDC]],TableBEDUC[],7,FALSE),"")</f>
        <v/>
      </c>
      <c r="O184" s="200" t="str">
        <f>IFERROR(VLOOKUP(TableHandbook[[#This Row],[UDC]],TableBEDEC[],7,FALSE),"")</f>
        <v/>
      </c>
      <c r="P184" s="200" t="str">
        <f>IFERROR(VLOOKUP(TableHandbook[[#This Row],[UDC]],TableBEDPR[],7,FALSE),"")</f>
        <v/>
      </c>
      <c r="Q184" s="200" t="str">
        <f>IFERROR(VLOOKUP(TableHandbook[[#This Row],[UDC]],TableSTRUCATHL[],7,FALSE),"")</f>
        <v/>
      </c>
      <c r="R184" s="200" t="str">
        <f>IFERROR(VLOOKUP(TableHandbook[[#This Row],[UDC]],TableSTRUENGLL[],7,FALSE),"")</f>
        <v/>
      </c>
      <c r="S184" s="200" t="str">
        <f>IFERROR(VLOOKUP(TableHandbook[[#This Row],[UDC]],TableSTRUINTBC[],7,FALSE),"")</f>
        <v/>
      </c>
      <c r="T184" s="200" t="str">
        <f>IFERROR(VLOOKUP(TableHandbook[[#This Row],[UDC]],TableSTRUISTEM[],7,FALSE),"")</f>
        <v/>
      </c>
      <c r="U184" s="200" t="str">
        <f>IFERROR(VLOOKUP(TableHandbook[[#This Row],[UDC]],TableSTRULITNU[],7,FALSE),"")</f>
        <v/>
      </c>
      <c r="V184" s="200" t="str">
        <f>IFERROR(VLOOKUP(TableHandbook[[#This Row],[UDC]],TableSTRUTECHS[],7,FALSE),"")</f>
        <v/>
      </c>
      <c r="W184" s="200" t="str">
        <f>IFERROR(VLOOKUP(TableHandbook[[#This Row],[UDC]],TableBEDSC[],7,FALSE),"")</f>
        <v>AltCore</v>
      </c>
      <c r="X184" s="200" t="str">
        <f>IFERROR(VLOOKUP(TableHandbook[[#This Row],[UDC]],TableMJRUARTDR[],7,FALSE),"")</f>
        <v/>
      </c>
      <c r="Y184" s="200" t="str">
        <f>IFERROR(VLOOKUP(TableHandbook[[#This Row],[UDC]],TableMJRUARTME[],7,FALSE),"")</f>
        <v/>
      </c>
      <c r="Z184" s="200" t="str">
        <f>IFERROR(VLOOKUP(TableHandbook[[#This Row],[UDC]],TableMJRUARTVA[],7,FALSE),"")</f>
        <v/>
      </c>
      <c r="AA184" s="200" t="str">
        <f>IFERROR(VLOOKUP(TableHandbook[[#This Row],[UDC]],TableMJRUENGLT[],7,FALSE),"")</f>
        <v/>
      </c>
      <c r="AB184" s="200" t="str">
        <f>IFERROR(VLOOKUP(TableHandbook[[#This Row],[UDC]],TableMJRUHLTPE[],7,FALSE),"")</f>
        <v/>
      </c>
      <c r="AC184" s="200" t="str">
        <f>IFERROR(VLOOKUP(TableHandbook[[#This Row],[UDC]],TableMJRUHUSEC[],7,FALSE),"")</f>
        <v/>
      </c>
      <c r="AD184" s="200" t="str">
        <f>IFERROR(VLOOKUP(TableHandbook[[#This Row],[UDC]],TableMJRUHUSGE[],7,FALSE),"")</f>
        <v/>
      </c>
      <c r="AE184" s="200" t="str">
        <f>IFERROR(VLOOKUP(TableHandbook[[#This Row],[UDC]],TableMJRUHUSHI[],7,FALSE),"")</f>
        <v/>
      </c>
      <c r="AF184" s="200" t="str">
        <f>IFERROR(VLOOKUP(TableHandbook[[#This Row],[UDC]],TableMJRUHUSPL[],7,FALSE),"")</f>
        <v/>
      </c>
      <c r="AG184" s="200" t="str">
        <f>IFERROR(VLOOKUP(TableHandbook[[#This Row],[UDC]],TableMJRUMATHT[],7,FALSE),"")</f>
        <v/>
      </c>
      <c r="AH184" s="200" t="str">
        <f>IFERROR(VLOOKUP(TableHandbook[[#This Row],[UDC]],TableMJRUSCIBI[],7,FALSE),"")</f>
        <v/>
      </c>
      <c r="AI184" s="200" t="str">
        <f>IFERROR(VLOOKUP(TableHandbook[[#This Row],[UDC]],TableMJRUSCICH[],7,FALSE),"")</f>
        <v/>
      </c>
      <c r="AJ184" s="200" t="str">
        <f>IFERROR(VLOOKUP(TableHandbook[[#This Row],[UDC]],TableMJRUSCIHB[],7,FALSE),"")</f>
        <v/>
      </c>
      <c r="AK184" s="200" t="str">
        <f>IFERROR(VLOOKUP(TableHandbook[[#This Row],[UDC]],TableMJRUSCIPH[],7,FALSE),"")</f>
        <v/>
      </c>
      <c r="AL184" s="200" t="str">
        <f>IFERROR(VLOOKUP(TableHandbook[[#This Row],[UDC]],TableMJRUSCIPS[],7,FALSE),"")</f>
        <v/>
      </c>
      <c r="AM184" s="202"/>
      <c r="AN184" s="200" t="str">
        <f>IFERROR(VLOOKUP(TableHandbook[[#This Row],[UDC]],TableSTRUBIOLB[],7,FALSE),"")</f>
        <v/>
      </c>
      <c r="AO184" s="200" t="str">
        <f>IFERROR(VLOOKUP(TableHandbook[[#This Row],[UDC]],TableSTRUBSCIM[],7,FALSE),"")</f>
        <v/>
      </c>
      <c r="AP184" s="200" t="str">
        <f>IFERROR(VLOOKUP(TableHandbook[[#This Row],[UDC]],TableSTRUCHEMB[],7,FALSE),"")</f>
        <v/>
      </c>
      <c r="AQ184" s="200" t="str">
        <f>IFERROR(VLOOKUP(TableHandbook[[#This Row],[UDC]],TableSTRUECOB1[],7,FALSE),"")</f>
        <v/>
      </c>
      <c r="AR184" s="200" t="str">
        <f>IFERROR(VLOOKUP(TableHandbook[[#This Row],[UDC]],TableSTRUEDART[],7,FALSE),"")</f>
        <v/>
      </c>
      <c r="AS184" s="200" t="str">
        <f>IFERROR(VLOOKUP(TableHandbook[[#This Row],[UDC]],TableSTRUEDENG[],7,FALSE),"")</f>
        <v/>
      </c>
      <c r="AT184" s="200" t="str">
        <f>IFERROR(VLOOKUP(TableHandbook[[#This Row],[UDC]],TableSTRUEDHAS[],7,FALSE),"")</f>
        <v/>
      </c>
      <c r="AU184" s="200" t="str">
        <f>IFERROR(VLOOKUP(TableHandbook[[#This Row],[UDC]],TableSTRUEDMAT[],7,FALSE),"")</f>
        <v/>
      </c>
      <c r="AV184" s="200" t="str">
        <f>IFERROR(VLOOKUP(TableHandbook[[#This Row],[UDC]],TableSTRUEDSCI[],7,FALSE),"")</f>
        <v/>
      </c>
      <c r="AW184" s="200" t="str">
        <f>IFERROR(VLOOKUP(TableHandbook[[#This Row],[UDC]],TableSTRUENGLB[],7,FALSE),"")</f>
        <v/>
      </c>
      <c r="AX184" s="200" t="str">
        <f>IFERROR(VLOOKUP(TableHandbook[[#This Row],[UDC]],TableSTRUENGLM[],7,FALSE),"")</f>
        <v/>
      </c>
      <c r="AY184" s="200" t="str">
        <f>IFERROR(VLOOKUP(TableHandbook[[#This Row],[UDC]],TableSTRUGEOB1[],7,FALSE),"")</f>
        <v/>
      </c>
      <c r="AZ184" s="200" t="str">
        <f>IFERROR(VLOOKUP(TableHandbook[[#This Row],[UDC]],TableSTRUHISB1[],7,FALSE),"")</f>
        <v/>
      </c>
      <c r="BA184" s="200" t="str">
        <f>IFERROR(VLOOKUP(TableHandbook[[#This Row],[UDC]],TableSTRUHUMAM[],7,FALSE),"")</f>
        <v/>
      </c>
      <c r="BB184" s="200" t="str">
        <f>IFERROR(VLOOKUP(TableHandbook[[#This Row],[UDC]],TableSTRUHUMBB[],7,FALSE),"")</f>
        <v/>
      </c>
      <c r="BC184" s="200" t="str">
        <f>IFERROR(VLOOKUP(TableHandbook[[#This Row],[UDC]],TableSTRUMATHB[],7,FALSE),"")</f>
        <v/>
      </c>
      <c r="BD184" s="200" t="str">
        <f>IFERROR(VLOOKUP(TableHandbook[[#This Row],[UDC]],TableSTRUMATHM[],7,FALSE),"")</f>
        <v/>
      </c>
      <c r="BE184" s="200" t="str">
        <f>IFERROR(VLOOKUP(TableHandbook[[#This Row],[UDC]],TableSTRUPARTB[],7,FALSE),"")</f>
        <v/>
      </c>
      <c r="BF184" s="200" t="str">
        <f>IFERROR(VLOOKUP(TableHandbook[[#This Row],[UDC]],TableSTRUPARTM[],7,FALSE),"")</f>
        <v/>
      </c>
      <c r="BG184" s="200" t="str">
        <f>IFERROR(VLOOKUP(TableHandbook[[#This Row],[UDC]],TableSTRUPOLB1[],7,FALSE),"")</f>
        <v/>
      </c>
      <c r="BH184" s="200" t="str">
        <f>IFERROR(VLOOKUP(TableHandbook[[#This Row],[UDC]],TableSTRUPSCIM[],7,FALSE),"")</f>
        <v/>
      </c>
      <c r="BI184" s="200" t="str">
        <f>IFERROR(VLOOKUP(TableHandbook[[#This Row],[UDC]],TableSTRUPSYCB[],7,FALSE),"")</f>
        <v/>
      </c>
      <c r="BJ184" s="200" t="str">
        <f>IFERROR(VLOOKUP(TableHandbook[[#This Row],[UDC]],TableSTRUPSYCM[],7,FALSE),"")</f>
        <v/>
      </c>
      <c r="BK184" s="200" t="str">
        <f>IFERROR(VLOOKUP(TableHandbook[[#This Row],[UDC]],TableSTRUSOSCM[],7,FALSE),"")</f>
        <v/>
      </c>
      <c r="BL184" s="200" t="str">
        <f>IFERROR(VLOOKUP(TableHandbook[[#This Row],[UDC]],TableSTRUVARTB[],7,FALSE),"")</f>
        <v/>
      </c>
      <c r="BM184" s="200" t="str">
        <f>IFERROR(VLOOKUP(TableHandbook[[#This Row],[UDC]],TableSTRUVARTM[],7,FALSE),"")</f>
        <v/>
      </c>
    </row>
    <row r="185" spans="1:65" x14ac:dyDescent="0.25">
      <c r="A185" s="262" t="s">
        <v>207</v>
      </c>
      <c r="B185" s="12">
        <v>1</v>
      </c>
      <c r="C185" s="11"/>
      <c r="D185" s="11" t="s">
        <v>206</v>
      </c>
      <c r="E185" s="12">
        <v>400</v>
      </c>
      <c r="F185" s="131" t="s">
        <v>540</v>
      </c>
      <c r="G185" s="126" t="str">
        <f>IFERROR(IF(VLOOKUP(TableHandbook[[#This Row],[UDC]],TableAvailabilities[],2,FALSE)&gt;0,"Y",""),"")</f>
        <v/>
      </c>
      <c r="H185" s="127" t="str">
        <f>IFERROR(IF(VLOOKUP(TableHandbook[[#This Row],[UDC]],TableAvailabilities[],3,FALSE)&gt;0,"Y",""),"")</f>
        <v/>
      </c>
      <c r="I185" s="127" t="str">
        <f>IFERROR(IF(VLOOKUP(TableHandbook[[#This Row],[UDC]],TableAvailabilities[],4,FALSE)&gt;0,"Y",""),"")</f>
        <v/>
      </c>
      <c r="J185" s="128" t="str">
        <f>IFERROR(IF(VLOOKUP(TableHandbook[[#This Row],[UDC]],TableAvailabilities[],5,FALSE)&gt;0,"Y",""),"")</f>
        <v/>
      </c>
      <c r="K185" s="128" t="str">
        <f>IFERROR(IF(VLOOKUP(TableHandbook[[#This Row],[UDC]],TableAvailabilities[],6,FALSE)&gt;0,"Y",""),"")</f>
        <v/>
      </c>
      <c r="L185" s="127" t="str">
        <f>IFERROR(IF(VLOOKUP(TableHandbook[[#This Row],[UDC]],TableAvailabilities[],7,FALSE)&gt;0,"Y",""),"")</f>
        <v/>
      </c>
      <c r="M185" s="207"/>
      <c r="N185" s="205" t="str">
        <f>IFERROR(VLOOKUP(TableHandbook[[#This Row],[UDC]],TableBEDUC[],7,FALSE),"")</f>
        <v/>
      </c>
      <c r="O185" s="200" t="str">
        <f>IFERROR(VLOOKUP(TableHandbook[[#This Row],[UDC]],TableBEDEC[],7,FALSE),"")</f>
        <v/>
      </c>
      <c r="P185" s="200" t="str">
        <f>IFERROR(VLOOKUP(TableHandbook[[#This Row],[UDC]],TableBEDPR[],7,FALSE),"")</f>
        <v/>
      </c>
      <c r="Q185" s="200" t="str">
        <f>IFERROR(VLOOKUP(TableHandbook[[#This Row],[UDC]],TableSTRUCATHL[],7,FALSE),"")</f>
        <v/>
      </c>
      <c r="R185" s="200" t="str">
        <f>IFERROR(VLOOKUP(TableHandbook[[#This Row],[UDC]],TableSTRUENGLL[],7,FALSE),"")</f>
        <v/>
      </c>
      <c r="S185" s="200" t="str">
        <f>IFERROR(VLOOKUP(TableHandbook[[#This Row],[UDC]],TableSTRUINTBC[],7,FALSE),"")</f>
        <v/>
      </c>
      <c r="T185" s="200" t="str">
        <f>IFERROR(VLOOKUP(TableHandbook[[#This Row],[UDC]],TableSTRUISTEM[],7,FALSE),"")</f>
        <v/>
      </c>
      <c r="U185" s="200" t="str">
        <f>IFERROR(VLOOKUP(TableHandbook[[#This Row],[UDC]],TableSTRULITNU[],7,FALSE),"")</f>
        <v/>
      </c>
      <c r="V185" s="200" t="str">
        <f>IFERROR(VLOOKUP(TableHandbook[[#This Row],[UDC]],TableSTRUTECHS[],7,FALSE),"")</f>
        <v/>
      </c>
      <c r="W185" s="200" t="str">
        <f>IFERROR(VLOOKUP(TableHandbook[[#This Row],[UDC]],TableBEDSC[],7,FALSE),"")</f>
        <v>AltCore</v>
      </c>
      <c r="X185" s="200" t="str">
        <f>IFERROR(VLOOKUP(TableHandbook[[#This Row],[UDC]],TableMJRUARTDR[],7,FALSE),"")</f>
        <v/>
      </c>
      <c r="Y185" s="200" t="str">
        <f>IFERROR(VLOOKUP(TableHandbook[[#This Row],[UDC]],TableMJRUARTME[],7,FALSE),"")</f>
        <v/>
      </c>
      <c r="Z185" s="200" t="str">
        <f>IFERROR(VLOOKUP(TableHandbook[[#This Row],[UDC]],TableMJRUARTVA[],7,FALSE),"")</f>
        <v/>
      </c>
      <c r="AA185" s="200" t="str">
        <f>IFERROR(VLOOKUP(TableHandbook[[#This Row],[UDC]],TableMJRUENGLT[],7,FALSE),"")</f>
        <v/>
      </c>
      <c r="AB185" s="200" t="str">
        <f>IFERROR(VLOOKUP(TableHandbook[[#This Row],[UDC]],TableMJRUHLTPE[],7,FALSE),"")</f>
        <v/>
      </c>
      <c r="AC185" s="200" t="str">
        <f>IFERROR(VLOOKUP(TableHandbook[[#This Row],[UDC]],TableMJRUHUSEC[],7,FALSE),"")</f>
        <v/>
      </c>
      <c r="AD185" s="200" t="str">
        <f>IFERROR(VLOOKUP(TableHandbook[[#This Row],[UDC]],TableMJRUHUSGE[],7,FALSE),"")</f>
        <v/>
      </c>
      <c r="AE185" s="200" t="str">
        <f>IFERROR(VLOOKUP(TableHandbook[[#This Row],[UDC]],TableMJRUHUSHI[],7,FALSE),"")</f>
        <v/>
      </c>
      <c r="AF185" s="200" t="str">
        <f>IFERROR(VLOOKUP(TableHandbook[[#This Row],[UDC]],TableMJRUHUSPL[],7,FALSE),"")</f>
        <v/>
      </c>
      <c r="AG185" s="200" t="str">
        <f>IFERROR(VLOOKUP(TableHandbook[[#This Row],[UDC]],TableMJRUMATHT[],7,FALSE),"")</f>
        <v/>
      </c>
      <c r="AH185" s="200" t="str">
        <f>IFERROR(VLOOKUP(TableHandbook[[#This Row],[UDC]],TableMJRUSCIBI[],7,FALSE),"")</f>
        <v/>
      </c>
      <c r="AI185" s="200" t="str">
        <f>IFERROR(VLOOKUP(TableHandbook[[#This Row],[UDC]],TableMJRUSCICH[],7,FALSE),"")</f>
        <v/>
      </c>
      <c r="AJ185" s="200" t="str">
        <f>IFERROR(VLOOKUP(TableHandbook[[#This Row],[UDC]],TableMJRUSCIHB[],7,FALSE),"")</f>
        <v/>
      </c>
      <c r="AK185" s="200" t="str">
        <f>IFERROR(VLOOKUP(TableHandbook[[#This Row],[UDC]],TableMJRUSCIPH[],7,FALSE),"")</f>
        <v/>
      </c>
      <c r="AL185" s="200" t="str">
        <f>IFERROR(VLOOKUP(TableHandbook[[#This Row],[UDC]],TableMJRUSCIPS[],7,FALSE),"")</f>
        <v/>
      </c>
      <c r="AM185" s="202"/>
      <c r="AN185" s="200" t="str">
        <f>IFERROR(VLOOKUP(TableHandbook[[#This Row],[UDC]],TableSTRUBIOLB[],7,FALSE),"")</f>
        <v/>
      </c>
      <c r="AO185" s="200" t="str">
        <f>IFERROR(VLOOKUP(TableHandbook[[#This Row],[UDC]],TableSTRUBSCIM[],7,FALSE),"")</f>
        <v/>
      </c>
      <c r="AP185" s="200" t="str">
        <f>IFERROR(VLOOKUP(TableHandbook[[#This Row],[UDC]],TableSTRUCHEMB[],7,FALSE),"")</f>
        <v/>
      </c>
      <c r="AQ185" s="200" t="str">
        <f>IFERROR(VLOOKUP(TableHandbook[[#This Row],[UDC]],TableSTRUECOB1[],7,FALSE),"")</f>
        <v/>
      </c>
      <c r="AR185" s="200" t="str">
        <f>IFERROR(VLOOKUP(TableHandbook[[#This Row],[UDC]],TableSTRUEDART[],7,FALSE),"")</f>
        <v/>
      </c>
      <c r="AS185" s="200" t="str">
        <f>IFERROR(VLOOKUP(TableHandbook[[#This Row],[UDC]],TableSTRUEDENG[],7,FALSE),"")</f>
        <v/>
      </c>
      <c r="AT185" s="200" t="str">
        <f>IFERROR(VLOOKUP(TableHandbook[[#This Row],[UDC]],TableSTRUEDHAS[],7,FALSE),"")</f>
        <v/>
      </c>
      <c r="AU185" s="200" t="str">
        <f>IFERROR(VLOOKUP(TableHandbook[[#This Row],[UDC]],TableSTRUEDMAT[],7,FALSE),"")</f>
        <v/>
      </c>
      <c r="AV185" s="200" t="str">
        <f>IFERROR(VLOOKUP(TableHandbook[[#This Row],[UDC]],TableSTRUEDSCI[],7,FALSE),"")</f>
        <v/>
      </c>
      <c r="AW185" s="200" t="str">
        <f>IFERROR(VLOOKUP(TableHandbook[[#This Row],[UDC]],TableSTRUENGLB[],7,FALSE),"")</f>
        <v/>
      </c>
      <c r="AX185" s="200" t="str">
        <f>IFERROR(VLOOKUP(TableHandbook[[#This Row],[UDC]],TableSTRUENGLM[],7,FALSE),"")</f>
        <v/>
      </c>
      <c r="AY185" s="200" t="str">
        <f>IFERROR(VLOOKUP(TableHandbook[[#This Row],[UDC]],TableSTRUGEOB1[],7,FALSE),"")</f>
        <v/>
      </c>
      <c r="AZ185" s="200" t="str">
        <f>IFERROR(VLOOKUP(TableHandbook[[#This Row],[UDC]],TableSTRUHISB1[],7,FALSE),"")</f>
        <v/>
      </c>
      <c r="BA185" s="200" t="str">
        <f>IFERROR(VLOOKUP(TableHandbook[[#This Row],[UDC]],TableSTRUHUMAM[],7,FALSE),"")</f>
        <v/>
      </c>
      <c r="BB185" s="200" t="str">
        <f>IFERROR(VLOOKUP(TableHandbook[[#This Row],[UDC]],TableSTRUHUMBB[],7,FALSE),"")</f>
        <v/>
      </c>
      <c r="BC185" s="200" t="str">
        <f>IFERROR(VLOOKUP(TableHandbook[[#This Row],[UDC]],TableSTRUMATHB[],7,FALSE),"")</f>
        <v/>
      </c>
      <c r="BD185" s="200" t="str">
        <f>IFERROR(VLOOKUP(TableHandbook[[#This Row],[UDC]],TableSTRUMATHM[],7,FALSE),"")</f>
        <v/>
      </c>
      <c r="BE185" s="200" t="str">
        <f>IFERROR(VLOOKUP(TableHandbook[[#This Row],[UDC]],TableSTRUPARTB[],7,FALSE),"")</f>
        <v/>
      </c>
      <c r="BF185" s="200" t="str">
        <f>IFERROR(VLOOKUP(TableHandbook[[#This Row],[UDC]],TableSTRUPARTM[],7,FALSE),"")</f>
        <v/>
      </c>
      <c r="BG185" s="200" t="str">
        <f>IFERROR(VLOOKUP(TableHandbook[[#This Row],[UDC]],TableSTRUPOLB1[],7,FALSE),"")</f>
        <v/>
      </c>
      <c r="BH185" s="200" t="str">
        <f>IFERROR(VLOOKUP(TableHandbook[[#This Row],[UDC]],TableSTRUPSCIM[],7,FALSE),"")</f>
        <v/>
      </c>
      <c r="BI185" s="200" t="str">
        <f>IFERROR(VLOOKUP(TableHandbook[[#This Row],[UDC]],TableSTRUPSYCB[],7,FALSE),"")</f>
        <v/>
      </c>
      <c r="BJ185" s="200" t="str">
        <f>IFERROR(VLOOKUP(TableHandbook[[#This Row],[UDC]],TableSTRUPSYCM[],7,FALSE),"")</f>
        <v/>
      </c>
      <c r="BK185" s="200" t="str">
        <f>IFERROR(VLOOKUP(TableHandbook[[#This Row],[UDC]],TableSTRUSOSCM[],7,FALSE),"")</f>
        <v/>
      </c>
      <c r="BL185" s="200" t="str">
        <f>IFERROR(VLOOKUP(TableHandbook[[#This Row],[UDC]],TableSTRUVARTB[],7,FALSE),"")</f>
        <v/>
      </c>
      <c r="BM185" s="200" t="str">
        <f>IFERROR(VLOOKUP(TableHandbook[[#This Row],[UDC]],TableSTRUVARTM[],7,FALSE),"")</f>
        <v/>
      </c>
    </row>
    <row r="186" spans="1:65" x14ac:dyDescent="0.25">
      <c r="A186" s="262" t="s">
        <v>211</v>
      </c>
      <c r="B186" s="12">
        <v>3</v>
      </c>
      <c r="C186" s="11"/>
      <c r="D186" s="11" t="s">
        <v>210</v>
      </c>
      <c r="E186" s="12">
        <v>400</v>
      </c>
      <c r="F186" s="131" t="s">
        <v>540</v>
      </c>
      <c r="G186" s="126" t="str">
        <f>IFERROR(IF(VLOOKUP(TableHandbook[[#This Row],[UDC]],TableAvailabilities[],2,FALSE)&gt;0,"Y",""),"")</f>
        <v/>
      </c>
      <c r="H186" s="127" t="str">
        <f>IFERROR(IF(VLOOKUP(TableHandbook[[#This Row],[UDC]],TableAvailabilities[],3,FALSE)&gt;0,"Y",""),"")</f>
        <v/>
      </c>
      <c r="I186" s="127" t="str">
        <f>IFERROR(IF(VLOOKUP(TableHandbook[[#This Row],[UDC]],TableAvailabilities[],4,FALSE)&gt;0,"Y",""),"")</f>
        <v/>
      </c>
      <c r="J186" s="128" t="str">
        <f>IFERROR(IF(VLOOKUP(TableHandbook[[#This Row],[UDC]],TableAvailabilities[],5,FALSE)&gt;0,"Y",""),"")</f>
        <v/>
      </c>
      <c r="K186" s="128" t="str">
        <f>IFERROR(IF(VLOOKUP(TableHandbook[[#This Row],[UDC]],TableAvailabilities[],6,FALSE)&gt;0,"Y",""),"")</f>
        <v/>
      </c>
      <c r="L186" s="127" t="str">
        <f>IFERROR(IF(VLOOKUP(TableHandbook[[#This Row],[UDC]],TableAvailabilities[],7,FALSE)&gt;0,"Y",""),"")</f>
        <v/>
      </c>
      <c r="M186" s="207"/>
      <c r="N186" s="205" t="str">
        <f>IFERROR(VLOOKUP(TableHandbook[[#This Row],[UDC]],TableBEDUC[],7,FALSE),"")</f>
        <v/>
      </c>
      <c r="O186" s="200" t="str">
        <f>IFERROR(VLOOKUP(TableHandbook[[#This Row],[UDC]],TableBEDEC[],7,FALSE),"")</f>
        <v/>
      </c>
      <c r="P186" s="200" t="str">
        <f>IFERROR(VLOOKUP(TableHandbook[[#This Row],[UDC]],TableBEDPR[],7,FALSE),"")</f>
        <v/>
      </c>
      <c r="Q186" s="200" t="str">
        <f>IFERROR(VLOOKUP(TableHandbook[[#This Row],[UDC]],TableSTRUCATHL[],7,FALSE),"")</f>
        <v/>
      </c>
      <c r="R186" s="200" t="str">
        <f>IFERROR(VLOOKUP(TableHandbook[[#This Row],[UDC]],TableSTRUENGLL[],7,FALSE),"")</f>
        <v/>
      </c>
      <c r="S186" s="200" t="str">
        <f>IFERROR(VLOOKUP(TableHandbook[[#This Row],[UDC]],TableSTRUINTBC[],7,FALSE),"")</f>
        <v/>
      </c>
      <c r="T186" s="200" t="str">
        <f>IFERROR(VLOOKUP(TableHandbook[[#This Row],[UDC]],TableSTRUISTEM[],7,FALSE),"")</f>
        <v/>
      </c>
      <c r="U186" s="200" t="str">
        <f>IFERROR(VLOOKUP(TableHandbook[[#This Row],[UDC]],TableSTRULITNU[],7,FALSE),"")</f>
        <v/>
      </c>
      <c r="V186" s="200" t="str">
        <f>IFERROR(VLOOKUP(TableHandbook[[#This Row],[UDC]],TableSTRUTECHS[],7,FALSE),"")</f>
        <v/>
      </c>
      <c r="W186" s="200" t="str">
        <f>IFERROR(VLOOKUP(TableHandbook[[#This Row],[UDC]],TableBEDSC[],7,FALSE),"")</f>
        <v>AltCore</v>
      </c>
      <c r="X186" s="200" t="str">
        <f>IFERROR(VLOOKUP(TableHandbook[[#This Row],[UDC]],TableMJRUARTDR[],7,FALSE),"")</f>
        <v/>
      </c>
      <c r="Y186" s="200" t="str">
        <f>IFERROR(VLOOKUP(TableHandbook[[#This Row],[UDC]],TableMJRUARTME[],7,FALSE),"")</f>
        <v/>
      </c>
      <c r="Z186" s="200" t="str">
        <f>IFERROR(VLOOKUP(TableHandbook[[#This Row],[UDC]],TableMJRUARTVA[],7,FALSE),"")</f>
        <v/>
      </c>
      <c r="AA186" s="200" t="str">
        <f>IFERROR(VLOOKUP(TableHandbook[[#This Row],[UDC]],TableMJRUENGLT[],7,FALSE),"")</f>
        <v/>
      </c>
      <c r="AB186" s="200" t="str">
        <f>IFERROR(VLOOKUP(TableHandbook[[#This Row],[UDC]],TableMJRUHLTPE[],7,FALSE),"")</f>
        <v/>
      </c>
      <c r="AC186" s="200" t="str">
        <f>IFERROR(VLOOKUP(TableHandbook[[#This Row],[UDC]],TableMJRUHUSEC[],7,FALSE),"")</f>
        <v/>
      </c>
      <c r="AD186" s="200" t="str">
        <f>IFERROR(VLOOKUP(TableHandbook[[#This Row],[UDC]],TableMJRUHUSGE[],7,FALSE),"")</f>
        <v/>
      </c>
      <c r="AE186" s="200" t="str">
        <f>IFERROR(VLOOKUP(TableHandbook[[#This Row],[UDC]],TableMJRUHUSHI[],7,FALSE),"")</f>
        <v/>
      </c>
      <c r="AF186" s="200" t="str">
        <f>IFERROR(VLOOKUP(TableHandbook[[#This Row],[UDC]],TableMJRUHUSPL[],7,FALSE),"")</f>
        <v/>
      </c>
      <c r="AG186" s="200" t="str">
        <f>IFERROR(VLOOKUP(TableHandbook[[#This Row],[UDC]],TableMJRUMATHT[],7,FALSE),"")</f>
        <v/>
      </c>
      <c r="AH186" s="200" t="str">
        <f>IFERROR(VLOOKUP(TableHandbook[[#This Row],[UDC]],TableMJRUSCIBI[],7,FALSE),"")</f>
        <v/>
      </c>
      <c r="AI186" s="200" t="str">
        <f>IFERROR(VLOOKUP(TableHandbook[[#This Row],[UDC]],TableMJRUSCICH[],7,FALSE),"")</f>
        <v/>
      </c>
      <c r="AJ186" s="200" t="str">
        <f>IFERROR(VLOOKUP(TableHandbook[[#This Row],[UDC]],TableMJRUSCIHB[],7,FALSE),"")</f>
        <v/>
      </c>
      <c r="AK186" s="200" t="str">
        <f>IFERROR(VLOOKUP(TableHandbook[[#This Row],[UDC]],TableMJRUSCIPH[],7,FALSE),"")</f>
        <v/>
      </c>
      <c r="AL186" s="200" t="str">
        <f>IFERROR(VLOOKUP(TableHandbook[[#This Row],[UDC]],TableMJRUSCIPS[],7,FALSE),"")</f>
        <v/>
      </c>
      <c r="AM186" s="202"/>
      <c r="AN186" s="200" t="str">
        <f>IFERROR(VLOOKUP(TableHandbook[[#This Row],[UDC]],TableSTRUBIOLB[],7,FALSE),"")</f>
        <v/>
      </c>
      <c r="AO186" s="200" t="str">
        <f>IFERROR(VLOOKUP(TableHandbook[[#This Row],[UDC]],TableSTRUBSCIM[],7,FALSE),"")</f>
        <v/>
      </c>
      <c r="AP186" s="200" t="str">
        <f>IFERROR(VLOOKUP(TableHandbook[[#This Row],[UDC]],TableSTRUCHEMB[],7,FALSE),"")</f>
        <v/>
      </c>
      <c r="AQ186" s="200" t="str">
        <f>IFERROR(VLOOKUP(TableHandbook[[#This Row],[UDC]],TableSTRUECOB1[],7,FALSE),"")</f>
        <v/>
      </c>
      <c r="AR186" s="200" t="str">
        <f>IFERROR(VLOOKUP(TableHandbook[[#This Row],[UDC]],TableSTRUEDART[],7,FALSE),"")</f>
        <v/>
      </c>
      <c r="AS186" s="200" t="str">
        <f>IFERROR(VLOOKUP(TableHandbook[[#This Row],[UDC]],TableSTRUEDENG[],7,FALSE),"")</f>
        <v/>
      </c>
      <c r="AT186" s="200" t="str">
        <f>IFERROR(VLOOKUP(TableHandbook[[#This Row],[UDC]],TableSTRUEDHAS[],7,FALSE),"")</f>
        <v/>
      </c>
      <c r="AU186" s="200" t="str">
        <f>IFERROR(VLOOKUP(TableHandbook[[#This Row],[UDC]],TableSTRUEDMAT[],7,FALSE),"")</f>
        <v/>
      </c>
      <c r="AV186" s="200" t="str">
        <f>IFERROR(VLOOKUP(TableHandbook[[#This Row],[UDC]],TableSTRUEDSCI[],7,FALSE),"")</f>
        <v/>
      </c>
      <c r="AW186" s="200" t="str">
        <f>IFERROR(VLOOKUP(TableHandbook[[#This Row],[UDC]],TableSTRUENGLB[],7,FALSE),"")</f>
        <v/>
      </c>
      <c r="AX186" s="200" t="str">
        <f>IFERROR(VLOOKUP(TableHandbook[[#This Row],[UDC]],TableSTRUENGLM[],7,FALSE),"")</f>
        <v/>
      </c>
      <c r="AY186" s="200" t="str">
        <f>IFERROR(VLOOKUP(TableHandbook[[#This Row],[UDC]],TableSTRUGEOB1[],7,FALSE),"")</f>
        <v/>
      </c>
      <c r="AZ186" s="200" t="str">
        <f>IFERROR(VLOOKUP(TableHandbook[[#This Row],[UDC]],TableSTRUHISB1[],7,FALSE),"")</f>
        <v/>
      </c>
      <c r="BA186" s="200" t="str">
        <f>IFERROR(VLOOKUP(TableHandbook[[#This Row],[UDC]],TableSTRUHUMAM[],7,FALSE),"")</f>
        <v/>
      </c>
      <c r="BB186" s="200" t="str">
        <f>IFERROR(VLOOKUP(TableHandbook[[#This Row],[UDC]],TableSTRUHUMBB[],7,FALSE),"")</f>
        <v/>
      </c>
      <c r="BC186" s="200" t="str">
        <f>IFERROR(VLOOKUP(TableHandbook[[#This Row],[UDC]],TableSTRUMATHB[],7,FALSE),"")</f>
        <v/>
      </c>
      <c r="BD186" s="200" t="str">
        <f>IFERROR(VLOOKUP(TableHandbook[[#This Row],[UDC]],TableSTRUMATHM[],7,FALSE),"")</f>
        <v/>
      </c>
      <c r="BE186" s="200" t="str">
        <f>IFERROR(VLOOKUP(TableHandbook[[#This Row],[UDC]],TableSTRUPARTB[],7,FALSE),"")</f>
        <v/>
      </c>
      <c r="BF186" s="200" t="str">
        <f>IFERROR(VLOOKUP(TableHandbook[[#This Row],[UDC]],TableSTRUPARTM[],7,FALSE),"")</f>
        <v/>
      </c>
      <c r="BG186" s="200" t="str">
        <f>IFERROR(VLOOKUP(TableHandbook[[#This Row],[UDC]],TableSTRUPOLB1[],7,FALSE),"")</f>
        <v/>
      </c>
      <c r="BH186" s="200" t="str">
        <f>IFERROR(VLOOKUP(TableHandbook[[#This Row],[UDC]],TableSTRUPSCIM[],7,FALSE),"")</f>
        <v/>
      </c>
      <c r="BI186" s="200" t="str">
        <f>IFERROR(VLOOKUP(TableHandbook[[#This Row],[UDC]],TableSTRUPSYCB[],7,FALSE),"")</f>
        <v/>
      </c>
      <c r="BJ186" s="200" t="str">
        <f>IFERROR(VLOOKUP(TableHandbook[[#This Row],[UDC]],TableSTRUPSYCM[],7,FALSE),"")</f>
        <v/>
      </c>
      <c r="BK186" s="200" t="str">
        <f>IFERROR(VLOOKUP(TableHandbook[[#This Row],[UDC]],TableSTRUSOSCM[],7,FALSE),"")</f>
        <v/>
      </c>
      <c r="BL186" s="200" t="str">
        <f>IFERROR(VLOOKUP(TableHandbook[[#This Row],[UDC]],TableSTRUVARTB[],7,FALSE),"")</f>
        <v/>
      </c>
      <c r="BM186" s="200" t="str">
        <f>IFERROR(VLOOKUP(TableHandbook[[#This Row],[UDC]],TableSTRUVARTM[],7,FALSE),"")</f>
        <v/>
      </c>
    </row>
    <row r="187" spans="1:65" x14ac:dyDescent="0.25">
      <c r="A187" s="262" t="s">
        <v>215</v>
      </c>
      <c r="B187" s="12">
        <v>2</v>
      </c>
      <c r="C187" s="11"/>
      <c r="D187" s="11" t="s">
        <v>214</v>
      </c>
      <c r="E187" s="12">
        <v>400</v>
      </c>
      <c r="F187" s="131" t="s">
        <v>540</v>
      </c>
      <c r="G187" s="126" t="str">
        <f>IFERROR(IF(VLOOKUP(TableHandbook[[#This Row],[UDC]],TableAvailabilities[],2,FALSE)&gt;0,"Y",""),"")</f>
        <v/>
      </c>
      <c r="H187" s="127" t="str">
        <f>IFERROR(IF(VLOOKUP(TableHandbook[[#This Row],[UDC]],TableAvailabilities[],3,FALSE)&gt;0,"Y",""),"")</f>
        <v/>
      </c>
      <c r="I187" s="127" t="str">
        <f>IFERROR(IF(VLOOKUP(TableHandbook[[#This Row],[UDC]],TableAvailabilities[],4,FALSE)&gt;0,"Y",""),"")</f>
        <v/>
      </c>
      <c r="J187" s="128" t="str">
        <f>IFERROR(IF(VLOOKUP(TableHandbook[[#This Row],[UDC]],TableAvailabilities[],5,FALSE)&gt;0,"Y",""),"")</f>
        <v/>
      </c>
      <c r="K187" s="128" t="str">
        <f>IFERROR(IF(VLOOKUP(TableHandbook[[#This Row],[UDC]],TableAvailabilities[],6,FALSE)&gt;0,"Y",""),"")</f>
        <v/>
      </c>
      <c r="L187" s="127" t="str">
        <f>IFERROR(IF(VLOOKUP(TableHandbook[[#This Row],[UDC]],TableAvailabilities[],7,FALSE)&gt;0,"Y",""),"")</f>
        <v/>
      </c>
      <c r="M187" s="207"/>
      <c r="N187" s="205" t="str">
        <f>IFERROR(VLOOKUP(TableHandbook[[#This Row],[UDC]],TableBEDUC[],7,FALSE),"")</f>
        <v/>
      </c>
      <c r="O187" s="200" t="str">
        <f>IFERROR(VLOOKUP(TableHandbook[[#This Row],[UDC]],TableBEDEC[],7,FALSE),"")</f>
        <v/>
      </c>
      <c r="P187" s="200" t="str">
        <f>IFERROR(VLOOKUP(TableHandbook[[#This Row],[UDC]],TableBEDPR[],7,FALSE),"")</f>
        <v/>
      </c>
      <c r="Q187" s="200" t="str">
        <f>IFERROR(VLOOKUP(TableHandbook[[#This Row],[UDC]],TableSTRUCATHL[],7,FALSE),"")</f>
        <v/>
      </c>
      <c r="R187" s="200" t="str">
        <f>IFERROR(VLOOKUP(TableHandbook[[#This Row],[UDC]],TableSTRUENGLL[],7,FALSE),"")</f>
        <v/>
      </c>
      <c r="S187" s="200" t="str">
        <f>IFERROR(VLOOKUP(TableHandbook[[#This Row],[UDC]],TableSTRUINTBC[],7,FALSE),"")</f>
        <v/>
      </c>
      <c r="T187" s="200" t="str">
        <f>IFERROR(VLOOKUP(TableHandbook[[#This Row],[UDC]],TableSTRUISTEM[],7,FALSE),"")</f>
        <v/>
      </c>
      <c r="U187" s="200" t="str">
        <f>IFERROR(VLOOKUP(TableHandbook[[#This Row],[UDC]],TableSTRULITNU[],7,FALSE),"")</f>
        <v/>
      </c>
      <c r="V187" s="200" t="str">
        <f>IFERROR(VLOOKUP(TableHandbook[[#This Row],[UDC]],TableSTRUTECHS[],7,FALSE),"")</f>
        <v/>
      </c>
      <c r="W187" s="200" t="str">
        <f>IFERROR(VLOOKUP(TableHandbook[[#This Row],[UDC]],TableBEDSC[],7,FALSE),"")</f>
        <v>AltCore</v>
      </c>
      <c r="X187" s="200" t="str">
        <f>IFERROR(VLOOKUP(TableHandbook[[#This Row],[UDC]],TableMJRUARTDR[],7,FALSE),"")</f>
        <v/>
      </c>
      <c r="Y187" s="200" t="str">
        <f>IFERROR(VLOOKUP(TableHandbook[[#This Row],[UDC]],TableMJRUARTME[],7,FALSE),"")</f>
        <v/>
      </c>
      <c r="Z187" s="200" t="str">
        <f>IFERROR(VLOOKUP(TableHandbook[[#This Row],[UDC]],TableMJRUARTVA[],7,FALSE),"")</f>
        <v/>
      </c>
      <c r="AA187" s="200" t="str">
        <f>IFERROR(VLOOKUP(TableHandbook[[#This Row],[UDC]],TableMJRUENGLT[],7,FALSE),"")</f>
        <v/>
      </c>
      <c r="AB187" s="200" t="str">
        <f>IFERROR(VLOOKUP(TableHandbook[[#This Row],[UDC]],TableMJRUHLTPE[],7,FALSE),"")</f>
        <v/>
      </c>
      <c r="AC187" s="200" t="str">
        <f>IFERROR(VLOOKUP(TableHandbook[[#This Row],[UDC]],TableMJRUHUSEC[],7,FALSE),"")</f>
        <v/>
      </c>
      <c r="AD187" s="200" t="str">
        <f>IFERROR(VLOOKUP(TableHandbook[[#This Row],[UDC]],TableMJRUHUSGE[],7,FALSE),"")</f>
        <v/>
      </c>
      <c r="AE187" s="200" t="str">
        <f>IFERROR(VLOOKUP(TableHandbook[[#This Row],[UDC]],TableMJRUHUSHI[],7,FALSE),"")</f>
        <v/>
      </c>
      <c r="AF187" s="200" t="str">
        <f>IFERROR(VLOOKUP(TableHandbook[[#This Row],[UDC]],TableMJRUHUSPL[],7,FALSE),"")</f>
        <v/>
      </c>
      <c r="AG187" s="200" t="str">
        <f>IFERROR(VLOOKUP(TableHandbook[[#This Row],[UDC]],TableMJRUMATHT[],7,FALSE),"")</f>
        <v/>
      </c>
      <c r="AH187" s="200" t="str">
        <f>IFERROR(VLOOKUP(TableHandbook[[#This Row],[UDC]],TableMJRUSCIBI[],7,FALSE),"")</f>
        <v/>
      </c>
      <c r="AI187" s="200" t="str">
        <f>IFERROR(VLOOKUP(TableHandbook[[#This Row],[UDC]],TableMJRUSCICH[],7,FALSE),"")</f>
        <v/>
      </c>
      <c r="AJ187" s="200" t="str">
        <f>IFERROR(VLOOKUP(TableHandbook[[#This Row],[UDC]],TableMJRUSCIHB[],7,FALSE),"")</f>
        <v/>
      </c>
      <c r="AK187" s="200" t="str">
        <f>IFERROR(VLOOKUP(TableHandbook[[#This Row],[UDC]],TableMJRUSCIPH[],7,FALSE),"")</f>
        <v/>
      </c>
      <c r="AL187" s="200" t="str">
        <f>IFERROR(VLOOKUP(TableHandbook[[#This Row],[UDC]],TableMJRUSCIPS[],7,FALSE),"")</f>
        <v/>
      </c>
      <c r="AM187" s="202"/>
      <c r="AN187" s="200" t="str">
        <f>IFERROR(VLOOKUP(TableHandbook[[#This Row],[UDC]],TableSTRUBIOLB[],7,FALSE),"")</f>
        <v/>
      </c>
      <c r="AO187" s="200" t="str">
        <f>IFERROR(VLOOKUP(TableHandbook[[#This Row],[UDC]],TableSTRUBSCIM[],7,FALSE),"")</f>
        <v/>
      </c>
      <c r="AP187" s="200" t="str">
        <f>IFERROR(VLOOKUP(TableHandbook[[#This Row],[UDC]],TableSTRUCHEMB[],7,FALSE),"")</f>
        <v/>
      </c>
      <c r="AQ187" s="200" t="str">
        <f>IFERROR(VLOOKUP(TableHandbook[[#This Row],[UDC]],TableSTRUECOB1[],7,FALSE),"")</f>
        <v/>
      </c>
      <c r="AR187" s="200" t="str">
        <f>IFERROR(VLOOKUP(TableHandbook[[#This Row],[UDC]],TableSTRUEDART[],7,FALSE),"")</f>
        <v/>
      </c>
      <c r="AS187" s="200" t="str">
        <f>IFERROR(VLOOKUP(TableHandbook[[#This Row],[UDC]],TableSTRUEDENG[],7,FALSE),"")</f>
        <v/>
      </c>
      <c r="AT187" s="200" t="str">
        <f>IFERROR(VLOOKUP(TableHandbook[[#This Row],[UDC]],TableSTRUEDHAS[],7,FALSE),"")</f>
        <v/>
      </c>
      <c r="AU187" s="200" t="str">
        <f>IFERROR(VLOOKUP(TableHandbook[[#This Row],[UDC]],TableSTRUEDMAT[],7,FALSE),"")</f>
        <v/>
      </c>
      <c r="AV187" s="200" t="str">
        <f>IFERROR(VLOOKUP(TableHandbook[[#This Row],[UDC]],TableSTRUEDSCI[],7,FALSE),"")</f>
        <v/>
      </c>
      <c r="AW187" s="200" t="str">
        <f>IFERROR(VLOOKUP(TableHandbook[[#This Row],[UDC]],TableSTRUENGLB[],7,FALSE),"")</f>
        <v/>
      </c>
      <c r="AX187" s="200" t="str">
        <f>IFERROR(VLOOKUP(TableHandbook[[#This Row],[UDC]],TableSTRUENGLM[],7,FALSE),"")</f>
        <v/>
      </c>
      <c r="AY187" s="200" t="str">
        <f>IFERROR(VLOOKUP(TableHandbook[[#This Row],[UDC]],TableSTRUGEOB1[],7,FALSE),"")</f>
        <v/>
      </c>
      <c r="AZ187" s="200" t="str">
        <f>IFERROR(VLOOKUP(TableHandbook[[#This Row],[UDC]],TableSTRUHISB1[],7,FALSE),"")</f>
        <v/>
      </c>
      <c r="BA187" s="200" t="str">
        <f>IFERROR(VLOOKUP(TableHandbook[[#This Row],[UDC]],TableSTRUHUMAM[],7,FALSE),"")</f>
        <v/>
      </c>
      <c r="BB187" s="200" t="str">
        <f>IFERROR(VLOOKUP(TableHandbook[[#This Row],[UDC]],TableSTRUHUMBB[],7,FALSE),"")</f>
        <v/>
      </c>
      <c r="BC187" s="200" t="str">
        <f>IFERROR(VLOOKUP(TableHandbook[[#This Row],[UDC]],TableSTRUMATHB[],7,FALSE),"")</f>
        <v/>
      </c>
      <c r="BD187" s="200" t="str">
        <f>IFERROR(VLOOKUP(TableHandbook[[#This Row],[UDC]],TableSTRUMATHM[],7,FALSE),"")</f>
        <v/>
      </c>
      <c r="BE187" s="200" t="str">
        <f>IFERROR(VLOOKUP(TableHandbook[[#This Row],[UDC]],TableSTRUPARTB[],7,FALSE),"")</f>
        <v/>
      </c>
      <c r="BF187" s="200" t="str">
        <f>IFERROR(VLOOKUP(TableHandbook[[#This Row],[UDC]],TableSTRUPARTM[],7,FALSE),"")</f>
        <v/>
      </c>
      <c r="BG187" s="200" t="str">
        <f>IFERROR(VLOOKUP(TableHandbook[[#This Row],[UDC]],TableSTRUPOLB1[],7,FALSE),"")</f>
        <v/>
      </c>
      <c r="BH187" s="200" t="str">
        <f>IFERROR(VLOOKUP(TableHandbook[[#This Row],[UDC]],TableSTRUPSCIM[],7,FALSE),"")</f>
        <v/>
      </c>
      <c r="BI187" s="200" t="str">
        <f>IFERROR(VLOOKUP(TableHandbook[[#This Row],[UDC]],TableSTRUPSYCB[],7,FALSE),"")</f>
        <v/>
      </c>
      <c r="BJ187" s="200" t="str">
        <f>IFERROR(VLOOKUP(TableHandbook[[#This Row],[UDC]],TableSTRUPSYCM[],7,FALSE),"")</f>
        <v/>
      </c>
      <c r="BK187" s="200" t="str">
        <f>IFERROR(VLOOKUP(TableHandbook[[#This Row],[UDC]],TableSTRUSOSCM[],7,FALSE),"")</f>
        <v/>
      </c>
      <c r="BL187" s="200" t="str">
        <f>IFERROR(VLOOKUP(TableHandbook[[#This Row],[UDC]],TableSTRUVARTB[],7,FALSE),"")</f>
        <v/>
      </c>
      <c r="BM187" s="200" t="str">
        <f>IFERROR(VLOOKUP(TableHandbook[[#This Row],[UDC]],TableSTRUVARTM[],7,FALSE),"")</f>
        <v/>
      </c>
    </row>
    <row r="188" spans="1:65" x14ac:dyDescent="0.25">
      <c r="A188" s="262" t="s">
        <v>218</v>
      </c>
      <c r="B188" s="12">
        <v>1</v>
      </c>
      <c r="C188" s="11"/>
      <c r="D188" s="11" t="s">
        <v>183</v>
      </c>
      <c r="E188" s="12">
        <v>400</v>
      </c>
      <c r="F188" s="131" t="s">
        <v>540</v>
      </c>
      <c r="G188" s="126" t="str">
        <f>IFERROR(IF(VLOOKUP(TableHandbook[[#This Row],[UDC]],TableAvailabilities[],2,FALSE)&gt;0,"Y",""),"")</f>
        <v/>
      </c>
      <c r="H188" s="127" t="str">
        <f>IFERROR(IF(VLOOKUP(TableHandbook[[#This Row],[UDC]],TableAvailabilities[],3,FALSE)&gt;0,"Y",""),"")</f>
        <v/>
      </c>
      <c r="I188" s="127" t="str">
        <f>IFERROR(IF(VLOOKUP(TableHandbook[[#This Row],[UDC]],TableAvailabilities[],4,FALSE)&gt;0,"Y",""),"")</f>
        <v/>
      </c>
      <c r="J188" s="128" t="str">
        <f>IFERROR(IF(VLOOKUP(TableHandbook[[#This Row],[UDC]],TableAvailabilities[],5,FALSE)&gt;0,"Y",""),"")</f>
        <v/>
      </c>
      <c r="K188" s="128" t="str">
        <f>IFERROR(IF(VLOOKUP(TableHandbook[[#This Row],[UDC]],TableAvailabilities[],6,FALSE)&gt;0,"Y",""),"")</f>
        <v/>
      </c>
      <c r="L188" s="127" t="str">
        <f>IFERROR(IF(VLOOKUP(TableHandbook[[#This Row],[UDC]],TableAvailabilities[],7,FALSE)&gt;0,"Y",""),"")</f>
        <v/>
      </c>
      <c r="M188" s="207"/>
      <c r="N188" s="205" t="str">
        <f>IFERROR(VLOOKUP(TableHandbook[[#This Row],[UDC]],TableBEDUC[],7,FALSE),"")</f>
        <v/>
      </c>
      <c r="O188" s="200" t="str">
        <f>IFERROR(VLOOKUP(TableHandbook[[#This Row],[UDC]],TableBEDEC[],7,FALSE),"")</f>
        <v/>
      </c>
      <c r="P188" s="200" t="str">
        <f>IFERROR(VLOOKUP(TableHandbook[[#This Row],[UDC]],TableBEDPR[],7,FALSE),"")</f>
        <v/>
      </c>
      <c r="Q188" s="200" t="str">
        <f>IFERROR(VLOOKUP(TableHandbook[[#This Row],[UDC]],TableSTRUCATHL[],7,FALSE),"")</f>
        <v/>
      </c>
      <c r="R188" s="200" t="str">
        <f>IFERROR(VLOOKUP(TableHandbook[[#This Row],[UDC]],TableSTRUENGLL[],7,FALSE),"")</f>
        <v/>
      </c>
      <c r="S188" s="200" t="str">
        <f>IFERROR(VLOOKUP(TableHandbook[[#This Row],[UDC]],TableSTRUINTBC[],7,FALSE),"")</f>
        <v/>
      </c>
      <c r="T188" s="200" t="str">
        <f>IFERROR(VLOOKUP(TableHandbook[[#This Row],[UDC]],TableSTRUISTEM[],7,FALSE),"")</f>
        <v/>
      </c>
      <c r="U188" s="200" t="str">
        <f>IFERROR(VLOOKUP(TableHandbook[[#This Row],[UDC]],TableSTRULITNU[],7,FALSE),"")</f>
        <v/>
      </c>
      <c r="V188" s="200" t="str">
        <f>IFERROR(VLOOKUP(TableHandbook[[#This Row],[UDC]],TableSTRUTECHS[],7,FALSE),"")</f>
        <v/>
      </c>
      <c r="W188" s="200" t="str">
        <f>IFERROR(VLOOKUP(TableHandbook[[#This Row],[UDC]],TableBEDSC[],7,FALSE),"")</f>
        <v>AltCore</v>
      </c>
      <c r="X188" s="200" t="str">
        <f>IFERROR(VLOOKUP(TableHandbook[[#This Row],[UDC]],TableMJRUARTDR[],7,FALSE),"")</f>
        <v/>
      </c>
      <c r="Y188" s="200" t="str">
        <f>IFERROR(VLOOKUP(TableHandbook[[#This Row],[UDC]],TableMJRUARTME[],7,FALSE),"")</f>
        <v/>
      </c>
      <c r="Z188" s="200" t="str">
        <f>IFERROR(VLOOKUP(TableHandbook[[#This Row],[UDC]],TableMJRUARTVA[],7,FALSE),"")</f>
        <v/>
      </c>
      <c r="AA188" s="200" t="str">
        <f>IFERROR(VLOOKUP(TableHandbook[[#This Row],[UDC]],TableMJRUENGLT[],7,FALSE),"")</f>
        <v/>
      </c>
      <c r="AB188" s="200" t="str">
        <f>IFERROR(VLOOKUP(TableHandbook[[#This Row],[UDC]],TableMJRUHLTPE[],7,FALSE),"")</f>
        <v/>
      </c>
      <c r="AC188" s="200" t="str">
        <f>IFERROR(VLOOKUP(TableHandbook[[#This Row],[UDC]],TableMJRUHUSEC[],7,FALSE),"")</f>
        <v/>
      </c>
      <c r="AD188" s="200" t="str">
        <f>IFERROR(VLOOKUP(TableHandbook[[#This Row],[UDC]],TableMJRUHUSGE[],7,FALSE),"")</f>
        <v/>
      </c>
      <c r="AE188" s="200" t="str">
        <f>IFERROR(VLOOKUP(TableHandbook[[#This Row],[UDC]],TableMJRUHUSHI[],7,FALSE),"")</f>
        <v/>
      </c>
      <c r="AF188" s="200" t="str">
        <f>IFERROR(VLOOKUP(TableHandbook[[#This Row],[UDC]],TableMJRUHUSPL[],7,FALSE),"")</f>
        <v/>
      </c>
      <c r="AG188" s="200" t="str">
        <f>IFERROR(VLOOKUP(TableHandbook[[#This Row],[UDC]],TableMJRUMATHT[],7,FALSE),"")</f>
        <v/>
      </c>
      <c r="AH188" s="200" t="str">
        <f>IFERROR(VLOOKUP(TableHandbook[[#This Row],[UDC]],TableMJRUSCIBI[],7,FALSE),"")</f>
        <v/>
      </c>
      <c r="AI188" s="200" t="str">
        <f>IFERROR(VLOOKUP(TableHandbook[[#This Row],[UDC]],TableMJRUSCICH[],7,FALSE),"")</f>
        <v/>
      </c>
      <c r="AJ188" s="200" t="str">
        <f>IFERROR(VLOOKUP(TableHandbook[[#This Row],[UDC]],TableMJRUSCIHB[],7,FALSE),"")</f>
        <v/>
      </c>
      <c r="AK188" s="200" t="str">
        <f>IFERROR(VLOOKUP(TableHandbook[[#This Row],[UDC]],TableMJRUSCIPH[],7,FALSE),"")</f>
        <v/>
      </c>
      <c r="AL188" s="200" t="str">
        <f>IFERROR(VLOOKUP(TableHandbook[[#This Row],[UDC]],TableMJRUSCIPS[],7,FALSE),"")</f>
        <v/>
      </c>
      <c r="AM188" s="202"/>
      <c r="AN188" s="200" t="str">
        <f>IFERROR(VLOOKUP(TableHandbook[[#This Row],[UDC]],TableSTRUBIOLB[],7,FALSE),"")</f>
        <v/>
      </c>
      <c r="AO188" s="200" t="str">
        <f>IFERROR(VLOOKUP(TableHandbook[[#This Row],[UDC]],TableSTRUBSCIM[],7,FALSE),"")</f>
        <v/>
      </c>
      <c r="AP188" s="200" t="str">
        <f>IFERROR(VLOOKUP(TableHandbook[[#This Row],[UDC]],TableSTRUCHEMB[],7,FALSE),"")</f>
        <v/>
      </c>
      <c r="AQ188" s="200" t="str">
        <f>IFERROR(VLOOKUP(TableHandbook[[#This Row],[UDC]],TableSTRUECOB1[],7,FALSE),"")</f>
        <v/>
      </c>
      <c r="AR188" s="200" t="str">
        <f>IFERROR(VLOOKUP(TableHandbook[[#This Row],[UDC]],TableSTRUEDART[],7,FALSE),"")</f>
        <v/>
      </c>
      <c r="AS188" s="200" t="str">
        <f>IFERROR(VLOOKUP(TableHandbook[[#This Row],[UDC]],TableSTRUEDENG[],7,FALSE),"")</f>
        <v/>
      </c>
      <c r="AT188" s="200" t="str">
        <f>IFERROR(VLOOKUP(TableHandbook[[#This Row],[UDC]],TableSTRUEDHAS[],7,FALSE),"")</f>
        <v/>
      </c>
      <c r="AU188" s="200" t="str">
        <f>IFERROR(VLOOKUP(TableHandbook[[#This Row],[UDC]],TableSTRUEDMAT[],7,FALSE),"")</f>
        <v/>
      </c>
      <c r="AV188" s="200" t="str">
        <f>IFERROR(VLOOKUP(TableHandbook[[#This Row],[UDC]],TableSTRUEDSCI[],7,FALSE),"")</f>
        <v/>
      </c>
      <c r="AW188" s="200" t="str">
        <f>IFERROR(VLOOKUP(TableHandbook[[#This Row],[UDC]],TableSTRUENGLB[],7,FALSE),"")</f>
        <v/>
      </c>
      <c r="AX188" s="200" t="str">
        <f>IFERROR(VLOOKUP(TableHandbook[[#This Row],[UDC]],TableSTRUENGLM[],7,FALSE),"")</f>
        <v/>
      </c>
      <c r="AY188" s="200" t="str">
        <f>IFERROR(VLOOKUP(TableHandbook[[#This Row],[UDC]],TableSTRUGEOB1[],7,FALSE),"")</f>
        <v/>
      </c>
      <c r="AZ188" s="200" t="str">
        <f>IFERROR(VLOOKUP(TableHandbook[[#This Row],[UDC]],TableSTRUHISB1[],7,FALSE),"")</f>
        <v/>
      </c>
      <c r="BA188" s="200" t="str">
        <f>IFERROR(VLOOKUP(TableHandbook[[#This Row],[UDC]],TableSTRUHUMAM[],7,FALSE),"")</f>
        <v/>
      </c>
      <c r="BB188" s="200" t="str">
        <f>IFERROR(VLOOKUP(TableHandbook[[#This Row],[UDC]],TableSTRUHUMBB[],7,FALSE),"")</f>
        <v/>
      </c>
      <c r="BC188" s="200" t="str">
        <f>IFERROR(VLOOKUP(TableHandbook[[#This Row],[UDC]],TableSTRUMATHB[],7,FALSE),"")</f>
        <v/>
      </c>
      <c r="BD188" s="200" t="str">
        <f>IFERROR(VLOOKUP(TableHandbook[[#This Row],[UDC]],TableSTRUMATHM[],7,FALSE),"")</f>
        <v/>
      </c>
      <c r="BE188" s="200" t="str">
        <f>IFERROR(VLOOKUP(TableHandbook[[#This Row],[UDC]],TableSTRUPARTB[],7,FALSE),"")</f>
        <v/>
      </c>
      <c r="BF188" s="200" t="str">
        <f>IFERROR(VLOOKUP(TableHandbook[[#This Row],[UDC]],TableSTRUPARTM[],7,FALSE),"")</f>
        <v/>
      </c>
      <c r="BG188" s="200" t="str">
        <f>IFERROR(VLOOKUP(TableHandbook[[#This Row],[UDC]],TableSTRUPOLB1[],7,FALSE),"")</f>
        <v/>
      </c>
      <c r="BH188" s="200" t="str">
        <f>IFERROR(VLOOKUP(TableHandbook[[#This Row],[UDC]],TableSTRUPSCIM[],7,FALSE),"")</f>
        <v/>
      </c>
      <c r="BI188" s="200" t="str">
        <f>IFERROR(VLOOKUP(TableHandbook[[#This Row],[UDC]],TableSTRUPSYCB[],7,FALSE),"")</f>
        <v/>
      </c>
      <c r="BJ188" s="200" t="str">
        <f>IFERROR(VLOOKUP(TableHandbook[[#This Row],[UDC]],TableSTRUPSYCM[],7,FALSE),"")</f>
        <v/>
      </c>
      <c r="BK188" s="200" t="str">
        <f>IFERROR(VLOOKUP(TableHandbook[[#This Row],[UDC]],TableSTRUSOSCM[],7,FALSE),"")</f>
        <v/>
      </c>
      <c r="BL188" s="200" t="str">
        <f>IFERROR(VLOOKUP(TableHandbook[[#This Row],[UDC]],TableSTRUVARTB[],7,FALSE),"")</f>
        <v/>
      </c>
      <c r="BM188" s="200" t="str">
        <f>IFERROR(VLOOKUP(TableHandbook[[#This Row],[UDC]],TableSTRUVARTM[],7,FALSE),"")</f>
        <v/>
      </c>
    </row>
    <row r="189" spans="1:65" x14ac:dyDescent="0.25">
      <c r="A189" s="262" t="s">
        <v>220</v>
      </c>
      <c r="B189" s="12">
        <v>1</v>
      </c>
      <c r="C189" s="11"/>
      <c r="D189" s="11" t="s">
        <v>219</v>
      </c>
      <c r="E189" s="12">
        <v>400</v>
      </c>
      <c r="F189" s="131" t="s">
        <v>540</v>
      </c>
      <c r="G189" s="126" t="str">
        <f>IFERROR(IF(VLOOKUP(TableHandbook[[#This Row],[UDC]],TableAvailabilities[],2,FALSE)&gt;0,"Y",""),"")</f>
        <v/>
      </c>
      <c r="H189" s="127" t="str">
        <f>IFERROR(IF(VLOOKUP(TableHandbook[[#This Row],[UDC]],TableAvailabilities[],3,FALSE)&gt;0,"Y",""),"")</f>
        <v/>
      </c>
      <c r="I189" s="127" t="str">
        <f>IFERROR(IF(VLOOKUP(TableHandbook[[#This Row],[UDC]],TableAvailabilities[],4,FALSE)&gt;0,"Y",""),"")</f>
        <v/>
      </c>
      <c r="J189" s="128" t="str">
        <f>IFERROR(IF(VLOOKUP(TableHandbook[[#This Row],[UDC]],TableAvailabilities[],5,FALSE)&gt;0,"Y",""),"")</f>
        <v/>
      </c>
      <c r="K189" s="128" t="str">
        <f>IFERROR(IF(VLOOKUP(TableHandbook[[#This Row],[UDC]],TableAvailabilities[],6,FALSE)&gt;0,"Y",""),"")</f>
        <v/>
      </c>
      <c r="L189" s="127" t="str">
        <f>IFERROR(IF(VLOOKUP(TableHandbook[[#This Row],[UDC]],TableAvailabilities[],7,FALSE)&gt;0,"Y",""),"")</f>
        <v/>
      </c>
      <c r="M189" s="207"/>
      <c r="N189" s="205" t="str">
        <f>IFERROR(VLOOKUP(TableHandbook[[#This Row],[UDC]],TableBEDUC[],7,FALSE),"")</f>
        <v/>
      </c>
      <c r="O189" s="200" t="str">
        <f>IFERROR(VLOOKUP(TableHandbook[[#This Row],[UDC]],TableBEDEC[],7,FALSE),"")</f>
        <v/>
      </c>
      <c r="P189" s="200" t="str">
        <f>IFERROR(VLOOKUP(TableHandbook[[#This Row],[UDC]],TableBEDPR[],7,FALSE),"")</f>
        <v/>
      </c>
      <c r="Q189" s="200" t="str">
        <f>IFERROR(VLOOKUP(TableHandbook[[#This Row],[UDC]],TableSTRUCATHL[],7,FALSE),"")</f>
        <v/>
      </c>
      <c r="R189" s="200" t="str">
        <f>IFERROR(VLOOKUP(TableHandbook[[#This Row],[UDC]],TableSTRUENGLL[],7,FALSE),"")</f>
        <v/>
      </c>
      <c r="S189" s="200" t="str">
        <f>IFERROR(VLOOKUP(TableHandbook[[#This Row],[UDC]],TableSTRUINTBC[],7,FALSE),"")</f>
        <v/>
      </c>
      <c r="T189" s="200" t="str">
        <f>IFERROR(VLOOKUP(TableHandbook[[#This Row],[UDC]],TableSTRUISTEM[],7,FALSE),"")</f>
        <v/>
      </c>
      <c r="U189" s="200" t="str">
        <f>IFERROR(VLOOKUP(TableHandbook[[#This Row],[UDC]],TableSTRULITNU[],7,FALSE),"")</f>
        <v/>
      </c>
      <c r="V189" s="200" t="str">
        <f>IFERROR(VLOOKUP(TableHandbook[[#This Row],[UDC]],TableSTRUTECHS[],7,FALSE),"")</f>
        <v/>
      </c>
      <c r="W189" s="200" t="str">
        <f>IFERROR(VLOOKUP(TableHandbook[[#This Row],[UDC]],TableBEDSC[],7,FALSE),"")</f>
        <v>AltCore</v>
      </c>
      <c r="X189" s="200" t="str">
        <f>IFERROR(VLOOKUP(TableHandbook[[#This Row],[UDC]],TableMJRUARTDR[],7,FALSE),"")</f>
        <v/>
      </c>
      <c r="Y189" s="200" t="str">
        <f>IFERROR(VLOOKUP(TableHandbook[[#This Row],[UDC]],TableMJRUARTME[],7,FALSE),"")</f>
        <v/>
      </c>
      <c r="Z189" s="200" t="str">
        <f>IFERROR(VLOOKUP(TableHandbook[[#This Row],[UDC]],TableMJRUARTVA[],7,FALSE),"")</f>
        <v/>
      </c>
      <c r="AA189" s="200" t="str">
        <f>IFERROR(VLOOKUP(TableHandbook[[#This Row],[UDC]],TableMJRUENGLT[],7,FALSE),"")</f>
        <v/>
      </c>
      <c r="AB189" s="200" t="str">
        <f>IFERROR(VLOOKUP(TableHandbook[[#This Row],[UDC]],TableMJRUHLTPE[],7,FALSE),"")</f>
        <v/>
      </c>
      <c r="AC189" s="200" t="str">
        <f>IFERROR(VLOOKUP(TableHandbook[[#This Row],[UDC]],TableMJRUHUSEC[],7,FALSE),"")</f>
        <v/>
      </c>
      <c r="AD189" s="200" t="str">
        <f>IFERROR(VLOOKUP(TableHandbook[[#This Row],[UDC]],TableMJRUHUSGE[],7,FALSE),"")</f>
        <v/>
      </c>
      <c r="AE189" s="200" t="str">
        <f>IFERROR(VLOOKUP(TableHandbook[[#This Row],[UDC]],TableMJRUHUSHI[],7,FALSE),"")</f>
        <v/>
      </c>
      <c r="AF189" s="200" t="str">
        <f>IFERROR(VLOOKUP(TableHandbook[[#This Row],[UDC]],TableMJRUHUSPL[],7,FALSE),"")</f>
        <v/>
      </c>
      <c r="AG189" s="200" t="str">
        <f>IFERROR(VLOOKUP(TableHandbook[[#This Row],[UDC]],TableMJRUMATHT[],7,FALSE),"")</f>
        <v/>
      </c>
      <c r="AH189" s="200" t="str">
        <f>IFERROR(VLOOKUP(TableHandbook[[#This Row],[UDC]],TableMJRUSCIBI[],7,FALSE),"")</f>
        <v/>
      </c>
      <c r="AI189" s="200" t="str">
        <f>IFERROR(VLOOKUP(TableHandbook[[#This Row],[UDC]],TableMJRUSCICH[],7,FALSE),"")</f>
        <v/>
      </c>
      <c r="AJ189" s="200" t="str">
        <f>IFERROR(VLOOKUP(TableHandbook[[#This Row],[UDC]],TableMJRUSCIHB[],7,FALSE),"")</f>
        <v/>
      </c>
      <c r="AK189" s="200" t="str">
        <f>IFERROR(VLOOKUP(TableHandbook[[#This Row],[UDC]],TableMJRUSCIPH[],7,FALSE),"")</f>
        <v/>
      </c>
      <c r="AL189" s="200" t="str">
        <f>IFERROR(VLOOKUP(TableHandbook[[#This Row],[UDC]],TableMJRUSCIPS[],7,FALSE),"")</f>
        <v/>
      </c>
      <c r="AM189" s="202"/>
      <c r="AN189" s="200" t="str">
        <f>IFERROR(VLOOKUP(TableHandbook[[#This Row],[UDC]],TableSTRUBIOLB[],7,FALSE),"")</f>
        <v/>
      </c>
      <c r="AO189" s="200" t="str">
        <f>IFERROR(VLOOKUP(TableHandbook[[#This Row],[UDC]],TableSTRUBSCIM[],7,FALSE),"")</f>
        <v/>
      </c>
      <c r="AP189" s="200" t="str">
        <f>IFERROR(VLOOKUP(TableHandbook[[#This Row],[UDC]],TableSTRUCHEMB[],7,FALSE),"")</f>
        <v/>
      </c>
      <c r="AQ189" s="200" t="str">
        <f>IFERROR(VLOOKUP(TableHandbook[[#This Row],[UDC]],TableSTRUECOB1[],7,FALSE),"")</f>
        <v/>
      </c>
      <c r="AR189" s="200" t="str">
        <f>IFERROR(VLOOKUP(TableHandbook[[#This Row],[UDC]],TableSTRUEDART[],7,FALSE),"")</f>
        <v/>
      </c>
      <c r="AS189" s="200" t="str">
        <f>IFERROR(VLOOKUP(TableHandbook[[#This Row],[UDC]],TableSTRUEDENG[],7,FALSE),"")</f>
        <v/>
      </c>
      <c r="AT189" s="200" t="str">
        <f>IFERROR(VLOOKUP(TableHandbook[[#This Row],[UDC]],TableSTRUEDHAS[],7,FALSE),"")</f>
        <v/>
      </c>
      <c r="AU189" s="200" t="str">
        <f>IFERROR(VLOOKUP(TableHandbook[[#This Row],[UDC]],TableSTRUEDMAT[],7,FALSE),"")</f>
        <v/>
      </c>
      <c r="AV189" s="200" t="str">
        <f>IFERROR(VLOOKUP(TableHandbook[[#This Row],[UDC]],TableSTRUEDSCI[],7,FALSE),"")</f>
        <v/>
      </c>
      <c r="AW189" s="200" t="str">
        <f>IFERROR(VLOOKUP(TableHandbook[[#This Row],[UDC]],TableSTRUENGLB[],7,FALSE),"")</f>
        <v/>
      </c>
      <c r="AX189" s="200" t="str">
        <f>IFERROR(VLOOKUP(TableHandbook[[#This Row],[UDC]],TableSTRUENGLM[],7,FALSE),"")</f>
        <v/>
      </c>
      <c r="AY189" s="200" t="str">
        <f>IFERROR(VLOOKUP(TableHandbook[[#This Row],[UDC]],TableSTRUGEOB1[],7,FALSE),"")</f>
        <v/>
      </c>
      <c r="AZ189" s="200" t="str">
        <f>IFERROR(VLOOKUP(TableHandbook[[#This Row],[UDC]],TableSTRUHISB1[],7,FALSE),"")</f>
        <v/>
      </c>
      <c r="BA189" s="200" t="str">
        <f>IFERROR(VLOOKUP(TableHandbook[[#This Row],[UDC]],TableSTRUHUMAM[],7,FALSE),"")</f>
        <v/>
      </c>
      <c r="BB189" s="200" t="str">
        <f>IFERROR(VLOOKUP(TableHandbook[[#This Row],[UDC]],TableSTRUHUMBB[],7,FALSE),"")</f>
        <v/>
      </c>
      <c r="BC189" s="200" t="str">
        <f>IFERROR(VLOOKUP(TableHandbook[[#This Row],[UDC]],TableSTRUMATHB[],7,FALSE),"")</f>
        <v/>
      </c>
      <c r="BD189" s="200" t="str">
        <f>IFERROR(VLOOKUP(TableHandbook[[#This Row],[UDC]],TableSTRUMATHM[],7,FALSE),"")</f>
        <v/>
      </c>
      <c r="BE189" s="200" t="str">
        <f>IFERROR(VLOOKUP(TableHandbook[[#This Row],[UDC]],TableSTRUPARTB[],7,FALSE),"")</f>
        <v/>
      </c>
      <c r="BF189" s="200" t="str">
        <f>IFERROR(VLOOKUP(TableHandbook[[#This Row],[UDC]],TableSTRUPARTM[],7,FALSE),"")</f>
        <v/>
      </c>
      <c r="BG189" s="200" t="str">
        <f>IFERROR(VLOOKUP(TableHandbook[[#This Row],[UDC]],TableSTRUPOLB1[],7,FALSE),"")</f>
        <v/>
      </c>
      <c r="BH189" s="200" t="str">
        <f>IFERROR(VLOOKUP(TableHandbook[[#This Row],[UDC]],TableSTRUPSCIM[],7,FALSE),"")</f>
        <v/>
      </c>
      <c r="BI189" s="200" t="str">
        <f>IFERROR(VLOOKUP(TableHandbook[[#This Row],[UDC]],TableSTRUPSYCB[],7,FALSE),"")</f>
        <v/>
      </c>
      <c r="BJ189" s="200" t="str">
        <f>IFERROR(VLOOKUP(TableHandbook[[#This Row],[UDC]],TableSTRUPSYCM[],7,FALSE),"")</f>
        <v/>
      </c>
      <c r="BK189" s="200" t="str">
        <f>IFERROR(VLOOKUP(TableHandbook[[#This Row],[UDC]],TableSTRUSOSCM[],7,FALSE),"")</f>
        <v/>
      </c>
      <c r="BL189" s="200" t="str">
        <f>IFERROR(VLOOKUP(TableHandbook[[#This Row],[UDC]],TableSTRUVARTB[],7,FALSE),"")</f>
        <v/>
      </c>
      <c r="BM189" s="200" t="str">
        <f>IFERROR(VLOOKUP(TableHandbook[[#This Row],[UDC]],TableSTRUVARTM[],7,FALSE),"")</f>
        <v/>
      </c>
    </row>
    <row r="190" spans="1:65" x14ac:dyDescent="0.25">
      <c r="A190" s="262" t="s">
        <v>222</v>
      </c>
      <c r="B190" s="12">
        <v>1</v>
      </c>
      <c r="C190" s="11"/>
      <c r="D190" s="11" t="s">
        <v>221</v>
      </c>
      <c r="E190" s="12">
        <v>400</v>
      </c>
      <c r="F190" s="131" t="s">
        <v>540</v>
      </c>
      <c r="G190" s="126" t="str">
        <f>IFERROR(IF(VLOOKUP(TableHandbook[[#This Row],[UDC]],TableAvailabilities[],2,FALSE)&gt;0,"Y",""),"")</f>
        <v/>
      </c>
      <c r="H190" s="127" t="str">
        <f>IFERROR(IF(VLOOKUP(TableHandbook[[#This Row],[UDC]],TableAvailabilities[],3,FALSE)&gt;0,"Y",""),"")</f>
        <v/>
      </c>
      <c r="I190" s="127" t="str">
        <f>IFERROR(IF(VLOOKUP(TableHandbook[[#This Row],[UDC]],TableAvailabilities[],4,FALSE)&gt;0,"Y",""),"")</f>
        <v/>
      </c>
      <c r="J190" s="128" t="str">
        <f>IFERROR(IF(VLOOKUP(TableHandbook[[#This Row],[UDC]],TableAvailabilities[],5,FALSE)&gt;0,"Y",""),"")</f>
        <v/>
      </c>
      <c r="K190" s="128" t="str">
        <f>IFERROR(IF(VLOOKUP(TableHandbook[[#This Row],[UDC]],TableAvailabilities[],6,FALSE)&gt;0,"Y",""),"")</f>
        <v/>
      </c>
      <c r="L190" s="127" t="str">
        <f>IFERROR(IF(VLOOKUP(TableHandbook[[#This Row],[UDC]],TableAvailabilities[],7,FALSE)&gt;0,"Y",""),"")</f>
        <v/>
      </c>
      <c r="M190" s="207"/>
      <c r="N190" s="205" t="str">
        <f>IFERROR(VLOOKUP(TableHandbook[[#This Row],[UDC]],TableBEDUC[],7,FALSE),"")</f>
        <v/>
      </c>
      <c r="O190" s="200" t="str">
        <f>IFERROR(VLOOKUP(TableHandbook[[#This Row],[UDC]],TableBEDEC[],7,FALSE),"")</f>
        <v/>
      </c>
      <c r="P190" s="200" t="str">
        <f>IFERROR(VLOOKUP(TableHandbook[[#This Row],[UDC]],TableBEDPR[],7,FALSE),"")</f>
        <v/>
      </c>
      <c r="Q190" s="200" t="str">
        <f>IFERROR(VLOOKUP(TableHandbook[[#This Row],[UDC]],TableSTRUCATHL[],7,FALSE),"")</f>
        <v/>
      </c>
      <c r="R190" s="200" t="str">
        <f>IFERROR(VLOOKUP(TableHandbook[[#This Row],[UDC]],TableSTRUENGLL[],7,FALSE),"")</f>
        <v/>
      </c>
      <c r="S190" s="200" t="str">
        <f>IFERROR(VLOOKUP(TableHandbook[[#This Row],[UDC]],TableSTRUINTBC[],7,FALSE),"")</f>
        <v/>
      </c>
      <c r="T190" s="200" t="str">
        <f>IFERROR(VLOOKUP(TableHandbook[[#This Row],[UDC]],TableSTRUISTEM[],7,FALSE),"")</f>
        <v/>
      </c>
      <c r="U190" s="200" t="str">
        <f>IFERROR(VLOOKUP(TableHandbook[[#This Row],[UDC]],TableSTRULITNU[],7,FALSE),"")</f>
        <v/>
      </c>
      <c r="V190" s="200" t="str">
        <f>IFERROR(VLOOKUP(TableHandbook[[#This Row],[UDC]],TableSTRUTECHS[],7,FALSE),"")</f>
        <v/>
      </c>
      <c r="W190" s="200" t="str">
        <f>IFERROR(VLOOKUP(TableHandbook[[#This Row],[UDC]],TableBEDSC[],7,FALSE),"")</f>
        <v>AltCore</v>
      </c>
      <c r="X190" s="200" t="str">
        <f>IFERROR(VLOOKUP(TableHandbook[[#This Row],[UDC]],TableMJRUARTDR[],7,FALSE),"")</f>
        <v/>
      </c>
      <c r="Y190" s="200" t="str">
        <f>IFERROR(VLOOKUP(TableHandbook[[#This Row],[UDC]],TableMJRUARTME[],7,FALSE),"")</f>
        <v/>
      </c>
      <c r="Z190" s="200" t="str">
        <f>IFERROR(VLOOKUP(TableHandbook[[#This Row],[UDC]],TableMJRUARTVA[],7,FALSE),"")</f>
        <v/>
      </c>
      <c r="AA190" s="200" t="str">
        <f>IFERROR(VLOOKUP(TableHandbook[[#This Row],[UDC]],TableMJRUENGLT[],7,FALSE),"")</f>
        <v/>
      </c>
      <c r="AB190" s="200" t="str">
        <f>IFERROR(VLOOKUP(TableHandbook[[#This Row],[UDC]],TableMJRUHLTPE[],7,FALSE),"")</f>
        <v/>
      </c>
      <c r="AC190" s="200" t="str">
        <f>IFERROR(VLOOKUP(TableHandbook[[#This Row],[UDC]],TableMJRUHUSEC[],7,FALSE),"")</f>
        <v/>
      </c>
      <c r="AD190" s="200" t="str">
        <f>IFERROR(VLOOKUP(TableHandbook[[#This Row],[UDC]],TableMJRUHUSGE[],7,FALSE),"")</f>
        <v/>
      </c>
      <c r="AE190" s="200" t="str">
        <f>IFERROR(VLOOKUP(TableHandbook[[#This Row],[UDC]],TableMJRUHUSHI[],7,FALSE),"")</f>
        <v/>
      </c>
      <c r="AF190" s="200" t="str">
        <f>IFERROR(VLOOKUP(TableHandbook[[#This Row],[UDC]],TableMJRUHUSPL[],7,FALSE),"")</f>
        <v/>
      </c>
      <c r="AG190" s="200" t="str">
        <f>IFERROR(VLOOKUP(TableHandbook[[#This Row],[UDC]],TableMJRUMATHT[],7,FALSE),"")</f>
        <v/>
      </c>
      <c r="AH190" s="200" t="str">
        <f>IFERROR(VLOOKUP(TableHandbook[[#This Row],[UDC]],TableMJRUSCIBI[],7,FALSE),"")</f>
        <v/>
      </c>
      <c r="AI190" s="200" t="str">
        <f>IFERROR(VLOOKUP(TableHandbook[[#This Row],[UDC]],TableMJRUSCICH[],7,FALSE),"")</f>
        <v/>
      </c>
      <c r="AJ190" s="200" t="str">
        <f>IFERROR(VLOOKUP(TableHandbook[[#This Row],[UDC]],TableMJRUSCIHB[],7,FALSE),"")</f>
        <v/>
      </c>
      <c r="AK190" s="200" t="str">
        <f>IFERROR(VLOOKUP(TableHandbook[[#This Row],[UDC]],TableMJRUSCIPH[],7,FALSE),"")</f>
        <v/>
      </c>
      <c r="AL190" s="200" t="str">
        <f>IFERROR(VLOOKUP(TableHandbook[[#This Row],[UDC]],TableMJRUSCIPS[],7,FALSE),"")</f>
        <v/>
      </c>
      <c r="AM190" s="202"/>
      <c r="AN190" s="200" t="str">
        <f>IFERROR(VLOOKUP(TableHandbook[[#This Row],[UDC]],TableSTRUBIOLB[],7,FALSE),"")</f>
        <v/>
      </c>
      <c r="AO190" s="200" t="str">
        <f>IFERROR(VLOOKUP(TableHandbook[[#This Row],[UDC]],TableSTRUBSCIM[],7,FALSE),"")</f>
        <v/>
      </c>
      <c r="AP190" s="200" t="str">
        <f>IFERROR(VLOOKUP(TableHandbook[[#This Row],[UDC]],TableSTRUCHEMB[],7,FALSE),"")</f>
        <v/>
      </c>
      <c r="AQ190" s="200" t="str">
        <f>IFERROR(VLOOKUP(TableHandbook[[#This Row],[UDC]],TableSTRUECOB1[],7,FALSE),"")</f>
        <v/>
      </c>
      <c r="AR190" s="200" t="str">
        <f>IFERROR(VLOOKUP(TableHandbook[[#This Row],[UDC]],TableSTRUEDART[],7,FALSE),"")</f>
        <v/>
      </c>
      <c r="AS190" s="200" t="str">
        <f>IFERROR(VLOOKUP(TableHandbook[[#This Row],[UDC]],TableSTRUEDENG[],7,FALSE),"")</f>
        <v/>
      </c>
      <c r="AT190" s="200" t="str">
        <f>IFERROR(VLOOKUP(TableHandbook[[#This Row],[UDC]],TableSTRUEDHAS[],7,FALSE),"")</f>
        <v/>
      </c>
      <c r="AU190" s="200" t="str">
        <f>IFERROR(VLOOKUP(TableHandbook[[#This Row],[UDC]],TableSTRUEDMAT[],7,FALSE),"")</f>
        <v/>
      </c>
      <c r="AV190" s="200" t="str">
        <f>IFERROR(VLOOKUP(TableHandbook[[#This Row],[UDC]],TableSTRUEDSCI[],7,FALSE),"")</f>
        <v/>
      </c>
      <c r="AW190" s="200" t="str">
        <f>IFERROR(VLOOKUP(TableHandbook[[#This Row],[UDC]],TableSTRUENGLB[],7,FALSE),"")</f>
        <v/>
      </c>
      <c r="AX190" s="200" t="str">
        <f>IFERROR(VLOOKUP(TableHandbook[[#This Row],[UDC]],TableSTRUENGLM[],7,FALSE),"")</f>
        <v/>
      </c>
      <c r="AY190" s="200" t="str">
        <f>IFERROR(VLOOKUP(TableHandbook[[#This Row],[UDC]],TableSTRUGEOB1[],7,FALSE),"")</f>
        <v/>
      </c>
      <c r="AZ190" s="200" t="str">
        <f>IFERROR(VLOOKUP(TableHandbook[[#This Row],[UDC]],TableSTRUHISB1[],7,FALSE),"")</f>
        <v/>
      </c>
      <c r="BA190" s="200" t="str">
        <f>IFERROR(VLOOKUP(TableHandbook[[#This Row],[UDC]],TableSTRUHUMAM[],7,FALSE),"")</f>
        <v/>
      </c>
      <c r="BB190" s="200" t="str">
        <f>IFERROR(VLOOKUP(TableHandbook[[#This Row],[UDC]],TableSTRUHUMBB[],7,FALSE),"")</f>
        <v/>
      </c>
      <c r="BC190" s="200" t="str">
        <f>IFERROR(VLOOKUP(TableHandbook[[#This Row],[UDC]],TableSTRUMATHB[],7,FALSE),"")</f>
        <v/>
      </c>
      <c r="BD190" s="200" t="str">
        <f>IFERROR(VLOOKUP(TableHandbook[[#This Row],[UDC]],TableSTRUMATHM[],7,FALSE),"")</f>
        <v/>
      </c>
      <c r="BE190" s="200" t="str">
        <f>IFERROR(VLOOKUP(TableHandbook[[#This Row],[UDC]],TableSTRUPARTB[],7,FALSE),"")</f>
        <v/>
      </c>
      <c r="BF190" s="200" t="str">
        <f>IFERROR(VLOOKUP(TableHandbook[[#This Row],[UDC]],TableSTRUPARTM[],7,FALSE),"")</f>
        <v/>
      </c>
      <c r="BG190" s="200" t="str">
        <f>IFERROR(VLOOKUP(TableHandbook[[#This Row],[UDC]],TableSTRUPOLB1[],7,FALSE),"")</f>
        <v/>
      </c>
      <c r="BH190" s="200" t="str">
        <f>IFERROR(VLOOKUP(TableHandbook[[#This Row],[UDC]],TableSTRUPSCIM[],7,FALSE),"")</f>
        <v/>
      </c>
      <c r="BI190" s="200" t="str">
        <f>IFERROR(VLOOKUP(TableHandbook[[#This Row],[UDC]],TableSTRUPSYCB[],7,FALSE),"")</f>
        <v/>
      </c>
      <c r="BJ190" s="200" t="str">
        <f>IFERROR(VLOOKUP(TableHandbook[[#This Row],[UDC]],TableSTRUPSYCM[],7,FALSE),"")</f>
        <v/>
      </c>
      <c r="BK190" s="200" t="str">
        <f>IFERROR(VLOOKUP(TableHandbook[[#This Row],[UDC]],TableSTRUSOSCM[],7,FALSE),"")</f>
        <v/>
      </c>
      <c r="BL190" s="200" t="str">
        <f>IFERROR(VLOOKUP(TableHandbook[[#This Row],[UDC]],TableSTRUVARTB[],7,FALSE),"")</f>
        <v/>
      </c>
      <c r="BM190" s="200" t="str">
        <f>IFERROR(VLOOKUP(TableHandbook[[#This Row],[UDC]],TableSTRUVARTM[],7,FALSE),"")</f>
        <v/>
      </c>
    </row>
    <row r="191" spans="1:65" x14ac:dyDescent="0.25">
      <c r="A191" s="262" t="s">
        <v>224</v>
      </c>
      <c r="B191" s="300">
        <v>2</v>
      </c>
      <c r="C191" s="11"/>
      <c r="D191" s="11" t="s">
        <v>223</v>
      </c>
      <c r="E191" s="12">
        <v>400</v>
      </c>
      <c r="F191" s="131"/>
      <c r="G191" s="126" t="str">
        <f>IFERROR(IF(VLOOKUP(TableHandbook[[#This Row],[UDC]],TableAvailabilities[],2,FALSE)&gt;0,"Y",""),"")</f>
        <v/>
      </c>
      <c r="H191" s="127" t="str">
        <f>IFERROR(IF(VLOOKUP(TableHandbook[[#This Row],[UDC]],TableAvailabilities[],3,FALSE)&gt;0,"Y",""),"")</f>
        <v/>
      </c>
      <c r="I191" s="127" t="str">
        <f>IFERROR(IF(VLOOKUP(TableHandbook[[#This Row],[UDC]],TableAvailabilities[],4,FALSE)&gt;0,"Y",""),"")</f>
        <v/>
      </c>
      <c r="J191" s="128" t="str">
        <f>IFERROR(IF(VLOOKUP(TableHandbook[[#This Row],[UDC]],TableAvailabilities[],5,FALSE)&gt;0,"Y",""),"")</f>
        <v/>
      </c>
      <c r="K191" s="128" t="str">
        <f>IFERROR(IF(VLOOKUP(TableHandbook[[#This Row],[UDC]],TableAvailabilities[],6,FALSE)&gt;0,"Y",""),"")</f>
        <v/>
      </c>
      <c r="L191" s="127" t="str">
        <f>IFERROR(IF(VLOOKUP(TableHandbook[[#This Row],[UDC]],TableAvailabilities[],7,FALSE)&gt;0,"Y",""),"")</f>
        <v/>
      </c>
      <c r="M191" s="208" t="s">
        <v>586</v>
      </c>
      <c r="N191" s="205" t="str">
        <f>IFERROR(VLOOKUP(TableHandbook[[#This Row],[UDC]],TableBEDUC[],7,FALSE),"")</f>
        <v/>
      </c>
      <c r="O191" s="200" t="str">
        <f>IFERROR(VLOOKUP(TableHandbook[[#This Row],[UDC]],TableBEDEC[],7,FALSE),"")</f>
        <v/>
      </c>
      <c r="P191" s="200" t="str">
        <f>IFERROR(VLOOKUP(TableHandbook[[#This Row],[UDC]],TableBEDPR[],7,FALSE),"")</f>
        <v/>
      </c>
      <c r="Q191" s="200" t="str">
        <f>IFERROR(VLOOKUP(TableHandbook[[#This Row],[UDC]],TableSTRUCATHL[],7,FALSE),"")</f>
        <v/>
      </c>
      <c r="R191" s="200" t="str">
        <f>IFERROR(VLOOKUP(TableHandbook[[#This Row],[UDC]],TableSTRUENGLL[],7,FALSE),"")</f>
        <v/>
      </c>
      <c r="S191" s="200" t="str">
        <f>IFERROR(VLOOKUP(TableHandbook[[#This Row],[UDC]],TableSTRUINTBC[],7,FALSE),"")</f>
        <v/>
      </c>
      <c r="T191" s="200" t="str">
        <f>IFERROR(VLOOKUP(TableHandbook[[#This Row],[UDC]],TableSTRUISTEM[],7,FALSE),"")</f>
        <v/>
      </c>
      <c r="U191" s="200" t="str">
        <f>IFERROR(VLOOKUP(TableHandbook[[#This Row],[UDC]],TableSTRULITNU[],7,FALSE),"")</f>
        <v/>
      </c>
      <c r="V191" s="200" t="str">
        <f>IFERROR(VLOOKUP(TableHandbook[[#This Row],[UDC]],TableSTRUTECHS[],7,FALSE),"")</f>
        <v/>
      </c>
      <c r="W191" s="200" t="str">
        <f>IFERROR(VLOOKUP(TableHandbook[[#This Row],[UDC]],TableBEDSC[],7,FALSE),"")</f>
        <v>AltCore</v>
      </c>
      <c r="X191" s="200" t="str">
        <f>IFERROR(VLOOKUP(TableHandbook[[#This Row],[UDC]],TableMJRUARTDR[],7,FALSE),"")</f>
        <v/>
      </c>
      <c r="Y191" s="200" t="str">
        <f>IFERROR(VLOOKUP(TableHandbook[[#This Row],[UDC]],TableMJRUARTME[],7,FALSE),"")</f>
        <v/>
      </c>
      <c r="Z191" s="200" t="str">
        <f>IFERROR(VLOOKUP(TableHandbook[[#This Row],[UDC]],TableMJRUARTVA[],7,FALSE),"")</f>
        <v/>
      </c>
      <c r="AA191" s="200" t="str">
        <f>IFERROR(VLOOKUP(TableHandbook[[#This Row],[UDC]],TableMJRUENGLT[],7,FALSE),"")</f>
        <v/>
      </c>
      <c r="AB191" s="200" t="str">
        <f>IFERROR(VLOOKUP(TableHandbook[[#This Row],[UDC]],TableMJRUHLTPE[],7,FALSE),"")</f>
        <v/>
      </c>
      <c r="AC191" s="200" t="str">
        <f>IFERROR(VLOOKUP(TableHandbook[[#This Row],[UDC]],TableMJRUHUSEC[],7,FALSE),"")</f>
        <v/>
      </c>
      <c r="AD191" s="200" t="str">
        <f>IFERROR(VLOOKUP(TableHandbook[[#This Row],[UDC]],TableMJRUHUSGE[],7,FALSE),"")</f>
        <v/>
      </c>
      <c r="AE191" s="200" t="str">
        <f>IFERROR(VLOOKUP(TableHandbook[[#This Row],[UDC]],TableMJRUHUSHI[],7,FALSE),"")</f>
        <v/>
      </c>
      <c r="AF191" s="200" t="str">
        <f>IFERROR(VLOOKUP(TableHandbook[[#This Row],[UDC]],TableMJRUHUSPL[],7,FALSE),"")</f>
        <v/>
      </c>
      <c r="AG191" s="200" t="str">
        <f>IFERROR(VLOOKUP(TableHandbook[[#This Row],[UDC]],TableMJRUMATHT[],7,FALSE),"")</f>
        <v/>
      </c>
      <c r="AH191" s="200" t="str">
        <f>IFERROR(VLOOKUP(TableHandbook[[#This Row],[UDC]],TableMJRUSCIBI[],7,FALSE),"")</f>
        <v/>
      </c>
      <c r="AI191" s="200" t="str">
        <f>IFERROR(VLOOKUP(TableHandbook[[#This Row],[UDC]],TableMJRUSCICH[],7,FALSE),"")</f>
        <v/>
      </c>
      <c r="AJ191" s="200" t="str">
        <f>IFERROR(VLOOKUP(TableHandbook[[#This Row],[UDC]],TableMJRUSCIHB[],7,FALSE),"")</f>
        <v/>
      </c>
      <c r="AK191" s="200" t="str">
        <f>IFERROR(VLOOKUP(TableHandbook[[#This Row],[UDC]],TableMJRUSCIPH[],7,FALSE),"")</f>
        <v/>
      </c>
      <c r="AL191" s="200" t="str">
        <f>IFERROR(VLOOKUP(TableHandbook[[#This Row],[UDC]],TableMJRUSCIPS[],7,FALSE),"")</f>
        <v/>
      </c>
      <c r="AM191" s="202"/>
      <c r="AN191" s="200" t="str">
        <f>IFERROR(VLOOKUP(TableHandbook[[#This Row],[UDC]],TableSTRUBIOLB[],7,FALSE),"")</f>
        <v/>
      </c>
      <c r="AO191" s="200" t="str">
        <f>IFERROR(VLOOKUP(TableHandbook[[#This Row],[UDC]],TableSTRUBSCIM[],7,FALSE),"")</f>
        <v/>
      </c>
      <c r="AP191" s="200" t="str">
        <f>IFERROR(VLOOKUP(TableHandbook[[#This Row],[UDC]],TableSTRUCHEMB[],7,FALSE),"")</f>
        <v/>
      </c>
      <c r="AQ191" s="200" t="str">
        <f>IFERROR(VLOOKUP(TableHandbook[[#This Row],[UDC]],TableSTRUECOB1[],7,FALSE),"")</f>
        <v/>
      </c>
      <c r="AR191" s="200" t="str">
        <f>IFERROR(VLOOKUP(TableHandbook[[#This Row],[UDC]],TableSTRUEDART[],7,FALSE),"")</f>
        <v/>
      </c>
      <c r="AS191" s="200" t="str">
        <f>IFERROR(VLOOKUP(TableHandbook[[#This Row],[UDC]],TableSTRUEDENG[],7,FALSE),"")</f>
        <v/>
      </c>
      <c r="AT191" s="200" t="str">
        <f>IFERROR(VLOOKUP(TableHandbook[[#This Row],[UDC]],TableSTRUEDHAS[],7,FALSE),"")</f>
        <v/>
      </c>
      <c r="AU191" s="200" t="str">
        <f>IFERROR(VLOOKUP(TableHandbook[[#This Row],[UDC]],TableSTRUEDMAT[],7,FALSE),"")</f>
        <v/>
      </c>
      <c r="AV191" s="200" t="str">
        <f>IFERROR(VLOOKUP(TableHandbook[[#This Row],[UDC]],TableSTRUEDSCI[],7,FALSE),"")</f>
        <v/>
      </c>
      <c r="AW191" s="200" t="str">
        <f>IFERROR(VLOOKUP(TableHandbook[[#This Row],[UDC]],TableSTRUENGLB[],7,FALSE),"")</f>
        <v/>
      </c>
      <c r="AX191" s="200" t="str">
        <f>IFERROR(VLOOKUP(TableHandbook[[#This Row],[UDC]],TableSTRUENGLM[],7,FALSE),"")</f>
        <v/>
      </c>
      <c r="AY191" s="200" t="str">
        <f>IFERROR(VLOOKUP(TableHandbook[[#This Row],[UDC]],TableSTRUGEOB1[],7,FALSE),"")</f>
        <v/>
      </c>
      <c r="AZ191" s="200" t="str">
        <f>IFERROR(VLOOKUP(TableHandbook[[#This Row],[UDC]],TableSTRUHISB1[],7,FALSE),"")</f>
        <v/>
      </c>
      <c r="BA191" s="200" t="str">
        <f>IFERROR(VLOOKUP(TableHandbook[[#This Row],[UDC]],TableSTRUHUMAM[],7,FALSE),"")</f>
        <v/>
      </c>
      <c r="BB191" s="200" t="str">
        <f>IFERROR(VLOOKUP(TableHandbook[[#This Row],[UDC]],TableSTRUHUMBB[],7,FALSE),"")</f>
        <v/>
      </c>
      <c r="BC191" s="200" t="str">
        <f>IFERROR(VLOOKUP(TableHandbook[[#This Row],[UDC]],TableSTRUMATHB[],7,FALSE),"")</f>
        <v/>
      </c>
      <c r="BD191" s="200" t="str">
        <f>IFERROR(VLOOKUP(TableHandbook[[#This Row],[UDC]],TableSTRUMATHM[],7,FALSE),"")</f>
        <v/>
      </c>
      <c r="BE191" s="200" t="str">
        <f>IFERROR(VLOOKUP(TableHandbook[[#This Row],[UDC]],TableSTRUPARTB[],7,FALSE),"")</f>
        <v/>
      </c>
      <c r="BF191" s="200" t="str">
        <f>IFERROR(VLOOKUP(TableHandbook[[#This Row],[UDC]],TableSTRUPARTM[],7,FALSE),"")</f>
        <v/>
      </c>
      <c r="BG191" s="200" t="str">
        <f>IFERROR(VLOOKUP(TableHandbook[[#This Row],[UDC]],TableSTRUPOLB1[],7,FALSE),"")</f>
        <v/>
      </c>
      <c r="BH191" s="200" t="str">
        <f>IFERROR(VLOOKUP(TableHandbook[[#This Row],[UDC]],TableSTRUPSCIM[],7,FALSE),"")</f>
        <v/>
      </c>
      <c r="BI191" s="200" t="str">
        <f>IFERROR(VLOOKUP(TableHandbook[[#This Row],[UDC]],TableSTRUPSYCB[],7,FALSE),"")</f>
        <v/>
      </c>
      <c r="BJ191" s="200" t="str">
        <f>IFERROR(VLOOKUP(TableHandbook[[#This Row],[UDC]],TableSTRUPSYCM[],7,FALSE),"")</f>
        <v/>
      </c>
      <c r="BK191" s="200" t="str">
        <f>IFERROR(VLOOKUP(TableHandbook[[#This Row],[UDC]],TableSTRUSOSCM[],7,FALSE),"")</f>
        <v/>
      </c>
      <c r="BL191" s="200" t="str">
        <f>IFERROR(VLOOKUP(TableHandbook[[#This Row],[UDC]],TableSTRUVARTB[],7,FALSE),"")</f>
        <v/>
      </c>
      <c r="BM191" s="200" t="str">
        <f>IFERROR(VLOOKUP(TableHandbook[[#This Row],[UDC]],TableSTRUVARTM[],7,FALSE),"")</f>
        <v/>
      </c>
    </row>
    <row r="192" spans="1:65" x14ac:dyDescent="0.25">
      <c r="A192" s="262" t="s">
        <v>778</v>
      </c>
      <c r="B192" s="12">
        <v>1</v>
      </c>
      <c r="C192" s="11"/>
      <c r="D192" s="11" t="s">
        <v>223</v>
      </c>
      <c r="E192" s="12">
        <v>400</v>
      </c>
      <c r="F192" s="131" t="s">
        <v>540</v>
      </c>
      <c r="G192" s="126" t="str">
        <f>IFERROR(IF(VLOOKUP(TableHandbook[[#This Row],[UDC]],TableAvailabilities[],2,FALSE)&gt;0,"Y",""),"")</f>
        <v/>
      </c>
      <c r="H192" s="127" t="str">
        <f>IFERROR(IF(VLOOKUP(TableHandbook[[#This Row],[UDC]],TableAvailabilities[],3,FALSE)&gt;0,"Y",""),"")</f>
        <v/>
      </c>
      <c r="I192" s="127" t="str">
        <f>IFERROR(IF(VLOOKUP(TableHandbook[[#This Row],[UDC]],TableAvailabilities[],4,FALSE)&gt;0,"Y",""),"")</f>
        <v/>
      </c>
      <c r="J192" s="128" t="str">
        <f>IFERROR(IF(VLOOKUP(TableHandbook[[#This Row],[UDC]],TableAvailabilities[],5,FALSE)&gt;0,"Y",""),"")</f>
        <v/>
      </c>
      <c r="K192" s="128" t="str">
        <f>IFERROR(IF(VLOOKUP(TableHandbook[[#This Row],[UDC]],TableAvailabilities[],6,FALSE)&gt;0,"Y",""),"")</f>
        <v/>
      </c>
      <c r="L192" s="127" t="str">
        <f>IFERROR(IF(VLOOKUP(TableHandbook[[#This Row],[UDC]],TableAvailabilities[],7,FALSE)&gt;0,"Y",""),"")</f>
        <v/>
      </c>
      <c r="M192" s="208" t="s">
        <v>589</v>
      </c>
      <c r="N192" s="205" t="str">
        <f>IFERROR(VLOOKUP(TableHandbook[[#This Row],[UDC]],TableBEDUC[],7,FALSE),"")</f>
        <v/>
      </c>
      <c r="O192" s="200" t="str">
        <f>IFERROR(VLOOKUP(TableHandbook[[#This Row],[UDC]],TableBEDEC[],7,FALSE),"")</f>
        <v/>
      </c>
      <c r="P192" s="200" t="str">
        <f>IFERROR(VLOOKUP(TableHandbook[[#This Row],[UDC]],TableBEDPR[],7,FALSE),"")</f>
        <v/>
      </c>
      <c r="Q192" s="200" t="str">
        <f>IFERROR(VLOOKUP(TableHandbook[[#This Row],[UDC]],TableSTRUCATHL[],7,FALSE),"")</f>
        <v/>
      </c>
      <c r="R192" s="200" t="str">
        <f>IFERROR(VLOOKUP(TableHandbook[[#This Row],[UDC]],TableSTRUENGLL[],7,FALSE),"")</f>
        <v/>
      </c>
      <c r="S192" s="200" t="str">
        <f>IFERROR(VLOOKUP(TableHandbook[[#This Row],[UDC]],TableSTRUINTBC[],7,FALSE),"")</f>
        <v/>
      </c>
      <c r="T192" s="200" t="str">
        <f>IFERROR(VLOOKUP(TableHandbook[[#This Row],[UDC]],TableSTRUISTEM[],7,FALSE),"")</f>
        <v/>
      </c>
      <c r="U192" s="200" t="str">
        <f>IFERROR(VLOOKUP(TableHandbook[[#This Row],[UDC]],TableSTRULITNU[],7,FALSE),"")</f>
        <v/>
      </c>
      <c r="V192" s="200" t="str">
        <f>IFERROR(VLOOKUP(TableHandbook[[#This Row],[UDC]],TableSTRUTECHS[],7,FALSE),"")</f>
        <v/>
      </c>
      <c r="W192" s="200" t="str">
        <f>IFERROR(VLOOKUP(TableHandbook[[#This Row],[UDC]],TableBEDSC[],7,FALSE),"")</f>
        <v/>
      </c>
      <c r="X192" s="200" t="str">
        <f>IFERROR(VLOOKUP(TableHandbook[[#This Row],[UDC]],TableMJRUARTDR[],7,FALSE),"")</f>
        <v/>
      </c>
      <c r="Y192" s="200" t="str">
        <f>IFERROR(VLOOKUP(TableHandbook[[#This Row],[UDC]],TableMJRUARTME[],7,FALSE),"")</f>
        <v/>
      </c>
      <c r="Z192" s="200" t="str">
        <f>IFERROR(VLOOKUP(TableHandbook[[#This Row],[UDC]],TableMJRUARTVA[],7,FALSE),"")</f>
        <v/>
      </c>
      <c r="AA192" s="200" t="str">
        <f>IFERROR(VLOOKUP(TableHandbook[[#This Row],[UDC]],TableMJRUENGLT[],7,FALSE),"")</f>
        <v/>
      </c>
      <c r="AB192" s="200" t="str">
        <f>IFERROR(VLOOKUP(TableHandbook[[#This Row],[UDC]],TableMJRUHLTPE[],7,FALSE),"")</f>
        <v/>
      </c>
      <c r="AC192" s="200" t="str">
        <f>IFERROR(VLOOKUP(TableHandbook[[#This Row],[UDC]],TableMJRUHUSEC[],7,FALSE),"")</f>
        <v/>
      </c>
      <c r="AD192" s="200" t="str">
        <f>IFERROR(VLOOKUP(TableHandbook[[#This Row],[UDC]],TableMJRUHUSGE[],7,FALSE),"")</f>
        <v/>
      </c>
      <c r="AE192" s="200" t="str">
        <f>IFERROR(VLOOKUP(TableHandbook[[#This Row],[UDC]],TableMJRUHUSHI[],7,FALSE),"")</f>
        <v/>
      </c>
      <c r="AF192" s="200" t="str">
        <f>IFERROR(VLOOKUP(TableHandbook[[#This Row],[UDC]],TableMJRUHUSPL[],7,FALSE),"")</f>
        <v/>
      </c>
      <c r="AG192" s="200" t="str">
        <f>IFERROR(VLOOKUP(TableHandbook[[#This Row],[UDC]],TableMJRUMATHT[],7,FALSE),"")</f>
        <v/>
      </c>
      <c r="AH192" s="200" t="str">
        <f>IFERROR(VLOOKUP(TableHandbook[[#This Row],[UDC]],TableMJRUSCIBI[],7,FALSE),"")</f>
        <v/>
      </c>
      <c r="AI192" s="200" t="str">
        <f>IFERROR(VLOOKUP(TableHandbook[[#This Row],[UDC]],TableMJRUSCICH[],7,FALSE),"")</f>
        <v/>
      </c>
      <c r="AJ192" s="200" t="str">
        <f>IFERROR(VLOOKUP(TableHandbook[[#This Row],[UDC]],TableMJRUSCIHB[],7,FALSE),"")</f>
        <v/>
      </c>
      <c r="AK192" s="200" t="str">
        <f>IFERROR(VLOOKUP(TableHandbook[[#This Row],[UDC]],TableMJRUSCIPH[],7,FALSE),"")</f>
        <v/>
      </c>
      <c r="AL192" s="200" t="str">
        <f>IFERROR(VLOOKUP(TableHandbook[[#This Row],[UDC]],TableMJRUSCIPS[],7,FALSE),"")</f>
        <v/>
      </c>
      <c r="AM192" s="202"/>
      <c r="AN192" s="200" t="str">
        <f>IFERROR(VLOOKUP(TableHandbook[[#This Row],[UDC]],TableSTRUBIOLB[],7,FALSE),"")</f>
        <v/>
      </c>
      <c r="AO192" s="200" t="str">
        <f>IFERROR(VLOOKUP(TableHandbook[[#This Row],[UDC]],TableSTRUBSCIM[],7,FALSE),"")</f>
        <v/>
      </c>
      <c r="AP192" s="200" t="str">
        <f>IFERROR(VLOOKUP(TableHandbook[[#This Row],[UDC]],TableSTRUCHEMB[],7,FALSE),"")</f>
        <v/>
      </c>
      <c r="AQ192" s="200" t="str">
        <f>IFERROR(VLOOKUP(TableHandbook[[#This Row],[UDC]],TableSTRUECOB1[],7,FALSE),"")</f>
        <v/>
      </c>
      <c r="AR192" s="200" t="str">
        <f>IFERROR(VLOOKUP(TableHandbook[[#This Row],[UDC]],TableSTRUEDART[],7,FALSE),"")</f>
        <v/>
      </c>
      <c r="AS192" s="200" t="str">
        <f>IFERROR(VLOOKUP(TableHandbook[[#This Row],[UDC]],TableSTRUEDENG[],7,FALSE),"")</f>
        <v/>
      </c>
      <c r="AT192" s="200" t="str">
        <f>IFERROR(VLOOKUP(TableHandbook[[#This Row],[UDC]],TableSTRUEDHAS[],7,FALSE),"")</f>
        <v/>
      </c>
      <c r="AU192" s="200" t="str">
        <f>IFERROR(VLOOKUP(TableHandbook[[#This Row],[UDC]],TableSTRUEDMAT[],7,FALSE),"")</f>
        <v/>
      </c>
      <c r="AV192" s="200" t="str">
        <f>IFERROR(VLOOKUP(TableHandbook[[#This Row],[UDC]],TableSTRUEDSCI[],7,FALSE),"")</f>
        <v/>
      </c>
      <c r="AW192" s="200" t="str">
        <f>IFERROR(VLOOKUP(TableHandbook[[#This Row],[UDC]],TableSTRUENGLB[],7,FALSE),"")</f>
        <v/>
      </c>
      <c r="AX192" s="200" t="str">
        <f>IFERROR(VLOOKUP(TableHandbook[[#This Row],[UDC]],TableSTRUENGLM[],7,FALSE),"")</f>
        <v/>
      </c>
      <c r="AY192" s="200" t="str">
        <f>IFERROR(VLOOKUP(TableHandbook[[#This Row],[UDC]],TableSTRUGEOB1[],7,FALSE),"")</f>
        <v/>
      </c>
      <c r="AZ192" s="200" t="str">
        <f>IFERROR(VLOOKUP(TableHandbook[[#This Row],[UDC]],TableSTRUHISB1[],7,FALSE),"")</f>
        <v/>
      </c>
      <c r="BA192" s="200" t="str">
        <f>IFERROR(VLOOKUP(TableHandbook[[#This Row],[UDC]],TableSTRUHUMAM[],7,FALSE),"")</f>
        <v/>
      </c>
      <c r="BB192" s="200" t="str">
        <f>IFERROR(VLOOKUP(TableHandbook[[#This Row],[UDC]],TableSTRUHUMBB[],7,FALSE),"")</f>
        <v/>
      </c>
      <c r="BC192" s="200" t="str">
        <f>IFERROR(VLOOKUP(TableHandbook[[#This Row],[UDC]],TableSTRUMATHB[],7,FALSE),"")</f>
        <v/>
      </c>
      <c r="BD192" s="200" t="str">
        <f>IFERROR(VLOOKUP(TableHandbook[[#This Row],[UDC]],TableSTRUMATHM[],7,FALSE),"")</f>
        <v/>
      </c>
      <c r="BE192" s="200" t="str">
        <f>IFERROR(VLOOKUP(TableHandbook[[#This Row],[UDC]],TableSTRUPARTB[],7,FALSE),"")</f>
        <v/>
      </c>
      <c r="BF192" s="200" t="str">
        <f>IFERROR(VLOOKUP(TableHandbook[[#This Row],[UDC]],TableSTRUPARTM[],7,FALSE),"")</f>
        <v/>
      </c>
      <c r="BG192" s="200" t="str">
        <f>IFERROR(VLOOKUP(TableHandbook[[#This Row],[UDC]],TableSTRUPOLB1[],7,FALSE),"")</f>
        <v/>
      </c>
      <c r="BH192" s="200" t="str">
        <f>IFERROR(VLOOKUP(TableHandbook[[#This Row],[UDC]],TableSTRUPSCIM[],7,FALSE),"")</f>
        <v/>
      </c>
      <c r="BI192" s="200" t="str">
        <f>IFERROR(VLOOKUP(TableHandbook[[#This Row],[UDC]],TableSTRUPSYCB[],7,FALSE),"")</f>
        <v/>
      </c>
      <c r="BJ192" s="200" t="str">
        <f>IFERROR(VLOOKUP(TableHandbook[[#This Row],[UDC]],TableSTRUPSYCM[],7,FALSE),"")</f>
        <v/>
      </c>
      <c r="BK192" s="200" t="str">
        <f>IFERROR(VLOOKUP(TableHandbook[[#This Row],[UDC]],TableSTRUSOSCM[],7,FALSE),"")</f>
        <v/>
      </c>
      <c r="BL192" s="200" t="str">
        <f>IFERROR(VLOOKUP(TableHandbook[[#This Row],[UDC]],TableSTRUVARTB[],7,FALSE),"")</f>
        <v/>
      </c>
      <c r="BM192" s="200" t="str">
        <f>IFERROR(VLOOKUP(TableHandbook[[#This Row],[UDC]],TableSTRUVARTM[],7,FALSE),"")</f>
        <v/>
      </c>
    </row>
    <row r="193" spans="1:65" x14ac:dyDescent="0.25">
      <c r="A193" s="262" t="s">
        <v>227</v>
      </c>
      <c r="B193" s="12">
        <v>2</v>
      </c>
      <c r="C193" s="11"/>
      <c r="D193" s="11" t="s">
        <v>226</v>
      </c>
      <c r="E193" s="12">
        <v>400</v>
      </c>
      <c r="F193" s="131" t="s">
        <v>540</v>
      </c>
      <c r="G193" s="126" t="str">
        <f>IFERROR(IF(VLOOKUP(TableHandbook[[#This Row],[UDC]],TableAvailabilities[],2,FALSE)&gt;0,"Y",""),"")</f>
        <v/>
      </c>
      <c r="H193" s="127" t="str">
        <f>IFERROR(IF(VLOOKUP(TableHandbook[[#This Row],[UDC]],TableAvailabilities[],3,FALSE)&gt;0,"Y",""),"")</f>
        <v/>
      </c>
      <c r="I193" s="127" t="str">
        <f>IFERROR(IF(VLOOKUP(TableHandbook[[#This Row],[UDC]],TableAvailabilities[],4,FALSE)&gt;0,"Y",""),"")</f>
        <v/>
      </c>
      <c r="J193" s="128" t="str">
        <f>IFERROR(IF(VLOOKUP(TableHandbook[[#This Row],[UDC]],TableAvailabilities[],5,FALSE)&gt;0,"Y",""),"")</f>
        <v/>
      </c>
      <c r="K193" s="128" t="str">
        <f>IFERROR(IF(VLOOKUP(TableHandbook[[#This Row],[UDC]],TableAvailabilities[],6,FALSE)&gt;0,"Y",""),"")</f>
        <v/>
      </c>
      <c r="L193" s="127" t="str">
        <f>IFERROR(IF(VLOOKUP(TableHandbook[[#This Row],[UDC]],TableAvailabilities[],7,FALSE)&gt;0,"Y",""),"")</f>
        <v/>
      </c>
      <c r="M193" s="207"/>
      <c r="N193" s="205" t="str">
        <f>IFERROR(VLOOKUP(TableHandbook[[#This Row],[UDC]],TableBEDUC[],7,FALSE),"")</f>
        <v/>
      </c>
      <c r="O193" s="200" t="str">
        <f>IFERROR(VLOOKUP(TableHandbook[[#This Row],[UDC]],TableBEDEC[],7,FALSE),"")</f>
        <v/>
      </c>
      <c r="P193" s="200" t="str">
        <f>IFERROR(VLOOKUP(TableHandbook[[#This Row],[UDC]],TableBEDPR[],7,FALSE),"")</f>
        <v/>
      </c>
      <c r="Q193" s="200" t="str">
        <f>IFERROR(VLOOKUP(TableHandbook[[#This Row],[UDC]],TableSTRUCATHL[],7,FALSE),"")</f>
        <v/>
      </c>
      <c r="R193" s="200" t="str">
        <f>IFERROR(VLOOKUP(TableHandbook[[#This Row],[UDC]],TableSTRUENGLL[],7,FALSE),"")</f>
        <v/>
      </c>
      <c r="S193" s="200" t="str">
        <f>IFERROR(VLOOKUP(TableHandbook[[#This Row],[UDC]],TableSTRUINTBC[],7,FALSE),"")</f>
        <v/>
      </c>
      <c r="T193" s="200" t="str">
        <f>IFERROR(VLOOKUP(TableHandbook[[#This Row],[UDC]],TableSTRUISTEM[],7,FALSE),"")</f>
        <v/>
      </c>
      <c r="U193" s="200" t="str">
        <f>IFERROR(VLOOKUP(TableHandbook[[#This Row],[UDC]],TableSTRULITNU[],7,FALSE),"")</f>
        <v/>
      </c>
      <c r="V193" s="200" t="str">
        <f>IFERROR(VLOOKUP(TableHandbook[[#This Row],[UDC]],TableSTRUTECHS[],7,FALSE),"")</f>
        <v/>
      </c>
      <c r="W193" s="200" t="str">
        <f>IFERROR(VLOOKUP(TableHandbook[[#This Row],[UDC]],TableBEDSC[],7,FALSE),"")</f>
        <v>AltCore</v>
      </c>
      <c r="X193" s="200" t="str">
        <f>IFERROR(VLOOKUP(TableHandbook[[#This Row],[UDC]],TableMJRUARTDR[],7,FALSE),"")</f>
        <v/>
      </c>
      <c r="Y193" s="200" t="str">
        <f>IFERROR(VLOOKUP(TableHandbook[[#This Row],[UDC]],TableMJRUARTME[],7,FALSE),"")</f>
        <v/>
      </c>
      <c r="Z193" s="200" t="str">
        <f>IFERROR(VLOOKUP(TableHandbook[[#This Row],[UDC]],TableMJRUARTVA[],7,FALSE),"")</f>
        <v/>
      </c>
      <c r="AA193" s="200" t="str">
        <f>IFERROR(VLOOKUP(TableHandbook[[#This Row],[UDC]],TableMJRUENGLT[],7,FALSE),"")</f>
        <v/>
      </c>
      <c r="AB193" s="200" t="str">
        <f>IFERROR(VLOOKUP(TableHandbook[[#This Row],[UDC]],TableMJRUHLTPE[],7,FALSE),"")</f>
        <v/>
      </c>
      <c r="AC193" s="200" t="str">
        <f>IFERROR(VLOOKUP(TableHandbook[[#This Row],[UDC]],TableMJRUHUSEC[],7,FALSE),"")</f>
        <v/>
      </c>
      <c r="AD193" s="200" t="str">
        <f>IFERROR(VLOOKUP(TableHandbook[[#This Row],[UDC]],TableMJRUHUSGE[],7,FALSE),"")</f>
        <v/>
      </c>
      <c r="AE193" s="200" t="str">
        <f>IFERROR(VLOOKUP(TableHandbook[[#This Row],[UDC]],TableMJRUHUSHI[],7,FALSE),"")</f>
        <v/>
      </c>
      <c r="AF193" s="200" t="str">
        <f>IFERROR(VLOOKUP(TableHandbook[[#This Row],[UDC]],TableMJRUHUSPL[],7,FALSE),"")</f>
        <v/>
      </c>
      <c r="AG193" s="200" t="str">
        <f>IFERROR(VLOOKUP(TableHandbook[[#This Row],[UDC]],TableMJRUMATHT[],7,FALSE),"")</f>
        <v/>
      </c>
      <c r="AH193" s="200" t="str">
        <f>IFERROR(VLOOKUP(TableHandbook[[#This Row],[UDC]],TableMJRUSCIBI[],7,FALSE),"")</f>
        <v/>
      </c>
      <c r="AI193" s="200" t="str">
        <f>IFERROR(VLOOKUP(TableHandbook[[#This Row],[UDC]],TableMJRUSCICH[],7,FALSE),"")</f>
        <v/>
      </c>
      <c r="AJ193" s="200" t="str">
        <f>IFERROR(VLOOKUP(TableHandbook[[#This Row],[UDC]],TableMJRUSCIHB[],7,FALSE),"")</f>
        <v/>
      </c>
      <c r="AK193" s="200" t="str">
        <f>IFERROR(VLOOKUP(TableHandbook[[#This Row],[UDC]],TableMJRUSCIPH[],7,FALSE),"")</f>
        <v/>
      </c>
      <c r="AL193" s="200" t="str">
        <f>IFERROR(VLOOKUP(TableHandbook[[#This Row],[UDC]],TableMJRUSCIPS[],7,FALSE),"")</f>
        <v/>
      </c>
      <c r="AM193" s="202"/>
      <c r="AN193" s="200" t="str">
        <f>IFERROR(VLOOKUP(TableHandbook[[#This Row],[UDC]],TableSTRUBIOLB[],7,FALSE),"")</f>
        <v/>
      </c>
      <c r="AO193" s="200" t="str">
        <f>IFERROR(VLOOKUP(TableHandbook[[#This Row],[UDC]],TableSTRUBSCIM[],7,FALSE),"")</f>
        <v/>
      </c>
      <c r="AP193" s="200" t="str">
        <f>IFERROR(VLOOKUP(TableHandbook[[#This Row],[UDC]],TableSTRUCHEMB[],7,FALSE),"")</f>
        <v/>
      </c>
      <c r="AQ193" s="200" t="str">
        <f>IFERROR(VLOOKUP(TableHandbook[[#This Row],[UDC]],TableSTRUECOB1[],7,FALSE),"")</f>
        <v/>
      </c>
      <c r="AR193" s="200" t="str">
        <f>IFERROR(VLOOKUP(TableHandbook[[#This Row],[UDC]],TableSTRUEDART[],7,FALSE),"")</f>
        <v/>
      </c>
      <c r="AS193" s="200" t="str">
        <f>IFERROR(VLOOKUP(TableHandbook[[#This Row],[UDC]],TableSTRUEDENG[],7,FALSE),"")</f>
        <v/>
      </c>
      <c r="AT193" s="200" t="str">
        <f>IFERROR(VLOOKUP(TableHandbook[[#This Row],[UDC]],TableSTRUEDHAS[],7,FALSE),"")</f>
        <v/>
      </c>
      <c r="AU193" s="200" t="str">
        <f>IFERROR(VLOOKUP(TableHandbook[[#This Row],[UDC]],TableSTRUEDMAT[],7,FALSE),"")</f>
        <v/>
      </c>
      <c r="AV193" s="200" t="str">
        <f>IFERROR(VLOOKUP(TableHandbook[[#This Row],[UDC]],TableSTRUEDSCI[],7,FALSE),"")</f>
        <v/>
      </c>
      <c r="AW193" s="200" t="str">
        <f>IFERROR(VLOOKUP(TableHandbook[[#This Row],[UDC]],TableSTRUENGLB[],7,FALSE),"")</f>
        <v/>
      </c>
      <c r="AX193" s="200" t="str">
        <f>IFERROR(VLOOKUP(TableHandbook[[#This Row],[UDC]],TableSTRUENGLM[],7,FALSE),"")</f>
        <v/>
      </c>
      <c r="AY193" s="200" t="str">
        <f>IFERROR(VLOOKUP(TableHandbook[[#This Row],[UDC]],TableSTRUGEOB1[],7,FALSE),"")</f>
        <v/>
      </c>
      <c r="AZ193" s="200" t="str">
        <f>IFERROR(VLOOKUP(TableHandbook[[#This Row],[UDC]],TableSTRUHISB1[],7,FALSE),"")</f>
        <v/>
      </c>
      <c r="BA193" s="200" t="str">
        <f>IFERROR(VLOOKUP(TableHandbook[[#This Row],[UDC]],TableSTRUHUMAM[],7,FALSE),"")</f>
        <v/>
      </c>
      <c r="BB193" s="200" t="str">
        <f>IFERROR(VLOOKUP(TableHandbook[[#This Row],[UDC]],TableSTRUHUMBB[],7,FALSE),"")</f>
        <v/>
      </c>
      <c r="BC193" s="200" t="str">
        <f>IFERROR(VLOOKUP(TableHandbook[[#This Row],[UDC]],TableSTRUMATHB[],7,FALSE),"")</f>
        <v/>
      </c>
      <c r="BD193" s="200" t="str">
        <f>IFERROR(VLOOKUP(TableHandbook[[#This Row],[UDC]],TableSTRUMATHM[],7,FALSE),"")</f>
        <v/>
      </c>
      <c r="BE193" s="200" t="str">
        <f>IFERROR(VLOOKUP(TableHandbook[[#This Row],[UDC]],TableSTRUPARTB[],7,FALSE),"")</f>
        <v/>
      </c>
      <c r="BF193" s="200" t="str">
        <f>IFERROR(VLOOKUP(TableHandbook[[#This Row],[UDC]],TableSTRUPARTM[],7,FALSE),"")</f>
        <v/>
      </c>
      <c r="BG193" s="200" t="str">
        <f>IFERROR(VLOOKUP(TableHandbook[[#This Row],[UDC]],TableSTRUPOLB1[],7,FALSE),"")</f>
        <v/>
      </c>
      <c r="BH193" s="200" t="str">
        <f>IFERROR(VLOOKUP(TableHandbook[[#This Row],[UDC]],TableSTRUPSCIM[],7,FALSE),"")</f>
        <v/>
      </c>
      <c r="BI193" s="200" t="str">
        <f>IFERROR(VLOOKUP(TableHandbook[[#This Row],[UDC]],TableSTRUPSYCB[],7,FALSE),"")</f>
        <v/>
      </c>
      <c r="BJ193" s="200" t="str">
        <f>IFERROR(VLOOKUP(TableHandbook[[#This Row],[UDC]],TableSTRUPSYCM[],7,FALSE),"")</f>
        <v/>
      </c>
      <c r="BK193" s="200" t="str">
        <f>IFERROR(VLOOKUP(TableHandbook[[#This Row],[UDC]],TableSTRUSOSCM[],7,FALSE),"")</f>
        <v/>
      </c>
      <c r="BL193" s="200" t="str">
        <f>IFERROR(VLOOKUP(TableHandbook[[#This Row],[UDC]],TableSTRUVARTB[],7,FALSE),"")</f>
        <v/>
      </c>
      <c r="BM193" s="200" t="str">
        <f>IFERROR(VLOOKUP(TableHandbook[[#This Row],[UDC]],TableSTRUVARTM[],7,FALSE),"")</f>
        <v/>
      </c>
    </row>
    <row r="194" spans="1:65" x14ac:dyDescent="0.25">
      <c r="A194" s="262" t="s">
        <v>229</v>
      </c>
      <c r="B194" s="12">
        <v>1</v>
      </c>
      <c r="C194" s="11"/>
      <c r="D194" s="11" t="s">
        <v>228</v>
      </c>
      <c r="E194" s="12">
        <v>400</v>
      </c>
      <c r="F194" s="131" t="s">
        <v>540</v>
      </c>
      <c r="G194" s="126" t="str">
        <f>IFERROR(IF(VLOOKUP(TableHandbook[[#This Row],[UDC]],TableAvailabilities[],2,FALSE)&gt;0,"Y",""),"")</f>
        <v/>
      </c>
      <c r="H194" s="127" t="str">
        <f>IFERROR(IF(VLOOKUP(TableHandbook[[#This Row],[UDC]],TableAvailabilities[],3,FALSE)&gt;0,"Y",""),"")</f>
        <v/>
      </c>
      <c r="I194" s="127" t="str">
        <f>IFERROR(IF(VLOOKUP(TableHandbook[[#This Row],[UDC]],TableAvailabilities[],4,FALSE)&gt;0,"Y",""),"")</f>
        <v/>
      </c>
      <c r="J194" s="128" t="str">
        <f>IFERROR(IF(VLOOKUP(TableHandbook[[#This Row],[UDC]],TableAvailabilities[],5,FALSE)&gt;0,"Y",""),"")</f>
        <v/>
      </c>
      <c r="K194" s="128" t="str">
        <f>IFERROR(IF(VLOOKUP(TableHandbook[[#This Row],[UDC]],TableAvailabilities[],6,FALSE)&gt;0,"Y",""),"")</f>
        <v/>
      </c>
      <c r="L194" s="127" t="str">
        <f>IFERROR(IF(VLOOKUP(TableHandbook[[#This Row],[UDC]],TableAvailabilities[],7,FALSE)&gt;0,"Y",""),"")</f>
        <v/>
      </c>
      <c r="M194" s="207"/>
      <c r="N194" s="205" t="str">
        <f>IFERROR(VLOOKUP(TableHandbook[[#This Row],[UDC]],TableBEDUC[],7,FALSE),"")</f>
        <v/>
      </c>
      <c r="O194" s="200" t="str">
        <f>IFERROR(VLOOKUP(TableHandbook[[#This Row],[UDC]],TableBEDEC[],7,FALSE),"")</f>
        <v/>
      </c>
      <c r="P194" s="200" t="str">
        <f>IFERROR(VLOOKUP(TableHandbook[[#This Row],[UDC]],TableBEDPR[],7,FALSE),"")</f>
        <v/>
      </c>
      <c r="Q194" s="200" t="str">
        <f>IFERROR(VLOOKUP(TableHandbook[[#This Row],[UDC]],TableSTRUCATHL[],7,FALSE),"")</f>
        <v/>
      </c>
      <c r="R194" s="200" t="str">
        <f>IFERROR(VLOOKUP(TableHandbook[[#This Row],[UDC]],TableSTRUENGLL[],7,FALSE),"")</f>
        <v/>
      </c>
      <c r="S194" s="200" t="str">
        <f>IFERROR(VLOOKUP(TableHandbook[[#This Row],[UDC]],TableSTRUINTBC[],7,FALSE),"")</f>
        <v/>
      </c>
      <c r="T194" s="200" t="str">
        <f>IFERROR(VLOOKUP(TableHandbook[[#This Row],[UDC]],TableSTRUISTEM[],7,FALSE),"")</f>
        <v/>
      </c>
      <c r="U194" s="200" t="str">
        <f>IFERROR(VLOOKUP(TableHandbook[[#This Row],[UDC]],TableSTRULITNU[],7,FALSE),"")</f>
        <v/>
      </c>
      <c r="V194" s="200" t="str">
        <f>IFERROR(VLOOKUP(TableHandbook[[#This Row],[UDC]],TableSTRUTECHS[],7,FALSE),"")</f>
        <v/>
      </c>
      <c r="W194" s="200" t="str">
        <f>IFERROR(VLOOKUP(TableHandbook[[#This Row],[UDC]],TableBEDSC[],7,FALSE),"")</f>
        <v>AltCore</v>
      </c>
      <c r="X194" s="200" t="str">
        <f>IFERROR(VLOOKUP(TableHandbook[[#This Row],[UDC]],TableMJRUARTDR[],7,FALSE),"")</f>
        <v/>
      </c>
      <c r="Y194" s="200" t="str">
        <f>IFERROR(VLOOKUP(TableHandbook[[#This Row],[UDC]],TableMJRUARTME[],7,FALSE),"")</f>
        <v/>
      </c>
      <c r="Z194" s="200" t="str">
        <f>IFERROR(VLOOKUP(TableHandbook[[#This Row],[UDC]],TableMJRUARTVA[],7,FALSE),"")</f>
        <v/>
      </c>
      <c r="AA194" s="200" t="str">
        <f>IFERROR(VLOOKUP(TableHandbook[[#This Row],[UDC]],TableMJRUENGLT[],7,FALSE),"")</f>
        <v/>
      </c>
      <c r="AB194" s="200" t="str">
        <f>IFERROR(VLOOKUP(TableHandbook[[#This Row],[UDC]],TableMJRUHLTPE[],7,FALSE),"")</f>
        <v/>
      </c>
      <c r="AC194" s="200" t="str">
        <f>IFERROR(VLOOKUP(TableHandbook[[#This Row],[UDC]],TableMJRUHUSEC[],7,FALSE),"")</f>
        <v/>
      </c>
      <c r="AD194" s="200" t="str">
        <f>IFERROR(VLOOKUP(TableHandbook[[#This Row],[UDC]],TableMJRUHUSGE[],7,FALSE),"")</f>
        <v/>
      </c>
      <c r="AE194" s="200" t="str">
        <f>IFERROR(VLOOKUP(TableHandbook[[#This Row],[UDC]],TableMJRUHUSHI[],7,FALSE),"")</f>
        <v/>
      </c>
      <c r="AF194" s="200" t="str">
        <f>IFERROR(VLOOKUP(TableHandbook[[#This Row],[UDC]],TableMJRUHUSPL[],7,FALSE),"")</f>
        <v/>
      </c>
      <c r="AG194" s="200" t="str">
        <f>IFERROR(VLOOKUP(TableHandbook[[#This Row],[UDC]],TableMJRUMATHT[],7,FALSE),"")</f>
        <v/>
      </c>
      <c r="AH194" s="200" t="str">
        <f>IFERROR(VLOOKUP(TableHandbook[[#This Row],[UDC]],TableMJRUSCIBI[],7,FALSE),"")</f>
        <v/>
      </c>
      <c r="AI194" s="200" t="str">
        <f>IFERROR(VLOOKUP(TableHandbook[[#This Row],[UDC]],TableMJRUSCICH[],7,FALSE),"")</f>
        <v/>
      </c>
      <c r="AJ194" s="200" t="str">
        <f>IFERROR(VLOOKUP(TableHandbook[[#This Row],[UDC]],TableMJRUSCIHB[],7,FALSE),"")</f>
        <v/>
      </c>
      <c r="AK194" s="200" t="str">
        <f>IFERROR(VLOOKUP(TableHandbook[[#This Row],[UDC]],TableMJRUSCIPH[],7,FALSE),"")</f>
        <v/>
      </c>
      <c r="AL194" s="200" t="str">
        <f>IFERROR(VLOOKUP(TableHandbook[[#This Row],[UDC]],TableMJRUSCIPS[],7,FALSE),"")</f>
        <v/>
      </c>
      <c r="AM194" s="202"/>
      <c r="AN194" s="200" t="str">
        <f>IFERROR(VLOOKUP(TableHandbook[[#This Row],[UDC]],TableSTRUBIOLB[],7,FALSE),"")</f>
        <v/>
      </c>
      <c r="AO194" s="200" t="str">
        <f>IFERROR(VLOOKUP(TableHandbook[[#This Row],[UDC]],TableSTRUBSCIM[],7,FALSE),"")</f>
        <v/>
      </c>
      <c r="AP194" s="200" t="str">
        <f>IFERROR(VLOOKUP(TableHandbook[[#This Row],[UDC]],TableSTRUCHEMB[],7,FALSE),"")</f>
        <v/>
      </c>
      <c r="AQ194" s="200" t="str">
        <f>IFERROR(VLOOKUP(TableHandbook[[#This Row],[UDC]],TableSTRUECOB1[],7,FALSE),"")</f>
        <v/>
      </c>
      <c r="AR194" s="200" t="str">
        <f>IFERROR(VLOOKUP(TableHandbook[[#This Row],[UDC]],TableSTRUEDART[],7,FALSE),"")</f>
        <v/>
      </c>
      <c r="AS194" s="200" t="str">
        <f>IFERROR(VLOOKUP(TableHandbook[[#This Row],[UDC]],TableSTRUEDENG[],7,FALSE),"")</f>
        <v/>
      </c>
      <c r="AT194" s="200" t="str">
        <f>IFERROR(VLOOKUP(TableHandbook[[#This Row],[UDC]],TableSTRUEDHAS[],7,FALSE),"")</f>
        <v/>
      </c>
      <c r="AU194" s="200" t="str">
        <f>IFERROR(VLOOKUP(TableHandbook[[#This Row],[UDC]],TableSTRUEDMAT[],7,FALSE),"")</f>
        <v/>
      </c>
      <c r="AV194" s="200" t="str">
        <f>IFERROR(VLOOKUP(TableHandbook[[#This Row],[UDC]],TableSTRUEDSCI[],7,FALSE),"")</f>
        <v/>
      </c>
      <c r="AW194" s="200" t="str">
        <f>IFERROR(VLOOKUP(TableHandbook[[#This Row],[UDC]],TableSTRUENGLB[],7,FALSE),"")</f>
        <v/>
      </c>
      <c r="AX194" s="200" t="str">
        <f>IFERROR(VLOOKUP(TableHandbook[[#This Row],[UDC]],TableSTRUENGLM[],7,FALSE),"")</f>
        <v/>
      </c>
      <c r="AY194" s="200" t="str">
        <f>IFERROR(VLOOKUP(TableHandbook[[#This Row],[UDC]],TableSTRUGEOB1[],7,FALSE),"")</f>
        <v/>
      </c>
      <c r="AZ194" s="200" t="str">
        <f>IFERROR(VLOOKUP(TableHandbook[[#This Row],[UDC]],TableSTRUHISB1[],7,FALSE),"")</f>
        <v/>
      </c>
      <c r="BA194" s="200" t="str">
        <f>IFERROR(VLOOKUP(TableHandbook[[#This Row],[UDC]],TableSTRUHUMAM[],7,FALSE),"")</f>
        <v/>
      </c>
      <c r="BB194" s="200" t="str">
        <f>IFERROR(VLOOKUP(TableHandbook[[#This Row],[UDC]],TableSTRUHUMBB[],7,FALSE),"")</f>
        <v/>
      </c>
      <c r="BC194" s="200" t="str">
        <f>IFERROR(VLOOKUP(TableHandbook[[#This Row],[UDC]],TableSTRUMATHB[],7,FALSE),"")</f>
        <v/>
      </c>
      <c r="BD194" s="200" t="str">
        <f>IFERROR(VLOOKUP(TableHandbook[[#This Row],[UDC]],TableSTRUMATHM[],7,FALSE),"")</f>
        <v/>
      </c>
      <c r="BE194" s="200" t="str">
        <f>IFERROR(VLOOKUP(TableHandbook[[#This Row],[UDC]],TableSTRUPARTB[],7,FALSE),"")</f>
        <v/>
      </c>
      <c r="BF194" s="200" t="str">
        <f>IFERROR(VLOOKUP(TableHandbook[[#This Row],[UDC]],TableSTRUPARTM[],7,FALSE),"")</f>
        <v/>
      </c>
      <c r="BG194" s="200" t="str">
        <f>IFERROR(VLOOKUP(TableHandbook[[#This Row],[UDC]],TableSTRUPOLB1[],7,FALSE),"")</f>
        <v/>
      </c>
      <c r="BH194" s="200" t="str">
        <f>IFERROR(VLOOKUP(TableHandbook[[#This Row],[UDC]],TableSTRUPSCIM[],7,FALSE),"")</f>
        <v/>
      </c>
      <c r="BI194" s="200" t="str">
        <f>IFERROR(VLOOKUP(TableHandbook[[#This Row],[UDC]],TableSTRUPSYCB[],7,FALSE),"")</f>
        <v/>
      </c>
      <c r="BJ194" s="200" t="str">
        <f>IFERROR(VLOOKUP(TableHandbook[[#This Row],[UDC]],TableSTRUPSYCM[],7,FALSE),"")</f>
        <v/>
      </c>
      <c r="BK194" s="200" t="str">
        <f>IFERROR(VLOOKUP(TableHandbook[[#This Row],[UDC]],TableSTRUSOSCM[],7,FALSE),"")</f>
        <v/>
      </c>
      <c r="BL194" s="200" t="str">
        <f>IFERROR(VLOOKUP(TableHandbook[[#This Row],[UDC]],TableSTRUVARTB[],7,FALSE),"")</f>
        <v/>
      </c>
      <c r="BM194" s="200" t="str">
        <f>IFERROR(VLOOKUP(TableHandbook[[#This Row],[UDC]],TableSTRUVARTM[],7,FALSE),"")</f>
        <v/>
      </c>
    </row>
    <row r="195" spans="1:65" x14ac:dyDescent="0.25">
      <c r="A195" s="262" t="s">
        <v>231</v>
      </c>
      <c r="B195" s="12">
        <v>1</v>
      </c>
      <c r="C195" s="11"/>
      <c r="D195" s="11" t="s">
        <v>230</v>
      </c>
      <c r="E195" s="12">
        <v>400</v>
      </c>
      <c r="F195" s="131" t="s">
        <v>540</v>
      </c>
      <c r="G195" s="126" t="str">
        <f>IFERROR(IF(VLOOKUP(TableHandbook[[#This Row],[UDC]],TableAvailabilities[],2,FALSE)&gt;0,"Y",""),"")</f>
        <v/>
      </c>
      <c r="H195" s="127" t="str">
        <f>IFERROR(IF(VLOOKUP(TableHandbook[[#This Row],[UDC]],TableAvailabilities[],3,FALSE)&gt;0,"Y",""),"")</f>
        <v/>
      </c>
      <c r="I195" s="127" t="str">
        <f>IFERROR(IF(VLOOKUP(TableHandbook[[#This Row],[UDC]],TableAvailabilities[],4,FALSE)&gt;0,"Y",""),"")</f>
        <v/>
      </c>
      <c r="J195" s="128" t="str">
        <f>IFERROR(IF(VLOOKUP(TableHandbook[[#This Row],[UDC]],TableAvailabilities[],5,FALSE)&gt;0,"Y",""),"")</f>
        <v/>
      </c>
      <c r="K195" s="128" t="str">
        <f>IFERROR(IF(VLOOKUP(TableHandbook[[#This Row],[UDC]],TableAvailabilities[],6,FALSE)&gt;0,"Y",""),"")</f>
        <v/>
      </c>
      <c r="L195" s="127" t="str">
        <f>IFERROR(IF(VLOOKUP(TableHandbook[[#This Row],[UDC]],TableAvailabilities[],7,FALSE)&gt;0,"Y",""),"")</f>
        <v/>
      </c>
      <c r="M195" s="207"/>
      <c r="N195" s="205" t="str">
        <f>IFERROR(VLOOKUP(TableHandbook[[#This Row],[UDC]],TableBEDUC[],7,FALSE),"")</f>
        <v/>
      </c>
      <c r="O195" s="200" t="str">
        <f>IFERROR(VLOOKUP(TableHandbook[[#This Row],[UDC]],TableBEDEC[],7,FALSE),"")</f>
        <v/>
      </c>
      <c r="P195" s="200" t="str">
        <f>IFERROR(VLOOKUP(TableHandbook[[#This Row],[UDC]],TableBEDPR[],7,FALSE),"")</f>
        <v/>
      </c>
      <c r="Q195" s="200" t="str">
        <f>IFERROR(VLOOKUP(TableHandbook[[#This Row],[UDC]],TableSTRUCATHL[],7,FALSE),"")</f>
        <v/>
      </c>
      <c r="R195" s="200" t="str">
        <f>IFERROR(VLOOKUP(TableHandbook[[#This Row],[UDC]],TableSTRUENGLL[],7,FALSE),"")</f>
        <v/>
      </c>
      <c r="S195" s="200" t="str">
        <f>IFERROR(VLOOKUP(TableHandbook[[#This Row],[UDC]],TableSTRUINTBC[],7,FALSE),"")</f>
        <v/>
      </c>
      <c r="T195" s="200" t="str">
        <f>IFERROR(VLOOKUP(TableHandbook[[#This Row],[UDC]],TableSTRUISTEM[],7,FALSE),"")</f>
        <v/>
      </c>
      <c r="U195" s="200" t="str">
        <f>IFERROR(VLOOKUP(TableHandbook[[#This Row],[UDC]],TableSTRULITNU[],7,FALSE),"")</f>
        <v/>
      </c>
      <c r="V195" s="200" t="str">
        <f>IFERROR(VLOOKUP(TableHandbook[[#This Row],[UDC]],TableSTRUTECHS[],7,FALSE),"")</f>
        <v/>
      </c>
      <c r="W195" s="200" t="str">
        <f>IFERROR(VLOOKUP(TableHandbook[[#This Row],[UDC]],TableBEDSC[],7,FALSE),"")</f>
        <v>AltCore</v>
      </c>
      <c r="X195" s="200" t="str">
        <f>IFERROR(VLOOKUP(TableHandbook[[#This Row],[UDC]],TableMJRUARTDR[],7,FALSE),"")</f>
        <v/>
      </c>
      <c r="Y195" s="200" t="str">
        <f>IFERROR(VLOOKUP(TableHandbook[[#This Row],[UDC]],TableMJRUARTME[],7,FALSE),"")</f>
        <v/>
      </c>
      <c r="Z195" s="200" t="str">
        <f>IFERROR(VLOOKUP(TableHandbook[[#This Row],[UDC]],TableMJRUARTVA[],7,FALSE),"")</f>
        <v/>
      </c>
      <c r="AA195" s="200" t="str">
        <f>IFERROR(VLOOKUP(TableHandbook[[#This Row],[UDC]],TableMJRUENGLT[],7,FALSE),"")</f>
        <v/>
      </c>
      <c r="AB195" s="200" t="str">
        <f>IFERROR(VLOOKUP(TableHandbook[[#This Row],[UDC]],TableMJRUHLTPE[],7,FALSE),"")</f>
        <v/>
      </c>
      <c r="AC195" s="200" t="str">
        <f>IFERROR(VLOOKUP(TableHandbook[[#This Row],[UDC]],TableMJRUHUSEC[],7,FALSE),"")</f>
        <v/>
      </c>
      <c r="AD195" s="200" t="str">
        <f>IFERROR(VLOOKUP(TableHandbook[[#This Row],[UDC]],TableMJRUHUSGE[],7,FALSE),"")</f>
        <v/>
      </c>
      <c r="AE195" s="200" t="str">
        <f>IFERROR(VLOOKUP(TableHandbook[[#This Row],[UDC]],TableMJRUHUSHI[],7,FALSE),"")</f>
        <v/>
      </c>
      <c r="AF195" s="200" t="str">
        <f>IFERROR(VLOOKUP(TableHandbook[[#This Row],[UDC]],TableMJRUHUSPL[],7,FALSE),"")</f>
        <v/>
      </c>
      <c r="AG195" s="200" t="str">
        <f>IFERROR(VLOOKUP(TableHandbook[[#This Row],[UDC]],TableMJRUMATHT[],7,FALSE),"")</f>
        <v/>
      </c>
      <c r="AH195" s="200" t="str">
        <f>IFERROR(VLOOKUP(TableHandbook[[#This Row],[UDC]],TableMJRUSCIBI[],7,FALSE),"")</f>
        <v/>
      </c>
      <c r="AI195" s="200" t="str">
        <f>IFERROR(VLOOKUP(TableHandbook[[#This Row],[UDC]],TableMJRUSCICH[],7,FALSE),"")</f>
        <v/>
      </c>
      <c r="AJ195" s="200" t="str">
        <f>IFERROR(VLOOKUP(TableHandbook[[#This Row],[UDC]],TableMJRUSCIHB[],7,FALSE),"")</f>
        <v/>
      </c>
      <c r="AK195" s="200" t="str">
        <f>IFERROR(VLOOKUP(TableHandbook[[#This Row],[UDC]],TableMJRUSCIPH[],7,FALSE),"")</f>
        <v/>
      </c>
      <c r="AL195" s="200" t="str">
        <f>IFERROR(VLOOKUP(TableHandbook[[#This Row],[UDC]],TableMJRUSCIPS[],7,FALSE),"")</f>
        <v/>
      </c>
      <c r="AM195" s="202"/>
      <c r="AN195" s="200" t="str">
        <f>IFERROR(VLOOKUP(TableHandbook[[#This Row],[UDC]],TableSTRUBIOLB[],7,FALSE),"")</f>
        <v/>
      </c>
      <c r="AO195" s="200" t="str">
        <f>IFERROR(VLOOKUP(TableHandbook[[#This Row],[UDC]],TableSTRUBSCIM[],7,FALSE),"")</f>
        <v/>
      </c>
      <c r="AP195" s="200" t="str">
        <f>IFERROR(VLOOKUP(TableHandbook[[#This Row],[UDC]],TableSTRUCHEMB[],7,FALSE),"")</f>
        <v/>
      </c>
      <c r="AQ195" s="200" t="str">
        <f>IFERROR(VLOOKUP(TableHandbook[[#This Row],[UDC]],TableSTRUECOB1[],7,FALSE),"")</f>
        <v/>
      </c>
      <c r="AR195" s="200" t="str">
        <f>IFERROR(VLOOKUP(TableHandbook[[#This Row],[UDC]],TableSTRUEDART[],7,FALSE),"")</f>
        <v/>
      </c>
      <c r="AS195" s="200" t="str">
        <f>IFERROR(VLOOKUP(TableHandbook[[#This Row],[UDC]],TableSTRUEDENG[],7,FALSE),"")</f>
        <v/>
      </c>
      <c r="AT195" s="200" t="str">
        <f>IFERROR(VLOOKUP(TableHandbook[[#This Row],[UDC]],TableSTRUEDHAS[],7,FALSE),"")</f>
        <v/>
      </c>
      <c r="AU195" s="200" t="str">
        <f>IFERROR(VLOOKUP(TableHandbook[[#This Row],[UDC]],TableSTRUEDMAT[],7,FALSE),"")</f>
        <v/>
      </c>
      <c r="AV195" s="200" t="str">
        <f>IFERROR(VLOOKUP(TableHandbook[[#This Row],[UDC]],TableSTRUEDSCI[],7,FALSE),"")</f>
        <v/>
      </c>
      <c r="AW195" s="200" t="str">
        <f>IFERROR(VLOOKUP(TableHandbook[[#This Row],[UDC]],TableSTRUENGLB[],7,FALSE),"")</f>
        <v/>
      </c>
      <c r="AX195" s="200" t="str">
        <f>IFERROR(VLOOKUP(TableHandbook[[#This Row],[UDC]],TableSTRUENGLM[],7,FALSE),"")</f>
        <v/>
      </c>
      <c r="AY195" s="200" t="str">
        <f>IFERROR(VLOOKUP(TableHandbook[[#This Row],[UDC]],TableSTRUGEOB1[],7,FALSE),"")</f>
        <v/>
      </c>
      <c r="AZ195" s="200" t="str">
        <f>IFERROR(VLOOKUP(TableHandbook[[#This Row],[UDC]],TableSTRUHISB1[],7,FALSE),"")</f>
        <v/>
      </c>
      <c r="BA195" s="200" t="str">
        <f>IFERROR(VLOOKUP(TableHandbook[[#This Row],[UDC]],TableSTRUHUMAM[],7,FALSE),"")</f>
        <v/>
      </c>
      <c r="BB195" s="200" t="str">
        <f>IFERROR(VLOOKUP(TableHandbook[[#This Row],[UDC]],TableSTRUHUMBB[],7,FALSE),"")</f>
        <v/>
      </c>
      <c r="BC195" s="200" t="str">
        <f>IFERROR(VLOOKUP(TableHandbook[[#This Row],[UDC]],TableSTRUMATHB[],7,FALSE),"")</f>
        <v/>
      </c>
      <c r="BD195" s="200" t="str">
        <f>IFERROR(VLOOKUP(TableHandbook[[#This Row],[UDC]],TableSTRUMATHM[],7,FALSE),"")</f>
        <v/>
      </c>
      <c r="BE195" s="200" t="str">
        <f>IFERROR(VLOOKUP(TableHandbook[[#This Row],[UDC]],TableSTRUPARTB[],7,FALSE),"")</f>
        <v/>
      </c>
      <c r="BF195" s="200" t="str">
        <f>IFERROR(VLOOKUP(TableHandbook[[#This Row],[UDC]],TableSTRUPARTM[],7,FALSE),"")</f>
        <v/>
      </c>
      <c r="BG195" s="200" t="str">
        <f>IFERROR(VLOOKUP(TableHandbook[[#This Row],[UDC]],TableSTRUPOLB1[],7,FALSE),"")</f>
        <v/>
      </c>
      <c r="BH195" s="200" t="str">
        <f>IFERROR(VLOOKUP(TableHandbook[[#This Row],[UDC]],TableSTRUPSCIM[],7,FALSE),"")</f>
        <v/>
      </c>
      <c r="BI195" s="200" t="str">
        <f>IFERROR(VLOOKUP(TableHandbook[[#This Row],[UDC]],TableSTRUPSYCB[],7,FALSE),"")</f>
        <v/>
      </c>
      <c r="BJ195" s="200" t="str">
        <f>IFERROR(VLOOKUP(TableHandbook[[#This Row],[UDC]],TableSTRUPSYCM[],7,FALSE),"")</f>
        <v/>
      </c>
      <c r="BK195" s="200" t="str">
        <f>IFERROR(VLOOKUP(TableHandbook[[#This Row],[UDC]],TableSTRUSOSCM[],7,FALSE),"")</f>
        <v/>
      </c>
      <c r="BL195" s="200" t="str">
        <f>IFERROR(VLOOKUP(TableHandbook[[#This Row],[UDC]],TableSTRUVARTB[],7,FALSE),"")</f>
        <v/>
      </c>
      <c r="BM195" s="200" t="str">
        <f>IFERROR(VLOOKUP(TableHandbook[[#This Row],[UDC]],TableSTRUVARTM[],7,FALSE),"")</f>
        <v/>
      </c>
    </row>
    <row r="196" spans="1:65" x14ac:dyDescent="0.25">
      <c r="A196" s="262" t="s">
        <v>233</v>
      </c>
      <c r="B196" s="12">
        <v>2</v>
      </c>
      <c r="C196" s="11"/>
      <c r="D196" s="11" t="s">
        <v>232</v>
      </c>
      <c r="E196" s="12">
        <v>400</v>
      </c>
      <c r="F196" s="131" t="s">
        <v>540</v>
      </c>
      <c r="G196" s="126" t="str">
        <f>IFERROR(IF(VLOOKUP(TableHandbook[[#This Row],[UDC]],TableAvailabilities[],2,FALSE)&gt;0,"Y",""),"")</f>
        <v/>
      </c>
      <c r="H196" s="127" t="str">
        <f>IFERROR(IF(VLOOKUP(TableHandbook[[#This Row],[UDC]],TableAvailabilities[],3,FALSE)&gt;0,"Y",""),"")</f>
        <v/>
      </c>
      <c r="I196" s="127" t="str">
        <f>IFERROR(IF(VLOOKUP(TableHandbook[[#This Row],[UDC]],TableAvailabilities[],4,FALSE)&gt;0,"Y",""),"")</f>
        <v/>
      </c>
      <c r="J196" s="128" t="str">
        <f>IFERROR(IF(VLOOKUP(TableHandbook[[#This Row],[UDC]],TableAvailabilities[],5,FALSE)&gt;0,"Y",""),"")</f>
        <v/>
      </c>
      <c r="K196" s="128" t="str">
        <f>IFERROR(IF(VLOOKUP(TableHandbook[[#This Row],[UDC]],TableAvailabilities[],6,FALSE)&gt;0,"Y",""),"")</f>
        <v/>
      </c>
      <c r="L196" s="127" t="str">
        <f>IFERROR(IF(VLOOKUP(TableHandbook[[#This Row],[UDC]],TableAvailabilities[],7,FALSE)&gt;0,"Y",""),"")</f>
        <v/>
      </c>
      <c r="M196" s="207"/>
      <c r="N196" s="205" t="str">
        <f>IFERROR(VLOOKUP(TableHandbook[[#This Row],[UDC]],TableBEDUC[],7,FALSE),"")</f>
        <v/>
      </c>
      <c r="O196" s="200" t="str">
        <f>IFERROR(VLOOKUP(TableHandbook[[#This Row],[UDC]],TableBEDEC[],7,FALSE),"")</f>
        <v/>
      </c>
      <c r="P196" s="200" t="str">
        <f>IFERROR(VLOOKUP(TableHandbook[[#This Row],[UDC]],TableBEDPR[],7,FALSE),"")</f>
        <v/>
      </c>
      <c r="Q196" s="200" t="str">
        <f>IFERROR(VLOOKUP(TableHandbook[[#This Row],[UDC]],TableSTRUCATHL[],7,FALSE),"")</f>
        <v/>
      </c>
      <c r="R196" s="200" t="str">
        <f>IFERROR(VLOOKUP(TableHandbook[[#This Row],[UDC]],TableSTRUENGLL[],7,FALSE),"")</f>
        <v/>
      </c>
      <c r="S196" s="200" t="str">
        <f>IFERROR(VLOOKUP(TableHandbook[[#This Row],[UDC]],TableSTRUINTBC[],7,FALSE),"")</f>
        <v/>
      </c>
      <c r="T196" s="200" t="str">
        <f>IFERROR(VLOOKUP(TableHandbook[[#This Row],[UDC]],TableSTRUISTEM[],7,FALSE),"")</f>
        <v/>
      </c>
      <c r="U196" s="200" t="str">
        <f>IFERROR(VLOOKUP(TableHandbook[[#This Row],[UDC]],TableSTRULITNU[],7,FALSE),"")</f>
        <v/>
      </c>
      <c r="V196" s="200" t="str">
        <f>IFERROR(VLOOKUP(TableHandbook[[#This Row],[UDC]],TableSTRUTECHS[],7,FALSE),"")</f>
        <v/>
      </c>
      <c r="W196" s="200" t="str">
        <f>IFERROR(VLOOKUP(TableHandbook[[#This Row],[UDC]],TableBEDSC[],7,FALSE),"")</f>
        <v>AltCore</v>
      </c>
      <c r="X196" s="200" t="str">
        <f>IFERROR(VLOOKUP(TableHandbook[[#This Row],[UDC]],TableMJRUARTDR[],7,FALSE),"")</f>
        <v/>
      </c>
      <c r="Y196" s="200" t="str">
        <f>IFERROR(VLOOKUP(TableHandbook[[#This Row],[UDC]],TableMJRUARTME[],7,FALSE),"")</f>
        <v/>
      </c>
      <c r="Z196" s="200" t="str">
        <f>IFERROR(VLOOKUP(TableHandbook[[#This Row],[UDC]],TableMJRUARTVA[],7,FALSE),"")</f>
        <v/>
      </c>
      <c r="AA196" s="200" t="str">
        <f>IFERROR(VLOOKUP(TableHandbook[[#This Row],[UDC]],TableMJRUENGLT[],7,FALSE),"")</f>
        <v/>
      </c>
      <c r="AB196" s="200" t="str">
        <f>IFERROR(VLOOKUP(TableHandbook[[#This Row],[UDC]],TableMJRUHLTPE[],7,FALSE),"")</f>
        <v/>
      </c>
      <c r="AC196" s="200" t="str">
        <f>IFERROR(VLOOKUP(TableHandbook[[#This Row],[UDC]],TableMJRUHUSEC[],7,FALSE),"")</f>
        <v/>
      </c>
      <c r="AD196" s="200" t="str">
        <f>IFERROR(VLOOKUP(TableHandbook[[#This Row],[UDC]],TableMJRUHUSGE[],7,FALSE),"")</f>
        <v/>
      </c>
      <c r="AE196" s="200" t="str">
        <f>IFERROR(VLOOKUP(TableHandbook[[#This Row],[UDC]],TableMJRUHUSHI[],7,FALSE),"")</f>
        <v/>
      </c>
      <c r="AF196" s="200" t="str">
        <f>IFERROR(VLOOKUP(TableHandbook[[#This Row],[UDC]],TableMJRUHUSPL[],7,FALSE),"")</f>
        <v/>
      </c>
      <c r="AG196" s="200" t="str">
        <f>IFERROR(VLOOKUP(TableHandbook[[#This Row],[UDC]],TableMJRUMATHT[],7,FALSE),"")</f>
        <v/>
      </c>
      <c r="AH196" s="200" t="str">
        <f>IFERROR(VLOOKUP(TableHandbook[[#This Row],[UDC]],TableMJRUSCIBI[],7,FALSE),"")</f>
        <v/>
      </c>
      <c r="AI196" s="200" t="str">
        <f>IFERROR(VLOOKUP(TableHandbook[[#This Row],[UDC]],TableMJRUSCICH[],7,FALSE),"")</f>
        <v/>
      </c>
      <c r="AJ196" s="200" t="str">
        <f>IFERROR(VLOOKUP(TableHandbook[[#This Row],[UDC]],TableMJRUSCIHB[],7,FALSE),"")</f>
        <v/>
      </c>
      <c r="AK196" s="200" t="str">
        <f>IFERROR(VLOOKUP(TableHandbook[[#This Row],[UDC]],TableMJRUSCIPH[],7,FALSE),"")</f>
        <v/>
      </c>
      <c r="AL196" s="200" t="str">
        <f>IFERROR(VLOOKUP(TableHandbook[[#This Row],[UDC]],TableMJRUSCIPS[],7,FALSE),"")</f>
        <v/>
      </c>
      <c r="AM196" s="202"/>
      <c r="AN196" s="200" t="str">
        <f>IFERROR(VLOOKUP(TableHandbook[[#This Row],[UDC]],TableSTRUBIOLB[],7,FALSE),"")</f>
        <v/>
      </c>
      <c r="AO196" s="200" t="str">
        <f>IFERROR(VLOOKUP(TableHandbook[[#This Row],[UDC]],TableSTRUBSCIM[],7,FALSE),"")</f>
        <v/>
      </c>
      <c r="AP196" s="200" t="str">
        <f>IFERROR(VLOOKUP(TableHandbook[[#This Row],[UDC]],TableSTRUCHEMB[],7,FALSE),"")</f>
        <v/>
      </c>
      <c r="AQ196" s="200" t="str">
        <f>IFERROR(VLOOKUP(TableHandbook[[#This Row],[UDC]],TableSTRUECOB1[],7,FALSE),"")</f>
        <v/>
      </c>
      <c r="AR196" s="200" t="str">
        <f>IFERROR(VLOOKUP(TableHandbook[[#This Row],[UDC]],TableSTRUEDART[],7,FALSE),"")</f>
        <v/>
      </c>
      <c r="AS196" s="200" t="str">
        <f>IFERROR(VLOOKUP(TableHandbook[[#This Row],[UDC]],TableSTRUEDENG[],7,FALSE),"")</f>
        <v/>
      </c>
      <c r="AT196" s="200" t="str">
        <f>IFERROR(VLOOKUP(TableHandbook[[#This Row],[UDC]],TableSTRUEDHAS[],7,FALSE),"")</f>
        <v/>
      </c>
      <c r="AU196" s="200" t="str">
        <f>IFERROR(VLOOKUP(TableHandbook[[#This Row],[UDC]],TableSTRUEDMAT[],7,FALSE),"")</f>
        <v/>
      </c>
      <c r="AV196" s="200" t="str">
        <f>IFERROR(VLOOKUP(TableHandbook[[#This Row],[UDC]],TableSTRUEDSCI[],7,FALSE),"")</f>
        <v/>
      </c>
      <c r="AW196" s="200" t="str">
        <f>IFERROR(VLOOKUP(TableHandbook[[#This Row],[UDC]],TableSTRUENGLB[],7,FALSE),"")</f>
        <v/>
      </c>
      <c r="AX196" s="200" t="str">
        <f>IFERROR(VLOOKUP(TableHandbook[[#This Row],[UDC]],TableSTRUENGLM[],7,FALSE),"")</f>
        <v/>
      </c>
      <c r="AY196" s="200" t="str">
        <f>IFERROR(VLOOKUP(TableHandbook[[#This Row],[UDC]],TableSTRUGEOB1[],7,FALSE),"")</f>
        <v/>
      </c>
      <c r="AZ196" s="200" t="str">
        <f>IFERROR(VLOOKUP(TableHandbook[[#This Row],[UDC]],TableSTRUHISB1[],7,FALSE),"")</f>
        <v/>
      </c>
      <c r="BA196" s="200" t="str">
        <f>IFERROR(VLOOKUP(TableHandbook[[#This Row],[UDC]],TableSTRUHUMAM[],7,FALSE),"")</f>
        <v/>
      </c>
      <c r="BB196" s="200" t="str">
        <f>IFERROR(VLOOKUP(TableHandbook[[#This Row],[UDC]],TableSTRUHUMBB[],7,FALSE),"")</f>
        <v/>
      </c>
      <c r="BC196" s="200" t="str">
        <f>IFERROR(VLOOKUP(TableHandbook[[#This Row],[UDC]],TableSTRUMATHB[],7,FALSE),"")</f>
        <v/>
      </c>
      <c r="BD196" s="200" t="str">
        <f>IFERROR(VLOOKUP(TableHandbook[[#This Row],[UDC]],TableSTRUMATHM[],7,FALSE),"")</f>
        <v/>
      </c>
      <c r="BE196" s="200" t="str">
        <f>IFERROR(VLOOKUP(TableHandbook[[#This Row],[UDC]],TableSTRUPARTB[],7,FALSE),"")</f>
        <v/>
      </c>
      <c r="BF196" s="200" t="str">
        <f>IFERROR(VLOOKUP(TableHandbook[[#This Row],[UDC]],TableSTRUPARTM[],7,FALSE),"")</f>
        <v/>
      </c>
      <c r="BG196" s="200" t="str">
        <f>IFERROR(VLOOKUP(TableHandbook[[#This Row],[UDC]],TableSTRUPOLB1[],7,FALSE),"")</f>
        <v/>
      </c>
      <c r="BH196" s="200" t="str">
        <f>IFERROR(VLOOKUP(TableHandbook[[#This Row],[UDC]],TableSTRUPSCIM[],7,FALSE),"")</f>
        <v/>
      </c>
      <c r="BI196" s="200" t="str">
        <f>IFERROR(VLOOKUP(TableHandbook[[#This Row],[UDC]],TableSTRUPSYCB[],7,FALSE),"")</f>
        <v/>
      </c>
      <c r="BJ196" s="200" t="str">
        <f>IFERROR(VLOOKUP(TableHandbook[[#This Row],[UDC]],TableSTRUPSYCM[],7,FALSE),"")</f>
        <v/>
      </c>
      <c r="BK196" s="200" t="str">
        <f>IFERROR(VLOOKUP(TableHandbook[[#This Row],[UDC]],TableSTRUSOSCM[],7,FALSE),"")</f>
        <v/>
      </c>
      <c r="BL196" s="200" t="str">
        <f>IFERROR(VLOOKUP(TableHandbook[[#This Row],[UDC]],TableSTRUVARTB[],7,FALSE),"")</f>
        <v/>
      </c>
      <c r="BM196" s="200" t="str">
        <f>IFERROR(VLOOKUP(TableHandbook[[#This Row],[UDC]],TableSTRUVARTM[],7,FALSE),"")</f>
        <v/>
      </c>
    </row>
    <row r="197" spans="1:65" x14ac:dyDescent="0.25">
      <c r="A197" s="262" t="s">
        <v>235</v>
      </c>
      <c r="B197" s="12">
        <v>1</v>
      </c>
      <c r="C197" s="11"/>
      <c r="D197" s="11" t="s">
        <v>234</v>
      </c>
      <c r="E197" s="12">
        <v>400</v>
      </c>
      <c r="F197" s="131" t="s">
        <v>540</v>
      </c>
      <c r="G197" s="126" t="str">
        <f>IFERROR(IF(VLOOKUP(TableHandbook[[#This Row],[UDC]],TableAvailabilities[],2,FALSE)&gt;0,"Y",""),"")</f>
        <v/>
      </c>
      <c r="H197" s="127" t="str">
        <f>IFERROR(IF(VLOOKUP(TableHandbook[[#This Row],[UDC]],TableAvailabilities[],3,FALSE)&gt;0,"Y",""),"")</f>
        <v/>
      </c>
      <c r="I197" s="127" t="str">
        <f>IFERROR(IF(VLOOKUP(TableHandbook[[#This Row],[UDC]],TableAvailabilities[],4,FALSE)&gt;0,"Y",""),"")</f>
        <v/>
      </c>
      <c r="J197" s="128" t="str">
        <f>IFERROR(IF(VLOOKUP(TableHandbook[[#This Row],[UDC]],TableAvailabilities[],5,FALSE)&gt;0,"Y",""),"")</f>
        <v/>
      </c>
      <c r="K197" s="128" t="str">
        <f>IFERROR(IF(VLOOKUP(TableHandbook[[#This Row],[UDC]],TableAvailabilities[],6,FALSE)&gt;0,"Y",""),"")</f>
        <v/>
      </c>
      <c r="L197" s="127" t="str">
        <f>IFERROR(IF(VLOOKUP(TableHandbook[[#This Row],[UDC]],TableAvailabilities[],7,FALSE)&gt;0,"Y",""),"")</f>
        <v/>
      </c>
      <c r="M197" s="207"/>
      <c r="N197" s="205" t="str">
        <f>IFERROR(VLOOKUP(TableHandbook[[#This Row],[UDC]],TableBEDUC[],7,FALSE),"")</f>
        <v/>
      </c>
      <c r="O197" s="200" t="str">
        <f>IFERROR(VLOOKUP(TableHandbook[[#This Row],[UDC]],TableBEDEC[],7,FALSE),"")</f>
        <v/>
      </c>
      <c r="P197" s="200" t="str">
        <f>IFERROR(VLOOKUP(TableHandbook[[#This Row],[UDC]],TableBEDPR[],7,FALSE),"")</f>
        <v/>
      </c>
      <c r="Q197" s="200" t="str">
        <f>IFERROR(VLOOKUP(TableHandbook[[#This Row],[UDC]],TableSTRUCATHL[],7,FALSE),"")</f>
        <v/>
      </c>
      <c r="R197" s="200" t="str">
        <f>IFERROR(VLOOKUP(TableHandbook[[#This Row],[UDC]],TableSTRUENGLL[],7,FALSE),"")</f>
        <v/>
      </c>
      <c r="S197" s="200" t="str">
        <f>IFERROR(VLOOKUP(TableHandbook[[#This Row],[UDC]],TableSTRUINTBC[],7,FALSE),"")</f>
        <v/>
      </c>
      <c r="T197" s="200" t="str">
        <f>IFERROR(VLOOKUP(TableHandbook[[#This Row],[UDC]],TableSTRUISTEM[],7,FALSE),"")</f>
        <v/>
      </c>
      <c r="U197" s="200" t="str">
        <f>IFERROR(VLOOKUP(TableHandbook[[#This Row],[UDC]],TableSTRULITNU[],7,FALSE),"")</f>
        <v/>
      </c>
      <c r="V197" s="200" t="str">
        <f>IFERROR(VLOOKUP(TableHandbook[[#This Row],[UDC]],TableSTRUTECHS[],7,FALSE),"")</f>
        <v/>
      </c>
      <c r="W197" s="200" t="str">
        <f>IFERROR(VLOOKUP(TableHandbook[[#This Row],[UDC]],TableBEDSC[],7,FALSE),"")</f>
        <v>AltCore</v>
      </c>
      <c r="X197" s="200" t="str">
        <f>IFERROR(VLOOKUP(TableHandbook[[#This Row],[UDC]],TableMJRUARTDR[],7,FALSE),"")</f>
        <v/>
      </c>
      <c r="Y197" s="200" t="str">
        <f>IFERROR(VLOOKUP(TableHandbook[[#This Row],[UDC]],TableMJRUARTME[],7,FALSE),"")</f>
        <v/>
      </c>
      <c r="Z197" s="200" t="str">
        <f>IFERROR(VLOOKUP(TableHandbook[[#This Row],[UDC]],TableMJRUARTVA[],7,FALSE),"")</f>
        <v/>
      </c>
      <c r="AA197" s="200" t="str">
        <f>IFERROR(VLOOKUP(TableHandbook[[#This Row],[UDC]],TableMJRUENGLT[],7,FALSE),"")</f>
        <v/>
      </c>
      <c r="AB197" s="200" t="str">
        <f>IFERROR(VLOOKUP(TableHandbook[[#This Row],[UDC]],TableMJRUHLTPE[],7,FALSE),"")</f>
        <v/>
      </c>
      <c r="AC197" s="200" t="str">
        <f>IFERROR(VLOOKUP(TableHandbook[[#This Row],[UDC]],TableMJRUHUSEC[],7,FALSE),"")</f>
        <v/>
      </c>
      <c r="AD197" s="200" t="str">
        <f>IFERROR(VLOOKUP(TableHandbook[[#This Row],[UDC]],TableMJRUHUSGE[],7,FALSE),"")</f>
        <v/>
      </c>
      <c r="AE197" s="200" t="str">
        <f>IFERROR(VLOOKUP(TableHandbook[[#This Row],[UDC]],TableMJRUHUSHI[],7,FALSE),"")</f>
        <v/>
      </c>
      <c r="AF197" s="200" t="str">
        <f>IFERROR(VLOOKUP(TableHandbook[[#This Row],[UDC]],TableMJRUHUSPL[],7,FALSE),"")</f>
        <v/>
      </c>
      <c r="AG197" s="200" t="str">
        <f>IFERROR(VLOOKUP(TableHandbook[[#This Row],[UDC]],TableMJRUMATHT[],7,FALSE),"")</f>
        <v/>
      </c>
      <c r="AH197" s="200" t="str">
        <f>IFERROR(VLOOKUP(TableHandbook[[#This Row],[UDC]],TableMJRUSCIBI[],7,FALSE),"")</f>
        <v/>
      </c>
      <c r="AI197" s="200" t="str">
        <f>IFERROR(VLOOKUP(TableHandbook[[#This Row],[UDC]],TableMJRUSCICH[],7,FALSE),"")</f>
        <v/>
      </c>
      <c r="AJ197" s="200" t="str">
        <f>IFERROR(VLOOKUP(TableHandbook[[#This Row],[UDC]],TableMJRUSCIHB[],7,FALSE),"")</f>
        <v/>
      </c>
      <c r="AK197" s="200" t="str">
        <f>IFERROR(VLOOKUP(TableHandbook[[#This Row],[UDC]],TableMJRUSCIPH[],7,FALSE),"")</f>
        <v/>
      </c>
      <c r="AL197" s="200" t="str">
        <f>IFERROR(VLOOKUP(TableHandbook[[#This Row],[UDC]],TableMJRUSCIPS[],7,FALSE),"")</f>
        <v/>
      </c>
      <c r="AM197" s="202"/>
      <c r="AN197" s="200" t="str">
        <f>IFERROR(VLOOKUP(TableHandbook[[#This Row],[UDC]],TableSTRUBIOLB[],7,FALSE),"")</f>
        <v/>
      </c>
      <c r="AO197" s="200" t="str">
        <f>IFERROR(VLOOKUP(TableHandbook[[#This Row],[UDC]],TableSTRUBSCIM[],7,FALSE),"")</f>
        <v/>
      </c>
      <c r="AP197" s="200" t="str">
        <f>IFERROR(VLOOKUP(TableHandbook[[#This Row],[UDC]],TableSTRUCHEMB[],7,FALSE),"")</f>
        <v/>
      </c>
      <c r="AQ197" s="200" t="str">
        <f>IFERROR(VLOOKUP(TableHandbook[[#This Row],[UDC]],TableSTRUECOB1[],7,FALSE),"")</f>
        <v/>
      </c>
      <c r="AR197" s="200" t="str">
        <f>IFERROR(VLOOKUP(TableHandbook[[#This Row],[UDC]],TableSTRUEDART[],7,FALSE),"")</f>
        <v/>
      </c>
      <c r="AS197" s="200" t="str">
        <f>IFERROR(VLOOKUP(TableHandbook[[#This Row],[UDC]],TableSTRUEDENG[],7,FALSE),"")</f>
        <v/>
      </c>
      <c r="AT197" s="200" t="str">
        <f>IFERROR(VLOOKUP(TableHandbook[[#This Row],[UDC]],TableSTRUEDHAS[],7,FALSE),"")</f>
        <v/>
      </c>
      <c r="AU197" s="200" t="str">
        <f>IFERROR(VLOOKUP(TableHandbook[[#This Row],[UDC]],TableSTRUEDMAT[],7,FALSE),"")</f>
        <v/>
      </c>
      <c r="AV197" s="200" t="str">
        <f>IFERROR(VLOOKUP(TableHandbook[[#This Row],[UDC]],TableSTRUEDSCI[],7,FALSE),"")</f>
        <v/>
      </c>
      <c r="AW197" s="200" t="str">
        <f>IFERROR(VLOOKUP(TableHandbook[[#This Row],[UDC]],TableSTRUENGLB[],7,FALSE),"")</f>
        <v/>
      </c>
      <c r="AX197" s="200" t="str">
        <f>IFERROR(VLOOKUP(TableHandbook[[#This Row],[UDC]],TableSTRUENGLM[],7,FALSE),"")</f>
        <v/>
      </c>
      <c r="AY197" s="200" t="str">
        <f>IFERROR(VLOOKUP(TableHandbook[[#This Row],[UDC]],TableSTRUGEOB1[],7,FALSE),"")</f>
        <v/>
      </c>
      <c r="AZ197" s="200" t="str">
        <f>IFERROR(VLOOKUP(TableHandbook[[#This Row],[UDC]],TableSTRUHISB1[],7,FALSE),"")</f>
        <v/>
      </c>
      <c r="BA197" s="200" t="str">
        <f>IFERROR(VLOOKUP(TableHandbook[[#This Row],[UDC]],TableSTRUHUMAM[],7,FALSE),"")</f>
        <v/>
      </c>
      <c r="BB197" s="200" t="str">
        <f>IFERROR(VLOOKUP(TableHandbook[[#This Row],[UDC]],TableSTRUHUMBB[],7,FALSE),"")</f>
        <v/>
      </c>
      <c r="BC197" s="200" t="str">
        <f>IFERROR(VLOOKUP(TableHandbook[[#This Row],[UDC]],TableSTRUMATHB[],7,FALSE),"")</f>
        <v/>
      </c>
      <c r="BD197" s="200" t="str">
        <f>IFERROR(VLOOKUP(TableHandbook[[#This Row],[UDC]],TableSTRUMATHM[],7,FALSE),"")</f>
        <v/>
      </c>
      <c r="BE197" s="200" t="str">
        <f>IFERROR(VLOOKUP(TableHandbook[[#This Row],[UDC]],TableSTRUPARTB[],7,FALSE),"")</f>
        <v/>
      </c>
      <c r="BF197" s="200" t="str">
        <f>IFERROR(VLOOKUP(TableHandbook[[#This Row],[UDC]],TableSTRUPARTM[],7,FALSE),"")</f>
        <v/>
      </c>
      <c r="BG197" s="200" t="str">
        <f>IFERROR(VLOOKUP(TableHandbook[[#This Row],[UDC]],TableSTRUPOLB1[],7,FALSE),"")</f>
        <v/>
      </c>
      <c r="BH197" s="200" t="str">
        <f>IFERROR(VLOOKUP(TableHandbook[[#This Row],[UDC]],TableSTRUPSCIM[],7,FALSE),"")</f>
        <v/>
      </c>
      <c r="BI197" s="200" t="str">
        <f>IFERROR(VLOOKUP(TableHandbook[[#This Row],[UDC]],TableSTRUPSYCB[],7,FALSE),"")</f>
        <v/>
      </c>
      <c r="BJ197" s="200" t="str">
        <f>IFERROR(VLOOKUP(TableHandbook[[#This Row],[UDC]],TableSTRUPSYCM[],7,FALSE),"")</f>
        <v/>
      </c>
      <c r="BK197" s="200" t="str">
        <f>IFERROR(VLOOKUP(TableHandbook[[#This Row],[UDC]],TableSTRUSOSCM[],7,FALSE),"")</f>
        <v/>
      </c>
      <c r="BL197" s="200" t="str">
        <f>IFERROR(VLOOKUP(TableHandbook[[#This Row],[UDC]],TableSTRUVARTB[],7,FALSE),"")</f>
        <v/>
      </c>
      <c r="BM197" s="200" t="str">
        <f>IFERROR(VLOOKUP(TableHandbook[[#This Row],[UDC]],TableSTRUVARTM[],7,FALSE),"")</f>
        <v/>
      </c>
    </row>
    <row r="198" spans="1:65" x14ac:dyDescent="0.25">
      <c r="A198" s="262" t="s">
        <v>237</v>
      </c>
      <c r="B198" s="12">
        <v>1</v>
      </c>
      <c r="C198" s="11"/>
      <c r="D198" s="11" t="s">
        <v>236</v>
      </c>
      <c r="E198" s="12">
        <v>400</v>
      </c>
      <c r="F198" s="131" t="s">
        <v>540</v>
      </c>
      <c r="G198" s="126" t="str">
        <f>IFERROR(IF(VLOOKUP(TableHandbook[[#This Row],[UDC]],TableAvailabilities[],2,FALSE)&gt;0,"Y",""),"")</f>
        <v/>
      </c>
      <c r="H198" s="127" t="str">
        <f>IFERROR(IF(VLOOKUP(TableHandbook[[#This Row],[UDC]],TableAvailabilities[],3,FALSE)&gt;0,"Y",""),"")</f>
        <v/>
      </c>
      <c r="I198" s="127" t="str">
        <f>IFERROR(IF(VLOOKUP(TableHandbook[[#This Row],[UDC]],TableAvailabilities[],4,FALSE)&gt;0,"Y",""),"")</f>
        <v/>
      </c>
      <c r="J198" s="128" t="str">
        <f>IFERROR(IF(VLOOKUP(TableHandbook[[#This Row],[UDC]],TableAvailabilities[],5,FALSE)&gt;0,"Y",""),"")</f>
        <v/>
      </c>
      <c r="K198" s="128" t="str">
        <f>IFERROR(IF(VLOOKUP(TableHandbook[[#This Row],[UDC]],TableAvailabilities[],6,FALSE)&gt;0,"Y",""),"")</f>
        <v/>
      </c>
      <c r="L198" s="127" t="str">
        <f>IFERROR(IF(VLOOKUP(TableHandbook[[#This Row],[UDC]],TableAvailabilities[],7,FALSE)&gt;0,"Y",""),"")</f>
        <v/>
      </c>
      <c r="M198" s="207"/>
      <c r="N198" s="205" t="str">
        <f>IFERROR(VLOOKUP(TableHandbook[[#This Row],[UDC]],TableBEDUC[],7,FALSE),"")</f>
        <v/>
      </c>
      <c r="O198" s="200" t="str">
        <f>IFERROR(VLOOKUP(TableHandbook[[#This Row],[UDC]],TableBEDEC[],7,FALSE),"")</f>
        <v/>
      </c>
      <c r="P198" s="200" t="str">
        <f>IFERROR(VLOOKUP(TableHandbook[[#This Row],[UDC]],TableBEDPR[],7,FALSE),"")</f>
        <v/>
      </c>
      <c r="Q198" s="200" t="str">
        <f>IFERROR(VLOOKUP(TableHandbook[[#This Row],[UDC]],TableSTRUCATHL[],7,FALSE),"")</f>
        <v/>
      </c>
      <c r="R198" s="200" t="str">
        <f>IFERROR(VLOOKUP(TableHandbook[[#This Row],[UDC]],TableSTRUENGLL[],7,FALSE),"")</f>
        <v/>
      </c>
      <c r="S198" s="200" t="str">
        <f>IFERROR(VLOOKUP(TableHandbook[[#This Row],[UDC]],TableSTRUINTBC[],7,FALSE),"")</f>
        <v/>
      </c>
      <c r="T198" s="200" t="str">
        <f>IFERROR(VLOOKUP(TableHandbook[[#This Row],[UDC]],TableSTRUISTEM[],7,FALSE),"")</f>
        <v/>
      </c>
      <c r="U198" s="200" t="str">
        <f>IFERROR(VLOOKUP(TableHandbook[[#This Row],[UDC]],TableSTRULITNU[],7,FALSE),"")</f>
        <v/>
      </c>
      <c r="V198" s="200" t="str">
        <f>IFERROR(VLOOKUP(TableHandbook[[#This Row],[UDC]],TableSTRUTECHS[],7,FALSE),"")</f>
        <v/>
      </c>
      <c r="W198" s="200" t="str">
        <f>IFERROR(VLOOKUP(TableHandbook[[#This Row],[UDC]],TableBEDSC[],7,FALSE),"")</f>
        <v>AltCore</v>
      </c>
      <c r="X198" s="200" t="str">
        <f>IFERROR(VLOOKUP(TableHandbook[[#This Row],[UDC]],TableMJRUARTDR[],7,FALSE),"")</f>
        <v/>
      </c>
      <c r="Y198" s="200" t="str">
        <f>IFERROR(VLOOKUP(TableHandbook[[#This Row],[UDC]],TableMJRUARTME[],7,FALSE),"")</f>
        <v/>
      </c>
      <c r="Z198" s="200" t="str">
        <f>IFERROR(VLOOKUP(TableHandbook[[#This Row],[UDC]],TableMJRUARTVA[],7,FALSE),"")</f>
        <v/>
      </c>
      <c r="AA198" s="200" t="str">
        <f>IFERROR(VLOOKUP(TableHandbook[[#This Row],[UDC]],TableMJRUENGLT[],7,FALSE),"")</f>
        <v/>
      </c>
      <c r="AB198" s="200" t="str">
        <f>IFERROR(VLOOKUP(TableHandbook[[#This Row],[UDC]],TableMJRUHLTPE[],7,FALSE),"")</f>
        <v/>
      </c>
      <c r="AC198" s="200" t="str">
        <f>IFERROR(VLOOKUP(TableHandbook[[#This Row],[UDC]],TableMJRUHUSEC[],7,FALSE),"")</f>
        <v/>
      </c>
      <c r="AD198" s="200" t="str">
        <f>IFERROR(VLOOKUP(TableHandbook[[#This Row],[UDC]],TableMJRUHUSGE[],7,FALSE),"")</f>
        <v/>
      </c>
      <c r="AE198" s="200" t="str">
        <f>IFERROR(VLOOKUP(TableHandbook[[#This Row],[UDC]],TableMJRUHUSHI[],7,FALSE),"")</f>
        <v/>
      </c>
      <c r="AF198" s="200" t="str">
        <f>IFERROR(VLOOKUP(TableHandbook[[#This Row],[UDC]],TableMJRUHUSPL[],7,FALSE),"")</f>
        <v/>
      </c>
      <c r="AG198" s="200" t="str">
        <f>IFERROR(VLOOKUP(TableHandbook[[#This Row],[UDC]],TableMJRUMATHT[],7,FALSE),"")</f>
        <v/>
      </c>
      <c r="AH198" s="200" t="str">
        <f>IFERROR(VLOOKUP(TableHandbook[[#This Row],[UDC]],TableMJRUSCIBI[],7,FALSE),"")</f>
        <v/>
      </c>
      <c r="AI198" s="200" t="str">
        <f>IFERROR(VLOOKUP(TableHandbook[[#This Row],[UDC]],TableMJRUSCICH[],7,FALSE),"")</f>
        <v/>
      </c>
      <c r="AJ198" s="200" t="str">
        <f>IFERROR(VLOOKUP(TableHandbook[[#This Row],[UDC]],TableMJRUSCIHB[],7,FALSE),"")</f>
        <v/>
      </c>
      <c r="AK198" s="200" t="str">
        <f>IFERROR(VLOOKUP(TableHandbook[[#This Row],[UDC]],TableMJRUSCIPH[],7,FALSE),"")</f>
        <v/>
      </c>
      <c r="AL198" s="200" t="str">
        <f>IFERROR(VLOOKUP(TableHandbook[[#This Row],[UDC]],TableMJRUSCIPS[],7,FALSE),"")</f>
        <v/>
      </c>
      <c r="AM198" s="202"/>
      <c r="AN198" s="200" t="str">
        <f>IFERROR(VLOOKUP(TableHandbook[[#This Row],[UDC]],TableSTRUBIOLB[],7,FALSE),"")</f>
        <v/>
      </c>
      <c r="AO198" s="200" t="str">
        <f>IFERROR(VLOOKUP(TableHandbook[[#This Row],[UDC]],TableSTRUBSCIM[],7,FALSE),"")</f>
        <v/>
      </c>
      <c r="AP198" s="200" t="str">
        <f>IFERROR(VLOOKUP(TableHandbook[[#This Row],[UDC]],TableSTRUCHEMB[],7,FALSE),"")</f>
        <v/>
      </c>
      <c r="AQ198" s="200" t="str">
        <f>IFERROR(VLOOKUP(TableHandbook[[#This Row],[UDC]],TableSTRUECOB1[],7,FALSE),"")</f>
        <v/>
      </c>
      <c r="AR198" s="200" t="str">
        <f>IFERROR(VLOOKUP(TableHandbook[[#This Row],[UDC]],TableSTRUEDART[],7,FALSE),"")</f>
        <v/>
      </c>
      <c r="AS198" s="200" t="str">
        <f>IFERROR(VLOOKUP(TableHandbook[[#This Row],[UDC]],TableSTRUEDENG[],7,FALSE),"")</f>
        <v/>
      </c>
      <c r="AT198" s="200" t="str">
        <f>IFERROR(VLOOKUP(TableHandbook[[#This Row],[UDC]],TableSTRUEDHAS[],7,FALSE),"")</f>
        <v/>
      </c>
      <c r="AU198" s="200" t="str">
        <f>IFERROR(VLOOKUP(TableHandbook[[#This Row],[UDC]],TableSTRUEDMAT[],7,FALSE),"")</f>
        <v/>
      </c>
      <c r="AV198" s="200" t="str">
        <f>IFERROR(VLOOKUP(TableHandbook[[#This Row],[UDC]],TableSTRUEDSCI[],7,FALSE),"")</f>
        <v/>
      </c>
      <c r="AW198" s="200" t="str">
        <f>IFERROR(VLOOKUP(TableHandbook[[#This Row],[UDC]],TableSTRUENGLB[],7,FALSE),"")</f>
        <v/>
      </c>
      <c r="AX198" s="200" t="str">
        <f>IFERROR(VLOOKUP(TableHandbook[[#This Row],[UDC]],TableSTRUENGLM[],7,FALSE),"")</f>
        <v/>
      </c>
      <c r="AY198" s="200" t="str">
        <f>IFERROR(VLOOKUP(TableHandbook[[#This Row],[UDC]],TableSTRUGEOB1[],7,FALSE),"")</f>
        <v/>
      </c>
      <c r="AZ198" s="200" t="str">
        <f>IFERROR(VLOOKUP(TableHandbook[[#This Row],[UDC]],TableSTRUHISB1[],7,FALSE),"")</f>
        <v/>
      </c>
      <c r="BA198" s="200" t="str">
        <f>IFERROR(VLOOKUP(TableHandbook[[#This Row],[UDC]],TableSTRUHUMAM[],7,FALSE),"")</f>
        <v/>
      </c>
      <c r="BB198" s="200" t="str">
        <f>IFERROR(VLOOKUP(TableHandbook[[#This Row],[UDC]],TableSTRUHUMBB[],7,FALSE),"")</f>
        <v/>
      </c>
      <c r="BC198" s="200" t="str">
        <f>IFERROR(VLOOKUP(TableHandbook[[#This Row],[UDC]],TableSTRUMATHB[],7,FALSE),"")</f>
        <v/>
      </c>
      <c r="BD198" s="200" t="str">
        <f>IFERROR(VLOOKUP(TableHandbook[[#This Row],[UDC]],TableSTRUMATHM[],7,FALSE),"")</f>
        <v/>
      </c>
      <c r="BE198" s="200" t="str">
        <f>IFERROR(VLOOKUP(TableHandbook[[#This Row],[UDC]],TableSTRUPARTB[],7,FALSE),"")</f>
        <v/>
      </c>
      <c r="BF198" s="200" t="str">
        <f>IFERROR(VLOOKUP(TableHandbook[[#This Row],[UDC]],TableSTRUPARTM[],7,FALSE),"")</f>
        <v/>
      </c>
      <c r="BG198" s="200" t="str">
        <f>IFERROR(VLOOKUP(TableHandbook[[#This Row],[UDC]],TableSTRUPOLB1[],7,FALSE),"")</f>
        <v/>
      </c>
      <c r="BH198" s="200" t="str">
        <f>IFERROR(VLOOKUP(TableHandbook[[#This Row],[UDC]],TableSTRUPSCIM[],7,FALSE),"")</f>
        <v/>
      </c>
      <c r="BI198" s="200" t="str">
        <f>IFERROR(VLOOKUP(TableHandbook[[#This Row],[UDC]],TableSTRUPSYCB[],7,FALSE),"")</f>
        <v/>
      </c>
      <c r="BJ198" s="200" t="str">
        <f>IFERROR(VLOOKUP(TableHandbook[[#This Row],[UDC]],TableSTRUPSYCM[],7,FALSE),"")</f>
        <v/>
      </c>
      <c r="BK198" s="200" t="str">
        <f>IFERROR(VLOOKUP(TableHandbook[[#This Row],[UDC]],TableSTRUSOSCM[],7,FALSE),"")</f>
        <v/>
      </c>
      <c r="BL198" s="200" t="str">
        <f>IFERROR(VLOOKUP(TableHandbook[[#This Row],[UDC]],TableSTRUVARTB[],7,FALSE),"")</f>
        <v/>
      </c>
      <c r="BM198" s="200" t="str">
        <f>IFERROR(VLOOKUP(TableHandbook[[#This Row],[UDC]],TableSTRUVARTM[],7,FALSE),"")</f>
        <v/>
      </c>
    </row>
    <row r="199" spans="1:65" x14ac:dyDescent="0.25">
      <c r="A199" s="157" t="s">
        <v>194</v>
      </c>
      <c r="B199" s="12"/>
      <c r="C199" s="11"/>
      <c r="D199" s="11" t="s">
        <v>854</v>
      </c>
      <c r="E199" s="12"/>
      <c r="F199" s="131"/>
      <c r="G199" s="126" t="str">
        <f>IFERROR(IF(VLOOKUP(TableHandbook[[#This Row],[UDC]],TableAvailabilities[],2,FALSE)&gt;0,"Y",""),"")</f>
        <v/>
      </c>
      <c r="H199" s="127" t="str">
        <f>IFERROR(IF(VLOOKUP(TableHandbook[[#This Row],[UDC]],TableAvailabilities[],3,FALSE)&gt;0,"Y",""),"")</f>
        <v/>
      </c>
      <c r="I199" s="127" t="str">
        <f>IFERROR(IF(VLOOKUP(TableHandbook[[#This Row],[UDC]],TableAvailabilities[],4,FALSE)&gt;0,"Y",""),"")</f>
        <v/>
      </c>
      <c r="J199" s="128" t="str">
        <f>IFERROR(IF(VLOOKUP(TableHandbook[[#This Row],[UDC]],TableAvailabilities[],5,FALSE)&gt;0,"Y",""),"")</f>
        <v/>
      </c>
      <c r="K199" s="128" t="str">
        <f>IFERROR(IF(VLOOKUP(TableHandbook[[#This Row],[UDC]],TableAvailabilities[],6,FALSE)&gt;0,"Y",""),"")</f>
        <v/>
      </c>
      <c r="L199" s="127" t="str">
        <f>IFERROR(IF(VLOOKUP(TableHandbook[[#This Row],[UDC]],TableAvailabilities[],7,FALSE)&gt;0,"Y",""),"")</f>
        <v/>
      </c>
      <c r="M199" s="207"/>
      <c r="N199" s="205" t="str">
        <f>IFERROR(VLOOKUP(TableHandbook[[#This Row],[UDC]],TableBEDUC[],7,FALSE),"")</f>
        <v/>
      </c>
      <c r="O199" s="200" t="str">
        <f>IFERROR(VLOOKUP(TableHandbook[[#This Row],[UDC]],TableBEDEC[],7,FALSE),"")</f>
        <v/>
      </c>
      <c r="P199" s="200" t="str">
        <f>IFERROR(VLOOKUP(TableHandbook[[#This Row],[UDC]],TableBEDPR[],7,FALSE),"")</f>
        <v/>
      </c>
      <c r="Q199" s="200" t="str">
        <f>IFERROR(VLOOKUP(TableHandbook[[#This Row],[UDC]],TableSTRUCATHL[],7,FALSE),"")</f>
        <v/>
      </c>
      <c r="R199" s="200" t="str">
        <f>IFERROR(VLOOKUP(TableHandbook[[#This Row],[UDC]],TableSTRUENGLL[],7,FALSE),"")</f>
        <v/>
      </c>
      <c r="S199" s="200" t="str">
        <f>IFERROR(VLOOKUP(TableHandbook[[#This Row],[UDC]],TableSTRUINTBC[],7,FALSE),"")</f>
        <v/>
      </c>
      <c r="T199" s="200" t="str">
        <f>IFERROR(VLOOKUP(TableHandbook[[#This Row],[UDC]],TableSTRUISTEM[],7,FALSE),"")</f>
        <v/>
      </c>
      <c r="U199" s="200" t="str">
        <f>IFERROR(VLOOKUP(TableHandbook[[#This Row],[UDC]],TableSTRULITNU[],7,FALSE),"")</f>
        <v/>
      </c>
      <c r="V199" s="200" t="str">
        <f>IFERROR(VLOOKUP(TableHandbook[[#This Row],[UDC]],TableSTRUTECHS[],7,FALSE),"")</f>
        <v/>
      </c>
      <c r="W199" s="200" t="str">
        <f>IFERROR(VLOOKUP(TableHandbook[[#This Row],[UDC]],TableBEDSC[],7,FALSE),"")</f>
        <v/>
      </c>
      <c r="X199" s="200" t="str">
        <f>IFERROR(VLOOKUP(TableHandbook[[#This Row],[UDC]],TableMJRUARTDR[],7,FALSE),"")</f>
        <v/>
      </c>
      <c r="Y199" s="200" t="str">
        <f>IFERROR(VLOOKUP(TableHandbook[[#This Row],[UDC]],TableMJRUARTME[],7,FALSE),"")</f>
        <v/>
      </c>
      <c r="Z199" s="200" t="str">
        <f>IFERROR(VLOOKUP(TableHandbook[[#This Row],[UDC]],TableMJRUARTVA[],7,FALSE),"")</f>
        <v/>
      </c>
      <c r="AA199" s="200" t="str">
        <f>IFERROR(VLOOKUP(TableHandbook[[#This Row],[UDC]],TableMJRUENGLT[],7,FALSE),"")</f>
        <v/>
      </c>
      <c r="AB199" s="200" t="str">
        <f>IFERROR(VLOOKUP(TableHandbook[[#This Row],[UDC]],TableMJRUHLTPE[],7,FALSE),"")</f>
        <v/>
      </c>
      <c r="AC199" s="200" t="str">
        <f>IFERROR(VLOOKUP(TableHandbook[[#This Row],[UDC]],TableMJRUHUSEC[],7,FALSE),"")</f>
        <v/>
      </c>
      <c r="AD199" s="200" t="str">
        <f>IFERROR(VLOOKUP(TableHandbook[[#This Row],[UDC]],TableMJRUHUSGE[],7,FALSE),"")</f>
        <v/>
      </c>
      <c r="AE199" s="200" t="str">
        <f>IFERROR(VLOOKUP(TableHandbook[[#This Row],[UDC]],TableMJRUHUSHI[],7,FALSE),"")</f>
        <v/>
      </c>
      <c r="AF199" s="200" t="str">
        <f>IFERROR(VLOOKUP(TableHandbook[[#This Row],[UDC]],TableMJRUHUSPL[],7,FALSE),"")</f>
        <v/>
      </c>
      <c r="AG199" s="200" t="str">
        <f>IFERROR(VLOOKUP(TableHandbook[[#This Row],[UDC]],TableMJRUMATHT[],7,FALSE),"")</f>
        <v/>
      </c>
      <c r="AH199" s="200" t="str">
        <f>IFERROR(VLOOKUP(TableHandbook[[#This Row],[UDC]],TableMJRUSCIBI[],7,FALSE),"")</f>
        <v/>
      </c>
      <c r="AI199" s="200" t="str">
        <f>IFERROR(VLOOKUP(TableHandbook[[#This Row],[UDC]],TableMJRUSCICH[],7,FALSE),"")</f>
        <v/>
      </c>
      <c r="AJ199" s="200" t="str">
        <f>IFERROR(VLOOKUP(TableHandbook[[#This Row],[UDC]],TableMJRUSCIHB[],7,FALSE),"")</f>
        <v/>
      </c>
      <c r="AK199" s="200" t="str">
        <f>IFERROR(VLOOKUP(TableHandbook[[#This Row],[UDC]],TableMJRUSCIPH[],7,FALSE),"")</f>
        <v/>
      </c>
      <c r="AL199" s="200" t="str">
        <f>IFERROR(VLOOKUP(TableHandbook[[#This Row],[UDC]],TableMJRUSCIPS[],7,FALSE),"")</f>
        <v/>
      </c>
      <c r="AM199" s="202"/>
      <c r="AN199" s="200" t="str">
        <f>IFERROR(VLOOKUP(TableHandbook[[#This Row],[UDC]],TableSTRUBIOLB[],7,FALSE),"")</f>
        <v/>
      </c>
      <c r="AO199" s="200" t="str">
        <f>IFERROR(VLOOKUP(TableHandbook[[#This Row],[UDC]],TableSTRUBSCIM[],7,FALSE),"")</f>
        <v/>
      </c>
      <c r="AP199" s="200" t="str">
        <f>IFERROR(VLOOKUP(TableHandbook[[#This Row],[UDC]],TableSTRUCHEMB[],7,FALSE),"")</f>
        <v/>
      </c>
      <c r="AQ199" s="200" t="str">
        <f>IFERROR(VLOOKUP(TableHandbook[[#This Row],[UDC]],TableSTRUECOB1[],7,FALSE),"")</f>
        <v/>
      </c>
      <c r="AR199" s="200" t="str">
        <f>IFERROR(VLOOKUP(TableHandbook[[#This Row],[UDC]],TableSTRUEDART[],7,FALSE),"")</f>
        <v/>
      </c>
      <c r="AS199" s="200" t="str">
        <f>IFERROR(VLOOKUP(TableHandbook[[#This Row],[UDC]],TableSTRUEDENG[],7,FALSE),"")</f>
        <v/>
      </c>
      <c r="AT199" s="200" t="str">
        <f>IFERROR(VLOOKUP(TableHandbook[[#This Row],[UDC]],TableSTRUEDHAS[],7,FALSE),"")</f>
        <v/>
      </c>
      <c r="AU199" s="200" t="str">
        <f>IFERROR(VLOOKUP(TableHandbook[[#This Row],[UDC]],TableSTRUEDMAT[],7,FALSE),"")</f>
        <v/>
      </c>
      <c r="AV199" s="200" t="str">
        <f>IFERROR(VLOOKUP(TableHandbook[[#This Row],[UDC]],TableSTRUEDSCI[],7,FALSE),"")</f>
        <v/>
      </c>
      <c r="AW199" s="200" t="str">
        <f>IFERROR(VLOOKUP(TableHandbook[[#This Row],[UDC]],TableSTRUENGLB[],7,FALSE),"")</f>
        <v/>
      </c>
      <c r="AX199" s="200" t="str">
        <f>IFERROR(VLOOKUP(TableHandbook[[#This Row],[UDC]],TableSTRUENGLM[],7,FALSE),"")</f>
        <v/>
      </c>
      <c r="AY199" s="200" t="str">
        <f>IFERROR(VLOOKUP(TableHandbook[[#This Row],[UDC]],TableSTRUGEOB1[],7,FALSE),"")</f>
        <v/>
      </c>
      <c r="AZ199" s="200" t="str">
        <f>IFERROR(VLOOKUP(TableHandbook[[#This Row],[UDC]],TableSTRUHISB1[],7,FALSE),"")</f>
        <v/>
      </c>
      <c r="BA199" s="200" t="str">
        <f>IFERROR(VLOOKUP(TableHandbook[[#This Row],[UDC]],TableSTRUHUMAM[],7,FALSE),"")</f>
        <v/>
      </c>
      <c r="BB199" s="200" t="str">
        <f>IFERROR(VLOOKUP(TableHandbook[[#This Row],[UDC]],TableSTRUHUMBB[],7,FALSE),"")</f>
        <v/>
      </c>
      <c r="BC199" s="200" t="str">
        <f>IFERROR(VLOOKUP(TableHandbook[[#This Row],[UDC]],TableSTRUMATHB[],7,FALSE),"")</f>
        <v/>
      </c>
      <c r="BD199" s="200" t="str">
        <f>IFERROR(VLOOKUP(TableHandbook[[#This Row],[UDC]],TableSTRUMATHM[],7,FALSE),"")</f>
        <v/>
      </c>
      <c r="BE199" s="200" t="str">
        <f>IFERROR(VLOOKUP(TableHandbook[[#This Row],[UDC]],TableSTRUPARTB[],7,FALSE),"")</f>
        <v/>
      </c>
      <c r="BF199" s="200" t="str">
        <f>IFERROR(VLOOKUP(TableHandbook[[#This Row],[UDC]],TableSTRUPARTM[],7,FALSE),"")</f>
        <v/>
      </c>
      <c r="BG199" s="200" t="str">
        <f>IFERROR(VLOOKUP(TableHandbook[[#This Row],[UDC]],TableSTRUPOLB1[],7,FALSE),"")</f>
        <v/>
      </c>
      <c r="BH199" s="200" t="str">
        <f>IFERROR(VLOOKUP(TableHandbook[[#This Row],[UDC]],TableSTRUPSCIM[],7,FALSE),"")</f>
        <v/>
      </c>
      <c r="BI199" s="200" t="str">
        <f>IFERROR(VLOOKUP(TableHandbook[[#This Row],[UDC]],TableSTRUPSYCB[],7,FALSE),"")</f>
        <v/>
      </c>
      <c r="BJ199" s="200" t="str">
        <f>IFERROR(VLOOKUP(TableHandbook[[#This Row],[UDC]],TableSTRUPSYCM[],7,FALSE),"")</f>
        <v/>
      </c>
      <c r="BK199" s="200" t="str">
        <f>IFERROR(VLOOKUP(TableHandbook[[#This Row],[UDC]],TableSTRUSOSCM[],7,FALSE),"")</f>
        <v/>
      </c>
      <c r="BL199" s="200" t="str">
        <f>IFERROR(VLOOKUP(TableHandbook[[#This Row],[UDC]],TableSTRUVARTB[],7,FALSE),"")</f>
        <v/>
      </c>
      <c r="BM199" s="200" t="str">
        <f>IFERROR(VLOOKUP(TableHandbook[[#This Row],[UDC]],TableSTRUVARTM[],7,FALSE),"")</f>
        <v/>
      </c>
    </row>
    <row r="200" spans="1:65" x14ac:dyDescent="0.25">
      <c r="A200" s="11" t="s">
        <v>163</v>
      </c>
      <c r="B200" s="12"/>
      <c r="C200" s="11"/>
      <c r="D200" s="11" t="s">
        <v>779</v>
      </c>
      <c r="E200" s="12"/>
      <c r="F200" s="131" t="s">
        <v>540</v>
      </c>
      <c r="G200" s="126" t="str">
        <f>IFERROR(IF(VLOOKUP(TableHandbook[[#This Row],[UDC]],TableAvailabilities[],2,FALSE)&gt;0,"Y",""),"")</f>
        <v/>
      </c>
      <c r="H200" s="127" t="str">
        <f>IFERROR(IF(VLOOKUP(TableHandbook[[#This Row],[UDC]],TableAvailabilities[],3,FALSE)&gt;0,"Y",""),"")</f>
        <v/>
      </c>
      <c r="I200" s="127" t="str">
        <f>IFERROR(IF(VLOOKUP(TableHandbook[[#This Row],[UDC]],TableAvailabilities[],4,FALSE)&gt;0,"Y",""),"")</f>
        <v/>
      </c>
      <c r="J200" s="128" t="str">
        <f>IFERROR(IF(VLOOKUP(TableHandbook[[#This Row],[UDC]],TableAvailabilities[],5,FALSE)&gt;0,"Y",""),"")</f>
        <v/>
      </c>
      <c r="K200" s="128" t="str">
        <f>IFERROR(IF(VLOOKUP(TableHandbook[[#This Row],[UDC]],TableAvailabilities[],6,FALSE)&gt;0,"Y",""),"")</f>
        <v/>
      </c>
      <c r="L200" s="127" t="str">
        <f>IFERROR(IF(VLOOKUP(TableHandbook[[#This Row],[UDC]],TableAvailabilities[],7,FALSE)&gt;0,"Y",""),"")</f>
        <v/>
      </c>
      <c r="M200" s="207"/>
      <c r="N200" s="205" t="str">
        <f>IFERROR(VLOOKUP(TableHandbook[[#This Row],[UDC]],TableBEDUC[],7,FALSE),"")</f>
        <v/>
      </c>
      <c r="O200" s="200" t="str">
        <f>IFERROR(VLOOKUP(TableHandbook[[#This Row],[UDC]],TableBEDEC[],7,FALSE),"")</f>
        <v/>
      </c>
      <c r="P200" s="200" t="str">
        <f>IFERROR(VLOOKUP(TableHandbook[[#This Row],[UDC]],TableBEDPR[],7,FALSE),"")</f>
        <v/>
      </c>
      <c r="Q200" s="200" t="str">
        <f>IFERROR(VLOOKUP(TableHandbook[[#This Row],[UDC]],TableSTRUCATHL[],7,FALSE),"")</f>
        <v/>
      </c>
      <c r="R200" s="200" t="str">
        <f>IFERROR(VLOOKUP(TableHandbook[[#This Row],[UDC]],TableSTRUENGLL[],7,FALSE),"")</f>
        <v/>
      </c>
      <c r="S200" s="200" t="str">
        <f>IFERROR(VLOOKUP(TableHandbook[[#This Row],[UDC]],TableSTRUINTBC[],7,FALSE),"")</f>
        <v/>
      </c>
      <c r="T200" s="200" t="str">
        <f>IFERROR(VLOOKUP(TableHandbook[[#This Row],[UDC]],TableSTRUISTEM[],7,FALSE),"")</f>
        <v/>
      </c>
      <c r="U200" s="200" t="str">
        <f>IFERROR(VLOOKUP(TableHandbook[[#This Row],[UDC]],TableSTRULITNU[],7,FALSE),"")</f>
        <v/>
      </c>
      <c r="V200" s="200" t="str">
        <f>IFERROR(VLOOKUP(TableHandbook[[#This Row],[UDC]],TableSTRUTECHS[],7,FALSE),"")</f>
        <v/>
      </c>
      <c r="W200" s="200" t="str">
        <f>IFERROR(VLOOKUP(TableHandbook[[#This Row],[UDC]],TableBEDSC[],7,FALSE),"")</f>
        <v/>
      </c>
      <c r="X200" s="200" t="str">
        <f>IFERROR(VLOOKUP(TableHandbook[[#This Row],[UDC]],TableMJRUARTDR[],7,FALSE),"")</f>
        <v/>
      </c>
      <c r="Y200" s="200" t="str">
        <f>IFERROR(VLOOKUP(TableHandbook[[#This Row],[UDC]],TableMJRUARTME[],7,FALSE),"")</f>
        <v/>
      </c>
      <c r="Z200" s="200" t="str">
        <f>IFERROR(VLOOKUP(TableHandbook[[#This Row],[UDC]],TableMJRUARTVA[],7,FALSE),"")</f>
        <v/>
      </c>
      <c r="AA200" s="200" t="str">
        <f>IFERROR(VLOOKUP(TableHandbook[[#This Row],[UDC]],TableMJRUENGLT[],7,FALSE),"")</f>
        <v/>
      </c>
      <c r="AB200" s="200" t="str">
        <f>IFERROR(VLOOKUP(TableHandbook[[#This Row],[UDC]],TableMJRUHLTPE[],7,FALSE),"")</f>
        <v/>
      </c>
      <c r="AC200" s="200" t="str">
        <f>IFERROR(VLOOKUP(TableHandbook[[#This Row],[UDC]],TableMJRUHUSEC[],7,FALSE),"")</f>
        <v/>
      </c>
      <c r="AD200" s="200" t="str">
        <f>IFERROR(VLOOKUP(TableHandbook[[#This Row],[UDC]],TableMJRUHUSGE[],7,FALSE),"")</f>
        <v/>
      </c>
      <c r="AE200" s="200" t="str">
        <f>IFERROR(VLOOKUP(TableHandbook[[#This Row],[UDC]],TableMJRUHUSHI[],7,FALSE),"")</f>
        <v/>
      </c>
      <c r="AF200" s="200" t="str">
        <f>IFERROR(VLOOKUP(TableHandbook[[#This Row],[UDC]],TableMJRUHUSPL[],7,FALSE),"")</f>
        <v/>
      </c>
      <c r="AG200" s="200" t="str">
        <f>IFERROR(VLOOKUP(TableHandbook[[#This Row],[UDC]],TableMJRUMATHT[],7,FALSE),"")</f>
        <v/>
      </c>
      <c r="AH200" s="200" t="str">
        <f>IFERROR(VLOOKUP(TableHandbook[[#This Row],[UDC]],TableMJRUSCIBI[],7,FALSE),"")</f>
        <v/>
      </c>
      <c r="AI200" s="200" t="str">
        <f>IFERROR(VLOOKUP(TableHandbook[[#This Row],[UDC]],TableMJRUSCICH[],7,FALSE),"")</f>
        <v/>
      </c>
      <c r="AJ200" s="200" t="str">
        <f>IFERROR(VLOOKUP(TableHandbook[[#This Row],[UDC]],TableMJRUSCIHB[],7,FALSE),"")</f>
        <v/>
      </c>
      <c r="AK200" s="200" t="str">
        <f>IFERROR(VLOOKUP(TableHandbook[[#This Row],[UDC]],TableMJRUSCIPH[],7,FALSE),"")</f>
        <v/>
      </c>
      <c r="AL200" s="200" t="str">
        <f>IFERROR(VLOOKUP(TableHandbook[[#This Row],[UDC]],TableMJRUSCIPS[],7,FALSE),"")</f>
        <v/>
      </c>
      <c r="AM200" s="202"/>
      <c r="AN200" s="200" t="str">
        <f>IFERROR(VLOOKUP(TableHandbook[[#This Row],[UDC]],TableSTRUBIOLB[],7,FALSE),"")</f>
        <v/>
      </c>
      <c r="AO200" s="200" t="str">
        <f>IFERROR(VLOOKUP(TableHandbook[[#This Row],[UDC]],TableSTRUBSCIM[],7,FALSE),"")</f>
        <v/>
      </c>
      <c r="AP200" s="200" t="str">
        <f>IFERROR(VLOOKUP(TableHandbook[[#This Row],[UDC]],TableSTRUCHEMB[],7,FALSE),"")</f>
        <v/>
      </c>
      <c r="AQ200" s="200" t="str">
        <f>IFERROR(VLOOKUP(TableHandbook[[#This Row],[UDC]],TableSTRUECOB1[],7,FALSE),"")</f>
        <v/>
      </c>
      <c r="AR200" s="200" t="str">
        <f>IFERROR(VLOOKUP(TableHandbook[[#This Row],[UDC]],TableSTRUEDART[],7,FALSE),"")</f>
        <v/>
      </c>
      <c r="AS200" s="200" t="str">
        <f>IFERROR(VLOOKUP(TableHandbook[[#This Row],[UDC]],TableSTRUEDENG[],7,FALSE),"")</f>
        <v/>
      </c>
      <c r="AT200" s="200" t="str">
        <f>IFERROR(VLOOKUP(TableHandbook[[#This Row],[UDC]],TableSTRUEDHAS[],7,FALSE),"")</f>
        <v/>
      </c>
      <c r="AU200" s="200" t="str">
        <f>IFERROR(VLOOKUP(TableHandbook[[#This Row],[UDC]],TableSTRUEDMAT[],7,FALSE),"")</f>
        <v/>
      </c>
      <c r="AV200" s="200" t="str">
        <f>IFERROR(VLOOKUP(TableHandbook[[#This Row],[UDC]],TableSTRUEDSCI[],7,FALSE),"")</f>
        <v/>
      </c>
      <c r="AW200" s="200" t="str">
        <f>IFERROR(VLOOKUP(TableHandbook[[#This Row],[UDC]],TableSTRUENGLB[],7,FALSE),"")</f>
        <v/>
      </c>
      <c r="AX200" s="200" t="str">
        <f>IFERROR(VLOOKUP(TableHandbook[[#This Row],[UDC]],TableSTRUENGLM[],7,FALSE),"")</f>
        <v/>
      </c>
      <c r="AY200" s="200" t="str">
        <f>IFERROR(VLOOKUP(TableHandbook[[#This Row],[UDC]],TableSTRUGEOB1[],7,FALSE),"")</f>
        <v/>
      </c>
      <c r="AZ200" s="200" t="str">
        <f>IFERROR(VLOOKUP(TableHandbook[[#This Row],[UDC]],TableSTRUHISB1[],7,FALSE),"")</f>
        <v/>
      </c>
      <c r="BA200" s="200" t="str">
        <f>IFERROR(VLOOKUP(TableHandbook[[#This Row],[UDC]],TableSTRUHUMAM[],7,FALSE),"")</f>
        <v/>
      </c>
      <c r="BB200" s="200" t="str">
        <f>IFERROR(VLOOKUP(TableHandbook[[#This Row],[UDC]],TableSTRUHUMBB[],7,FALSE),"")</f>
        <v/>
      </c>
      <c r="BC200" s="200" t="str">
        <f>IFERROR(VLOOKUP(TableHandbook[[#This Row],[UDC]],TableSTRUMATHB[],7,FALSE),"")</f>
        <v/>
      </c>
      <c r="BD200" s="200" t="str">
        <f>IFERROR(VLOOKUP(TableHandbook[[#This Row],[UDC]],TableSTRUMATHM[],7,FALSE),"")</f>
        <v/>
      </c>
      <c r="BE200" s="200" t="str">
        <f>IFERROR(VLOOKUP(TableHandbook[[#This Row],[UDC]],TableSTRUPARTB[],7,FALSE),"")</f>
        <v/>
      </c>
      <c r="BF200" s="200" t="str">
        <f>IFERROR(VLOOKUP(TableHandbook[[#This Row],[UDC]],TableSTRUPARTM[],7,FALSE),"")</f>
        <v/>
      </c>
      <c r="BG200" s="200" t="str">
        <f>IFERROR(VLOOKUP(TableHandbook[[#This Row],[UDC]],TableSTRUPOLB1[],7,FALSE),"")</f>
        <v/>
      </c>
      <c r="BH200" s="200" t="str">
        <f>IFERROR(VLOOKUP(TableHandbook[[#This Row],[UDC]],TableSTRUPSCIM[],7,FALSE),"")</f>
        <v/>
      </c>
      <c r="BI200" s="200" t="str">
        <f>IFERROR(VLOOKUP(TableHandbook[[#This Row],[UDC]],TableSTRUPSYCB[],7,FALSE),"")</f>
        <v/>
      </c>
      <c r="BJ200" s="200" t="str">
        <f>IFERROR(VLOOKUP(TableHandbook[[#This Row],[UDC]],TableSTRUPSYCM[],7,FALSE),"")</f>
        <v/>
      </c>
      <c r="BK200" s="200" t="str">
        <f>IFERROR(VLOOKUP(TableHandbook[[#This Row],[UDC]],TableSTRUSOSCM[],7,FALSE),"")</f>
        <v/>
      </c>
      <c r="BL200" s="200" t="str">
        <f>IFERROR(VLOOKUP(TableHandbook[[#This Row],[UDC]],TableSTRUVARTB[],7,FALSE),"")</f>
        <v/>
      </c>
      <c r="BM200" s="200" t="str">
        <f>IFERROR(VLOOKUP(TableHandbook[[#This Row],[UDC]],TableSTRUVARTM[],7,FALSE),"")</f>
        <v/>
      </c>
    </row>
    <row r="201" spans="1:65" x14ac:dyDescent="0.25">
      <c r="A201" s="11" t="s">
        <v>145</v>
      </c>
      <c r="B201" s="12"/>
      <c r="C201" s="11"/>
      <c r="D201" s="11" t="s">
        <v>780</v>
      </c>
      <c r="E201" s="12"/>
      <c r="F201" s="131" t="s">
        <v>540</v>
      </c>
      <c r="G201" s="126" t="str">
        <f>IFERROR(IF(VLOOKUP(TableHandbook[[#This Row],[UDC]],TableAvailabilities[],2,FALSE)&gt;0,"Y",""),"")</f>
        <v/>
      </c>
      <c r="H201" s="127" t="str">
        <f>IFERROR(IF(VLOOKUP(TableHandbook[[#This Row],[UDC]],TableAvailabilities[],3,FALSE)&gt;0,"Y",""),"")</f>
        <v/>
      </c>
      <c r="I201" s="127" t="str">
        <f>IFERROR(IF(VLOOKUP(TableHandbook[[#This Row],[UDC]],TableAvailabilities[],4,FALSE)&gt;0,"Y",""),"")</f>
        <v/>
      </c>
      <c r="J201" s="128" t="str">
        <f>IFERROR(IF(VLOOKUP(TableHandbook[[#This Row],[UDC]],TableAvailabilities[],5,FALSE)&gt;0,"Y",""),"")</f>
        <v/>
      </c>
      <c r="K201" s="128" t="str">
        <f>IFERROR(IF(VLOOKUP(TableHandbook[[#This Row],[UDC]],TableAvailabilities[],6,FALSE)&gt;0,"Y",""),"")</f>
        <v/>
      </c>
      <c r="L201" s="127" t="str">
        <f>IFERROR(IF(VLOOKUP(TableHandbook[[#This Row],[UDC]],TableAvailabilities[],7,FALSE)&gt;0,"Y",""),"")</f>
        <v/>
      </c>
      <c r="M201" s="207"/>
      <c r="N201" s="205" t="str">
        <f>IFERROR(VLOOKUP(TableHandbook[[#This Row],[UDC]],TableBEDUC[],7,FALSE),"")</f>
        <v/>
      </c>
      <c r="O201" s="200" t="str">
        <f>IFERROR(VLOOKUP(TableHandbook[[#This Row],[UDC]],TableBEDEC[],7,FALSE),"")</f>
        <v/>
      </c>
      <c r="P201" s="200" t="str">
        <f>IFERROR(VLOOKUP(TableHandbook[[#This Row],[UDC]],TableBEDPR[],7,FALSE),"")</f>
        <v/>
      </c>
      <c r="Q201" s="200" t="str">
        <f>IFERROR(VLOOKUP(TableHandbook[[#This Row],[UDC]],TableSTRUCATHL[],7,FALSE),"")</f>
        <v/>
      </c>
      <c r="R201" s="200" t="str">
        <f>IFERROR(VLOOKUP(TableHandbook[[#This Row],[UDC]],TableSTRUENGLL[],7,FALSE),"")</f>
        <v/>
      </c>
      <c r="S201" s="200" t="str">
        <f>IFERROR(VLOOKUP(TableHandbook[[#This Row],[UDC]],TableSTRUINTBC[],7,FALSE),"")</f>
        <v/>
      </c>
      <c r="T201" s="200" t="str">
        <f>IFERROR(VLOOKUP(TableHandbook[[#This Row],[UDC]],TableSTRUISTEM[],7,FALSE),"")</f>
        <v/>
      </c>
      <c r="U201" s="200" t="str">
        <f>IFERROR(VLOOKUP(TableHandbook[[#This Row],[UDC]],TableSTRULITNU[],7,FALSE),"")</f>
        <v/>
      </c>
      <c r="V201" s="200" t="str">
        <f>IFERROR(VLOOKUP(TableHandbook[[#This Row],[UDC]],TableSTRUTECHS[],7,FALSE),"")</f>
        <v/>
      </c>
      <c r="W201" s="200" t="str">
        <f>IFERROR(VLOOKUP(TableHandbook[[#This Row],[UDC]],TableBEDSC[],7,FALSE),"")</f>
        <v/>
      </c>
      <c r="X201" s="200" t="str">
        <f>IFERROR(VLOOKUP(TableHandbook[[#This Row],[UDC]],TableMJRUARTDR[],7,FALSE),"")</f>
        <v/>
      </c>
      <c r="Y201" s="200" t="str">
        <f>IFERROR(VLOOKUP(TableHandbook[[#This Row],[UDC]],TableMJRUARTME[],7,FALSE),"")</f>
        <v/>
      </c>
      <c r="Z201" s="200" t="str">
        <f>IFERROR(VLOOKUP(TableHandbook[[#This Row],[UDC]],TableMJRUARTVA[],7,FALSE),"")</f>
        <v/>
      </c>
      <c r="AA201" s="200" t="str">
        <f>IFERROR(VLOOKUP(TableHandbook[[#This Row],[UDC]],TableMJRUENGLT[],7,FALSE),"")</f>
        <v/>
      </c>
      <c r="AB201" s="200" t="str">
        <f>IFERROR(VLOOKUP(TableHandbook[[#This Row],[UDC]],TableMJRUHLTPE[],7,FALSE),"")</f>
        <v/>
      </c>
      <c r="AC201" s="200" t="str">
        <f>IFERROR(VLOOKUP(TableHandbook[[#This Row],[UDC]],TableMJRUHUSEC[],7,FALSE),"")</f>
        <v/>
      </c>
      <c r="AD201" s="200" t="str">
        <f>IFERROR(VLOOKUP(TableHandbook[[#This Row],[UDC]],TableMJRUHUSGE[],7,FALSE),"")</f>
        <v/>
      </c>
      <c r="AE201" s="200" t="str">
        <f>IFERROR(VLOOKUP(TableHandbook[[#This Row],[UDC]],TableMJRUHUSHI[],7,FALSE),"")</f>
        <v/>
      </c>
      <c r="AF201" s="200" t="str">
        <f>IFERROR(VLOOKUP(TableHandbook[[#This Row],[UDC]],TableMJRUHUSPL[],7,FALSE),"")</f>
        <v/>
      </c>
      <c r="AG201" s="200" t="str">
        <f>IFERROR(VLOOKUP(TableHandbook[[#This Row],[UDC]],TableMJRUMATHT[],7,FALSE),"")</f>
        <v/>
      </c>
      <c r="AH201" s="200" t="str">
        <f>IFERROR(VLOOKUP(TableHandbook[[#This Row],[UDC]],TableMJRUSCIBI[],7,FALSE),"")</f>
        <v/>
      </c>
      <c r="AI201" s="200" t="str">
        <f>IFERROR(VLOOKUP(TableHandbook[[#This Row],[UDC]],TableMJRUSCICH[],7,FALSE),"")</f>
        <v/>
      </c>
      <c r="AJ201" s="200" t="str">
        <f>IFERROR(VLOOKUP(TableHandbook[[#This Row],[UDC]],TableMJRUSCIHB[],7,FALSE),"")</f>
        <v/>
      </c>
      <c r="AK201" s="200" t="str">
        <f>IFERROR(VLOOKUP(TableHandbook[[#This Row],[UDC]],TableMJRUSCIPH[],7,FALSE),"")</f>
        <v/>
      </c>
      <c r="AL201" s="200" t="str">
        <f>IFERROR(VLOOKUP(TableHandbook[[#This Row],[UDC]],TableMJRUSCIPS[],7,FALSE),"")</f>
        <v/>
      </c>
      <c r="AM201" s="202"/>
      <c r="AN201" s="200" t="str">
        <f>IFERROR(VLOOKUP(TableHandbook[[#This Row],[UDC]],TableSTRUBIOLB[],7,FALSE),"")</f>
        <v/>
      </c>
      <c r="AO201" s="200" t="str">
        <f>IFERROR(VLOOKUP(TableHandbook[[#This Row],[UDC]],TableSTRUBSCIM[],7,FALSE),"")</f>
        <v/>
      </c>
      <c r="AP201" s="200" t="str">
        <f>IFERROR(VLOOKUP(TableHandbook[[#This Row],[UDC]],TableSTRUCHEMB[],7,FALSE),"")</f>
        <v/>
      </c>
      <c r="AQ201" s="200" t="str">
        <f>IFERROR(VLOOKUP(TableHandbook[[#This Row],[UDC]],TableSTRUECOB1[],7,FALSE),"")</f>
        <v/>
      </c>
      <c r="AR201" s="200" t="str">
        <f>IFERROR(VLOOKUP(TableHandbook[[#This Row],[UDC]],TableSTRUEDART[],7,FALSE),"")</f>
        <v/>
      </c>
      <c r="AS201" s="200" t="str">
        <f>IFERROR(VLOOKUP(TableHandbook[[#This Row],[UDC]],TableSTRUEDENG[],7,FALSE),"")</f>
        <v/>
      </c>
      <c r="AT201" s="200" t="str">
        <f>IFERROR(VLOOKUP(TableHandbook[[#This Row],[UDC]],TableSTRUEDHAS[],7,FALSE),"")</f>
        <v/>
      </c>
      <c r="AU201" s="200" t="str">
        <f>IFERROR(VLOOKUP(TableHandbook[[#This Row],[UDC]],TableSTRUEDMAT[],7,FALSE),"")</f>
        <v/>
      </c>
      <c r="AV201" s="200" t="str">
        <f>IFERROR(VLOOKUP(TableHandbook[[#This Row],[UDC]],TableSTRUEDSCI[],7,FALSE),"")</f>
        <v/>
      </c>
      <c r="AW201" s="200" t="str">
        <f>IFERROR(VLOOKUP(TableHandbook[[#This Row],[UDC]],TableSTRUENGLB[],7,FALSE),"")</f>
        <v/>
      </c>
      <c r="AX201" s="200" t="str">
        <f>IFERROR(VLOOKUP(TableHandbook[[#This Row],[UDC]],TableSTRUENGLM[],7,FALSE),"")</f>
        <v/>
      </c>
      <c r="AY201" s="200" t="str">
        <f>IFERROR(VLOOKUP(TableHandbook[[#This Row],[UDC]],TableSTRUGEOB1[],7,FALSE),"")</f>
        <v/>
      </c>
      <c r="AZ201" s="200" t="str">
        <f>IFERROR(VLOOKUP(TableHandbook[[#This Row],[UDC]],TableSTRUHISB1[],7,FALSE),"")</f>
        <v/>
      </c>
      <c r="BA201" s="200" t="str">
        <f>IFERROR(VLOOKUP(TableHandbook[[#This Row],[UDC]],TableSTRUHUMAM[],7,FALSE),"")</f>
        <v/>
      </c>
      <c r="BB201" s="200" t="str">
        <f>IFERROR(VLOOKUP(TableHandbook[[#This Row],[UDC]],TableSTRUHUMBB[],7,FALSE),"")</f>
        <v/>
      </c>
      <c r="BC201" s="200" t="str">
        <f>IFERROR(VLOOKUP(TableHandbook[[#This Row],[UDC]],TableSTRUMATHB[],7,FALSE),"")</f>
        <v/>
      </c>
      <c r="BD201" s="200" t="str">
        <f>IFERROR(VLOOKUP(TableHandbook[[#This Row],[UDC]],TableSTRUMATHM[],7,FALSE),"")</f>
        <v/>
      </c>
      <c r="BE201" s="200" t="str">
        <f>IFERROR(VLOOKUP(TableHandbook[[#This Row],[UDC]],TableSTRUPARTB[],7,FALSE),"")</f>
        <v/>
      </c>
      <c r="BF201" s="200" t="str">
        <f>IFERROR(VLOOKUP(TableHandbook[[#This Row],[UDC]],TableSTRUPARTM[],7,FALSE),"")</f>
        <v/>
      </c>
      <c r="BG201" s="200" t="str">
        <f>IFERROR(VLOOKUP(TableHandbook[[#This Row],[UDC]],TableSTRUPOLB1[],7,FALSE),"")</f>
        <v/>
      </c>
      <c r="BH201" s="200" t="str">
        <f>IFERROR(VLOOKUP(TableHandbook[[#This Row],[UDC]],TableSTRUPSCIM[],7,FALSE),"")</f>
        <v/>
      </c>
      <c r="BI201" s="200" t="str">
        <f>IFERROR(VLOOKUP(TableHandbook[[#This Row],[UDC]],TableSTRUPSYCB[],7,FALSE),"")</f>
        <v/>
      </c>
      <c r="BJ201" s="200" t="str">
        <f>IFERROR(VLOOKUP(TableHandbook[[#This Row],[UDC]],TableSTRUPSYCM[],7,FALSE),"")</f>
        <v/>
      </c>
      <c r="BK201" s="200" t="str">
        <f>IFERROR(VLOOKUP(TableHandbook[[#This Row],[UDC]],TableSTRUSOSCM[],7,FALSE),"")</f>
        <v/>
      </c>
      <c r="BL201" s="200" t="str">
        <f>IFERROR(VLOOKUP(TableHandbook[[#This Row],[UDC]],TableSTRUVARTB[],7,FALSE),"")</f>
        <v/>
      </c>
      <c r="BM201" s="200" t="str">
        <f>IFERROR(VLOOKUP(TableHandbook[[#This Row],[UDC]],TableSTRUVARTM[],7,FALSE),"")</f>
        <v/>
      </c>
    </row>
    <row r="202" spans="1:65" x14ac:dyDescent="0.25">
      <c r="A202" s="11" t="s">
        <v>165</v>
      </c>
      <c r="B202" s="12"/>
      <c r="C202" s="11"/>
      <c r="D202" s="11" t="s">
        <v>781</v>
      </c>
      <c r="E202" s="12"/>
      <c r="F202" s="131" t="s">
        <v>540</v>
      </c>
      <c r="G202" s="126" t="str">
        <f>IFERROR(IF(VLOOKUP(TableHandbook[[#This Row],[UDC]],TableAvailabilities[],2,FALSE)&gt;0,"Y",""),"")</f>
        <v/>
      </c>
      <c r="H202" s="127" t="str">
        <f>IFERROR(IF(VLOOKUP(TableHandbook[[#This Row],[UDC]],TableAvailabilities[],3,FALSE)&gt;0,"Y",""),"")</f>
        <v/>
      </c>
      <c r="I202" s="127" t="str">
        <f>IFERROR(IF(VLOOKUP(TableHandbook[[#This Row],[UDC]],TableAvailabilities[],4,FALSE)&gt;0,"Y",""),"")</f>
        <v/>
      </c>
      <c r="J202" s="128" t="str">
        <f>IFERROR(IF(VLOOKUP(TableHandbook[[#This Row],[UDC]],TableAvailabilities[],5,FALSE)&gt;0,"Y",""),"")</f>
        <v/>
      </c>
      <c r="K202" s="128" t="str">
        <f>IFERROR(IF(VLOOKUP(TableHandbook[[#This Row],[UDC]],TableAvailabilities[],6,FALSE)&gt;0,"Y",""),"")</f>
        <v/>
      </c>
      <c r="L202" s="127" t="str">
        <f>IFERROR(IF(VLOOKUP(TableHandbook[[#This Row],[UDC]],TableAvailabilities[],7,FALSE)&gt;0,"Y",""),"")</f>
        <v/>
      </c>
      <c r="M202" s="207"/>
      <c r="N202" s="205" t="str">
        <f>IFERROR(VLOOKUP(TableHandbook[[#This Row],[UDC]],TableBEDUC[],7,FALSE),"")</f>
        <v/>
      </c>
      <c r="O202" s="200" t="str">
        <f>IFERROR(VLOOKUP(TableHandbook[[#This Row],[UDC]],TableBEDEC[],7,FALSE),"")</f>
        <v/>
      </c>
      <c r="P202" s="200" t="str">
        <f>IFERROR(VLOOKUP(TableHandbook[[#This Row],[UDC]],TableBEDPR[],7,FALSE),"")</f>
        <v/>
      </c>
      <c r="Q202" s="200" t="str">
        <f>IFERROR(VLOOKUP(TableHandbook[[#This Row],[UDC]],TableSTRUCATHL[],7,FALSE),"")</f>
        <v/>
      </c>
      <c r="R202" s="200" t="str">
        <f>IFERROR(VLOOKUP(TableHandbook[[#This Row],[UDC]],TableSTRUENGLL[],7,FALSE),"")</f>
        <v/>
      </c>
      <c r="S202" s="200" t="str">
        <f>IFERROR(VLOOKUP(TableHandbook[[#This Row],[UDC]],TableSTRUINTBC[],7,FALSE),"")</f>
        <v/>
      </c>
      <c r="T202" s="200" t="str">
        <f>IFERROR(VLOOKUP(TableHandbook[[#This Row],[UDC]],TableSTRUISTEM[],7,FALSE),"")</f>
        <v/>
      </c>
      <c r="U202" s="200" t="str">
        <f>IFERROR(VLOOKUP(TableHandbook[[#This Row],[UDC]],TableSTRULITNU[],7,FALSE),"")</f>
        <v/>
      </c>
      <c r="V202" s="200" t="str">
        <f>IFERROR(VLOOKUP(TableHandbook[[#This Row],[UDC]],TableSTRUTECHS[],7,FALSE),"")</f>
        <v/>
      </c>
      <c r="W202" s="200" t="str">
        <f>IFERROR(VLOOKUP(TableHandbook[[#This Row],[UDC]],TableBEDSC[],7,FALSE),"")</f>
        <v/>
      </c>
      <c r="X202" s="200" t="str">
        <f>IFERROR(VLOOKUP(TableHandbook[[#This Row],[UDC]],TableMJRUARTDR[],7,FALSE),"")</f>
        <v/>
      </c>
      <c r="Y202" s="200" t="str">
        <f>IFERROR(VLOOKUP(TableHandbook[[#This Row],[UDC]],TableMJRUARTME[],7,FALSE),"")</f>
        <v/>
      </c>
      <c r="Z202" s="200" t="str">
        <f>IFERROR(VLOOKUP(TableHandbook[[#This Row],[UDC]],TableMJRUARTVA[],7,FALSE),"")</f>
        <v/>
      </c>
      <c r="AA202" s="200" t="str">
        <f>IFERROR(VLOOKUP(TableHandbook[[#This Row],[UDC]],TableMJRUENGLT[],7,FALSE),"")</f>
        <v/>
      </c>
      <c r="AB202" s="200" t="str">
        <f>IFERROR(VLOOKUP(TableHandbook[[#This Row],[UDC]],TableMJRUHLTPE[],7,FALSE),"")</f>
        <v/>
      </c>
      <c r="AC202" s="200" t="str">
        <f>IFERROR(VLOOKUP(TableHandbook[[#This Row],[UDC]],TableMJRUHUSEC[],7,FALSE),"")</f>
        <v/>
      </c>
      <c r="AD202" s="200" t="str">
        <f>IFERROR(VLOOKUP(TableHandbook[[#This Row],[UDC]],TableMJRUHUSGE[],7,FALSE),"")</f>
        <v/>
      </c>
      <c r="AE202" s="200" t="str">
        <f>IFERROR(VLOOKUP(TableHandbook[[#This Row],[UDC]],TableMJRUHUSHI[],7,FALSE),"")</f>
        <v/>
      </c>
      <c r="AF202" s="200" t="str">
        <f>IFERROR(VLOOKUP(TableHandbook[[#This Row],[UDC]],TableMJRUHUSPL[],7,FALSE),"")</f>
        <v/>
      </c>
      <c r="AG202" s="200" t="str">
        <f>IFERROR(VLOOKUP(TableHandbook[[#This Row],[UDC]],TableMJRUMATHT[],7,FALSE),"")</f>
        <v/>
      </c>
      <c r="AH202" s="200" t="str">
        <f>IFERROR(VLOOKUP(TableHandbook[[#This Row],[UDC]],TableMJRUSCIBI[],7,FALSE),"")</f>
        <v/>
      </c>
      <c r="AI202" s="200" t="str">
        <f>IFERROR(VLOOKUP(TableHandbook[[#This Row],[UDC]],TableMJRUSCICH[],7,FALSE),"")</f>
        <v/>
      </c>
      <c r="AJ202" s="200" t="str">
        <f>IFERROR(VLOOKUP(TableHandbook[[#This Row],[UDC]],TableMJRUSCIHB[],7,FALSE),"")</f>
        <v/>
      </c>
      <c r="AK202" s="200" t="str">
        <f>IFERROR(VLOOKUP(TableHandbook[[#This Row],[UDC]],TableMJRUSCIPH[],7,FALSE),"")</f>
        <v/>
      </c>
      <c r="AL202" s="200" t="str">
        <f>IFERROR(VLOOKUP(TableHandbook[[#This Row],[UDC]],TableMJRUSCIPS[],7,FALSE),"")</f>
        <v/>
      </c>
      <c r="AM202" s="202"/>
      <c r="AN202" s="200" t="str">
        <f>IFERROR(VLOOKUP(TableHandbook[[#This Row],[UDC]],TableSTRUBIOLB[],7,FALSE),"")</f>
        <v/>
      </c>
      <c r="AO202" s="200" t="str">
        <f>IFERROR(VLOOKUP(TableHandbook[[#This Row],[UDC]],TableSTRUBSCIM[],7,FALSE),"")</f>
        <v/>
      </c>
      <c r="AP202" s="200" t="str">
        <f>IFERROR(VLOOKUP(TableHandbook[[#This Row],[UDC]],TableSTRUCHEMB[],7,FALSE),"")</f>
        <v/>
      </c>
      <c r="AQ202" s="200" t="str">
        <f>IFERROR(VLOOKUP(TableHandbook[[#This Row],[UDC]],TableSTRUECOB1[],7,FALSE),"")</f>
        <v/>
      </c>
      <c r="AR202" s="200" t="str">
        <f>IFERROR(VLOOKUP(TableHandbook[[#This Row],[UDC]],TableSTRUEDART[],7,FALSE),"")</f>
        <v/>
      </c>
      <c r="AS202" s="200" t="str">
        <f>IFERROR(VLOOKUP(TableHandbook[[#This Row],[UDC]],TableSTRUEDENG[],7,FALSE),"")</f>
        <v/>
      </c>
      <c r="AT202" s="200" t="str">
        <f>IFERROR(VLOOKUP(TableHandbook[[#This Row],[UDC]],TableSTRUEDHAS[],7,FALSE),"")</f>
        <v/>
      </c>
      <c r="AU202" s="200" t="str">
        <f>IFERROR(VLOOKUP(TableHandbook[[#This Row],[UDC]],TableSTRUEDMAT[],7,FALSE),"")</f>
        <v/>
      </c>
      <c r="AV202" s="200" t="str">
        <f>IFERROR(VLOOKUP(TableHandbook[[#This Row],[UDC]],TableSTRUEDSCI[],7,FALSE),"")</f>
        <v/>
      </c>
      <c r="AW202" s="200" t="str">
        <f>IFERROR(VLOOKUP(TableHandbook[[#This Row],[UDC]],TableSTRUENGLB[],7,FALSE),"")</f>
        <v/>
      </c>
      <c r="AX202" s="200" t="str">
        <f>IFERROR(VLOOKUP(TableHandbook[[#This Row],[UDC]],TableSTRUENGLM[],7,FALSE),"")</f>
        <v/>
      </c>
      <c r="AY202" s="200" t="str">
        <f>IFERROR(VLOOKUP(TableHandbook[[#This Row],[UDC]],TableSTRUGEOB1[],7,FALSE),"")</f>
        <v/>
      </c>
      <c r="AZ202" s="200" t="str">
        <f>IFERROR(VLOOKUP(TableHandbook[[#This Row],[UDC]],TableSTRUHISB1[],7,FALSE),"")</f>
        <v/>
      </c>
      <c r="BA202" s="200" t="str">
        <f>IFERROR(VLOOKUP(TableHandbook[[#This Row],[UDC]],TableSTRUHUMAM[],7,FALSE),"")</f>
        <v/>
      </c>
      <c r="BB202" s="200" t="str">
        <f>IFERROR(VLOOKUP(TableHandbook[[#This Row],[UDC]],TableSTRUHUMBB[],7,FALSE),"")</f>
        <v/>
      </c>
      <c r="BC202" s="200" t="str">
        <f>IFERROR(VLOOKUP(TableHandbook[[#This Row],[UDC]],TableSTRUMATHB[],7,FALSE),"")</f>
        <v/>
      </c>
      <c r="BD202" s="200" t="str">
        <f>IFERROR(VLOOKUP(TableHandbook[[#This Row],[UDC]],TableSTRUMATHM[],7,FALSE),"")</f>
        <v/>
      </c>
      <c r="BE202" s="200" t="str">
        <f>IFERROR(VLOOKUP(TableHandbook[[#This Row],[UDC]],TableSTRUPARTB[],7,FALSE),"")</f>
        <v/>
      </c>
      <c r="BF202" s="200" t="str">
        <f>IFERROR(VLOOKUP(TableHandbook[[#This Row],[UDC]],TableSTRUPARTM[],7,FALSE),"")</f>
        <v/>
      </c>
      <c r="BG202" s="200" t="str">
        <f>IFERROR(VLOOKUP(TableHandbook[[#This Row],[UDC]],TableSTRUPOLB1[],7,FALSE),"")</f>
        <v/>
      </c>
      <c r="BH202" s="200" t="str">
        <f>IFERROR(VLOOKUP(TableHandbook[[#This Row],[UDC]],TableSTRUPSCIM[],7,FALSE),"")</f>
        <v/>
      </c>
      <c r="BI202" s="200" t="str">
        <f>IFERROR(VLOOKUP(TableHandbook[[#This Row],[UDC]],TableSTRUPSYCB[],7,FALSE),"")</f>
        <v/>
      </c>
      <c r="BJ202" s="200" t="str">
        <f>IFERROR(VLOOKUP(TableHandbook[[#This Row],[UDC]],TableSTRUPSYCM[],7,FALSE),"")</f>
        <v/>
      </c>
      <c r="BK202" s="200" t="str">
        <f>IFERROR(VLOOKUP(TableHandbook[[#This Row],[UDC]],TableSTRUSOSCM[],7,FALSE),"")</f>
        <v/>
      </c>
      <c r="BL202" s="200" t="str">
        <f>IFERROR(VLOOKUP(TableHandbook[[#This Row],[UDC]],TableSTRUVARTB[],7,FALSE),"")</f>
        <v/>
      </c>
      <c r="BM202" s="200" t="str">
        <f>IFERROR(VLOOKUP(TableHandbook[[#This Row],[UDC]],TableSTRUVARTM[],7,FALSE),"")</f>
        <v/>
      </c>
    </row>
    <row r="203" spans="1:65" x14ac:dyDescent="0.25">
      <c r="A203" s="11" t="s">
        <v>141</v>
      </c>
      <c r="B203" s="12"/>
      <c r="C203" s="11"/>
      <c r="D203" s="11" t="s">
        <v>782</v>
      </c>
      <c r="E203" s="12"/>
      <c r="F203" s="131" t="s">
        <v>540</v>
      </c>
      <c r="G203" s="126" t="str">
        <f>IFERROR(IF(VLOOKUP(TableHandbook[[#This Row],[UDC]],TableAvailabilities[],2,FALSE)&gt;0,"Y",""),"")</f>
        <v/>
      </c>
      <c r="H203" s="127" t="str">
        <f>IFERROR(IF(VLOOKUP(TableHandbook[[#This Row],[UDC]],TableAvailabilities[],3,FALSE)&gt;0,"Y",""),"")</f>
        <v/>
      </c>
      <c r="I203" s="127" t="str">
        <f>IFERROR(IF(VLOOKUP(TableHandbook[[#This Row],[UDC]],TableAvailabilities[],4,FALSE)&gt;0,"Y",""),"")</f>
        <v/>
      </c>
      <c r="J203" s="128" t="str">
        <f>IFERROR(IF(VLOOKUP(TableHandbook[[#This Row],[UDC]],TableAvailabilities[],5,FALSE)&gt;0,"Y",""),"")</f>
        <v/>
      </c>
      <c r="K203" s="128" t="str">
        <f>IFERROR(IF(VLOOKUP(TableHandbook[[#This Row],[UDC]],TableAvailabilities[],6,FALSE)&gt;0,"Y",""),"")</f>
        <v/>
      </c>
      <c r="L203" s="127" t="str">
        <f>IFERROR(IF(VLOOKUP(TableHandbook[[#This Row],[UDC]],TableAvailabilities[],7,FALSE)&gt;0,"Y",""),"")</f>
        <v/>
      </c>
      <c r="M203" s="207"/>
      <c r="N203" s="205" t="str">
        <f>IFERROR(VLOOKUP(TableHandbook[[#This Row],[UDC]],TableBEDUC[],7,FALSE),"")</f>
        <v/>
      </c>
      <c r="O203" s="200" t="str">
        <f>IFERROR(VLOOKUP(TableHandbook[[#This Row],[UDC]],TableBEDEC[],7,FALSE),"")</f>
        <v/>
      </c>
      <c r="P203" s="200" t="str">
        <f>IFERROR(VLOOKUP(TableHandbook[[#This Row],[UDC]],TableBEDPR[],7,FALSE),"")</f>
        <v/>
      </c>
      <c r="Q203" s="200" t="str">
        <f>IFERROR(VLOOKUP(TableHandbook[[#This Row],[UDC]],TableSTRUCATHL[],7,FALSE),"")</f>
        <v/>
      </c>
      <c r="R203" s="200" t="str">
        <f>IFERROR(VLOOKUP(TableHandbook[[#This Row],[UDC]],TableSTRUENGLL[],7,FALSE),"")</f>
        <v/>
      </c>
      <c r="S203" s="200" t="str">
        <f>IFERROR(VLOOKUP(TableHandbook[[#This Row],[UDC]],TableSTRUINTBC[],7,FALSE),"")</f>
        <v/>
      </c>
      <c r="T203" s="200" t="str">
        <f>IFERROR(VLOOKUP(TableHandbook[[#This Row],[UDC]],TableSTRUISTEM[],7,FALSE),"")</f>
        <v/>
      </c>
      <c r="U203" s="200" t="str">
        <f>IFERROR(VLOOKUP(TableHandbook[[#This Row],[UDC]],TableSTRULITNU[],7,FALSE),"")</f>
        <v/>
      </c>
      <c r="V203" s="200" t="str">
        <f>IFERROR(VLOOKUP(TableHandbook[[#This Row],[UDC]],TableSTRUTECHS[],7,FALSE),"")</f>
        <v/>
      </c>
      <c r="W203" s="200" t="str">
        <f>IFERROR(VLOOKUP(TableHandbook[[#This Row],[UDC]],TableBEDSC[],7,FALSE),"")</f>
        <v/>
      </c>
      <c r="X203" s="200" t="str">
        <f>IFERROR(VLOOKUP(TableHandbook[[#This Row],[UDC]],TableMJRUARTDR[],7,FALSE),"")</f>
        <v/>
      </c>
      <c r="Y203" s="200" t="str">
        <f>IFERROR(VLOOKUP(TableHandbook[[#This Row],[UDC]],TableMJRUARTME[],7,FALSE),"")</f>
        <v/>
      </c>
      <c r="Z203" s="200" t="str">
        <f>IFERROR(VLOOKUP(TableHandbook[[#This Row],[UDC]],TableMJRUARTVA[],7,FALSE),"")</f>
        <v/>
      </c>
      <c r="AA203" s="200" t="str">
        <f>IFERROR(VLOOKUP(TableHandbook[[#This Row],[UDC]],TableMJRUENGLT[],7,FALSE),"")</f>
        <v/>
      </c>
      <c r="AB203" s="200" t="str">
        <f>IFERROR(VLOOKUP(TableHandbook[[#This Row],[UDC]],TableMJRUHLTPE[],7,FALSE),"")</f>
        <v/>
      </c>
      <c r="AC203" s="200" t="str">
        <f>IFERROR(VLOOKUP(TableHandbook[[#This Row],[UDC]],TableMJRUHUSEC[],7,FALSE),"")</f>
        <v/>
      </c>
      <c r="AD203" s="200" t="str">
        <f>IFERROR(VLOOKUP(TableHandbook[[#This Row],[UDC]],TableMJRUHUSGE[],7,FALSE),"")</f>
        <v/>
      </c>
      <c r="AE203" s="200" t="str">
        <f>IFERROR(VLOOKUP(TableHandbook[[#This Row],[UDC]],TableMJRUHUSHI[],7,FALSE),"")</f>
        <v/>
      </c>
      <c r="AF203" s="200" t="str">
        <f>IFERROR(VLOOKUP(TableHandbook[[#This Row],[UDC]],TableMJRUHUSPL[],7,FALSE),"")</f>
        <v/>
      </c>
      <c r="AG203" s="200" t="str">
        <f>IFERROR(VLOOKUP(TableHandbook[[#This Row],[UDC]],TableMJRUMATHT[],7,FALSE),"")</f>
        <v/>
      </c>
      <c r="AH203" s="200" t="str">
        <f>IFERROR(VLOOKUP(TableHandbook[[#This Row],[UDC]],TableMJRUSCIBI[],7,FALSE),"")</f>
        <v/>
      </c>
      <c r="AI203" s="200" t="str">
        <f>IFERROR(VLOOKUP(TableHandbook[[#This Row],[UDC]],TableMJRUSCICH[],7,FALSE),"")</f>
        <v/>
      </c>
      <c r="AJ203" s="200" t="str">
        <f>IFERROR(VLOOKUP(TableHandbook[[#This Row],[UDC]],TableMJRUSCIHB[],7,FALSE),"")</f>
        <v/>
      </c>
      <c r="AK203" s="200" t="str">
        <f>IFERROR(VLOOKUP(TableHandbook[[#This Row],[UDC]],TableMJRUSCIPH[],7,FALSE),"")</f>
        <v/>
      </c>
      <c r="AL203" s="200" t="str">
        <f>IFERROR(VLOOKUP(TableHandbook[[#This Row],[UDC]],TableMJRUSCIPS[],7,FALSE),"")</f>
        <v/>
      </c>
      <c r="AM203" s="202"/>
      <c r="AN203" s="200" t="str">
        <f>IFERROR(VLOOKUP(TableHandbook[[#This Row],[UDC]],TableSTRUBIOLB[],7,FALSE),"")</f>
        <v/>
      </c>
      <c r="AO203" s="200" t="str">
        <f>IFERROR(VLOOKUP(TableHandbook[[#This Row],[UDC]],TableSTRUBSCIM[],7,FALSE),"")</f>
        <v/>
      </c>
      <c r="AP203" s="200" t="str">
        <f>IFERROR(VLOOKUP(TableHandbook[[#This Row],[UDC]],TableSTRUCHEMB[],7,FALSE),"")</f>
        <v/>
      </c>
      <c r="AQ203" s="200" t="str">
        <f>IFERROR(VLOOKUP(TableHandbook[[#This Row],[UDC]],TableSTRUECOB1[],7,FALSE),"")</f>
        <v/>
      </c>
      <c r="AR203" s="200" t="str">
        <f>IFERROR(VLOOKUP(TableHandbook[[#This Row],[UDC]],TableSTRUEDART[],7,FALSE),"")</f>
        <v/>
      </c>
      <c r="AS203" s="200" t="str">
        <f>IFERROR(VLOOKUP(TableHandbook[[#This Row],[UDC]],TableSTRUEDENG[],7,FALSE),"")</f>
        <v/>
      </c>
      <c r="AT203" s="200" t="str">
        <f>IFERROR(VLOOKUP(TableHandbook[[#This Row],[UDC]],TableSTRUEDHAS[],7,FALSE),"")</f>
        <v/>
      </c>
      <c r="AU203" s="200" t="str">
        <f>IFERROR(VLOOKUP(TableHandbook[[#This Row],[UDC]],TableSTRUEDMAT[],7,FALSE),"")</f>
        <v/>
      </c>
      <c r="AV203" s="200" t="str">
        <f>IFERROR(VLOOKUP(TableHandbook[[#This Row],[UDC]],TableSTRUEDSCI[],7,FALSE),"")</f>
        <v/>
      </c>
      <c r="AW203" s="200" t="str">
        <f>IFERROR(VLOOKUP(TableHandbook[[#This Row],[UDC]],TableSTRUENGLB[],7,FALSE),"")</f>
        <v/>
      </c>
      <c r="AX203" s="200" t="str">
        <f>IFERROR(VLOOKUP(TableHandbook[[#This Row],[UDC]],TableSTRUENGLM[],7,FALSE),"")</f>
        <v/>
      </c>
      <c r="AY203" s="200" t="str">
        <f>IFERROR(VLOOKUP(TableHandbook[[#This Row],[UDC]],TableSTRUGEOB1[],7,FALSE),"")</f>
        <v/>
      </c>
      <c r="AZ203" s="200" t="str">
        <f>IFERROR(VLOOKUP(TableHandbook[[#This Row],[UDC]],TableSTRUHISB1[],7,FALSE),"")</f>
        <v/>
      </c>
      <c r="BA203" s="200" t="str">
        <f>IFERROR(VLOOKUP(TableHandbook[[#This Row],[UDC]],TableSTRUHUMAM[],7,FALSE),"")</f>
        <v/>
      </c>
      <c r="BB203" s="200" t="str">
        <f>IFERROR(VLOOKUP(TableHandbook[[#This Row],[UDC]],TableSTRUHUMBB[],7,FALSE),"")</f>
        <v/>
      </c>
      <c r="BC203" s="200" t="str">
        <f>IFERROR(VLOOKUP(TableHandbook[[#This Row],[UDC]],TableSTRUMATHB[],7,FALSE),"")</f>
        <v/>
      </c>
      <c r="BD203" s="200" t="str">
        <f>IFERROR(VLOOKUP(TableHandbook[[#This Row],[UDC]],TableSTRUMATHM[],7,FALSE),"")</f>
        <v/>
      </c>
      <c r="BE203" s="200" t="str">
        <f>IFERROR(VLOOKUP(TableHandbook[[#This Row],[UDC]],TableSTRUPARTB[],7,FALSE),"")</f>
        <v/>
      </c>
      <c r="BF203" s="200" t="str">
        <f>IFERROR(VLOOKUP(TableHandbook[[#This Row],[UDC]],TableSTRUPARTM[],7,FALSE),"")</f>
        <v/>
      </c>
      <c r="BG203" s="200" t="str">
        <f>IFERROR(VLOOKUP(TableHandbook[[#This Row],[UDC]],TableSTRUPOLB1[],7,FALSE),"")</f>
        <v/>
      </c>
      <c r="BH203" s="200" t="str">
        <f>IFERROR(VLOOKUP(TableHandbook[[#This Row],[UDC]],TableSTRUPSCIM[],7,FALSE),"")</f>
        <v/>
      </c>
      <c r="BI203" s="200" t="str">
        <f>IFERROR(VLOOKUP(TableHandbook[[#This Row],[UDC]],TableSTRUPSYCB[],7,FALSE),"")</f>
        <v/>
      </c>
      <c r="BJ203" s="200" t="str">
        <f>IFERROR(VLOOKUP(TableHandbook[[#This Row],[UDC]],TableSTRUPSYCM[],7,FALSE),"")</f>
        <v/>
      </c>
      <c r="BK203" s="200" t="str">
        <f>IFERROR(VLOOKUP(TableHandbook[[#This Row],[UDC]],TableSTRUSOSCM[],7,FALSE),"")</f>
        <v/>
      </c>
      <c r="BL203" s="200" t="str">
        <f>IFERROR(VLOOKUP(TableHandbook[[#This Row],[UDC]],TableSTRUVARTB[],7,FALSE),"")</f>
        <v/>
      </c>
      <c r="BM203" s="200" t="str">
        <f>IFERROR(VLOOKUP(TableHandbook[[#This Row],[UDC]],TableSTRUVARTM[],7,FALSE),"")</f>
        <v/>
      </c>
    </row>
    <row r="204" spans="1:65" x14ac:dyDescent="0.25">
      <c r="A204" s="11" t="s">
        <v>151</v>
      </c>
      <c r="B204" s="12"/>
      <c r="C204" s="11"/>
      <c r="D204" s="11" t="s">
        <v>783</v>
      </c>
      <c r="E204" s="12"/>
      <c r="F204" s="131" t="s">
        <v>540</v>
      </c>
      <c r="G204" s="126" t="str">
        <f>IFERROR(IF(VLOOKUP(TableHandbook[[#This Row],[UDC]],TableAvailabilities[],2,FALSE)&gt;0,"Y",""),"")</f>
        <v/>
      </c>
      <c r="H204" s="127" t="str">
        <f>IFERROR(IF(VLOOKUP(TableHandbook[[#This Row],[UDC]],TableAvailabilities[],3,FALSE)&gt;0,"Y",""),"")</f>
        <v/>
      </c>
      <c r="I204" s="127" t="str">
        <f>IFERROR(IF(VLOOKUP(TableHandbook[[#This Row],[UDC]],TableAvailabilities[],4,FALSE)&gt;0,"Y",""),"")</f>
        <v/>
      </c>
      <c r="J204" s="128" t="str">
        <f>IFERROR(IF(VLOOKUP(TableHandbook[[#This Row],[UDC]],TableAvailabilities[],5,FALSE)&gt;0,"Y",""),"")</f>
        <v/>
      </c>
      <c r="K204" s="128" t="str">
        <f>IFERROR(IF(VLOOKUP(TableHandbook[[#This Row],[UDC]],TableAvailabilities[],6,FALSE)&gt;0,"Y",""),"")</f>
        <v/>
      </c>
      <c r="L204" s="127" t="str">
        <f>IFERROR(IF(VLOOKUP(TableHandbook[[#This Row],[UDC]],TableAvailabilities[],7,FALSE)&gt;0,"Y",""),"")</f>
        <v/>
      </c>
      <c r="M204" s="207"/>
      <c r="N204" s="205" t="str">
        <f>IFERROR(VLOOKUP(TableHandbook[[#This Row],[UDC]],TableBEDUC[],7,FALSE),"")</f>
        <v/>
      </c>
      <c r="O204" s="200" t="str">
        <f>IFERROR(VLOOKUP(TableHandbook[[#This Row],[UDC]],TableBEDEC[],7,FALSE),"")</f>
        <v/>
      </c>
      <c r="P204" s="200" t="str">
        <f>IFERROR(VLOOKUP(TableHandbook[[#This Row],[UDC]],TableBEDPR[],7,FALSE),"")</f>
        <v/>
      </c>
      <c r="Q204" s="200" t="str">
        <f>IFERROR(VLOOKUP(TableHandbook[[#This Row],[UDC]],TableSTRUCATHL[],7,FALSE),"")</f>
        <v/>
      </c>
      <c r="R204" s="200" t="str">
        <f>IFERROR(VLOOKUP(TableHandbook[[#This Row],[UDC]],TableSTRUENGLL[],7,FALSE),"")</f>
        <v/>
      </c>
      <c r="S204" s="200" t="str">
        <f>IFERROR(VLOOKUP(TableHandbook[[#This Row],[UDC]],TableSTRUINTBC[],7,FALSE),"")</f>
        <v/>
      </c>
      <c r="T204" s="200" t="str">
        <f>IFERROR(VLOOKUP(TableHandbook[[#This Row],[UDC]],TableSTRUISTEM[],7,FALSE),"")</f>
        <v/>
      </c>
      <c r="U204" s="200" t="str">
        <f>IFERROR(VLOOKUP(TableHandbook[[#This Row],[UDC]],TableSTRULITNU[],7,FALSE),"")</f>
        <v/>
      </c>
      <c r="V204" s="200" t="str">
        <f>IFERROR(VLOOKUP(TableHandbook[[#This Row],[UDC]],TableSTRUTECHS[],7,FALSE),"")</f>
        <v/>
      </c>
      <c r="W204" s="200" t="str">
        <f>IFERROR(VLOOKUP(TableHandbook[[#This Row],[UDC]],TableBEDSC[],7,FALSE),"")</f>
        <v/>
      </c>
      <c r="X204" s="200" t="str">
        <f>IFERROR(VLOOKUP(TableHandbook[[#This Row],[UDC]],TableMJRUARTDR[],7,FALSE),"")</f>
        <v/>
      </c>
      <c r="Y204" s="200" t="str">
        <f>IFERROR(VLOOKUP(TableHandbook[[#This Row],[UDC]],TableMJRUARTME[],7,FALSE),"")</f>
        <v/>
      </c>
      <c r="Z204" s="200" t="str">
        <f>IFERROR(VLOOKUP(TableHandbook[[#This Row],[UDC]],TableMJRUARTVA[],7,FALSE),"")</f>
        <v/>
      </c>
      <c r="AA204" s="200" t="str">
        <f>IFERROR(VLOOKUP(TableHandbook[[#This Row],[UDC]],TableMJRUENGLT[],7,FALSE),"")</f>
        <v/>
      </c>
      <c r="AB204" s="200" t="str">
        <f>IFERROR(VLOOKUP(TableHandbook[[#This Row],[UDC]],TableMJRUHLTPE[],7,FALSE),"")</f>
        <v/>
      </c>
      <c r="AC204" s="200" t="str">
        <f>IFERROR(VLOOKUP(TableHandbook[[#This Row],[UDC]],TableMJRUHUSEC[],7,FALSE),"")</f>
        <v/>
      </c>
      <c r="AD204" s="200" t="str">
        <f>IFERROR(VLOOKUP(TableHandbook[[#This Row],[UDC]],TableMJRUHUSGE[],7,FALSE),"")</f>
        <v/>
      </c>
      <c r="AE204" s="200" t="str">
        <f>IFERROR(VLOOKUP(TableHandbook[[#This Row],[UDC]],TableMJRUHUSHI[],7,FALSE),"")</f>
        <v/>
      </c>
      <c r="AF204" s="200" t="str">
        <f>IFERROR(VLOOKUP(TableHandbook[[#This Row],[UDC]],TableMJRUHUSPL[],7,FALSE),"")</f>
        <v/>
      </c>
      <c r="AG204" s="200" t="str">
        <f>IFERROR(VLOOKUP(TableHandbook[[#This Row],[UDC]],TableMJRUMATHT[],7,FALSE),"")</f>
        <v/>
      </c>
      <c r="AH204" s="200" t="str">
        <f>IFERROR(VLOOKUP(TableHandbook[[#This Row],[UDC]],TableMJRUSCIBI[],7,FALSE),"")</f>
        <v/>
      </c>
      <c r="AI204" s="200" t="str">
        <f>IFERROR(VLOOKUP(TableHandbook[[#This Row],[UDC]],TableMJRUSCICH[],7,FALSE),"")</f>
        <v/>
      </c>
      <c r="AJ204" s="200" t="str">
        <f>IFERROR(VLOOKUP(TableHandbook[[#This Row],[UDC]],TableMJRUSCIHB[],7,FALSE),"")</f>
        <v/>
      </c>
      <c r="AK204" s="200" t="str">
        <f>IFERROR(VLOOKUP(TableHandbook[[#This Row],[UDC]],TableMJRUSCIPH[],7,FALSE),"")</f>
        <v/>
      </c>
      <c r="AL204" s="200" t="str">
        <f>IFERROR(VLOOKUP(TableHandbook[[#This Row],[UDC]],TableMJRUSCIPS[],7,FALSE),"")</f>
        <v/>
      </c>
      <c r="AM204" s="202"/>
      <c r="AN204" s="200" t="str">
        <f>IFERROR(VLOOKUP(TableHandbook[[#This Row],[UDC]],TableSTRUBIOLB[],7,FALSE),"")</f>
        <v/>
      </c>
      <c r="AO204" s="200" t="str">
        <f>IFERROR(VLOOKUP(TableHandbook[[#This Row],[UDC]],TableSTRUBSCIM[],7,FALSE),"")</f>
        <v/>
      </c>
      <c r="AP204" s="200" t="str">
        <f>IFERROR(VLOOKUP(TableHandbook[[#This Row],[UDC]],TableSTRUCHEMB[],7,FALSE),"")</f>
        <v/>
      </c>
      <c r="AQ204" s="200" t="str">
        <f>IFERROR(VLOOKUP(TableHandbook[[#This Row],[UDC]],TableSTRUECOB1[],7,FALSE),"")</f>
        <v/>
      </c>
      <c r="AR204" s="200" t="str">
        <f>IFERROR(VLOOKUP(TableHandbook[[#This Row],[UDC]],TableSTRUEDART[],7,FALSE),"")</f>
        <v/>
      </c>
      <c r="AS204" s="200" t="str">
        <f>IFERROR(VLOOKUP(TableHandbook[[#This Row],[UDC]],TableSTRUEDENG[],7,FALSE),"")</f>
        <v/>
      </c>
      <c r="AT204" s="200" t="str">
        <f>IFERROR(VLOOKUP(TableHandbook[[#This Row],[UDC]],TableSTRUEDHAS[],7,FALSE),"")</f>
        <v/>
      </c>
      <c r="AU204" s="200" t="str">
        <f>IFERROR(VLOOKUP(TableHandbook[[#This Row],[UDC]],TableSTRUEDMAT[],7,FALSE),"")</f>
        <v/>
      </c>
      <c r="AV204" s="200" t="str">
        <f>IFERROR(VLOOKUP(TableHandbook[[#This Row],[UDC]],TableSTRUEDSCI[],7,FALSE),"")</f>
        <v/>
      </c>
      <c r="AW204" s="200" t="str">
        <f>IFERROR(VLOOKUP(TableHandbook[[#This Row],[UDC]],TableSTRUENGLB[],7,FALSE),"")</f>
        <v/>
      </c>
      <c r="AX204" s="200" t="str">
        <f>IFERROR(VLOOKUP(TableHandbook[[#This Row],[UDC]],TableSTRUENGLM[],7,FALSE),"")</f>
        <v/>
      </c>
      <c r="AY204" s="200" t="str">
        <f>IFERROR(VLOOKUP(TableHandbook[[#This Row],[UDC]],TableSTRUGEOB1[],7,FALSE),"")</f>
        <v/>
      </c>
      <c r="AZ204" s="200" t="str">
        <f>IFERROR(VLOOKUP(TableHandbook[[#This Row],[UDC]],TableSTRUHISB1[],7,FALSE),"")</f>
        <v/>
      </c>
      <c r="BA204" s="200" t="str">
        <f>IFERROR(VLOOKUP(TableHandbook[[#This Row],[UDC]],TableSTRUHUMAM[],7,FALSE),"")</f>
        <v/>
      </c>
      <c r="BB204" s="200" t="str">
        <f>IFERROR(VLOOKUP(TableHandbook[[#This Row],[UDC]],TableSTRUHUMBB[],7,FALSE),"")</f>
        <v/>
      </c>
      <c r="BC204" s="200" t="str">
        <f>IFERROR(VLOOKUP(TableHandbook[[#This Row],[UDC]],TableSTRUMATHB[],7,FALSE),"")</f>
        <v/>
      </c>
      <c r="BD204" s="200" t="str">
        <f>IFERROR(VLOOKUP(TableHandbook[[#This Row],[UDC]],TableSTRUMATHM[],7,FALSE),"")</f>
        <v/>
      </c>
      <c r="BE204" s="200" t="str">
        <f>IFERROR(VLOOKUP(TableHandbook[[#This Row],[UDC]],TableSTRUPARTB[],7,FALSE),"")</f>
        <v/>
      </c>
      <c r="BF204" s="200" t="str">
        <f>IFERROR(VLOOKUP(TableHandbook[[#This Row],[UDC]],TableSTRUPARTM[],7,FALSE),"")</f>
        <v/>
      </c>
      <c r="BG204" s="200" t="str">
        <f>IFERROR(VLOOKUP(TableHandbook[[#This Row],[UDC]],TableSTRUPOLB1[],7,FALSE),"")</f>
        <v/>
      </c>
      <c r="BH204" s="200" t="str">
        <f>IFERROR(VLOOKUP(TableHandbook[[#This Row],[UDC]],TableSTRUPSCIM[],7,FALSE),"")</f>
        <v/>
      </c>
      <c r="BI204" s="200" t="str">
        <f>IFERROR(VLOOKUP(TableHandbook[[#This Row],[UDC]],TableSTRUPSYCB[],7,FALSE),"")</f>
        <v/>
      </c>
      <c r="BJ204" s="200" t="str">
        <f>IFERROR(VLOOKUP(TableHandbook[[#This Row],[UDC]],TableSTRUPSYCM[],7,FALSE),"")</f>
        <v/>
      </c>
      <c r="BK204" s="200" t="str">
        <f>IFERROR(VLOOKUP(TableHandbook[[#This Row],[UDC]],TableSTRUSOSCM[],7,FALSE),"")</f>
        <v/>
      </c>
      <c r="BL204" s="200" t="str">
        <f>IFERROR(VLOOKUP(TableHandbook[[#This Row],[UDC]],TableSTRUVARTB[],7,FALSE),"")</f>
        <v/>
      </c>
      <c r="BM204" s="200" t="str">
        <f>IFERROR(VLOOKUP(TableHandbook[[#This Row],[UDC]],TableSTRUVARTM[],7,FALSE),"")</f>
        <v/>
      </c>
    </row>
    <row r="205" spans="1:65" x14ac:dyDescent="0.25">
      <c r="A205" s="11" t="s">
        <v>164</v>
      </c>
      <c r="B205" s="12"/>
      <c r="C205" s="11"/>
      <c r="D205" s="11" t="s">
        <v>784</v>
      </c>
      <c r="E205" s="12"/>
      <c r="F205" s="131" t="s">
        <v>540</v>
      </c>
      <c r="G205" s="279" t="str">
        <f>IFERROR(IF(VLOOKUP(TableHandbook[[#This Row],[UDC]],TableAvailabilities[],2,FALSE)&gt;0,"Y",""),"")</f>
        <v/>
      </c>
      <c r="H205" s="280" t="str">
        <f>IFERROR(IF(VLOOKUP(TableHandbook[[#This Row],[UDC]],TableAvailabilities[],3,FALSE)&gt;0,"Y",""),"")</f>
        <v/>
      </c>
      <c r="I205" s="280" t="str">
        <f>IFERROR(IF(VLOOKUP(TableHandbook[[#This Row],[UDC]],TableAvailabilities[],4,FALSE)&gt;0,"Y",""),"")</f>
        <v/>
      </c>
      <c r="J205" s="281" t="str">
        <f>IFERROR(IF(VLOOKUP(TableHandbook[[#This Row],[UDC]],TableAvailabilities[],5,FALSE)&gt;0,"Y",""),"")</f>
        <v/>
      </c>
      <c r="K205" s="281" t="str">
        <f>IFERROR(IF(VLOOKUP(TableHandbook[[#This Row],[UDC]],TableAvailabilities[],6,FALSE)&gt;0,"Y",""),"")</f>
        <v/>
      </c>
      <c r="L205" s="280" t="str">
        <f>IFERROR(IF(VLOOKUP(TableHandbook[[#This Row],[UDC]],TableAvailabilities[],7,FALSE)&gt;0,"Y",""),"")</f>
        <v/>
      </c>
      <c r="M205" s="276"/>
      <c r="N205" s="277" t="str">
        <f>IFERROR(VLOOKUP(TableHandbook[[#This Row],[UDC]],TableBEDUC[],7,FALSE),"")</f>
        <v/>
      </c>
      <c r="O205" s="277" t="str">
        <f>IFERROR(VLOOKUP(TableHandbook[[#This Row],[UDC]],TableBEDEC[],7,FALSE),"")</f>
        <v/>
      </c>
      <c r="P205" s="277" t="str">
        <f>IFERROR(VLOOKUP(TableHandbook[[#This Row],[UDC]],TableBEDPR[],7,FALSE),"")</f>
        <v/>
      </c>
      <c r="Q205" s="277" t="str">
        <f>IFERROR(VLOOKUP(TableHandbook[[#This Row],[UDC]],TableSTRUCATHL[],7,FALSE),"")</f>
        <v/>
      </c>
      <c r="R205" s="277" t="str">
        <f>IFERROR(VLOOKUP(TableHandbook[[#This Row],[UDC]],TableSTRUENGLL[],7,FALSE),"")</f>
        <v/>
      </c>
      <c r="S205" s="277" t="str">
        <f>IFERROR(VLOOKUP(TableHandbook[[#This Row],[UDC]],TableSTRUINTBC[],7,FALSE),"")</f>
        <v/>
      </c>
      <c r="T205" s="277" t="str">
        <f>IFERROR(VLOOKUP(TableHandbook[[#This Row],[UDC]],TableSTRUISTEM[],7,FALSE),"")</f>
        <v/>
      </c>
      <c r="U205" s="277" t="str">
        <f>IFERROR(VLOOKUP(TableHandbook[[#This Row],[UDC]],TableSTRULITNU[],7,FALSE),"")</f>
        <v/>
      </c>
      <c r="V205" s="277" t="str">
        <f>IFERROR(VLOOKUP(TableHandbook[[#This Row],[UDC]],TableSTRUTECHS[],7,FALSE),"")</f>
        <v/>
      </c>
      <c r="W205" s="277" t="str">
        <f>IFERROR(VLOOKUP(TableHandbook[[#This Row],[UDC]],TableBEDSC[],7,FALSE),"")</f>
        <v/>
      </c>
      <c r="X205" s="277" t="str">
        <f>IFERROR(VLOOKUP(TableHandbook[[#This Row],[UDC]],TableMJRUARTDR[],7,FALSE),"")</f>
        <v/>
      </c>
      <c r="Y205" s="277" t="str">
        <f>IFERROR(VLOOKUP(TableHandbook[[#This Row],[UDC]],TableMJRUARTME[],7,FALSE),"")</f>
        <v/>
      </c>
      <c r="Z205" s="277" t="str">
        <f>IFERROR(VLOOKUP(TableHandbook[[#This Row],[UDC]],TableMJRUARTVA[],7,FALSE),"")</f>
        <v/>
      </c>
      <c r="AA205" s="277" t="str">
        <f>IFERROR(VLOOKUP(TableHandbook[[#This Row],[UDC]],TableMJRUENGLT[],7,FALSE),"")</f>
        <v/>
      </c>
      <c r="AB205" s="277" t="str">
        <f>IFERROR(VLOOKUP(TableHandbook[[#This Row],[UDC]],TableMJRUHLTPE[],7,FALSE),"")</f>
        <v/>
      </c>
      <c r="AC205" s="277" t="str">
        <f>IFERROR(VLOOKUP(TableHandbook[[#This Row],[UDC]],TableMJRUHUSEC[],7,FALSE),"")</f>
        <v/>
      </c>
      <c r="AD205" s="277" t="str">
        <f>IFERROR(VLOOKUP(TableHandbook[[#This Row],[UDC]],TableMJRUHUSGE[],7,FALSE),"")</f>
        <v/>
      </c>
      <c r="AE205" s="277" t="str">
        <f>IFERROR(VLOOKUP(TableHandbook[[#This Row],[UDC]],TableMJRUHUSHI[],7,FALSE),"")</f>
        <v/>
      </c>
      <c r="AF205" s="277" t="str">
        <f>IFERROR(VLOOKUP(TableHandbook[[#This Row],[UDC]],TableMJRUHUSPL[],7,FALSE),"")</f>
        <v/>
      </c>
      <c r="AG205" s="277" t="str">
        <f>IFERROR(VLOOKUP(TableHandbook[[#This Row],[UDC]],TableMJRUMATHT[],7,FALSE),"")</f>
        <v/>
      </c>
      <c r="AH205" s="277" t="str">
        <f>IFERROR(VLOOKUP(TableHandbook[[#This Row],[UDC]],TableMJRUSCIBI[],7,FALSE),"")</f>
        <v/>
      </c>
      <c r="AI205" s="277" t="str">
        <f>IFERROR(VLOOKUP(TableHandbook[[#This Row],[UDC]],TableMJRUSCICH[],7,FALSE),"")</f>
        <v/>
      </c>
      <c r="AJ205" s="277" t="str">
        <f>IFERROR(VLOOKUP(TableHandbook[[#This Row],[UDC]],TableMJRUSCIHB[],7,FALSE),"")</f>
        <v/>
      </c>
      <c r="AK205" s="277" t="str">
        <f>IFERROR(VLOOKUP(TableHandbook[[#This Row],[UDC]],TableMJRUSCIPH[],7,FALSE),"")</f>
        <v/>
      </c>
      <c r="AL205" s="277" t="str">
        <f>IFERROR(VLOOKUP(TableHandbook[[#This Row],[UDC]],TableMJRUSCIPS[],7,FALSE),"")</f>
        <v/>
      </c>
      <c r="AM205" s="202"/>
      <c r="AN205" s="277" t="str">
        <f>IFERROR(VLOOKUP(TableHandbook[[#This Row],[UDC]],TableSTRUBIOLB[],7,FALSE),"")</f>
        <v/>
      </c>
      <c r="AO205" s="277" t="str">
        <f>IFERROR(VLOOKUP(TableHandbook[[#This Row],[UDC]],TableSTRUBSCIM[],7,FALSE),"")</f>
        <v/>
      </c>
      <c r="AP205" s="277" t="str">
        <f>IFERROR(VLOOKUP(TableHandbook[[#This Row],[UDC]],TableSTRUCHEMB[],7,FALSE),"")</f>
        <v/>
      </c>
      <c r="AQ205" s="277" t="str">
        <f>IFERROR(VLOOKUP(TableHandbook[[#This Row],[UDC]],TableSTRUECOB1[],7,FALSE),"")</f>
        <v/>
      </c>
      <c r="AR205" s="277" t="str">
        <f>IFERROR(VLOOKUP(TableHandbook[[#This Row],[UDC]],TableSTRUEDART[],7,FALSE),"")</f>
        <v/>
      </c>
      <c r="AS205" s="277" t="str">
        <f>IFERROR(VLOOKUP(TableHandbook[[#This Row],[UDC]],TableSTRUEDENG[],7,FALSE),"")</f>
        <v/>
      </c>
      <c r="AT205" s="277" t="str">
        <f>IFERROR(VLOOKUP(TableHandbook[[#This Row],[UDC]],TableSTRUEDHAS[],7,FALSE),"")</f>
        <v/>
      </c>
      <c r="AU205" s="277" t="str">
        <f>IFERROR(VLOOKUP(TableHandbook[[#This Row],[UDC]],TableSTRUEDMAT[],7,FALSE),"")</f>
        <v/>
      </c>
      <c r="AV205" s="277" t="str">
        <f>IFERROR(VLOOKUP(TableHandbook[[#This Row],[UDC]],TableSTRUEDSCI[],7,FALSE),"")</f>
        <v/>
      </c>
      <c r="AW205" s="277" t="str">
        <f>IFERROR(VLOOKUP(TableHandbook[[#This Row],[UDC]],TableSTRUENGLB[],7,FALSE),"")</f>
        <v/>
      </c>
      <c r="AX205" s="277" t="str">
        <f>IFERROR(VLOOKUP(TableHandbook[[#This Row],[UDC]],TableSTRUENGLM[],7,FALSE),"")</f>
        <v/>
      </c>
      <c r="AY205" s="277" t="str">
        <f>IFERROR(VLOOKUP(TableHandbook[[#This Row],[UDC]],TableSTRUGEOB1[],7,FALSE),"")</f>
        <v/>
      </c>
      <c r="AZ205" s="277" t="str">
        <f>IFERROR(VLOOKUP(TableHandbook[[#This Row],[UDC]],TableSTRUHISB1[],7,FALSE),"")</f>
        <v/>
      </c>
      <c r="BA205" s="277" t="str">
        <f>IFERROR(VLOOKUP(TableHandbook[[#This Row],[UDC]],TableSTRUHUMAM[],7,FALSE),"")</f>
        <v/>
      </c>
      <c r="BB205" s="277" t="str">
        <f>IFERROR(VLOOKUP(TableHandbook[[#This Row],[UDC]],TableSTRUHUMBB[],7,FALSE),"")</f>
        <v/>
      </c>
      <c r="BC205" s="277" t="str">
        <f>IFERROR(VLOOKUP(TableHandbook[[#This Row],[UDC]],TableSTRUMATHB[],7,FALSE),"")</f>
        <v/>
      </c>
      <c r="BD205" s="277" t="str">
        <f>IFERROR(VLOOKUP(TableHandbook[[#This Row],[UDC]],TableSTRUMATHM[],7,FALSE),"")</f>
        <v/>
      </c>
      <c r="BE205" s="277" t="str">
        <f>IFERROR(VLOOKUP(TableHandbook[[#This Row],[UDC]],TableSTRUPARTB[],7,FALSE),"")</f>
        <v/>
      </c>
      <c r="BF205" s="277" t="str">
        <f>IFERROR(VLOOKUP(TableHandbook[[#This Row],[UDC]],TableSTRUPARTM[],7,FALSE),"")</f>
        <v/>
      </c>
      <c r="BG205" s="277" t="str">
        <f>IFERROR(VLOOKUP(TableHandbook[[#This Row],[UDC]],TableSTRUPOLB1[],7,FALSE),"")</f>
        <v/>
      </c>
      <c r="BH205" s="277" t="str">
        <f>IFERROR(VLOOKUP(TableHandbook[[#This Row],[UDC]],TableSTRUPSCIM[],7,FALSE),"")</f>
        <v/>
      </c>
      <c r="BI205" s="277" t="str">
        <f>IFERROR(VLOOKUP(TableHandbook[[#This Row],[UDC]],TableSTRUPSYCB[],7,FALSE),"")</f>
        <v/>
      </c>
      <c r="BJ205" s="277" t="str">
        <f>IFERROR(VLOOKUP(TableHandbook[[#This Row],[UDC]],TableSTRUPSYCM[],7,FALSE),"")</f>
        <v/>
      </c>
      <c r="BK205" s="277" t="str">
        <f>IFERROR(VLOOKUP(TableHandbook[[#This Row],[UDC]],TableSTRUSOSCM[],7,FALSE),"")</f>
        <v/>
      </c>
      <c r="BL205" s="277" t="str">
        <f>IFERROR(VLOOKUP(TableHandbook[[#This Row],[UDC]],TableSTRUVARTB[],7,FALSE),"")</f>
        <v/>
      </c>
      <c r="BM205" s="277" t="str">
        <f>IFERROR(VLOOKUP(TableHandbook[[#This Row],[UDC]],TableSTRUVARTM[],7,FALSE),"")</f>
        <v/>
      </c>
    </row>
    <row r="206" spans="1:65" x14ac:dyDescent="0.25">
      <c r="A206" s="11" t="s">
        <v>925</v>
      </c>
      <c r="B206" s="12"/>
      <c r="C206" s="11"/>
      <c r="D206" s="11" t="s">
        <v>927</v>
      </c>
      <c r="E206" s="12"/>
      <c r="F206" s="131" t="s">
        <v>540</v>
      </c>
      <c r="G206" s="126" t="str">
        <f>IFERROR(IF(VLOOKUP(TableHandbook[[#This Row],[UDC]],TableAvailabilities[],2,FALSE)&gt;0,"Y",""),"")</f>
        <v/>
      </c>
      <c r="H206" s="127" t="str">
        <f>IFERROR(IF(VLOOKUP(TableHandbook[[#This Row],[UDC]],TableAvailabilities[],3,FALSE)&gt;0,"Y",""),"")</f>
        <v/>
      </c>
      <c r="I206" s="127" t="str">
        <f>IFERROR(IF(VLOOKUP(TableHandbook[[#This Row],[UDC]],TableAvailabilities[],4,FALSE)&gt;0,"Y",""),"")</f>
        <v/>
      </c>
      <c r="J206" s="128" t="str">
        <f>IFERROR(IF(VLOOKUP(TableHandbook[[#This Row],[UDC]],TableAvailabilities[],5,FALSE)&gt;0,"Y",""),"")</f>
        <v/>
      </c>
      <c r="K206" s="128" t="str">
        <f>IFERROR(IF(VLOOKUP(TableHandbook[[#This Row],[UDC]],TableAvailabilities[],6,FALSE)&gt;0,"Y",""),"")</f>
        <v/>
      </c>
      <c r="L206" s="127" t="str">
        <f>IFERROR(IF(VLOOKUP(TableHandbook[[#This Row],[UDC]],TableAvailabilities[],7,FALSE)&gt;0,"Y",""),"")</f>
        <v/>
      </c>
      <c r="M206" s="251"/>
      <c r="N206" s="200" t="str">
        <f>IFERROR(VLOOKUP(TableHandbook[[#This Row],[UDC]],TableBEDUC[],7,FALSE),"")</f>
        <v/>
      </c>
      <c r="O206" s="200" t="str">
        <f>IFERROR(VLOOKUP(TableHandbook[[#This Row],[UDC]],TableBEDEC[],7,FALSE),"")</f>
        <v/>
      </c>
      <c r="P206" s="200" t="str">
        <f>IFERROR(VLOOKUP(TableHandbook[[#This Row],[UDC]],TableBEDPR[],7,FALSE),"")</f>
        <v/>
      </c>
      <c r="Q206" s="200" t="str">
        <f>IFERROR(VLOOKUP(TableHandbook[[#This Row],[UDC]],TableSTRUCATHL[],7,FALSE),"")</f>
        <v/>
      </c>
      <c r="R206" s="200" t="str">
        <f>IFERROR(VLOOKUP(TableHandbook[[#This Row],[UDC]],TableSTRUENGLL[],7,FALSE),"")</f>
        <v/>
      </c>
      <c r="S206" s="200" t="str">
        <f>IFERROR(VLOOKUP(TableHandbook[[#This Row],[UDC]],TableSTRUINTBC[],7,FALSE),"")</f>
        <v/>
      </c>
      <c r="T206" s="200" t="str">
        <f>IFERROR(VLOOKUP(TableHandbook[[#This Row],[UDC]],TableSTRUISTEM[],7,FALSE),"")</f>
        <v/>
      </c>
      <c r="U206" s="200" t="str">
        <f>IFERROR(VLOOKUP(TableHandbook[[#This Row],[UDC]],TableSTRULITNU[],7,FALSE),"")</f>
        <v/>
      </c>
      <c r="V206" s="200" t="str">
        <f>IFERROR(VLOOKUP(TableHandbook[[#This Row],[UDC]],TableSTRUTECHS[],7,FALSE),"")</f>
        <v/>
      </c>
      <c r="W206" s="200" t="str">
        <f>IFERROR(VLOOKUP(TableHandbook[[#This Row],[UDC]],TableBEDSC[],7,FALSE),"")</f>
        <v/>
      </c>
      <c r="X206" s="200" t="str">
        <f>IFERROR(VLOOKUP(TableHandbook[[#This Row],[UDC]],TableMJRUARTDR[],7,FALSE),"")</f>
        <v/>
      </c>
      <c r="Y206" s="200" t="str">
        <f>IFERROR(VLOOKUP(TableHandbook[[#This Row],[UDC]],TableMJRUARTME[],7,FALSE),"")</f>
        <v/>
      </c>
      <c r="Z206" s="200" t="str">
        <f>IFERROR(VLOOKUP(TableHandbook[[#This Row],[UDC]],TableMJRUARTVA[],7,FALSE),"")</f>
        <v/>
      </c>
      <c r="AA206" s="200" t="str">
        <f>IFERROR(VLOOKUP(TableHandbook[[#This Row],[UDC]],TableMJRUENGLT[],7,FALSE),"")</f>
        <v/>
      </c>
      <c r="AB206" s="200" t="str">
        <f>IFERROR(VLOOKUP(TableHandbook[[#This Row],[UDC]],TableMJRUHLTPE[],7,FALSE),"")</f>
        <v/>
      </c>
      <c r="AC206" s="200" t="str">
        <f>IFERROR(VLOOKUP(TableHandbook[[#This Row],[UDC]],TableMJRUHUSEC[],7,FALSE),"")</f>
        <v/>
      </c>
      <c r="AD206" s="200" t="str">
        <f>IFERROR(VLOOKUP(TableHandbook[[#This Row],[UDC]],TableMJRUHUSGE[],7,FALSE),"")</f>
        <v/>
      </c>
      <c r="AE206" s="200" t="str">
        <f>IFERROR(VLOOKUP(TableHandbook[[#This Row],[UDC]],TableMJRUHUSHI[],7,FALSE),"")</f>
        <v/>
      </c>
      <c r="AF206" s="200" t="str">
        <f>IFERROR(VLOOKUP(TableHandbook[[#This Row],[UDC]],TableMJRUHUSPL[],7,FALSE),"")</f>
        <v/>
      </c>
      <c r="AG206" s="200" t="str">
        <f>IFERROR(VLOOKUP(TableHandbook[[#This Row],[UDC]],TableMJRUMATHT[],7,FALSE),"")</f>
        <v/>
      </c>
      <c r="AH206" s="200" t="str">
        <f>IFERROR(VLOOKUP(TableHandbook[[#This Row],[UDC]],TableMJRUSCIBI[],7,FALSE),"")</f>
        <v/>
      </c>
      <c r="AI206" s="200" t="str">
        <f>IFERROR(VLOOKUP(TableHandbook[[#This Row],[UDC]],TableMJRUSCICH[],7,FALSE),"")</f>
        <v/>
      </c>
      <c r="AJ206" s="200" t="str">
        <f>IFERROR(VLOOKUP(TableHandbook[[#This Row],[UDC]],TableMJRUSCIHB[],7,FALSE),"")</f>
        <v/>
      </c>
      <c r="AK206" s="200" t="str">
        <f>IFERROR(VLOOKUP(TableHandbook[[#This Row],[UDC]],TableMJRUSCIPH[],7,FALSE),"")</f>
        <v/>
      </c>
      <c r="AL206" s="200" t="str">
        <f>IFERROR(VLOOKUP(TableHandbook[[#This Row],[UDC]],TableMJRUSCIPS[],7,FALSE),"")</f>
        <v/>
      </c>
      <c r="AM206" s="202"/>
      <c r="AN206" s="200" t="str">
        <f>IFERROR(VLOOKUP(TableHandbook[[#This Row],[UDC]],TableSTRUBIOLB[],7,FALSE),"")</f>
        <v/>
      </c>
      <c r="AO206" s="200" t="str">
        <f>IFERROR(VLOOKUP(TableHandbook[[#This Row],[UDC]],TableSTRUBSCIM[],7,FALSE),"")</f>
        <v/>
      </c>
      <c r="AP206" s="200" t="str">
        <f>IFERROR(VLOOKUP(TableHandbook[[#This Row],[UDC]],TableSTRUCHEMB[],7,FALSE),"")</f>
        <v/>
      </c>
      <c r="AQ206" s="200" t="str">
        <f>IFERROR(VLOOKUP(TableHandbook[[#This Row],[UDC]],TableSTRUECOB1[],7,FALSE),"")</f>
        <v/>
      </c>
      <c r="AR206" s="200" t="str">
        <f>IFERROR(VLOOKUP(TableHandbook[[#This Row],[UDC]],TableSTRUEDART[],7,FALSE),"")</f>
        <v/>
      </c>
      <c r="AS206" s="200" t="str">
        <f>IFERROR(VLOOKUP(TableHandbook[[#This Row],[UDC]],TableSTRUEDENG[],7,FALSE),"")</f>
        <v/>
      </c>
      <c r="AT206" s="200" t="str">
        <f>IFERROR(VLOOKUP(TableHandbook[[#This Row],[UDC]],TableSTRUEDHAS[],7,FALSE),"")</f>
        <v/>
      </c>
      <c r="AU206" s="200" t="str">
        <f>IFERROR(VLOOKUP(TableHandbook[[#This Row],[UDC]],TableSTRUEDMAT[],7,FALSE),"")</f>
        <v/>
      </c>
      <c r="AV206" s="200" t="str">
        <f>IFERROR(VLOOKUP(TableHandbook[[#This Row],[UDC]],TableSTRUEDSCI[],7,FALSE),"")</f>
        <v/>
      </c>
      <c r="AW206" s="200" t="str">
        <f>IFERROR(VLOOKUP(TableHandbook[[#This Row],[UDC]],TableSTRUENGLB[],7,FALSE),"")</f>
        <v/>
      </c>
      <c r="AX206" s="200" t="str">
        <f>IFERROR(VLOOKUP(TableHandbook[[#This Row],[UDC]],TableSTRUENGLM[],7,FALSE),"")</f>
        <v/>
      </c>
      <c r="AY206" s="200" t="str">
        <f>IFERROR(VLOOKUP(TableHandbook[[#This Row],[UDC]],TableSTRUGEOB1[],7,FALSE),"")</f>
        <v/>
      </c>
      <c r="AZ206" s="200" t="str">
        <f>IFERROR(VLOOKUP(TableHandbook[[#This Row],[UDC]],TableSTRUHISB1[],7,FALSE),"")</f>
        <v/>
      </c>
      <c r="BA206" s="200" t="str">
        <f>IFERROR(VLOOKUP(TableHandbook[[#This Row],[UDC]],TableSTRUHUMAM[],7,FALSE),"")</f>
        <v/>
      </c>
      <c r="BB206" s="200" t="str">
        <f>IFERROR(VLOOKUP(TableHandbook[[#This Row],[UDC]],TableSTRUHUMBB[],7,FALSE),"")</f>
        <v/>
      </c>
      <c r="BC206" s="200" t="str">
        <f>IFERROR(VLOOKUP(TableHandbook[[#This Row],[UDC]],TableSTRUMATHB[],7,FALSE),"")</f>
        <v/>
      </c>
      <c r="BD206" s="200" t="str">
        <f>IFERROR(VLOOKUP(TableHandbook[[#This Row],[UDC]],TableSTRUMATHM[],7,FALSE),"")</f>
        <v/>
      </c>
      <c r="BE206" s="200" t="str">
        <f>IFERROR(VLOOKUP(TableHandbook[[#This Row],[UDC]],TableSTRUPARTB[],7,FALSE),"")</f>
        <v/>
      </c>
      <c r="BF206" s="200" t="str">
        <f>IFERROR(VLOOKUP(TableHandbook[[#This Row],[UDC]],TableSTRUPARTM[],7,FALSE),"")</f>
        <v/>
      </c>
      <c r="BG206" s="200" t="str">
        <f>IFERROR(VLOOKUP(TableHandbook[[#This Row],[UDC]],TableSTRUPOLB1[],7,FALSE),"")</f>
        <v/>
      </c>
      <c r="BH206" s="200" t="str">
        <f>IFERROR(VLOOKUP(TableHandbook[[#This Row],[UDC]],TableSTRUPSCIM[],7,FALSE),"")</f>
        <v/>
      </c>
      <c r="BI206" s="200" t="str">
        <f>IFERROR(VLOOKUP(TableHandbook[[#This Row],[UDC]],TableSTRUPSYCB[],7,FALSE),"")</f>
        <v/>
      </c>
      <c r="BJ206" s="200" t="str">
        <f>IFERROR(VLOOKUP(TableHandbook[[#This Row],[UDC]],TableSTRUPSYCM[],7,FALSE),"")</f>
        <v/>
      </c>
      <c r="BK206" s="200" t="str">
        <f>IFERROR(VLOOKUP(TableHandbook[[#This Row],[UDC]],TableSTRUSOSCM[],7,FALSE),"")</f>
        <v/>
      </c>
      <c r="BL206" s="200" t="str">
        <f>IFERROR(VLOOKUP(TableHandbook[[#This Row],[UDC]],TableSTRUVARTB[],7,FALSE),"")</f>
        <v/>
      </c>
      <c r="BM206" s="200" t="str">
        <f>IFERROR(VLOOKUP(TableHandbook[[#This Row],[UDC]],TableSTRUVARTM[],7,FALSE),"")</f>
        <v/>
      </c>
    </row>
    <row r="207" spans="1:65" x14ac:dyDescent="0.25">
      <c r="A207" s="11" t="s">
        <v>929</v>
      </c>
      <c r="B207" s="12"/>
      <c r="C207" s="11"/>
      <c r="D207" s="11" t="s">
        <v>930</v>
      </c>
      <c r="E207" s="12"/>
      <c r="F207" s="131" t="s">
        <v>540</v>
      </c>
      <c r="G207" s="279" t="str">
        <f>IFERROR(IF(VLOOKUP(TableHandbook[[#This Row],[UDC]],TableAvailabilities[],2,FALSE)&gt;0,"Y",""),"")</f>
        <v/>
      </c>
      <c r="H207" s="280" t="str">
        <f>IFERROR(IF(VLOOKUP(TableHandbook[[#This Row],[UDC]],TableAvailabilities[],3,FALSE)&gt;0,"Y",""),"")</f>
        <v/>
      </c>
      <c r="I207" s="280" t="str">
        <f>IFERROR(IF(VLOOKUP(TableHandbook[[#This Row],[UDC]],TableAvailabilities[],4,FALSE)&gt;0,"Y",""),"")</f>
        <v/>
      </c>
      <c r="J207" s="281" t="str">
        <f>IFERROR(IF(VLOOKUP(TableHandbook[[#This Row],[UDC]],TableAvailabilities[],5,FALSE)&gt;0,"Y",""),"")</f>
        <v/>
      </c>
      <c r="K207" s="281" t="str">
        <f>IFERROR(IF(VLOOKUP(TableHandbook[[#This Row],[UDC]],TableAvailabilities[],6,FALSE)&gt;0,"Y",""),"")</f>
        <v/>
      </c>
      <c r="L207" s="280" t="str">
        <f>IFERROR(IF(VLOOKUP(TableHandbook[[#This Row],[UDC]],TableAvailabilities[],7,FALSE)&gt;0,"Y",""),"")</f>
        <v/>
      </c>
      <c r="M207" s="276"/>
      <c r="N207" s="277" t="str">
        <f>IFERROR(VLOOKUP(TableHandbook[[#This Row],[UDC]],TableBEDUC[],7,FALSE),"")</f>
        <v/>
      </c>
      <c r="O207" s="277" t="str">
        <f>IFERROR(VLOOKUP(TableHandbook[[#This Row],[UDC]],TableBEDEC[],7,FALSE),"")</f>
        <v/>
      </c>
      <c r="P207" s="277" t="str">
        <f>IFERROR(VLOOKUP(TableHandbook[[#This Row],[UDC]],TableBEDPR[],7,FALSE),"")</f>
        <v/>
      </c>
      <c r="Q207" s="277" t="str">
        <f>IFERROR(VLOOKUP(TableHandbook[[#This Row],[UDC]],TableSTRUCATHL[],7,FALSE),"")</f>
        <v/>
      </c>
      <c r="R207" s="277" t="str">
        <f>IFERROR(VLOOKUP(TableHandbook[[#This Row],[UDC]],TableSTRUENGLL[],7,FALSE),"")</f>
        <v/>
      </c>
      <c r="S207" s="277" t="str">
        <f>IFERROR(VLOOKUP(TableHandbook[[#This Row],[UDC]],TableSTRUINTBC[],7,FALSE),"")</f>
        <v/>
      </c>
      <c r="T207" s="277" t="str">
        <f>IFERROR(VLOOKUP(TableHandbook[[#This Row],[UDC]],TableSTRUISTEM[],7,FALSE),"")</f>
        <v/>
      </c>
      <c r="U207" s="277" t="str">
        <f>IFERROR(VLOOKUP(TableHandbook[[#This Row],[UDC]],TableSTRULITNU[],7,FALSE),"")</f>
        <v/>
      </c>
      <c r="V207" s="277" t="str">
        <f>IFERROR(VLOOKUP(TableHandbook[[#This Row],[UDC]],TableSTRUTECHS[],7,FALSE),"")</f>
        <v/>
      </c>
      <c r="W207" s="277" t="str">
        <f>IFERROR(VLOOKUP(TableHandbook[[#This Row],[UDC]],TableBEDSC[],7,FALSE),"")</f>
        <v/>
      </c>
      <c r="X207" s="277" t="str">
        <f>IFERROR(VLOOKUP(TableHandbook[[#This Row],[UDC]],TableMJRUARTDR[],7,FALSE),"")</f>
        <v/>
      </c>
      <c r="Y207" s="277" t="str">
        <f>IFERROR(VLOOKUP(TableHandbook[[#This Row],[UDC]],TableMJRUARTME[],7,FALSE),"")</f>
        <v/>
      </c>
      <c r="Z207" s="277" t="str">
        <f>IFERROR(VLOOKUP(TableHandbook[[#This Row],[UDC]],TableMJRUARTVA[],7,FALSE),"")</f>
        <v/>
      </c>
      <c r="AA207" s="277" t="str">
        <f>IFERROR(VLOOKUP(TableHandbook[[#This Row],[UDC]],TableMJRUENGLT[],7,FALSE),"")</f>
        <v/>
      </c>
      <c r="AB207" s="277" t="str">
        <f>IFERROR(VLOOKUP(TableHandbook[[#This Row],[UDC]],TableMJRUHLTPE[],7,FALSE),"")</f>
        <v/>
      </c>
      <c r="AC207" s="277" t="str">
        <f>IFERROR(VLOOKUP(TableHandbook[[#This Row],[UDC]],TableMJRUHUSEC[],7,FALSE),"")</f>
        <v/>
      </c>
      <c r="AD207" s="277" t="str">
        <f>IFERROR(VLOOKUP(TableHandbook[[#This Row],[UDC]],TableMJRUHUSGE[],7,FALSE),"")</f>
        <v/>
      </c>
      <c r="AE207" s="277" t="str">
        <f>IFERROR(VLOOKUP(TableHandbook[[#This Row],[UDC]],TableMJRUHUSHI[],7,FALSE),"")</f>
        <v/>
      </c>
      <c r="AF207" s="277" t="str">
        <f>IFERROR(VLOOKUP(TableHandbook[[#This Row],[UDC]],TableMJRUHUSPL[],7,FALSE),"")</f>
        <v/>
      </c>
      <c r="AG207" s="277" t="str">
        <f>IFERROR(VLOOKUP(TableHandbook[[#This Row],[UDC]],TableMJRUMATHT[],7,FALSE),"")</f>
        <v/>
      </c>
      <c r="AH207" s="277" t="str">
        <f>IFERROR(VLOOKUP(TableHandbook[[#This Row],[UDC]],TableMJRUSCIBI[],7,FALSE),"")</f>
        <v/>
      </c>
      <c r="AI207" s="277" t="str">
        <f>IFERROR(VLOOKUP(TableHandbook[[#This Row],[UDC]],TableMJRUSCICH[],7,FALSE),"")</f>
        <v/>
      </c>
      <c r="AJ207" s="277" t="str">
        <f>IFERROR(VLOOKUP(TableHandbook[[#This Row],[UDC]],TableMJRUSCIHB[],7,FALSE),"")</f>
        <v/>
      </c>
      <c r="AK207" s="277" t="str">
        <f>IFERROR(VLOOKUP(TableHandbook[[#This Row],[UDC]],TableMJRUSCIPH[],7,FALSE),"")</f>
        <v/>
      </c>
      <c r="AL207" s="277" t="str">
        <f>IFERROR(VLOOKUP(TableHandbook[[#This Row],[UDC]],TableMJRUSCIPS[],7,FALSE),"")</f>
        <v/>
      </c>
      <c r="AM207" s="202"/>
      <c r="AN207" s="277" t="str">
        <f>IFERROR(VLOOKUP(TableHandbook[[#This Row],[UDC]],TableSTRUBIOLB[],7,FALSE),"")</f>
        <v/>
      </c>
      <c r="AO207" s="277" t="str">
        <f>IFERROR(VLOOKUP(TableHandbook[[#This Row],[UDC]],TableSTRUBSCIM[],7,FALSE),"")</f>
        <v/>
      </c>
      <c r="AP207" s="277" t="str">
        <f>IFERROR(VLOOKUP(TableHandbook[[#This Row],[UDC]],TableSTRUCHEMB[],7,FALSE),"")</f>
        <v/>
      </c>
      <c r="AQ207" s="277" t="str">
        <f>IFERROR(VLOOKUP(TableHandbook[[#This Row],[UDC]],TableSTRUECOB1[],7,FALSE),"")</f>
        <v/>
      </c>
      <c r="AR207" s="277" t="str">
        <f>IFERROR(VLOOKUP(TableHandbook[[#This Row],[UDC]],TableSTRUEDART[],7,FALSE),"")</f>
        <v/>
      </c>
      <c r="AS207" s="277" t="str">
        <f>IFERROR(VLOOKUP(TableHandbook[[#This Row],[UDC]],TableSTRUEDENG[],7,FALSE),"")</f>
        <v/>
      </c>
      <c r="AT207" s="277" t="str">
        <f>IFERROR(VLOOKUP(TableHandbook[[#This Row],[UDC]],TableSTRUEDHAS[],7,FALSE),"")</f>
        <v/>
      </c>
      <c r="AU207" s="277" t="str">
        <f>IFERROR(VLOOKUP(TableHandbook[[#This Row],[UDC]],TableSTRUEDMAT[],7,FALSE),"")</f>
        <v/>
      </c>
      <c r="AV207" s="277" t="str">
        <f>IFERROR(VLOOKUP(TableHandbook[[#This Row],[UDC]],TableSTRUEDSCI[],7,FALSE),"")</f>
        <v/>
      </c>
      <c r="AW207" s="277" t="str">
        <f>IFERROR(VLOOKUP(TableHandbook[[#This Row],[UDC]],TableSTRUENGLB[],7,FALSE),"")</f>
        <v/>
      </c>
      <c r="AX207" s="277" t="str">
        <f>IFERROR(VLOOKUP(TableHandbook[[#This Row],[UDC]],TableSTRUENGLM[],7,FALSE),"")</f>
        <v/>
      </c>
      <c r="AY207" s="277" t="str">
        <f>IFERROR(VLOOKUP(TableHandbook[[#This Row],[UDC]],TableSTRUGEOB1[],7,FALSE),"")</f>
        <v/>
      </c>
      <c r="AZ207" s="277" t="str">
        <f>IFERROR(VLOOKUP(TableHandbook[[#This Row],[UDC]],TableSTRUHISB1[],7,FALSE),"")</f>
        <v/>
      </c>
      <c r="BA207" s="277" t="str">
        <f>IFERROR(VLOOKUP(TableHandbook[[#This Row],[UDC]],TableSTRUHUMAM[],7,FALSE),"")</f>
        <v/>
      </c>
      <c r="BB207" s="277" t="str">
        <f>IFERROR(VLOOKUP(TableHandbook[[#This Row],[UDC]],TableSTRUHUMBB[],7,FALSE),"")</f>
        <v/>
      </c>
      <c r="BC207" s="277" t="str">
        <f>IFERROR(VLOOKUP(TableHandbook[[#This Row],[UDC]],TableSTRUMATHB[],7,FALSE),"")</f>
        <v/>
      </c>
      <c r="BD207" s="277" t="str">
        <f>IFERROR(VLOOKUP(TableHandbook[[#This Row],[UDC]],TableSTRUMATHM[],7,FALSE),"")</f>
        <v/>
      </c>
      <c r="BE207" s="277" t="str">
        <f>IFERROR(VLOOKUP(TableHandbook[[#This Row],[UDC]],TableSTRUPARTB[],7,FALSE),"")</f>
        <v/>
      </c>
      <c r="BF207" s="277" t="str">
        <f>IFERROR(VLOOKUP(TableHandbook[[#This Row],[UDC]],TableSTRUPARTM[],7,FALSE),"")</f>
        <v/>
      </c>
      <c r="BG207" s="277" t="str">
        <f>IFERROR(VLOOKUP(TableHandbook[[#This Row],[UDC]],TableSTRUPOLB1[],7,FALSE),"")</f>
        <v/>
      </c>
      <c r="BH207" s="277" t="str">
        <f>IFERROR(VLOOKUP(TableHandbook[[#This Row],[UDC]],TableSTRUPSCIM[],7,FALSE),"")</f>
        <v/>
      </c>
      <c r="BI207" s="277" t="str">
        <f>IFERROR(VLOOKUP(TableHandbook[[#This Row],[UDC]],TableSTRUPSYCB[],7,FALSE),"")</f>
        <v/>
      </c>
      <c r="BJ207" s="277" t="str">
        <f>IFERROR(VLOOKUP(TableHandbook[[#This Row],[UDC]],TableSTRUPSYCM[],7,FALSE),"")</f>
        <v/>
      </c>
      <c r="BK207" s="277" t="str">
        <f>IFERROR(VLOOKUP(TableHandbook[[#This Row],[UDC]],TableSTRUSOSCM[],7,FALSE),"")</f>
        <v/>
      </c>
      <c r="BL207" s="277" t="str">
        <f>IFERROR(VLOOKUP(TableHandbook[[#This Row],[UDC]],TableSTRUVARTB[],7,FALSE),"")</f>
        <v/>
      </c>
      <c r="BM207" s="277" t="str">
        <f>IFERROR(VLOOKUP(TableHandbook[[#This Row],[UDC]],TableSTRUVARTM[],7,FALSE),"")</f>
        <v/>
      </c>
    </row>
    <row r="208" spans="1:65" x14ac:dyDescent="0.25">
      <c r="A208" s="11" t="s">
        <v>922</v>
      </c>
      <c r="B208" s="12"/>
      <c r="C208" s="11"/>
      <c r="D208" s="11" t="s">
        <v>926</v>
      </c>
      <c r="E208" s="12"/>
      <c r="F208" s="131"/>
      <c r="G208" s="326" t="str">
        <f>IFERROR(IF(VLOOKUP(TableHandbook[[#This Row],[UDC]],TableAvailabilities[],2,FALSE)&gt;0,"Y",""),"")</f>
        <v/>
      </c>
      <c r="H208" s="327" t="str">
        <f>IFERROR(IF(VLOOKUP(TableHandbook[[#This Row],[UDC]],TableAvailabilities[],3,FALSE)&gt;0,"Y",""),"")</f>
        <v/>
      </c>
      <c r="I208" s="327" t="str">
        <f>IFERROR(IF(VLOOKUP(TableHandbook[[#This Row],[UDC]],TableAvailabilities[],4,FALSE)&gt;0,"Y",""),"")</f>
        <v/>
      </c>
      <c r="J208" s="328" t="str">
        <f>IFERROR(IF(VLOOKUP(TableHandbook[[#This Row],[UDC]],TableAvailabilities[],5,FALSE)&gt;0,"Y",""),"")</f>
        <v/>
      </c>
      <c r="K208" s="328" t="str">
        <f>IFERROR(IF(VLOOKUP(TableHandbook[[#This Row],[UDC]],TableAvailabilities[],6,FALSE)&gt;0,"Y",""),"")</f>
        <v/>
      </c>
      <c r="L208" s="327" t="str">
        <f>IFERROR(IF(VLOOKUP(TableHandbook[[#This Row],[UDC]],TableAvailabilities[],7,FALSE)&gt;0,"Y",""),"")</f>
        <v/>
      </c>
      <c r="M208" s="331"/>
      <c r="N208" s="277" t="str">
        <f>IFERROR(VLOOKUP(TableHandbook[[#This Row],[UDC]],TableBEDUC[],7,FALSE),"")</f>
        <v/>
      </c>
      <c r="O208" s="332" t="str">
        <f>IFERROR(VLOOKUP(TableHandbook[[#This Row],[UDC]],TableBEDEC[],7,FALSE),"")</f>
        <v/>
      </c>
      <c r="P208" s="332" t="str">
        <f>IFERROR(VLOOKUP(TableHandbook[[#This Row],[UDC]],TableBEDPR[],7,FALSE),"")</f>
        <v/>
      </c>
      <c r="Q208" s="332" t="str">
        <f>IFERROR(VLOOKUP(TableHandbook[[#This Row],[UDC]],TableSTRUCATHL[],7,FALSE),"")</f>
        <v/>
      </c>
      <c r="R208" s="332" t="str">
        <f>IFERROR(VLOOKUP(TableHandbook[[#This Row],[UDC]],TableSTRUENGLL[],7,FALSE),"")</f>
        <v/>
      </c>
      <c r="S208" s="332" t="str">
        <f>IFERROR(VLOOKUP(TableHandbook[[#This Row],[UDC]],TableSTRUINTBC[],7,FALSE),"")</f>
        <v/>
      </c>
      <c r="T208" s="332" t="str">
        <f>IFERROR(VLOOKUP(TableHandbook[[#This Row],[UDC]],TableSTRUISTEM[],7,FALSE),"")</f>
        <v/>
      </c>
      <c r="U208" s="332" t="str">
        <f>IFERROR(VLOOKUP(TableHandbook[[#This Row],[UDC]],TableSTRULITNU[],7,FALSE),"")</f>
        <v/>
      </c>
      <c r="V208" s="332" t="str">
        <f>IFERROR(VLOOKUP(TableHandbook[[#This Row],[UDC]],TableSTRUTECHS[],7,FALSE),"")</f>
        <v/>
      </c>
      <c r="W208" s="332" t="str">
        <f>IFERROR(VLOOKUP(TableHandbook[[#This Row],[UDC]],TableBEDSC[],7,FALSE),"")</f>
        <v/>
      </c>
      <c r="X208" s="332" t="str">
        <f>IFERROR(VLOOKUP(TableHandbook[[#This Row],[UDC]],TableMJRUARTDR[],7,FALSE),"")</f>
        <v/>
      </c>
      <c r="Y208" s="332" t="str">
        <f>IFERROR(VLOOKUP(TableHandbook[[#This Row],[UDC]],TableMJRUARTME[],7,FALSE),"")</f>
        <v/>
      </c>
      <c r="Z208" s="332" t="str">
        <f>IFERROR(VLOOKUP(TableHandbook[[#This Row],[UDC]],TableMJRUARTVA[],7,FALSE),"")</f>
        <v/>
      </c>
      <c r="AA208" s="332" t="str">
        <f>IFERROR(VLOOKUP(TableHandbook[[#This Row],[UDC]],TableMJRUENGLT[],7,FALSE),"")</f>
        <v/>
      </c>
      <c r="AB208" s="332" t="str">
        <f>IFERROR(VLOOKUP(TableHandbook[[#This Row],[UDC]],TableMJRUHLTPE[],7,FALSE),"")</f>
        <v/>
      </c>
      <c r="AC208" s="332" t="str">
        <f>IFERROR(VLOOKUP(TableHandbook[[#This Row],[UDC]],TableMJRUHUSEC[],7,FALSE),"")</f>
        <v/>
      </c>
      <c r="AD208" s="332" t="str">
        <f>IFERROR(VLOOKUP(TableHandbook[[#This Row],[UDC]],TableMJRUHUSGE[],7,FALSE),"")</f>
        <v/>
      </c>
      <c r="AE208" s="332" t="str">
        <f>IFERROR(VLOOKUP(TableHandbook[[#This Row],[UDC]],TableMJRUHUSHI[],7,FALSE),"")</f>
        <v/>
      </c>
      <c r="AF208" s="332" t="str">
        <f>IFERROR(VLOOKUP(TableHandbook[[#This Row],[UDC]],TableMJRUHUSPL[],7,FALSE),"")</f>
        <v/>
      </c>
      <c r="AG208" s="332" t="str">
        <f>IFERROR(VLOOKUP(TableHandbook[[#This Row],[UDC]],TableMJRUMATHT[],7,FALSE),"")</f>
        <v/>
      </c>
      <c r="AH208" s="332" t="str">
        <f>IFERROR(VLOOKUP(TableHandbook[[#This Row],[UDC]],TableMJRUSCIBI[],7,FALSE),"")</f>
        <v/>
      </c>
      <c r="AI208" s="332" t="str">
        <f>IFERROR(VLOOKUP(TableHandbook[[#This Row],[UDC]],TableMJRUSCICH[],7,FALSE),"")</f>
        <v/>
      </c>
      <c r="AJ208" s="332" t="str">
        <f>IFERROR(VLOOKUP(TableHandbook[[#This Row],[UDC]],TableMJRUSCIHB[],7,FALSE),"")</f>
        <v/>
      </c>
      <c r="AK208" s="332" t="str">
        <f>IFERROR(VLOOKUP(TableHandbook[[#This Row],[UDC]],TableMJRUSCIPH[],7,FALSE),"")</f>
        <v/>
      </c>
      <c r="AL208" s="332" t="str">
        <f>IFERROR(VLOOKUP(TableHandbook[[#This Row],[UDC]],TableMJRUSCIPS[],7,FALSE),"")</f>
        <v/>
      </c>
      <c r="AM208" s="202"/>
      <c r="AN208" s="332" t="str">
        <f>IFERROR(VLOOKUP(TableHandbook[[#This Row],[UDC]],TableSTRUBIOLB[],7,FALSE),"")</f>
        <v/>
      </c>
      <c r="AO208" s="332" t="str">
        <f>IFERROR(VLOOKUP(TableHandbook[[#This Row],[UDC]],TableSTRUBSCIM[],7,FALSE),"")</f>
        <v/>
      </c>
      <c r="AP208" s="332" t="str">
        <f>IFERROR(VLOOKUP(TableHandbook[[#This Row],[UDC]],TableSTRUCHEMB[],7,FALSE),"")</f>
        <v/>
      </c>
      <c r="AQ208" s="332" t="str">
        <f>IFERROR(VLOOKUP(TableHandbook[[#This Row],[UDC]],TableSTRUECOB1[],7,FALSE),"")</f>
        <v/>
      </c>
      <c r="AR208" s="332" t="str">
        <f>IFERROR(VLOOKUP(TableHandbook[[#This Row],[UDC]],TableSTRUEDART[],7,FALSE),"")</f>
        <v/>
      </c>
      <c r="AS208" s="332" t="str">
        <f>IFERROR(VLOOKUP(TableHandbook[[#This Row],[UDC]],TableSTRUEDENG[],7,FALSE),"")</f>
        <v/>
      </c>
      <c r="AT208" s="332" t="str">
        <f>IFERROR(VLOOKUP(TableHandbook[[#This Row],[UDC]],TableSTRUEDHAS[],7,FALSE),"")</f>
        <v/>
      </c>
      <c r="AU208" s="332" t="str">
        <f>IFERROR(VLOOKUP(TableHandbook[[#This Row],[UDC]],TableSTRUEDMAT[],7,FALSE),"")</f>
        <v/>
      </c>
      <c r="AV208" s="332" t="str">
        <f>IFERROR(VLOOKUP(TableHandbook[[#This Row],[UDC]],TableSTRUEDSCI[],7,FALSE),"")</f>
        <v/>
      </c>
      <c r="AW208" s="332" t="str">
        <f>IFERROR(VLOOKUP(TableHandbook[[#This Row],[UDC]],TableSTRUENGLB[],7,FALSE),"")</f>
        <v/>
      </c>
      <c r="AX208" s="332" t="str">
        <f>IFERROR(VLOOKUP(TableHandbook[[#This Row],[UDC]],TableSTRUENGLM[],7,FALSE),"")</f>
        <v/>
      </c>
      <c r="AY208" s="332" t="str">
        <f>IFERROR(VLOOKUP(TableHandbook[[#This Row],[UDC]],TableSTRUGEOB1[],7,FALSE),"")</f>
        <v/>
      </c>
      <c r="AZ208" s="332" t="str">
        <f>IFERROR(VLOOKUP(TableHandbook[[#This Row],[UDC]],TableSTRUHISB1[],7,FALSE),"")</f>
        <v/>
      </c>
      <c r="BA208" s="332" t="str">
        <f>IFERROR(VLOOKUP(TableHandbook[[#This Row],[UDC]],TableSTRUHUMAM[],7,FALSE),"")</f>
        <v/>
      </c>
      <c r="BB208" s="332" t="str">
        <f>IFERROR(VLOOKUP(TableHandbook[[#This Row],[UDC]],TableSTRUHUMBB[],7,FALSE),"")</f>
        <v/>
      </c>
      <c r="BC208" s="332" t="str">
        <f>IFERROR(VLOOKUP(TableHandbook[[#This Row],[UDC]],TableSTRUMATHB[],7,FALSE),"")</f>
        <v/>
      </c>
      <c r="BD208" s="332" t="str">
        <f>IFERROR(VLOOKUP(TableHandbook[[#This Row],[UDC]],TableSTRUMATHM[],7,FALSE),"")</f>
        <v/>
      </c>
      <c r="BE208" s="332" t="str">
        <f>IFERROR(VLOOKUP(TableHandbook[[#This Row],[UDC]],TableSTRUPARTB[],7,FALSE),"")</f>
        <v/>
      </c>
      <c r="BF208" s="332" t="str">
        <f>IFERROR(VLOOKUP(TableHandbook[[#This Row],[UDC]],TableSTRUPARTM[],7,FALSE),"")</f>
        <v/>
      </c>
      <c r="BG208" s="332" t="str">
        <f>IFERROR(VLOOKUP(TableHandbook[[#This Row],[UDC]],TableSTRUPOLB1[],7,FALSE),"")</f>
        <v/>
      </c>
      <c r="BH208" s="332" t="str">
        <f>IFERROR(VLOOKUP(TableHandbook[[#This Row],[UDC]],TableSTRUPSCIM[],7,FALSE),"")</f>
        <v/>
      </c>
      <c r="BI208" s="332" t="str">
        <f>IFERROR(VLOOKUP(TableHandbook[[#This Row],[UDC]],TableSTRUPSYCB[],7,FALSE),"")</f>
        <v/>
      </c>
      <c r="BJ208" s="332" t="str">
        <f>IFERROR(VLOOKUP(TableHandbook[[#This Row],[UDC]],TableSTRUPSYCM[],7,FALSE),"")</f>
        <v/>
      </c>
      <c r="BK208" s="332" t="str">
        <f>IFERROR(VLOOKUP(TableHandbook[[#This Row],[UDC]],TableSTRUSOSCM[],7,FALSE),"")</f>
        <v/>
      </c>
      <c r="BL208" s="332" t="str">
        <f>IFERROR(VLOOKUP(TableHandbook[[#This Row],[UDC]],TableSTRUVARTB[],7,FALSE),"")</f>
        <v/>
      </c>
      <c r="BM208" s="332" t="str">
        <f>IFERROR(VLOOKUP(TableHandbook[[#This Row],[UDC]],TableSTRUVARTM[],7,FALSE),"")</f>
        <v/>
      </c>
    </row>
    <row r="209" spans="1:65" x14ac:dyDescent="0.25">
      <c r="A209" s="11" t="s">
        <v>102</v>
      </c>
      <c r="B209" s="12"/>
      <c r="C209" s="11"/>
      <c r="D209" s="11" t="s">
        <v>785</v>
      </c>
      <c r="E209" s="12">
        <v>25</v>
      </c>
      <c r="F209" s="131" t="s">
        <v>548</v>
      </c>
      <c r="G209" s="279" t="str">
        <f>IFERROR(IF(VLOOKUP(TableHandbook[[#This Row],[UDC]],TableAvailabilities[],2,FALSE)&gt;0,"Y",""),"")</f>
        <v/>
      </c>
      <c r="H209" s="280" t="str">
        <f>IFERROR(IF(VLOOKUP(TableHandbook[[#This Row],[UDC]],TableAvailabilities[],3,FALSE)&gt;0,"Y",""),"")</f>
        <v/>
      </c>
      <c r="I209" s="280" t="str">
        <f>IFERROR(IF(VLOOKUP(TableHandbook[[#This Row],[UDC]],TableAvailabilities[],4,FALSE)&gt;0,"Y",""),"")</f>
        <v/>
      </c>
      <c r="J209" s="281" t="str">
        <f>IFERROR(IF(VLOOKUP(TableHandbook[[#This Row],[UDC]],TableAvailabilities[],5,FALSE)&gt;0,"Y",""),"")</f>
        <v/>
      </c>
      <c r="K209" s="281" t="str">
        <f>IFERROR(IF(VLOOKUP(TableHandbook[[#This Row],[UDC]],TableAvailabilities[],6,FALSE)&gt;0,"Y",""),"")</f>
        <v/>
      </c>
      <c r="L209" s="280" t="str">
        <f>IFERROR(IF(VLOOKUP(TableHandbook[[#This Row],[UDC]],TableAvailabilities[],7,FALSE)&gt;0,"Y",""),"")</f>
        <v/>
      </c>
      <c r="M209" s="276"/>
      <c r="N209" s="277" t="str">
        <f>IFERROR(VLOOKUP(TableHandbook[[#This Row],[UDC]],TableBEDUC[],7,FALSE),"")</f>
        <v>Option</v>
      </c>
      <c r="O209" s="277" t="str">
        <f>IFERROR(VLOOKUP(TableHandbook[[#This Row],[UDC]],TableBEDEC[],7,FALSE),"")</f>
        <v>Option</v>
      </c>
      <c r="P209" s="277" t="str">
        <f>IFERROR(VLOOKUP(TableHandbook[[#This Row],[UDC]],TableBEDPR[],7,FALSE),"")</f>
        <v/>
      </c>
      <c r="Q209" s="277" t="str">
        <f>IFERROR(VLOOKUP(TableHandbook[[#This Row],[UDC]],TableSTRUCATHL[],7,FALSE),"")</f>
        <v/>
      </c>
      <c r="R209" s="277" t="str">
        <f>IFERROR(VLOOKUP(TableHandbook[[#This Row],[UDC]],TableSTRUENGLL[],7,FALSE),"")</f>
        <v/>
      </c>
      <c r="S209" s="277" t="str">
        <f>IFERROR(VLOOKUP(TableHandbook[[#This Row],[UDC]],TableSTRUINTBC[],7,FALSE),"")</f>
        <v/>
      </c>
      <c r="T209" s="277" t="str">
        <f>IFERROR(VLOOKUP(TableHandbook[[#This Row],[UDC]],TableSTRUISTEM[],7,FALSE),"")</f>
        <v/>
      </c>
      <c r="U209" s="277" t="str">
        <f>IFERROR(VLOOKUP(TableHandbook[[#This Row],[UDC]],TableSTRULITNU[],7,FALSE),"")</f>
        <v/>
      </c>
      <c r="V209" s="277" t="str">
        <f>IFERROR(VLOOKUP(TableHandbook[[#This Row],[UDC]],TableSTRUTECHS[],7,FALSE),"")</f>
        <v/>
      </c>
      <c r="W209" s="277" t="str">
        <f>IFERROR(VLOOKUP(TableHandbook[[#This Row],[UDC]],TableBEDSC[],7,FALSE),"")</f>
        <v/>
      </c>
      <c r="X209" s="277" t="str">
        <f>IFERROR(VLOOKUP(TableHandbook[[#This Row],[UDC]],TableMJRUARTDR[],7,FALSE),"")</f>
        <v/>
      </c>
      <c r="Y209" s="277" t="str">
        <f>IFERROR(VLOOKUP(TableHandbook[[#This Row],[UDC]],TableMJRUARTME[],7,FALSE),"")</f>
        <v/>
      </c>
      <c r="Z209" s="277" t="str">
        <f>IFERROR(VLOOKUP(TableHandbook[[#This Row],[UDC]],TableMJRUARTVA[],7,FALSE),"")</f>
        <v/>
      </c>
      <c r="AA209" s="277" t="str">
        <f>IFERROR(VLOOKUP(TableHandbook[[#This Row],[UDC]],TableMJRUENGLT[],7,FALSE),"")</f>
        <v/>
      </c>
      <c r="AB209" s="277" t="str">
        <f>IFERROR(VLOOKUP(TableHandbook[[#This Row],[UDC]],TableMJRUHLTPE[],7,FALSE),"")</f>
        <v/>
      </c>
      <c r="AC209" s="277" t="str">
        <f>IFERROR(VLOOKUP(TableHandbook[[#This Row],[UDC]],TableMJRUHUSEC[],7,FALSE),"")</f>
        <v/>
      </c>
      <c r="AD209" s="277" t="str">
        <f>IFERROR(VLOOKUP(TableHandbook[[#This Row],[UDC]],TableMJRUHUSGE[],7,FALSE),"")</f>
        <v/>
      </c>
      <c r="AE209" s="277" t="str">
        <f>IFERROR(VLOOKUP(TableHandbook[[#This Row],[UDC]],TableMJRUHUSHI[],7,FALSE),"")</f>
        <v/>
      </c>
      <c r="AF209" s="277" t="str">
        <f>IFERROR(VLOOKUP(TableHandbook[[#This Row],[UDC]],TableMJRUHUSPL[],7,FALSE),"")</f>
        <v/>
      </c>
      <c r="AG209" s="277" t="str">
        <f>IFERROR(VLOOKUP(TableHandbook[[#This Row],[UDC]],TableMJRUMATHT[],7,FALSE),"")</f>
        <v/>
      </c>
      <c r="AH209" s="277" t="str">
        <f>IFERROR(VLOOKUP(TableHandbook[[#This Row],[UDC]],TableMJRUSCIBI[],7,FALSE),"")</f>
        <v/>
      </c>
      <c r="AI209" s="277" t="str">
        <f>IFERROR(VLOOKUP(TableHandbook[[#This Row],[UDC]],TableMJRUSCICH[],7,FALSE),"")</f>
        <v/>
      </c>
      <c r="AJ209" s="277" t="str">
        <f>IFERROR(VLOOKUP(TableHandbook[[#This Row],[UDC]],TableMJRUSCIHB[],7,FALSE),"")</f>
        <v/>
      </c>
      <c r="AK209" s="277" t="str">
        <f>IFERROR(VLOOKUP(TableHandbook[[#This Row],[UDC]],TableMJRUSCIPH[],7,FALSE),"")</f>
        <v/>
      </c>
      <c r="AL209" s="277" t="str">
        <f>IFERROR(VLOOKUP(TableHandbook[[#This Row],[UDC]],TableMJRUSCIPS[],7,FALSE),"")</f>
        <v/>
      </c>
      <c r="AM209" s="202"/>
      <c r="AN209" s="277" t="str">
        <f>IFERROR(VLOOKUP(TableHandbook[[#This Row],[UDC]],TableSTRUBIOLB[],7,FALSE),"")</f>
        <v/>
      </c>
      <c r="AO209" s="277" t="str">
        <f>IFERROR(VLOOKUP(TableHandbook[[#This Row],[UDC]],TableSTRUBSCIM[],7,FALSE),"")</f>
        <v/>
      </c>
      <c r="AP209" s="277" t="str">
        <f>IFERROR(VLOOKUP(TableHandbook[[#This Row],[UDC]],TableSTRUCHEMB[],7,FALSE),"")</f>
        <v/>
      </c>
      <c r="AQ209" s="277" t="str">
        <f>IFERROR(VLOOKUP(TableHandbook[[#This Row],[UDC]],TableSTRUECOB1[],7,FALSE),"")</f>
        <v/>
      </c>
      <c r="AR209" s="277" t="str">
        <f>IFERROR(VLOOKUP(TableHandbook[[#This Row],[UDC]],TableSTRUEDART[],7,FALSE),"")</f>
        <v/>
      </c>
      <c r="AS209" s="277" t="str">
        <f>IFERROR(VLOOKUP(TableHandbook[[#This Row],[UDC]],TableSTRUEDENG[],7,FALSE),"")</f>
        <v/>
      </c>
      <c r="AT209" s="277" t="str">
        <f>IFERROR(VLOOKUP(TableHandbook[[#This Row],[UDC]],TableSTRUEDHAS[],7,FALSE),"")</f>
        <v/>
      </c>
      <c r="AU209" s="277" t="str">
        <f>IFERROR(VLOOKUP(TableHandbook[[#This Row],[UDC]],TableSTRUEDMAT[],7,FALSE),"")</f>
        <v/>
      </c>
      <c r="AV209" s="277" t="str">
        <f>IFERROR(VLOOKUP(TableHandbook[[#This Row],[UDC]],TableSTRUEDSCI[],7,FALSE),"")</f>
        <v/>
      </c>
      <c r="AW209" s="277" t="str">
        <f>IFERROR(VLOOKUP(TableHandbook[[#This Row],[UDC]],TableSTRUENGLB[],7,FALSE),"")</f>
        <v/>
      </c>
      <c r="AX209" s="277" t="str">
        <f>IFERROR(VLOOKUP(TableHandbook[[#This Row],[UDC]],TableSTRUENGLM[],7,FALSE),"")</f>
        <v/>
      </c>
      <c r="AY209" s="277" t="str">
        <f>IFERROR(VLOOKUP(TableHandbook[[#This Row],[UDC]],TableSTRUGEOB1[],7,FALSE),"")</f>
        <v/>
      </c>
      <c r="AZ209" s="277" t="str">
        <f>IFERROR(VLOOKUP(TableHandbook[[#This Row],[UDC]],TableSTRUHISB1[],7,FALSE),"")</f>
        <v/>
      </c>
      <c r="BA209" s="277" t="str">
        <f>IFERROR(VLOOKUP(TableHandbook[[#This Row],[UDC]],TableSTRUHUMAM[],7,FALSE),"")</f>
        <v/>
      </c>
      <c r="BB209" s="277" t="str">
        <f>IFERROR(VLOOKUP(TableHandbook[[#This Row],[UDC]],TableSTRUHUMBB[],7,FALSE),"")</f>
        <v/>
      </c>
      <c r="BC209" s="277" t="str">
        <f>IFERROR(VLOOKUP(TableHandbook[[#This Row],[UDC]],TableSTRUMATHB[],7,FALSE),"")</f>
        <v/>
      </c>
      <c r="BD209" s="277" t="str">
        <f>IFERROR(VLOOKUP(TableHandbook[[#This Row],[UDC]],TableSTRUMATHM[],7,FALSE),"")</f>
        <v/>
      </c>
      <c r="BE209" s="277" t="str">
        <f>IFERROR(VLOOKUP(TableHandbook[[#This Row],[UDC]],TableSTRUPARTB[],7,FALSE),"")</f>
        <v/>
      </c>
      <c r="BF209" s="277" t="str">
        <f>IFERROR(VLOOKUP(TableHandbook[[#This Row],[UDC]],TableSTRUPARTM[],7,FALSE),"")</f>
        <v/>
      </c>
      <c r="BG209" s="277" t="str">
        <f>IFERROR(VLOOKUP(TableHandbook[[#This Row],[UDC]],TableSTRUPOLB1[],7,FALSE),"")</f>
        <v/>
      </c>
      <c r="BH209" s="277" t="str">
        <f>IFERROR(VLOOKUP(TableHandbook[[#This Row],[UDC]],TableSTRUPSCIM[],7,FALSE),"")</f>
        <v/>
      </c>
      <c r="BI209" s="277" t="str">
        <f>IFERROR(VLOOKUP(TableHandbook[[#This Row],[UDC]],TableSTRUPSYCB[],7,FALSE),"")</f>
        <v/>
      </c>
      <c r="BJ209" s="277" t="str">
        <f>IFERROR(VLOOKUP(TableHandbook[[#This Row],[UDC]],TableSTRUPSYCM[],7,FALSE),"")</f>
        <v/>
      </c>
      <c r="BK209" s="277" t="str">
        <f>IFERROR(VLOOKUP(TableHandbook[[#This Row],[UDC]],TableSTRUSOSCM[],7,FALSE),"")</f>
        <v/>
      </c>
      <c r="BL209" s="277" t="str">
        <f>IFERROR(VLOOKUP(TableHandbook[[#This Row],[UDC]],TableSTRUVARTB[],7,FALSE),"")</f>
        <v/>
      </c>
      <c r="BM209" s="277" t="str">
        <f>IFERROR(VLOOKUP(TableHandbook[[#This Row],[UDC]],TableSTRUVARTM[],7,FALSE),"")</f>
        <v/>
      </c>
    </row>
    <row r="210" spans="1:65" x14ac:dyDescent="0.25">
      <c r="A210" s="261" t="s">
        <v>474</v>
      </c>
      <c r="B210" s="12"/>
      <c r="C210" s="11"/>
      <c r="D210" s="11" t="s">
        <v>785</v>
      </c>
      <c r="E210" s="12">
        <v>25</v>
      </c>
      <c r="F210" s="131" t="s">
        <v>548</v>
      </c>
      <c r="G210" s="279" t="str">
        <f>IFERROR(IF(VLOOKUP(TableHandbook[[#This Row],[UDC]],TableAvailabilities[],2,FALSE)&gt;0,"Y",""),"")</f>
        <v/>
      </c>
      <c r="H210" s="280" t="str">
        <f>IFERROR(IF(VLOOKUP(TableHandbook[[#This Row],[UDC]],TableAvailabilities[],3,FALSE)&gt;0,"Y",""),"")</f>
        <v/>
      </c>
      <c r="I210" s="280" t="str">
        <f>IFERROR(IF(VLOOKUP(TableHandbook[[#This Row],[UDC]],TableAvailabilities[],4,FALSE)&gt;0,"Y",""),"")</f>
        <v/>
      </c>
      <c r="J210" s="281" t="str">
        <f>IFERROR(IF(VLOOKUP(TableHandbook[[#This Row],[UDC]],TableAvailabilities[],5,FALSE)&gt;0,"Y",""),"")</f>
        <v/>
      </c>
      <c r="K210" s="281" t="str">
        <f>IFERROR(IF(VLOOKUP(TableHandbook[[#This Row],[UDC]],TableAvailabilities[],6,FALSE)&gt;0,"Y",""),"")</f>
        <v/>
      </c>
      <c r="L210" s="280" t="str">
        <f>IFERROR(IF(VLOOKUP(TableHandbook[[#This Row],[UDC]],TableAvailabilities[],7,FALSE)&gt;0,"Y",""),"")</f>
        <v/>
      </c>
      <c r="M210" s="276"/>
      <c r="N210" s="277" t="str">
        <f>IFERROR(VLOOKUP(TableHandbook[[#This Row],[UDC]],TableBEDUC[],7,FALSE),"")</f>
        <v/>
      </c>
      <c r="O210" s="277" t="str">
        <f>IFERROR(VLOOKUP(TableHandbook[[#This Row],[UDC]],TableBEDEC[],7,FALSE),"")</f>
        <v/>
      </c>
      <c r="P210" s="277" t="str">
        <f>IFERROR(VLOOKUP(TableHandbook[[#This Row],[UDC]],TableBEDPR[],7,FALSE),"")</f>
        <v/>
      </c>
      <c r="Q210" s="277" t="str">
        <f>IFERROR(VLOOKUP(TableHandbook[[#This Row],[UDC]],TableSTRUCATHL[],7,FALSE),"")</f>
        <v/>
      </c>
      <c r="R210" s="277" t="str">
        <f>IFERROR(VLOOKUP(TableHandbook[[#This Row],[UDC]],TableSTRUENGLL[],7,FALSE),"")</f>
        <v/>
      </c>
      <c r="S210" s="277" t="str">
        <f>IFERROR(VLOOKUP(TableHandbook[[#This Row],[UDC]],TableSTRUINTBC[],7,FALSE),"")</f>
        <v/>
      </c>
      <c r="T210" s="277" t="str">
        <f>IFERROR(VLOOKUP(TableHandbook[[#This Row],[UDC]],TableSTRUISTEM[],7,FALSE),"")</f>
        <v/>
      </c>
      <c r="U210" s="277" t="str">
        <f>IFERROR(VLOOKUP(TableHandbook[[#This Row],[UDC]],TableSTRULITNU[],7,FALSE),"")</f>
        <v/>
      </c>
      <c r="V210" s="277" t="str">
        <f>IFERROR(VLOOKUP(TableHandbook[[#This Row],[UDC]],TableSTRUTECHS[],7,FALSE),"")</f>
        <v/>
      </c>
      <c r="W210" s="277" t="str">
        <f>IFERROR(VLOOKUP(TableHandbook[[#This Row],[UDC]],TableBEDSC[],7,FALSE),"")</f>
        <v/>
      </c>
      <c r="X210" s="277" t="str">
        <f>IFERROR(VLOOKUP(TableHandbook[[#This Row],[UDC]],TableMJRUARTDR[],7,FALSE),"")</f>
        <v/>
      </c>
      <c r="Y210" s="277" t="str">
        <f>IFERROR(VLOOKUP(TableHandbook[[#This Row],[UDC]],TableMJRUARTME[],7,FALSE),"")</f>
        <v/>
      </c>
      <c r="Z210" s="277" t="str">
        <f>IFERROR(VLOOKUP(TableHandbook[[#This Row],[UDC]],TableMJRUARTVA[],7,FALSE),"")</f>
        <v/>
      </c>
      <c r="AA210" s="277" t="str">
        <f>IFERROR(VLOOKUP(TableHandbook[[#This Row],[UDC]],TableMJRUENGLT[],7,FALSE),"")</f>
        <v/>
      </c>
      <c r="AB210" s="277" t="str">
        <f>IFERROR(VLOOKUP(TableHandbook[[#This Row],[UDC]],TableMJRUHLTPE[],7,FALSE),"")</f>
        <v/>
      </c>
      <c r="AC210" s="277" t="str">
        <f>IFERROR(VLOOKUP(TableHandbook[[#This Row],[UDC]],TableMJRUHUSEC[],7,FALSE),"")</f>
        <v/>
      </c>
      <c r="AD210" s="277" t="str">
        <f>IFERROR(VLOOKUP(TableHandbook[[#This Row],[UDC]],TableMJRUHUSGE[],7,FALSE),"")</f>
        <v/>
      </c>
      <c r="AE210" s="277" t="str">
        <f>IFERROR(VLOOKUP(TableHandbook[[#This Row],[UDC]],TableMJRUHUSHI[],7,FALSE),"")</f>
        <v/>
      </c>
      <c r="AF210" s="277" t="str">
        <f>IFERROR(VLOOKUP(TableHandbook[[#This Row],[UDC]],TableMJRUHUSPL[],7,FALSE),"")</f>
        <v/>
      </c>
      <c r="AG210" s="277" t="str">
        <f>IFERROR(VLOOKUP(TableHandbook[[#This Row],[UDC]],TableMJRUMATHT[],7,FALSE),"")</f>
        <v/>
      </c>
      <c r="AH210" s="277" t="str">
        <f>IFERROR(VLOOKUP(TableHandbook[[#This Row],[UDC]],TableMJRUSCIBI[],7,FALSE),"")</f>
        <v/>
      </c>
      <c r="AI210" s="277" t="str">
        <f>IFERROR(VLOOKUP(TableHandbook[[#This Row],[UDC]],TableMJRUSCICH[],7,FALSE),"")</f>
        <v/>
      </c>
      <c r="AJ210" s="277" t="str">
        <f>IFERROR(VLOOKUP(TableHandbook[[#This Row],[UDC]],TableMJRUSCIHB[],7,FALSE),"")</f>
        <v/>
      </c>
      <c r="AK210" s="277" t="str">
        <f>IFERROR(VLOOKUP(TableHandbook[[#This Row],[UDC]],TableMJRUSCIPH[],7,FALSE),"")</f>
        <v/>
      </c>
      <c r="AL210" s="277" t="str">
        <f>IFERROR(VLOOKUP(TableHandbook[[#This Row],[UDC]],TableMJRUSCIPS[],7,FALSE),"")</f>
        <v/>
      </c>
      <c r="AM210" s="202"/>
      <c r="AN210" s="277" t="str">
        <f>IFERROR(VLOOKUP(TableHandbook[[#This Row],[UDC]],TableSTRUBIOLB[],7,FALSE),"")</f>
        <v/>
      </c>
      <c r="AO210" s="277" t="str">
        <f>IFERROR(VLOOKUP(TableHandbook[[#This Row],[UDC]],TableSTRUBSCIM[],7,FALSE),"")</f>
        <v/>
      </c>
      <c r="AP210" s="277" t="str">
        <f>IFERROR(VLOOKUP(TableHandbook[[#This Row],[UDC]],TableSTRUCHEMB[],7,FALSE),"")</f>
        <v/>
      </c>
      <c r="AQ210" s="277" t="str">
        <f>IFERROR(VLOOKUP(TableHandbook[[#This Row],[UDC]],TableSTRUECOB1[],7,FALSE),"")</f>
        <v/>
      </c>
      <c r="AR210" s="277" t="str">
        <f>IFERROR(VLOOKUP(TableHandbook[[#This Row],[UDC]],TableSTRUEDART[],7,FALSE),"")</f>
        <v/>
      </c>
      <c r="AS210" s="277" t="str">
        <f>IFERROR(VLOOKUP(TableHandbook[[#This Row],[UDC]],TableSTRUEDENG[],7,FALSE),"")</f>
        <v/>
      </c>
      <c r="AT210" s="277" t="str">
        <f>IFERROR(VLOOKUP(TableHandbook[[#This Row],[UDC]],TableSTRUEDHAS[],7,FALSE),"")</f>
        <v/>
      </c>
      <c r="AU210" s="277" t="str">
        <f>IFERROR(VLOOKUP(TableHandbook[[#This Row],[UDC]],TableSTRUEDMAT[],7,FALSE),"")</f>
        <v/>
      </c>
      <c r="AV210" s="277" t="str">
        <f>IFERROR(VLOOKUP(TableHandbook[[#This Row],[UDC]],TableSTRUEDSCI[],7,FALSE),"")</f>
        <v/>
      </c>
      <c r="AW210" s="277" t="str">
        <f>IFERROR(VLOOKUP(TableHandbook[[#This Row],[UDC]],TableSTRUENGLB[],7,FALSE),"")</f>
        <v/>
      </c>
      <c r="AX210" s="277" t="str">
        <f>IFERROR(VLOOKUP(TableHandbook[[#This Row],[UDC]],TableSTRUENGLM[],7,FALSE),"")</f>
        <v/>
      </c>
      <c r="AY210" s="277" t="str">
        <f>IFERROR(VLOOKUP(TableHandbook[[#This Row],[UDC]],TableSTRUGEOB1[],7,FALSE),"")</f>
        <v/>
      </c>
      <c r="AZ210" s="277" t="str">
        <f>IFERROR(VLOOKUP(TableHandbook[[#This Row],[UDC]],TableSTRUHISB1[],7,FALSE),"")</f>
        <v/>
      </c>
      <c r="BA210" s="277" t="str">
        <f>IFERROR(VLOOKUP(TableHandbook[[#This Row],[UDC]],TableSTRUHUMAM[],7,FALSE),"")</f>
        <v/>
      </c>
      <c r="BB210" s="277" t="str">
        <f>IFERROR(VLOOKUP(TableHandbook[[#This Row],[UDC]],TableSTRUHUMBB[],7,FALSE),"")</f>
        <v/>
      </c>
      <c r="BC210" s="277" t="str">
        <f>IFERROR(VLOOKUP(TableHandbook[[#This Row],[UDC]],TableSTRUMATHB[],7,FALSE),"")</f>
        <v/>
      </c>
      <c r="BD210" s="277" t="str">
        <f>IFERROR(VLOOKUP(TableHandbook[[#This Row],[UDC]],TableSTRUMATHM[],7,FALSE),"")</f>
        <v/>
      </c>
      <c r="BE210" s="277" t="str">
        <f>IFERROR(VLOOKUP(TableHandbook[[#This Row],[UDC]],TableSTRUPARTB[],7,FALSE),"")</f>
        <v/>
      </c>
      <c r="BF210" s="277" t="str">
        <f>IFERROR(VLOOKUP(TableHandbook[[#This Row],[UDC]],TableSTRUPARTM[],7,FALSE),"")</f>
        <v/>
      </c>
      <c r="BG210" s="277" t="str">
        <f>IFERROR(VLOOKUP(TableHandbook[[#This Row],[UDC]],TableSTRUPOLB1[],7,FALSE),"")</f>
        <v/>
      </c>
      <c r="BH210" s="277" t="str">
        <f>IFERROR(VLOOKUP(TableHandbook[[#This Row],[UDC]],TableSTRUPSCIM[],7,FALSE),"")</f>
        <v/>
      </c>
      <c r="BI210" s="277" t="str">
        <f>IFERROR(VLOOKUP(TableHandbook[[#This Row],[UDC]],TableSTRUPSYCB[],7,FALSE),"")</f>
        <v/>
      </c>
      <c r="BJ210" s="277" t="str">
        <f>IFERROR(VLOOKUP(TableHandbook[[#This Row],[UDC]],TableSTRUPSYCM[],7,FALSE),"")</f>
        <v/>
      </c>
      <c r="BK210" s="277" t="str">
        <f>IFERROR(VLOOKUP(TableHandbook[[#This Row],[UDC]],TableSTRUSOSCM[],7,FALSE),"")</f>
        <v/>
      </c>
      <c r="BL210" s="277" t="str">
        <f>IFERROR(VLOOKUP(TableHandbook[[#This Row],[UDC]],TableSTRUVARTB[],7,FALSE),"")</f>
        <v/>
      </c>
      <c r="BM210" s="277" t="str">
        <f>IFERROR(VLOOKUP(TableHandbook[[#This Row],[UDC]],TableSTRUVARTM[],7,FALSE),"")</f>
        <v/>
      </c>
    </row>
    <row r="211" spans="1:65" x14ac:dyDescent="0.25">
      <c r="A211" s="11" t="s">
        <v>159</v>
      </c>
      <c r="B211" s="12"/>
      <c r="C211" s="11"/>
      <c r="D211" s="11" t="s">
        <v>786</v>
      </c>
      <c r="E211" s="12"/>
      <c r="F211" s="131" t="s">
        <v>540</v>
      </c>
      <c r="G211" s="279" t="str">
        <f>IFERROR(IF(VLOOKUP(TableHandbook[[#This Row],[UDC]],TableAvailabilities[],2,FALSE)&gt;0,"Y",""),"")</f>
        <v/>
      </c>
      <c r="H211" s="280" t="str">
        <f>IFERROR(IF(VLOOKUP(TableHandbook[[#This Row],[UDC]],TableAvailabilities[],3,FALSE)&gt;0,"Y",""),"")</f>
        <v/>
      </c>
      <c r="I211" s="280" t="str">
        <f>IFERROR(IF(VLOOKUP(TableHandbook[[#This Row],[UDC]],TableAvailabilities[],4,FALSE)&gt;0,"Y",""),"")</f>
        <v/>
      </c>
      <c r="J211" s="281" t="str">
        <f>IFERROR(IF(VLOOKUP(TableHandbook[[#This Row],[UDC]],TableAvailabilities[],5,FALSE)&gt;0,"Y",""),"")</f>
        <v/>
      </c>
      <c r="K211" s="281" t="str">
        <f>IFERROR(IF(VLOOKUP(TableHandbook[[#This Row],[UDC]],TableAvailabilities[],6,FALSE)&gt;0,"Y",""),"")</f>
        <v/>
      </c>
      <c r="L211" s="280" t="str">
        <f>IFERROR(IF(VLOOKUP(TableHandbook[[#This Row],[UDC]],TableAvailabilities[],7,FALSE)&gt;0,"Y",""),"")</f>
        <v/>
      </c>
      <c r="M211" s="276"/>
      <c r="N211" s="277" t="str">
        <f>IFERROR(VLOOKUP(TableHandbook[[#This Row],[UDC]],TableBEDUC[],7,FALSE),"")</f>
        <v/>
      </c>
      <c r="O211" s="277" t="str">
        <f>IFERROR(VLOOKUP(TableHandbook[[#This Row],[UDC]],TableBEDEC[],7,FALSE),"")</f>
        <v/>
      </c>
      <c r="P211" s="277" t="str">
        <f>IFERROR(VLOOKUP(TableHandbook[[#This Row],[UDC]],TableBEDPR[],7,FALSE),"")</f>
        <v/>
      </c>
      <c r="Q211" s="277" t="str">
        <f>IFERROR(VLOOKUP(TableHandbook[[#This Row],[UDC]],TableSTRUCATHL[],7,FALSE),"")</f>
        <v/>
      </c>
      <c r="R211" s="277" t="str">
        <f>IFERROR(VLOOKUP(TableHandbook[[#This Row],[UDC]],TableSTRUENGLL[],7,FALSE),"")</f>
        <v/>
      </c>
      <c r="S211" s="277" t="str">
        <f>IFERROR(VLOOKUP(TableHandbook[[#This Row],[UDC]],TableSTRUINTBC[],7,FALSE),"")</f>
        <v/>
      </c>
      <c r="T211" s="277" t="str">
        <f>IFERROR(VLOOKUP(TableHandbook[[#This Row],[UDC]],TableSTRUISTEM[],7,FALSE),"")</f>
        <v/>
      </c>
      <c r="U211" s="277" t="str">
        <f>IFERROR(VLOOKUP(TableHandbook[[#This Row],[UDC]],TableSTRULITNU[],7,FALSE),"")</f>
        <v/>
      </c>
      <c r="V211" s="277" t="str">
        <f>IFERROR(VLOOKUP(TableHandbook[[#This Row],[UDC]],TableSTRUTECHS[],7,FALSE),"")</f>
        <v/>
      </c>
      <c r="W211" s="277" t="str">
        <f>IFERROR(VLOOKUP(TableHandbook[[#This Row],[UDC]],TableBEDSC[],7,FALSE),"")</f>
        <v/>
      </c>
      <c r="X211" s="277" t="str">
        <f>IFERROR(VLOOKUP(TableHandbook[[#This Row],[UDC]],TableMJRUARTDR[],7,FALSE),"")</f>
        <v/>
      </c>
      <c r="Y211" s="277" t="str">
        <f>IFERROR(VLOOKUP(TableHandbook[[#This Row],[UDC]],TableMJRUARTME[],7,FALSE),"")</f>
        <v/>
      </c>
      <c r="Z211" s="277" t="str">
        <f>IFERROR(VLOOKUP(TableHandbook[[#This Row],[UDC]],TableMJRUARTVA[],7,FALSE),"")</f>
        <v/>
      </c>
      <c r="AA211" s="277" t="str">
        <f>IFERROR(VLOOKUP(TableHandbook[[#This Row],[UDC]],TableMJRUENGLT[],7,FALSE),"")</f>
        <v/>
      </c>
      <c r="AB211" s="277" t="str">
        <f>IFERROR(VLOOKUP(TableHandbook[[#This Row],[UDC]],TableMJRUHLTPE[],7,FALSE),"")</f>
        <v/>
      </c>
      <c r="AC211" s="277" t="str">
        <f>IFERROR(VLOOKUP(TableHandbook[[#This Row],[UDC]],TableMJRUHUSEC[],7,FALSE),"")</f>
        <v/>
      </c>
      <c r="AD211" s="277" t="str">
        <f>IFERROR(VLOOKUP(TableHandbook[[#This Row],[UDC]],TableMJRUHUSGE[],7,FALSE),"")</f>
        <v/>
      </c>
      <c r="AE211" s="277" t="str">
        <f>IFERROR(VLOOKUP(TableHandbook[[#This Row],[UDC]],TableMJRUHUSHI[],7,FALSE),"")</f>
        <v/>
      </c>
      <c r="AF211" s="277" t="str">
        <f>IFERROR(VLOOKUP(TableHandbook[[#This Row],[UDC]],TableMJRUHUSPL[],7,FALSE),"")</f>
        <v/>
      </c>
      <c r="AG211" s="277" t="str">
        <f>IFERROR(VLOOKUP(TableHandbook[[#This Row],[UDC]],TableMJRUMATHT[],7,FALSE),"")</f>
        <v/>
      </c>
      <c r="AH211" s="277" t="str">
        <f>IFERROR(VLOOKUP(TableHandbook[[#This Row],[UDC]],TableMJRUSCIBI[],7,FALSE),"")</f>
        <v/>
      </c>
      <c r="AI211" s="277" t="str">
        <f>IFERROR(VLOOKUP(TableHandbook[[#This Row],[UDC]],TableMJRUSCICH[],7,FALSE),"")</f>
        <v/>
      </c>
      <c r="AJ211" s="277" t="str">
        <f>IFERROR(VLOOKUP(TableHandbook[[#This Row],[UDC]],TableMJRUSCIHB[],7,FALSE),"")</f>
        <v/>
      </c>
      <c r="AK211" s="277" t="str">
        <f>IFERROR(VLOOKUP(TableHandbook[[#This Row],[UDC]],TableMJRUSCIPH[],7,FALSE),"")</f>
        <v/>
      </c>
      <c r="AL211" s="277" t="str">
        <f>IFERROR(VLOOKUP(TableHandbook[[#This Row],[UDC]],TableMJRUSCIPS[],7,FALSE),"")</f>
        <v/>
      </c>
      <c r="AM211" s="202"/>
      <c r="AN211" s="277" t="str">
        <f>IFERROR(VLOOKUP(TableHandbook[[#This Row],[UDC]],TableSTRUBIOLB[],7,FALSE),"")</f>
        <v/>
      </c>
      <c r="AO211" s="277" t="str">
        <f>IFERROR(VLOOKUP(TableHandbook[[#This Row],[UDC]],TableSTRUBSCIM[],7,FALSE),"")</f>
        <v/>
      </c>
      <c r="AP211" s="277" t="str">
        <f>IFERROR(VLOOKUP(TableHandbook[[#This Row],[UDC]],TableSTRUCHEMB[],7,FALSE),"")</f>
        <v/>
      </c>
      <c r="AQ211" s="277" t="str">
        <f>IFERROR(VLOOKUP(TableHandbook[[#This Row],[UDC]],TableSTRUECOB1[],7,FALSE),"")</f>
        <v/>
      </c>
      <c r="AR211" s="277" t="str">
        <f>IFERROR(VLOOKUP(TableHandbook[[#This Row],[UDC]],TableSTRUEDART[],7,FALSE),"")</f>
        <v/>
      </c>
      <c r="AS211" s="277" t="str">
        <f>IFERROR(VLOOKUP(TableHandbook[[#This Row],[UDC]],TableSTRUEDENG[],7,FALSE),"")</f>
        <v/>
      </c>
      <c r="AT211" s="277" t="str">
        <f>IFERROR(VLOOKUP(TableHandbook[[#This Row],[UDC]],TableSTRUEDHAS[],7,FALSE),"")</f>
        <v/>
      </c>
      <c r="AU211" s="277" t="str">
        <f>IFERROR(VLOOKUP(TableHandbook[[#This Row],[UDC]],TableSTRUEDMAT[],7,FALSE),"")</f>
        <v/>
      </c>
      <c r="AV211" s="277" t="str">
        <f>IFERROR(VLOOKUP(TableHandbook[[#This Row],[UDC]],TableSTRUEDSCI[],7,FALSE),"")</f>
        <v/>
      </c>
      <c r="AW211" s="277" t="str">
        <f>IFERROR(VLOOKUP(TableHandbook[[#This Row],[UDC]],TableSTRUENGLB[],7,FALSE),"")</f>
        <v/>
      </c>
      <c r="AX211" s="277" t="str">
        <f>IFERROR(VLOOKUP(TableHandbook[[#This Row],[UDC]],TableSTRUENGLM[],7,FALSE),"")</f>
        <v/>
      </c>
      <c r="AY211" s="277" t="str">
        <f>IFERROR(VLOOKUP(TableHandbook[[#This Row],[UDC]],TableSTRUGEOB1[],7,FALSE),"")</f>
        <v/>
      </c>
      <c r="AZ211" s="277" t="str">
        <f>IFERROR(VLOOKUP(TableHandbook[[#This Row],[UDC]],TableSTRUHISB1[],7,FALSE),"")</f>
        <v/>
      </c>
      <c r="BA211" s="277" t="str">
        <f>IFERROR(VLOOKUP(TableHandbook[[#This Row],[UDC]],TableSTRUHUMAM[],7,FALSE),"")</f>
        <v/>
      </c>
      <c r="BB211" s="277" t="str">
        <f>IFERROR(VLOOKUP(TableHandbook[[#This Row],[UDC]],TableSTRUHUMBB[],7,FALSE),"")</f>
        <v/>
      </c>
      <c r="BC211" s="277" t="str">
        <f>IFERROR(VLOOKUP(TableHandbook[[#This Row],[UDC]],TableSTRUMATHB[],7,FALSE),"")</f>
        <v/>
      </c>
      <c r="BD211" s="277" t="str">
        <f>IFERROR(VLOOKUP(TableHandbook[[#This Row],[UDC]],TableSTRUMATHM[],7,FALSE),"")</f>
        <v/>
      </c>
      <c r="BE211" s="277" t="str">
        <f>IFERROR(VLOOKUP(TableHandbook[[#This Row],[UDC]],TableSTRUPARTB[],7,FALSE),"")</f>
        <v/>
      </c>
      <c r="BF211" s="277" t="str">
        <f>IFERROR(VLOOKUP(TableHandbook[[#This Row],[UDC]],TableSTRUPARTM[],7,FALSE),"")</f>
        <v/>
      </c>
      <c r="BG211" s="277" t="str">
        <f>IFERROR(VLOOKUP(TableHandbook[[#This Row],[UDC]],TableSTRUPOLB1[],7,FALSE),"")</f>
        <v/>
      </c>
      <c r="BH211" s="277" t="str">
        <f>IFERROR(VLOOKUP(TableHandbook[[#This Row],[UDC]],TableSTRUPSCIM[],7,FALSE),"")</f>
        <v/>
      </c>
      <c r="BI211" s="277" t="str">
        <f>IFERROR(VLOOKUP(TableHandbook[[#This Row],[UDC]],TableSTRUPSYCB[],7,FALSE),"")</f>
        <v/>
      </c>
      <c r="BJ211" s="277" t="str">
        <f>IFERROR(VLOOKUP(TableHandbook[[#This Row],[UDC]],TableSTRUPSYCM[],7,FALSE),"")</f>
        <v/>
      </c>
      <c r="BK211" s="277" t="str">
        <f>IFERROR(VLOOKUP(TableHandbook[[#This Row],[UDC]],TableSTRUSOSCM[],7,FALSE),"")</f>
        <v/>
      </c>
      <c r="BL211" s="277" t="str">
        <f>IFERROR(VLOOKUP(TableHandbook[[#This Row],[UDC]],TableSTRUVARTB[],7,FALSE),"")</f>
        <v/>
      </c>
      <c r="BM211" s="277" t="str">
        <f>IFERROR(VLOOKUP(TableHandbook[[#This Row],[UDC]],TableSTRUVARTM[],7,FALSE),"")</f>
        <v/>
      </c>
    </row>
    <row r="212" spans="1:65" x14ac:dyDescent="0.25">
      <c r="A212" s="262" t="s">
        <v>305</v>
      </c>
      <c r="B212" s="12">
        <v>1</v>
      </c>
      <c r="C212" s="11"/>
      <c r="D212" s="11" t="s">
        <v>787</v>
      </c>
      <c r="E212" s="12">
        <v>25</v>
      </c>
      <c r="F212" s="131" t="s">
        <v>544</v>
      </c>
      <c r="G212" s="279" t="str">
        <f>IFERROR(IF(VLOOKUP(TableHandbook[[#This Row],[UDC]],TableAvailabilities[],2,FALSE)&gt;0,"Y",""),"")</f>
        <v/>
      </c>
      <c r="H212" s="280" t="str">
        <f>IFERROR(IF(VLOOKUP(TableHandbook[[#This Row],[UDC]],TableAvailabilities[],3,FALSE)&gt;0,"Y",""),"")</f>
        <v/>
      </c>
      <c r="I212" s="280" t="str">
        <f>IFERROR(IF(VLOOKUP(TableHandbook[[#This Row],[UDC]],TableAvailabilities[],4,FALSE)&gt;0,"Y",""),"")</f>
        <v/>
      </c>
      <c r="J212" s="281" t="str">
        <f>IFERROR(IF(VLOOKUP(TableHandbook[[#This Row],[UDC]],TableAvailabilities[],5,FALSE)&gt;0,"Y",""),"")</f>
        <v>Y</v>
      </c>
      <c r="K212" s="281" t="str">
        <f>IFERROR(IF(VLOOKUP(TableHandbook[[#This Row],[UDC]],TableAvailabilities[],6,FALSE)&gt;0,"Y",""),"")</f>
        <v>Y</v>
      </c>
      <c r="L212" s="280" t="str">
        <f>IFERROR(IF(VLOOKUP(TableHandbook[[#This Row],[UDC]],TableAvailabilities[],7,FALSE)&gt;0,"Y",""),"")</f>
        <v/>
      </c>
      <c r="M212" s="276"/>
      <c r="N212" s="277" t="str">
        <f>IFERROR(VLOOKUP(TableHandbook[[#This Row],[UDC]],TableBEDUC[],7,FALSE),"")</f>
        <v/>
      </c>
      <c r="O212" s="277" t="str">
        <f>IFERROR(VLOOKUP(TableHandbook[[#This Row],[UDC]],TableBEDEC[],7,FALSE),"")</f>
        <v/>
      </c>
      <c r="P212" s="277" t="str">
        <f>IFERROR(VLOOKUP(TableHandbook[[#This Row],[UDC]],TableBEDPR[],7,FALSE),"")</f>
        <v/>
      </c>
      <c r="Q212" s="277" t="str">
        <f>IFERROR(VLOOKUP(TableHandbook[[#This Row],[UDC]],TableSTRUCATHL[],7,FALSE),"")</f>
        <v/>
      </c>
      <c r="R212" s="277" t="str">
        <f>IFERROR(VLOOKUP(TableHandbook[[#This Row],[UDC]],TableSTRUENGLL[],7,FALSE),"")</f>
        <v/>
      </c>
      <c r="S212" s="277" t="str">
        <f>IFERROR(VLOOKUP(TableHandbook[[#This Row],[UDC]],TableSTRUINTBC[],7,FALSE),"")</f>
        <v/>
      </c>
      <c r="T212" s="277" t="str">
        <f>IFERROR(VLOOKUP(TableHandbook[[#This Row],[UDC]],TableSTRUISTEM[],7,FALSE),"")</f>
        <v/>
      </c>
      <c r="U212" s="277" t="str">
        <f>IFERROR(VLOOKUP(TableHandbook[[#This Row],[UDC]],TableSTRULITNU[],7,FALSE),"")</f>
        <v/>
      </c>
      <c r="V212" s="277" t="str">
        <f>IFERROR(VLOOKUP(TableHandbook[[#This Row],[UDC]],TableSTRUTECHS[],7,FALSE),"")</f>
        <v/>
      </c>
      <c r="W212" s="277" t="str">
        <f>IFERROR(VLOOKUP(TableHandbook[[#This Row],[UDC]],TableBEDSC[],7,FALSE),"")</f>
        <v/>
      </c>
      <c r="X212" s="277" t="str">
        <f>IFERROR(VLOOKUP(TableHandbook[[#This Row],[UDC]],TableMJRUARTDR[],7,FALSE),"")</f>
        <v/>
      </c>
      <c r="Y212" s="277" t="str">
        <f>IFERROR(VLOOKUP(TableHandbook[[#This Row],[UDC]],TableMJRUARTME[],7,FALSE),"")</f>
        <v/>
      </c>
      <c r="Z212" s="277" t="str">
        <f>IFERROR(VLOOKUP(TableHandbook[[#This Row],[UDC]],TableMJRUARTVA[],7,FALSE),"")</f>
        <v/>
      </c>
      <c r="AA212" s="277" t="str">
        <f>IFERROR(VLOOKUP(TableHandbook[[#This Row],[UDC]],TableMJRUENGLT[],7,FALSE),"")</f>
        <v/>
      </c>
      <c r="AB212" s="277" t="str">
        <f>IFERROR(VLOOKUP(TableHandbook[[#This Row],[UDC]],TableMJRUHLTPE[],7,FALSE),"")</f>
        <v/>
      </c>
      <c r="AC212" s="277" t="str">
        <f>IFERROR(VLOOKUP(TableHandbook[[#This Row],[UDC]],TableMJRUHUSEC[],7,FALSE),"")</f>
        <v/>
      </c>
      <c r="AD212" s="277" t="str">
        <f>IFERROR(VLOOKUP(TableHandbook[[#This Row],[UDC]],TableMJRUHUSGE[],7,FALSE),"")</f>
        <v>Core</v>
      </c>
      <c r="AE212" s="277" t="str">
        <f>IFERROR(VLOOKUP(TableHandbook[[#This Row],[UDC]],TableMJRUHUSHI[],7,FALSE),"")</f>
        <v/>
      </c>
      <c r="AF212" s="277" t="str">
        <f>IFERROR(VLOOKUP(TableHandbook[[#This Row],[UDC]],TableMJRUHUSPL[],7,FALSE),"")</f>
        <v/>
      </c>
      <c r="AG212" s="277" t="str">
        <f>IFERROR(VLOOKUP(TableHandbook[[#This Row],[UDC]],TableMJRUMATHT[],7,FALSE),"")</f>
        <v/>
      </c>
      <c r="AH212" s="277" t="str">
        <f>IFERROR(VLOOKUP(TableHandbook[[#This Row],[UDC]],TableMJRUSCIBI[],7,FALSE),"")</f>
        <v/>
      </c>
      <c r="AI212" s="277" t="str">
        <f>IFERROR(VLOOKUP(TableHandbook[[#This Row],[UDC]],TableMJRUSCICH[],7,FALSE),"")</f>
        <v/>
      </c>
      <c r="AJ212" s="277" t="str">
        <f>IFERROR(VLOOKUP(TableHandbook[[#This Row],[UDC]],TableMJRUSCIHB[],7,FALSE),"")</f>
        <v/>
      </c>
      <c r="AK212" s="277" t="str">
        <f>IFERROR(VLOOKUP(TableHandbook[[#This Row],[UDC]],TableMJRUSCIPH[],7,FALSE),"")</f>
        <v/>
      </c>
      <c r="AL212" s="277" t="str">
        <f>IFERROR(VLOOKUP(TableHandbook[[#This Row],[UDC]],TableMJRUSCIPS[],7,FALSE),"")</f>
        <v/>
      </c>
      <c r="AM212" s="202"/>
      <c r="AN212" s="277" t="str">
        <f>IFERROR(VLOOKUP(TableHandbook[[#This Row],[UDC]],TableSTRUBIOLB[],7,FALSE),"")</f>
        <v/>
      </c>
      <c r="AO212" s="277" t="str">
        <f>IFERROR(VLOOKUP(TableHandbook[[#This Row],[UDC]],TableSTRUBSCIM[],7,FALSE),"")</f>
        <v/>
      </c>
      <c r="AP212" s="277" t="str">
        <f>IFERROR(VLOOKUP(TableHandbook[[#This Row],[UDC]],TableSTRUCHEMB[],7,FALSE),"")</f>
        <v/>
      </c>
      <c r="AQ212" s="277" t="str">
        <f>IFERROR(VLOOKUP(TableHandbook[[#This Row],[UDC]],TableSTRUECOB1[],7,FALSE),"")</f>
        <v/>
      </c>
      <c r="AR212" s="277" t="str">
        <f>IFERROR(VLOOKUP(TableHandbook[[#This Row],[UDC]],TableSTRUEDART[],7,FALSE),"")</f>
        <v/>
      </c>
      <c r="AS212" s="277" t="str">
        <f>IFERROR(VLOOKUP(TableHandbook[[#This Row],[UDC]],TableSTRUEDENG[],7,FALSE),"")</f>
        <v/>
      </c>
      <c r="AT212" s="277" t="str">
        <f>IFERROR(VLOOKUP(TableHandbook[[#This Row],[UDC]],TableSTRUEDHAS[],7,FALSE),"")</f>
        <v/>
      </c>
      <c r="AU212" s="277" t="str">
        <f>IFERROR(VLOOKUP(TableHandbook[[#This Row],[UDC]],TableSTRUEDMAT[],7,FALSE),"")</f>
        <v/>
      </c>
      <c r="AV212" s="277" t="str">
        <f>IFERROR(VLOOKUP(TableHandbook[[#This Row],[UDC]],TableSTRUEDSCI[],7,FALSE),"")</f>
        <v/>
      </c>
      <c r="AW212" s="277" t="str">
        <f>IFERROR(VLOOKUP(TableHandbook[[#This Row],[UDC]],TableSTRUENGLB[],7,FALSE),"")</f>
        <v/>
      </c>
      <c r="AX212" s="277" t="str">
        <f>IFERROR(VLOOKUP(TableHandbook[[#This Row],[UDC]],TableSTRUENGLM[],7,FALSE),"")</f>
        <v/>
      </c>
      <c r="AY212" s="277" t="str">
        <f>IFERROR(VLOOKUP(TableHandbook[[#This Row],[UDC]],TableSTRUGEOB1[],7,FALSE),"")</f>
        <v/>
      </c>
      <c r="AZ212" s="277" t="str">
        <f>IFERROR(VLOOKUP(TableHandbook[[#This Row],[UDC]],TableSTRUHISB1[],7,FALSE),"")</f>
        <v/>
      </c>
      <c r="BA212" s="277" t="str">
        <f>IFERROR(VLOOKUP(TableHandbook[[#This Row],[UDC]],TableSTRUHUMAM[],7,FALSE),"")</f>
        <v/>
      </c>
      <c r="BB212" s="277" t="str">
        <f>IFERROR(VLOOKUP(TableHandbook[[#This Row],[UDC]],TableSTRUHUMBB[],7,FALSE),"")</f>
        <v/>
      </c>
      <c r="BC212" s="277" t="str">
        <f>IFERROR(VLOOKUP(TableHandbook[[#This Row],[UDC]],TableSTRUMATHB[],7,FALSE),"")</f>
        <v/>
      </c>
      <c r="BD212" s="277" t="str">
        <f>IFERROR(VLOOKUP(TableHandbook[[#This Row],[UDC]],TableSTRUMATHM[],7,FALSE),"")</f>
        <v/>
      </c>
      <c r="BE212" s="277" t="str">
        <f>IFERROR(VLOOKUP(TableHandbook[[#This Row],[UDC]],TableSTRUPARTB[],7,FALSE),"")</f>
        <v/>
      </c>
      <c r="BF212" s="277" t="str">
        <f>IFERROR(VLOOKUP(TableHandbook[[#This Row],[UDC]],TableSTRUPARTM[],7,FALSE),"")</f>
        <v/>
      </c>
      <c r="BG212" s="277" t="str">
        <f>IFERROR(VLOOKUP(TableHandbook[[#This Row],[UDC]],TableSTRUPOLB1[],7,FALSE),"")</f>
        <v/>
      </c>
      <c r="BH212" s="277" t="str">
        <f>IFERROR(VLOOKUP(TableHandbook[[#This Row],[UDC]],TableSTRUPSCIM[],7,FALSE),"")</f>
        <v/>
      </c>
      <c r="BI212" s="277" t="str">
        <f>IFERROR(VLOOKUP(TableHandbook[[#This Row],[UDC]],TableSTRUPSYCB[],7,FALSE),"")</f>
        <v/>
      </c>
      <c r="BJ212" s="277" t="str">
        <f>IFERROR(VLOOKUP(TableHandbook[[#This Row],[UDC]],TableSTRUPSYCM[],7,FALSE),"")</f>
        <v/>
      </c>
      <c r="BK212" s="277" t="str">
        <f>IFERROR(VLOOKUP(TableHandbook[[#This Row],[UDC]],TableSTRUSOSCM[],7,FALSE),"")</f>
        <v>Core</v>
      </c>
      <c r="BL212" s="277" t="str">
        <f>IFERROR(VLOOKUP(TableHandbook[[#This Row],[UDC]],TableSTRUVARTB[],7,FALSE),"")</f>
        <v/>
      </c>
      <c r="BM212" s="277" t="str">
        <f>IFERROR(VLOOKUP(TableHandbook[[#This Row],[UDC]],TableSTRUVARTM[],7,FALSE),"")</f>
        <v/>
      </c>
    </row>
    <row r="213" spans="1:65" x14ac:dyDescent="0.25">
      <c r="A213" s="262" t="s">
        <v>353</v>
      </c>
      <c r="B213" s="12">
        <v>1</v>
      </c>
      <c r="C213" s="11"/>
      <c r="D213" s="11" t="s">
        <v>788</v>
      </c>
      <c r="E213" s="12">
        <v>25</v>
      </c>
      <c r="F213" s="131" t="s">
        <v>544</v>
      </c>
      <c r="G213" s="279" t="str">
        <f>IFERROR(IF(VLOOKUP(TableHandbook[[#This Row],[UDC]],TableAvailabilities[],2,FALSE)&gt;0,"Y",""),"")</f>
        <v/>
      </c>
      <c r="H213" s="280" t="str">
        <f>IFERROR(IF(VLOOKUP(TableHandbook[[#This Row],[UDC]],TableAvailabilities[],3,FALSE)&gt;0,"Y",""),"")</f>
        <v/>
      </c>
      <c r="I213" s="280" t="str">
        <f>IFERROR(IF(VLOOKUP(TableHandbook[[#This Row],[UDC]],TableAvailabilities[],4,FALSE)&gt;0,"Y",""),"")</f>
        <v/>
      </c>
      <c r="J213" s="281" t="str">
        <f>IFERROR(IF(VLOOKUP(TableHandbook[[#This Row],[UDC]],TableAvailabilities[],5,FALSE)&gt;0,"Y",""),"")</f>
        <v>Y</v>
      </c>
      <c r="K213" s="281" t="str">
        <f>IFERROR(IF(VLOOKUP(TableHandbook[[#This Row],[UDC]],TableAvailabilities[],6,FALSE)&gt;0,"Y",""),"")</f>
        <v>Y</v>
      </c>
      <c r="L213" s="280" t="str">
        <f>IFERROR(IF(VLOOKUP(TableHandbook[[#This Row],[UDC]],TableAvailabilities[],7,FALSE)&gt;0,"Y",""),"")</f>
        <v/>
      </c>
      <c r="M213" s="276"/>
      <c r="N213" s="277" t="str">
        <f>IFERROR(VLOOKUP(TableHandbook[[#This Row],[UDC]],TableBEDUC[],7,FALSE),"")</f>
        <v/>
      </c>
      <c r="O213" s="277" t="str">
        <f>IFERROR(VLOOKUP(TableHandbook[[#This Row],[UDC]],TableBEDEC[],7,FALSE),"")</f>
        <v/>
      </c>
      <c r="P213" s="277" t="str">
        <f>IFERROR(VLOOKUP(TableHandbook[[#This Row],[UDC]],TableBEDPR[],7,FALSE),"")</f>
        <v/>
      </c>
      <c r="Q213" s="277" t="str">
        <f>IFERROR(VLOOKUP(TableHandbook[[#This Row],[UDC]],TableSTRUCATHL[],7,FALSE),"")</f>
        <v/>
      </c>
      <c r="R213" s="277" t="str">
        <f>IFERROR(VLOOKUP(TableHandbook[[#This Row],[UDC]],TableSTRUENGLL[],7,FALSE),"")</f>
        <v/>
      </c>
      <c r="S213" s="277" t="str">
        <f>IFERROR(VLOOKUP(TableHandbook[[#This Row],[UDC]],TableSTRUINTBC[],7,FALSE),"")</f>
        <v/>
      </c>
      <c r="T213" s="277" t="str">
        <f>IFERROR(VLOOKUP(TableHandbook[[#This Row],[UDC]],TableSTRUISTEM[],7,FALSE),"")</f>
        <v/>
      </c>
      <c r="U213" s="277" t="str">
        <f>IFERROR(VLOOKUP(TableHandbook[[#This Row],[UDC]],TableSTRULITNU[],7,FALSE),"")</f>
        <v/>
      </c>
      <c r="V213" s="277" t="str">
        <f>IFERROR(VLOOKUP(TableHandbook[[#This Row],[UDC]],TableSTRUTECHS[],7,FALSE),"")</f>
        <v/>
      </c>
      <c r="W213" s="277" t="str">
        <f>IFERROR(VLOOKUP(TableHandbook[[#This Row],[UDC]],TableBEDSC[],7,FALSE),"")</f>
        <v/>
      </c>
      <c r="X213" s="277" t="str">
        <f>IFERROR(VLOOKUP(TableHandbook[[#This Row],[UDC]],TableMJRUARTDR[],7,FALSE),"")</f>
        <v/>
      </c>
      <c r="Y213" s="277" t="str">
        <f>IFERROR(VLOOKUP(TableHandbook[[#This Row],[UDC]],TableMJRUARTME[],7,FALSE),"")</f>
        <v/>
      </c>
      <c r="Z213" s="277" t="str">
        <f>IFERROR(VLOOKUP(TableHandbook[[#This Row],[UDC]],TableMJRUARTVA[],7,FALSE),"")</f>
        <v/>
      </c>
      <c r="AA213" s="277" t="str">
        <f>IFERROR(VLOOKUP(TableHandbook[[#This Row],[UDC]],TableMJRUENGLT[],7,FALSE),"")</f>
        <v/>
      </c>
      <c r="AB213" s="277" t="str">
        <f>IFERROR(VLOOKUP(TableHandbook[[#This Row],[UDC]],TableMJRUHLTPE[],7,FALSE),"")</f>
        <v/>
      </c>
      <c r="AC213" s="277" t="str">
        <f>IFERROR(VLOOKUP(TableHandbook[[#This Row],[UDC]],TableMJRUHUSEC[],7,FALSE),"")</f>
        <v/>
      </c>
      <c r="AD213" s="277" t="str">
        <f>IFERROR(VLOOKUP(TableHandbook[[#This Row],[UDC]],TableMJRUHUSGE[],7,FALSE),"")</f>
        <v>Core</v>
      </c>
      <c r="AE213" s="277" t="str">
        <f>IFERROR(VLOOKUP(TableHandbook[[#This Row],[UDC]],TableMJRUHUSHI[],7,FALSE),"")</f>
        <v/>
      </c>
      <c r="AF213" s="277" t="str">
        <f>IFERROR(VLOOKUP(TableHandbook[[#This Row],[UDC]],TableMJRUHUSPL[],7,FALSE),"")</f>
        <v/>
      </c>
      <c r="AG213" s="277" t="str">
        <f>IFERROR(VLOOKUP(TableHandbook[[#This Row],[UDC]],TableMJRUMATHT[],7,FALSE),"")</f>
        <v/>
      </c>
      <c r="AH213" s="277" t="str">
        <f>IFERROR(VLOOKUP(TableHandbook[[#This Row],[UDC]],TableMJRUSCIBI[],7,FALSE),"")</f>
        <v/>
      </c>
      <c r="AI213" s="277" t="str">
        <f>IFERROR(VLOOKUP(TableHandbook[[#This Row],[UDC]],TableMJRUSCICH[],7,FALSE),"")</f>
        <v/>
      </c>
      <c r="AJ213" s="277" t="str">
        <f>IFERROR(VLOOKUP(TableHandbook[[#This Row],[UDC]],TableMJRUSCIHB[],7,FALSE),"")</f>
        <v/>
      </c>
      <c r="AK213" s="277" t="str">
        <f>IFERROR(VLOOKUP(TableHandbook[[#This Row],[UDC]],TableMJRUSCIPH[],7,FALSE),"")</f>
        <v/>
      </c>
      <c r="AL213" s="277" t="str">
        <f>IFERROR(VLOOKUP(TableHandbook[[#This Row],[UDC]],TableMJRUSCIPS[],7,FALSE),"")</f>
        <v/>
      </c>
      <c r="AM213" s="202"/>
      <c r="AN213" s="277" t="str">
        <f>IFERROR(VLOOKUP(TableHandbook[[#This Row],[UDC]],TableSTRUBIOLB[],7,FALSE),"")</f>
        <v/>
      </c>
      <c r="AO213" s="277" t="str">
        <f>IFERROR(VLOOKUP(TableHandbook[[#This Row],[UDC]],TableSTRUBSCIM[],7,FALSE),"")</f>
        <v/>
      </c>
      <c r="AP213" s="277" t="str">
        <f>IFERROR(VLOOKUP(TableHandbook[[#This Row],[UDC]],TableSTRUCHEMB[],7,FALSE),"")</f>
        <v/>
      </c>
      <c r="AQ213" s="277" t="str">
        <f>IFERROR(VLOOKUP(TableHandbook[[#This Row],[UDC]],TableSTRUECOB1[],7,FALSE),"")</f>
        <v/>
      </c>
      <c r="AR213" s="277" t="str">
        <f>IFERROR(VLOOKUP(TableHandbook[[#This Row],[UDC]],TableSTRUEDART[],7,FALSE),"")</f>
        <v/>
      </c>
      <c r="AS213" s="277" t="str">
        <f>IFERROR(VLOOKUP(TableHandbook[[#This Row],[UDC]],TableSTRUEDENG[],7,FALSE),"")</f>
        <v/>
      </c>
      <c r="AT213" s="277" t="str">
        <f>IFERROR(VLOOKUP(TableHandbook[[#This Row],[UDC]],TableSTRUEDHAS[],7,FALSE),"")</f>
        <v/>
      </c>
      <c r="AU213" s="277" t="str">
        <f>IFERROR(VLOOKUP(TableHandbook[[#This Row],[UDC]],TableSTRUEDMAT[],7,FALSE),"")</f>
        <v/>
      </c>
      <c r="AV213" s="277" t="str">
        <f>IFERROR(VLOOKUP(TableHandbook[[#This Row],[UDC]],TableSTRUEDSCI[],7,FALSE),"")</f>
        <v/>
      </c>
      <c r="AW213" s="277" t="str">
        <f>IFERROR(VLOOKUP(TableHandbook[[#This Row],[UDC]],TableSTRUENGLB[],7,FALSE),"")</f>
        <v/>
      </c>
      <c r="AX213" s="277" t="str">
        <f>IFERROR(VLOOKUP(TableHandbook[[#This Row],[UDC]],TableSTRUENGLM[],7,FALSE),"")</f>
        <v/>
      </c>
      <c r="AY213" s="277" t="str">
        <f>IFERROR(VLOOKUP(TableHandbook[[#This Row],[UDC]],TableSTRUGEOB1[],7,FALSE),"")</f>
        <v/>
      </c>
      <c r="AZ213" s="277" t="str">
        <f>IFERROR(VLOOKUP(TableHandbook[[#This Row],[UDC]],TableSTRUHISB1[],7,FALSE),"")</f>
        <v>Core</v>
      </c>
      <c r="BA213" s="277" t="str">
        <f>IFERROR(VLOOKUP(TableHandbook[[#This Row],[UDC]],TableSTRUHUMAM[],7,FALSE),"")</f>
        <v/>
      </c>
      <c r="BB213" s="277" t="str">
        <f>IFERROR(VLOOKUP(TableHandbook[[#This Row],[UDC]],TableSTRUHUMBB[],7,FALSE),"")</f>
        <v/>
      </c>
      <c r="BC213" s="277" t="str">
        <f>IFERROR(VLOOKUP(TableHandbook[[#This Row],[UDC]],TableSTRUMATHB[],7,FALSE),"")</f>
        <v/>
      </c>
      <c r="BD213" s="277" t="str">
        <f>IFERROR(VLOOKUP(TableHandbook[[#This Row],[UDC]],TableSTRUMATHM[],7,FALSE),"")</f>
        <v/>
      </c>
      <c r="BE213" s="277" t="str">
        <f>IFERROR(VLOOKUP(TableHandbook[[#This Row],[UDC]],TableSTRUPARTB[],7,FALSE),"")</f>
        <v/>
      </c>
      <c r="BF213" s="277" t="str">
        <f>IFERROR(VLOOKUP(TableHandbook[[#This Row],[UDC]],TableSTRUPARTM[],7,FALSE),"")</f>
        <v/>
      </c>
      <c r="BG213" s="277" t="str">
        <f>IFERROR(VLOOKUP(TableHandbook[[#This Row],[UDC]],TableSTRUPOLB1[],7,FALSE),"")</f>
        <v/>
      </c>
      <c r="BH213" s="277" t="str">
        <f>IFERROR(VLOOKUP(TableHandbook[[#This Row],[UDC]],TableSTRUPSCIM[],7,FALSE),"")</f>
        <v/>
      </c>
      <c r="BI213" s="277" t="str">
        <f>IFERROR(VLOOKUP(TableHandbook[[#This Row],[UDC]],TableSTRUPSYCB[],7,FALSE),"")</f>
        <v/>
      </c>
      <c r="BJ213" s="277" t="str">
        <f>IFERROR(VLOOKUP(TableHandbook[[#This Row],[UDC]],TableSTRUPSYCM[],7,FALSE),"")</f>
        <v/>
      </c>
      <c r="BK213" s="277" t="str">
        <f>IFERROR(VLOOKUP(TableHandbook[[#This Row],[UDC]],TableSTRUSOSCM[],7,FALSE),"")</f>
        <v/>
      </c>
      <c r="BL213" s="277" t="str">
        <f>IFERROR(VLOOKUP(TableHandbook[[#This Row],[UDC]],TableSTRUVARTB[],7,FALSE),"")</f>
        <v/>
      </c>
      <c r="BM213" s="277" t="str">
        <f>IFERROR(VLOOKUP(TableHandbook[[#This Row],[UDC]],TableSTRUVARTM[],7,FALSE),"")</f>
        <v/>
      </c>
    </row>
    <row r="214" spans="1:65" x14ac:dyDescent="0.25">
      <c r="A214" s="262" t="s">
        <v>383</v>
      </c>
      <c r="B214" s="12">
        <v>3</v>
      </c>
      <c r="C214" s="11"/>
      <c r="D214" s="11" t="s">
        <v>789</v>
      </c>
      <c r="E214" s="12">
        <v>25</v>
      </c>
      <c r="F214" s="131" t="s">
        <v>544</v>
      </c>
      <c r="G214" s="126" t="str">
        <f>IFERROR(IF(VLOOKUP(TableHandbook[[#This Row],[UDC]],TableAvailabilities[],2,FALSE)&gt;0,"Y",""),"")</f>
        <v/>
      </c>
      <c r="H214" s="127" t="str">
        <f>IFERROR(IF(VLOOKUP(TableHandbook[[#This Row],[UDC]],TableAvailabilities[],3,FALSE)&gt;0,"Y",""),"")</f>
        <v/>
      </c>
      <c r="I214" s="127" t="str">
        <f>IFERROR(IF(VLOOKUP(TableHandbook[[#This Row],[UDC]],TableAvailabilities[],4,FALSE)&gt;0,"Y",""),"")</f>
        <v/>
      </c>
      <c r="J214" s="128" t="str">
        <f>IFERROR(IF(VLOOKUP(TableHandbook[[#This Row],[UDC]],TableAvailabilities[],5,FALSE)&gt;0,"Y",""),"")</f>
        <v>Y</v>
      </c>
      <c r="K214" s="128" t="str">
        <f>IFERROR(IF(VLOOKUP(TableHandbook[[#This Row],[UDC]],TableAvailabilities[],6,FALSE)&gt;0,"Y",""),"")</f>
        <v>Y</v>
      </c>
      <c r="L214" s="127" t="str">
        <f>IFERROR(IF(VLOOKUP(TableHandbook[[#This Row],[UDC]],TableAvailabilities[],7,FALSE)&gt;0,"Y",""),"")</f>
        <v/>
      </c>
      <c r="M214" s="251"/>
      <c r="N214" s="200" t="str">
        <f>IFERROR(VLOOKUP(TableHandbook[[#This Row],[UDC]],TableBEDUC[],7,FALSE),"")</f>
        <v/>
      </c>
      <c r="O214" s="200" t="str">
        <f>IFERROR(VLOOKUP(TableHandbook[[#This Row],[UDC]],TableBEDEC[],7,FALSE),"")</f>
        <v/>
      </c>
      <c r="P214" s="200" t="str">
        <f>IFERROR(VLOOKUP(TableHandbook[[#This Row],[UDC]],TableBEDPR[],7,FALSE),"")</f>
        <v/>
      </c>
      <c r="Q214" s="200" t="str">
        <f>IFERROR(VLOOKUP(TableHandbook[[#This Row],[UDC]],TableSTRUCATHL[],7,FALSE),"")</f>
        <v/>
      </c>
      <c r="R214" s="200" t="str">
        <f>IFERROR(VLOOKUP(TableHandbook[[#This Row],[UDC]],TableSTRUENGLL[],7,FALSE),"")</f>
        <v/>
      </c>
      <c r="S214" s="200" t="str">
        <f>IFERROR(VLOOKUP(TableHandbook[[#This Row],[UDC]],TableSTRUINTBC[],7,FALSE),"")</f>
        <v/>
      </c>
      <c r="T214" s="200" t="str">
        <f>IFERROR(VLOOKUP(TableHandbook[[#This Row],[UDC]],TableSTRUISTEM[],7,FALSE),"")</f>
        <v/>
      </c>
      <c r="U214" s="200" t="str">
        <f>IFERROR(VLOOKUP(TableHandbook[[#This Row],[UDC]],TableSTRULITNU[],7,FALSE),"")</f>
        <v/>
      </c>
      <c r="V214" s="200" t="str">
        <f>IFERROR(VLOOKUP(TableHandbook[[#This Row],[UDC]],TableSTRUTECHS[],7,FALSE),"")</f>
        <v/>
      </c>
      <c r="W214" s="200" t="str">
        <f>IFERROR(VLOOKUP(TableHandbook[[#This Row],[UDC]],TableBEDSC[],7,FALSE),"")</f>
        <v/>
      </c>
      <c r="X214" s="200" t="str">
        <f>IFERROR(VLOOKUP(TableHandbook[[#This Row],[UDC]],TableMJRUARTDR[],7,FALSE),"")</f>
        <v/>
      </c>
      <c r="Y214" s="200" t="str">
        <f>IFERROR(VLOOKUP(TableHandbook[[#This Row],[UDC]],TableMJRUARTME[],7,FALSE),"")</f>
        <v/>
      </c>
      <c r="Z214" s="200" t="str">
        <f>IFERROR(VLOOKUP(TableHandbook[[#This Row],[UDC]],TableMJRUARTVA[],7,FALSE),"")</f>
        <v/>
      </c>
      <c r="AA214" s="200" t="str">
        <f>IFERROR(VLOOKUP(TableHandbook[[#This Row],[UDC]],TableMJRUENGLT[],7,FALSE),"")</f>
        <v/>
      </c>
      <c r="AB214" s="200" t="str">
        <f>IFERROR(VLOOKUP(TableHandbook[[#This Row],[UDC]],TableMJRUHLTPE[],7,FALSE),"")</f>
        <v/>
      </c>
      <c r="AC214" s="200" t="str">
        <f>IFERROR(VLOOKUP(TableHandbook[[#This Row],[UDC]],TableMJRUHUSEC[],7,FALSE),"")</f>
        <v/>
      </c>
      <c r="AD214" s="200" t="str">
        <f>IFERROR(VLOOKUP(TableHandbook[[#This Row],[UDC]],TableMJRUHUSGE[],7,FALSE),"")</f>
        <v>Core</v>
      </c>
      <c r="AE214" s="200" t="str">
        <f>IFERROR(VLOOKUP(TableHandbook[[#This Row],[UDC]],TableMJRUHUSHI[],7,FALSE),"")</f>
        <v/>
      </c>
      <c r="AF214" s="200" t="str">
        <f>IFERROR(VLOOKUP(TableHandbook[[#This Row],[UDC]],TableMJRUHUSPL[],7,FALSE),"")</f>
        <v/>
      </c>
      <c r="AG214" s="200" t="str">
        <f>IFERROR(VLOOKUP(TableHandbook[[#This Row],[UDC]],TableMJRUMATHT[],7,FALSE),"")</f>
        <v/>
      </c>
      <c r="AH214" s="200" t="str">
        <f>IFERROR(VLOOKUP(TableHandbook[[#This Row],[UDC]],TableMJRUSCIBI[],7,FALSE),"")</f>
        <v/>
      </c>
      <c r="AI214" s="200" t="str">
        <f>IFERROR(VLOOKUP(TableHandbook[[#This Row],[UDC]],TableMJRUSCICH[],7,FALSE),"")</f>
        <v/>
      </c>
      <c r="AJ214" s="200" t="str">
        <f>IFERROR(VLOOKUP(TableHandbook[[#This Row],[UDC]],TableMJRUSCIHB[],7,FALSE),"")</f>
        <v/>
      </c>
      <c r="AK214" s="200" t="str">
        <f>IFERROR(VLOOKUP(TableHandbook[[#This Row],[UDC]],TableMJRUSCIPH[],7,FALSE),"")</f>
        <v/>
      </c>
      <c r="AL214" s="200" t="str">
        <f>IFERROR(VLOOKUP(TableHandbook[[#This Row],[UDC]],TableMJRUSCIPS[],7,FALSE),"")</f>
        <v/>
      </c>
      <c r="AM214" s="202"/>
      <c r="AN214" s="200" t="str">
        <f>IFERROR(VLOOKUP(TableHandbook[[#This Row],[UDC]],TableSTRUBIOLB[],7,FALSE),"")</f>
        <v/>
      </c>
      <c r="AO214" s="200" t="str">
        <f>IFERROR(VLOOKUP(TableHandbook[[#This Row],[UDC]],TableSTRUBSCIM[],7,FALSE),"")</f>
        <v/>
      </c>
      <c r="AP214" s="200" t="str">
        <f>IFERROR(VLOOKUP(TableHandbook[[#This Row],[UDC]],TableSTRUCHEMB[],7,FALSE),"")</f>
        <v/>
      </c>
      <c r="AQ214" s="200" t="str">
        <f>IFERROR(VLOOKUP(TableHandbook[[#This Row],[UDC]],TableSTRUECOB1[],7,FALSE),"")</f>
        <v/>
      </c>
      <c r="AR214" s="200" t="str">
        <f>IFERROR(VLOOKUP(TableHandbook[[#This Row],[UDC]],TableSTRUEDART[],7,FALSE),"")</f>
        <v/>
      </c>
      <c r="AS214" s="200" t="str">
        <f>IFERROR(VLOOKUP(TableHandbook[[#This Row],[UDC]],TableSTRUEDENG[],7,FALSE),"")</f>
        <v/>
      </c>
      <c r="AT214" s="200" t="str">
        <f>IFERROR(VLOOKUP(TableHandbook[[#This Row],[UDC]],TableSTRUEDHAS[],7,FALSE),"")</f>
        <v/>
      </c>
      <c r="AU214" s="200" t="str">
        <f>IFERROR(VLOOKUP(TableHandbook[[#This Row],[UDC]],TableSTRUEDMAT[],7,FALSE),"")</f>
        <v/>
      </c>
      <c r="AV214" s="200" t="str">
        <f>IFERROR(VLOOKUP(TableHandbook[[#This Row],[UDC]],TableSTRUEDSCI[],7,FALSE),"")</f>
        <v/>
      </c>
      <c r="AW214" s="200" t="str">
        <f>IFERROR(VLOOKUP(TableHandbook[[#This Row],[UDC]],TableSTRUENGLB[],7,FALSE),"")</f>
        <v/>
      </c>
      <c r="AX214" s="200" t="str">
        <f>IFERROR(VLOOKUP(TableHandbook[[#This Row],[UDC]],TableSTRUENGLM[],7,FALSE),"")</f>
        <v/>
      </c>
      <c r="AY214" s="200" t="str">
        <f>IFERROR(VLOOKUP(TableHandbook[[#This Row],[UDC]],TableSTRUGEOB1[],7,FALSE),"")</f>
        <v/>
      </c>
      <c r="AZ214" s="200" t="str">
        <f>IFERROR(VLOOKUP(TableHandbook[[#This Row],[UDC]],TableSTRUHISB1[],7,FALSE),"")</f>
        <v/>
      </c>
      <c r="BA214" s="200" t="str">
        <f>IFERROR(VLOOKUP(TableHandbook[[#This Row],[UDC]],TableSTRUHUMAM[],7,FALSE),"")</f>
        <v/>
      </c>
      <c r="BB214" s="200" t="str">
        <f>IFERROR(VLOOKUP(TableHandbook[[#This Row],[UDC]],TableSTRUHUMBB[],7,FALSE),"")</f>
        <v/>
      </c>
      <c r="BC214" s="200" t="str">
        <f>IFERROR(VLOOKUP(TableHandbook[[#This Row],[UDC]],TableSTRUMATHB[],7,FALSE),"")</f>
        <v/>
      </c>
      <c r="BD214" s="200" t="str">
        <f>IFERROR(VLOOKUP(TableHandbook[[#This Row],[UDC]],TableSTRUMATHM[],7,FALSE),"")</f>
        <v/>
      </c>
      <c r="BE214" s="200" t="str">
        <f>IFERROR(VLOOKUP(TableHandbook[[#This Row],[UDC]],TableSTRUPARTB[],7,FALSE),"")</f>
        <v/>
      </c>
      <c r="BF214" s="200" t="str">
        <f>IFERROR(VLOOKUP(TableHandbook[[#This Row],[UDC]],TableSTRUPARTM[],7,FALSE),"")</f>
        <v/>
      </c>
      <c r="BG214" s="200" t="str">
        <f>IFERROR(VLOOKUP(TableHandbook[[#This Row],[UDC]],TableSTRUPOLB1[],7,FALSE),"")</f>
        <v/>
      </c>
      <c r="BH214" s="200" t="str">
        <f>IFERROR(VLOOKUP(TableHandbook[[#This Row],[UDC]],TableSTRUPSCIM[],7,FALSE),"")</f>
        <v/>
      </c>
      <c r="BI214" s="200" t="str">
        <f>IFERROR(VLOOKUP(TableHandbook[[#This Row],[UDC]],TableSTRUPSYCB[],7,FALSE),"")</f>
        <v/>
      </c>
      <c r="BJ214" s="200" t="str">
        <f>IFERROR(VLOOKUP(TableHandbook[[#This Row],[UDC]],TableSTRUPSYCM[],7,FALSE),"")</f>
        <v/>
      </c>
      <c r="BK214" s="200" t="str">
        <f>IFERROR(VLOOKUP(TableHandbook[[#This Row],[UDC]],TableSTRUSOSCM[],7,FALSE),"")</f>
        <v/>
      </c>
      <c r="BL214" s="200" t="str">
        <f>IFERROR(VLOOKUP(TableHandbook[[#This Row],[UDC]],TableSTRUVARTB[],7,FALSE),"")</f>
        <v/>
      </c>
      <c r="BM214" s="200" t="str">
        <f>IFERROR(VLOOKUP(TableHandbook[[#This Row],[UDC]],TableSTRUVARTM[],7,FALSE),"")</f>
        <v/>
      </c>
    </row>
    <row r="215" spans="1:65" x14ac:dyDescent="0.25">
      <c r="A215" s="262" t="s">
        <v>477</v>
      </c>
      <c r="B215" s="12">
        <v>1</v>
      </c>
      <c r="C215" s="11"/>
      <c r="D215" s="11" t="s">
        <v>790</v>
      </c>
      <c r="E215" s="12">
        <v>25</v>
      </c>
      <c r="F215" s="131" t="s">
        <v>544</v>
      </c>
      <c r="G215" s="279" t="str">
        <f>IFERROR(IF(VLOOKUP(TableHandbook[[#This Row],[UDC]],TableAvailabilities[],2,FALSE)&gt;0,"Y",""),"")</f>
        <v>Y</v>
      </c>
      <c r="H215" s="280" t="str">
        <f>IFERROR(IF(VLOOKUP(TableHandbook[[#This Row],[UDC]],TableAvailabilities[],3,FALSE)&gt;0,"Y",""),"")</f>
        <v/>
      </c>
      <c r="I215" s="280" t="str">
        <f>IFERROR(IF(VLOOKUP(TableHandbook[[#This Row],[UDC]],TableAvailabilities[],4,FALSE)&gt;0,"Y",""),"")</f>
        <v/>
      </c>
      <c r="J215" s="281" t="str">
        <f>IFERROR(IF(VLOOKUP(TableHandbook[[#This Row],[UDC]],TableAvailabilities[],5,FALSE)&gt;0,"Y",""),"")</f>
        <v/>
      </c>
      <c r="K215" s="281" t="str">
        <f>IFERROR(IF(VLOOKUP(TableHandbook[[#This Row],[UDC]],TableAvailabilities[],6,FALSE)&gt;0,"Y",""),"")</f>
        <v/>
      </c>
      <c r="L215" s="280" t="str">
        <f>IFERROR(IF(VLOOKUP(TableHandbook[[#This Row],[UDC]],TableAvailabilities[],7,FALSE)&gt;0,"Y",""),"")</f>
        <v/>
      </c>
      <c r="M215" s="276"/>
      <c r="N215" s="277" t="str">
        <f>IFERROR(VLOOKUP(TableHandbook[[#This Row],[UDC]],TableBEDUC[],7,FALSE),"")</f>
        <v/>
      </c>
      <c r="O215" s="277" t="str">
        <f>IFERROR(VLOOKUP(TableHandbook[[#This Row],[UDC]],TableBEDEC[],7,FALSE),"")</f>
        <v/>
      </c>
      <c r="P215" s="277" t="str">
        <f>IFERROR(VLOOKUP(TableHandbook[[#This Row],[UDC]],TableBEDPR[],7,FALSE),"")</f>
        <v/>
      </c>
      <c r="Q215" s="277" t="str">
        <f>IFERROR(VLOOKUP(TableHandbook[[#This Row],[UDC]],TableSTRUCATHL[],7,FALSE),"")</f>
        <v/>
      </c>
      <c r="R215" s="277" t="str">
        <f>IFERROR(VLOOKUP(TableHandbook[[#This Row],[UDC]],TableSTRUENGLL[],7,FALSE),"")</f>
        <v/>
      </c>
      <c r="S215" s="277" t="str">
        <f>IFERROR(VLOOKUP(TableHandbook[[#This Row],[UDC]],TableSTRUINTBC[],7,FALSE),"")</f>
        <v/>
      </c>
      <c r="T215" s="277" t="str">
        <f>IFERROR(VLOOKUP(TableHandbook[[#This Row],[UDC]],TableSTRUISTEM[],7,FALSE),"")</f>
        <v/>
      </c>
      <c r="U215" s="277" t="str">
        <f>IFERROR(VLOOKUP(TableHandbook[[#This Row],[UDC]],TableSTRULITNU[],7,FALSE),"")</f>
        <v/>
      </c>
      <c r="V215" s="277" t="str">
        <f>IFERROR(VLOOKUP(TableHandbook[[#This Row],[UDC]],TableSTRUTECHS[],7,FALSE),"")</f>
        <v/>
      </c>
      <c r="W215" s="277" t="str">
        <f>IFERROR(VLOOKUP(TableHandbook[[#This Row],[UDC]],TableBEDSC[],7,FALSE),"")</f>
        <v/>
      </c>
      <c r="X215" s="277" t="str">
        <f>IFERROR(VLOOKUP(TableHandbook[[#This Row],[UDC]],TableMJRUARTDR[],7,FALSE),"")</f>
        <v/>
      </c>
      <c r="Y215" s="277" t="str">
        <f>IFERROR(VLOOKUP(TableHandbook[[#This Row],[UDC]],TableMJRUARTME[],7,FALSE),"")</f>
        <v/>
      </c>
      <c r="Z215" s="277" t="str">
        <f>IFERROR(VLOOKUP(TableHandbook[[#This Row],[UDC]],TableMJRUARTVA[],7,FALSE),"")</f>
        <v/>
      </c>
      <c r="AA215" s="277" t="str">
        <f>IFERROR(VLOOKUP(TableHandbook[[#This Row],[UDC]],TableMJRUENGLT[],7,FALSE),"")</f>
        <v/>
      </c>
      <c r="AB215" s="277" t="str">
        <f>IFERROR(VLOOKUP(TableHandbook[[#This Row],[UDC]],TableMJRUHLTPE[],7,FALSE),"")</f>
        <v/>
      </c>
      <c r="AC215" s="277" t="str">
        <f>IFERROR(VLOOKUP(TableHandbook[[#This Row],[UDC]],TableMJRUHUSEC[],7,FALSE),"")</f>
        <v/>
      </c>
      <c r="AD215" s="277" t="str">
        <f>IFERROR(VLOOKUP(TableHandbook[[#This Row],[UDC]],TableMJRUHUSGE[],7,FALSE),"")</f>
        <v/>
      </c>
      <c r="AE215" s="277" t="str">
        <f>IFERROR(VLOOKUP(TableHandbook[[#This Row],[UDC]],TableMJRUHUSHI[],7,FALSE),"")</f>
        <v/>
      </c>
      <c r="AF215" s="277" t="str">
        <f>IFERROR(VLOOKUP(TableHandbook[[#This Row],[UDC]],TableMJRUHUSPL[],7,FALSE),"")</f>
        <v/>
      </c>
      <c r="AG215" s="277" t="str">
        <f>IFERROR(VLOOKUP(TableHandbook[[#This Row],[UDC]],TableMJRUMATHT[],7,FALSE),"")</f>
        <v/>
      </c>
      <c r="AH215" s="277" t="str">
        <f>IFERROR(VLOOKUP(TableHandbook[[#This Row],[UDC]],TableMJRUSCIBI[],7,FALSE),"")</f>
        <v/>
      </c>
      <c r="AI215" s="277" t="str">
        <f>IFERROR(VLOOKUP(TableHandbook[[#This Row],[UDC]],TableMJRUSCICH[],7,FALSE),"")</f>
        <v/>
      </c>
      <c r="AJ215" s="277" t="str">
        <f>IFERROR(VLOOKUP(TableHandbook[[#This Row],[UDC]],TableMJRUSCIHB[],7,FALSE),"")</f>
        <v/>
      </c>
      <c r="AK215" s="277" t="str">
        <f>IFERROR(VLOOKUP(TableHandbook[[#This Row],[UDC]],TableMJRUSCIPH[],7,FALSE),"")</f>
        <v>Core</v>
      </c>
      <c r="AL215" s="277" t="str">
        <f>IFERROR(VLOOKUP(TableHandbook[[#This Row],[UDC]],TableMJRUSCIPS[],7,FALSE),"")</f>
        <v/>
      </c>
      <c r="AM215" s="202"/>
      <c r="AN215" s="277" t="str">
        <f>IFERROR(VLOOKUP(TableHandbook[[#This Row],[UDC]],TableSTRUBIOLB[],7,FALSE),"")</f>
        <v/>
      </c>
      <c r="AO215" s="277" t="str">
        <f>IFERROR(VLOOKUP(TableHandbook[[#This Row],[UDC]],TableSTRUBSCIM[],7,FALSE),"")</f>
        <v/>
      </c>
      <c r="AP215" s="277" t="str">
        <f>IFERROR(VLOOKUP(TableHandbook[[#This Row],[UDC]],TableSTRUCHEMB[],7,FALSE),"")</f>
        <v/>
      </c>
      <c r="AQ215" s="277" t="str">
        <f>IFERROR(VLOOKUP(TableHandbook[[#This Row],[UDC]],TableSTRUECOB1[],7,FALSE),"")</f>
        <v/>
      </c>
      <c r="AR215" s="277" t="str">
        <f>IFERROR(VLOOKUP(TableHandbook[[#This Row],[UDC]],TableSTRUEDART[],7,FALSE),"")</f>
        <v/>
      </c>
      <c r="AS215" s="277" t="str">
        <f>IFERROR(VLOOKUP(TableHandbook[[#This Row],[UDC]],TableSTRUEDENG[],7,FALSE),"")</f>
        <v/>
      </c>
      <c r="AT215" s="277" t="str">
        <f>IFERROR(VLOOKUP(TableHandbook[[#This Row],[UDC]],TableSTRUEDHAS[],7,FALSE),"")</f>
        <v/>
      </c>
      <c r="AU215" s="277" t="str">
        <f>IFERROR(VLOOKUP(TableHandbook[[#This Row],[UDC]],TableSTRUEDMAT[],7,FALSE),"")</f>
        <v/>
      </c>
      <c r="AV215" s="277" t="str">
        <f>IFERROR(VLOOKUP(TableHandbook[[#This Row],[UDC]],TableSTRUEDSCI[],7,FALSE),"")</f>
        <v/>
      </c>
      <c r="AW215" s="277" t="str">
        <f>IFERROR(VLOOKUP(TableHandbook[[#This Row],[UDC]],TableSTRUENGLB[],7,FALSE),"")</f>
        <v/>
      </c>
      <c r="AX215" s="277" t="str">
        <f>IFERROR(VLOOKUP(TableHandbook[[#This Row],[UDC]],TableSTRUENGLM[],7,FALSE),"")</f>
        <v/>
      </c>
      <c r="AY215" s="277" t="str">
        <f>IFERROR(VLOOKUP(TableHandbook[[#This Row],[UDC]],TableSTRUGEOB1[],7,FALSE),"")</f>
        <v/>
      </c>
      <c r="AZ215" s="277" t="str">
        <f>IFERROR(VLOOKUP(TableHandbook[[#This Row],[UDC]],TableSTRUHISB1[],7,FALSE),"")</f>
        <v/>
      </c>
      <c r="BA215" s="277" t="str">
        <f>IFERROR(VLOOKUP(TableHandbook[[#This Row],[UDC]],TableSTRUHUMAM[],7,FALSE),"")</f>
        <v/>
      </c>
      <c r="BB215" s="277" t="str">
        <f>IFERROR(VLOOKUP(TableHandbook[[#This Row],[UDC]],TableSTRUHUMBB[],7,FALSE),"")</f>
        <v/>
      </c>
      <c r="BC215" s="277" t="str">
        <f>IFERROR(VLOOKUP(TableHandbook[[#This Row],[UDC]],TableSTRUMATHB[],7,FALSE),"")</f>
        <v/>
      </c>
      <c r="BD215" s="277" t="str">
        <f>IFERROR(VLOOKUP(TableHandbook[[#This Row],[UDC]],TableSTRUMATHM[],7,FALSE),"")</f>
        <v/>
      </c>
      <c r="BE215" s="277" t="str">
        <f>IFERROR(VLOOKUP(TableHandbook[[#This Row],[UDC]],TableSTRUPARTB[],7,FALSE),"")</f>
        <v/>
      </c>
      <c r="BF215" s="277" t="str">
        <f>IFERROR(VLOOKUP(TableHandbook[[#This Row],[UDC]],TableSTRUPARTM[],7,FALSE),"")</f>
        <v/>
      </c>
      <c r="BG215" s="277" t="str">
        <f>IFERROR(VLOOKUP(TableHandbook[[#This Row],[UDC]],TableSTRUPOLB1[],7,FALSE),"")</f>
        <v/>
      </c>
      <c r="BH215" s="277" t="str">
        <f>IFERROR(VLOOKUP(TableHandbook[[#This Row],[UDC]],TableSTRUPSCIM[],7,FALSE),"")</f>
        <v>Core</v>
      </c>
      <c r="BI215" s="277" t="str">
        <f>IFERROR(VLOOKUP(TableHandbook[[#This Row],[UDC]],TableSTRUPSYCB[],7,FALSE),"")</f>
        <v/>
      </c>
      <c r="BJ215" s="277" t="str">
        <f>IFERROR(VLOOKUP(TableHandbook[[#This Row],[UDC]],TableSTRUPSYCM[],7,FALSE),"")</f>
        <v/>
      </c>
      <c r="BK215" s="277" t="str">
        <f>IFERROR(VLOOKUP(TableHandbook[[#This Row],[UDC]],TableSTRUSOSCM[],7,FALSE),"")</f>
        <v/>
      </c>
      <c r="BL215" s="277" t="str">
        <f>IFERROR(VLOOKUP(TableHandbook[[#This Row],[UDC]],TableSTRUVARTB[],7,FALSE),"")</f>
        <v/>
      </c>
      <c r="BM215" s="277" t="str">
        <f>IFERROR(VLOOKUP(TableHandbook[[#This Row],[UDC]],TableSTRUVARTM[],7,FALSE),"")</f>
        <v/>
      </c>
    </row>
    <row r="216" spans="1:65" x14ac:dyDescent="0.25">
      <c r="A216" s="262" t="s">
        <v>488</v>
      </c>
      <c r="B216" s="12">
        <v>1</v>
      </c>
      <c r="C216" s="11"/>
      <c r="D216" s="11" t="s">
        <v>791</v>
      </c>
      <c r="E216" s="12">
        <v>25</v>
      </c>
      <c r="F216" s="131" t="s">
        <v>308</v>
      </c>
      <c r="G216" s="279" t="str">
        <f>IFERROR(IF(VLOOKUP(TableHandbook[[#This Row],[UDC]],TableAvailabilities[],2,FALSE)&gt;0,"Y",""),"")</f>
        <v/>
      </c>
      <c r="H216" s="280" t="str">
        <f>IFERROR(IF(VLOOKUP(TableHandbook[[#This Row],[UDC]],TableAvailabilities[],3,FALSE)&gt;0,"Y",""),"")</f>
        <v/>
      </c>
      <c r="I216" s="280" t="str">
        <f>IFERROR(IF(VLOOKUP(TableHandbook[[#This Row],[UDC]],TableAvailabilities[],4,FALSE)&gt;0,"Y",""),"")</f>
        <v/>
      </c>
      <c r="J216" s="281" t="str">
        <f>IFERROR(IF(VLOOKUP(TableHandbook[[#This Row],[UDC]],TableAvailabilities[],5,FALSE)&gt;0,"Y",""),"")</f>
        <v>Y</v>
      </c>
      <c r="K216" s="281" t="str">
        <f>IFERROR(IF(VLOOKUP(TableHandbook[[#This Row],[UDC]],TableAvailabilities[],6,FALSE)&gt;0,"Y",""),"")</f>
        <v/>
      </c>
      <c r="L216" s="280" t="str">
        <f>IFERROR(IF(VLOOKUP(TableHandbook[[#This Row],[UDC]],TableAvailabilities[],7,FALSE)&gt;0,"Y",""),"")</f>
        <v/>
      </c>
      <c r="M216" s="276"/>
      <c r="N216" s="277" t="str">
        <f>IFERROR(VLOOKUP(TableHandbook[[#This Row],[UDC]],TableBEDUC[],7,FALSE),"")</f>
        <v/>
      </c>
      <c r="O216" s="277" t="str">
        <f>IFERROR(VLOOKUP(TableHandbook[[#This Row],[UDC]],TableBEDEC[],7,FALSE),"")</f>
        <v/>
      </c>
      <c r="P216" s="277" t="str">
        <f>IFERROR(VLOOKUP(TableHandbook[[#This Row],[UDC]],TableBEDPR[],7,FALSE),"")</f>
        <v/>
      </c>
      <c r="Q216" s="277" t="str">
        <f>IFERROR(VLOOKUP(TableHandbook[[#This Row],[UDC]],TableSTRUCATHL[],7,FALSE),"")</f>
        <v/>
      </c>
      <c r="R216" s="277" t="str">
        <f>IFERROR(VLOOKUP(TableHandbook[[#This Row],[UDC]],TableSTRUENGLL[],7,FALSE),"")</f>
        <v/>
      </c>
      <c r="S216" s="277" t="str">
        <f>IFERROR(VLOOKUP(TableHandbook[[#This Row],[UDC]],TableSTRUINTBC[],7,FALSE),"")</f>
        <v/>
      </c>
      <c r="T216" s="277" t="str">
        <f>IFERROR(VLOOKUP(TableHandbook[[#This Row],[UDC]],TableSTRUISTEM[],7,FALSE),"")</f>
        <v/>
      </c>
      <c r="U216" s="277" t="str">
        <f>IFERROR(VLOOKUP(TableHandbook[[#This Row],[UDC]],TableSTRULITNU[],7,FALSE),"")</f>
        <v/>
      </c>
      <c r="V216" s="277" t="str">
        <f>IFERROR(VLOOKUP(TableHandbook[[#This Row],[UDC]],TableSTRUTECHS[],7,FALSE),"")</f>
        <v/>
      </c>
      <c r="W216" s="277" t="str">
        <f>IFERROR(VLOOKUP(TableHandbook[[#This Row],[UDC]],TableBEDSC[],7,FALSE),"")</f>
        <v/>
      </c>
      <c r="X216" s="277" t="str">
        <f>IFERROR(VLOOKUP(TableHandbook[[#This Row],[UDC]],TableMJRUARTDR[],7,FALSE),"")</f>
        <v/>
      </c>
      <c r="Y216" s="277" t="str">
        <f>IFERROR(VLOOKUP(TableHandbook[[#This Row],[UDC]],TableMJRUARTME[],7,FALSE),"")</f>
        <v/>
      </c>
      <c r="Z216" s="277" t="str">
        <f>IFERROR(VLOOKUP(TableHandbook[[#This Row],[UDC]],TableMJRUARTVA[],7,FALSE),"")</f>
        <v/>
      </c>
      <c r="AA216" s="277" t="str">
        <f>IFERROR(VLOOKUP(TableHandbook[[#This Row],[UDC]],TableMJRUENGLT[],7,FALSE),"")</f>
        <v/>
      </c>
      <c r="AB216" s="277" t="str">
        <f>IFERROR(VLOOKUP(TableHandbook[[#This Row],[UDC]],TableMJRUHLTPE[],7,FALSE),"")</f>
        <v/>
      </c>
      <c r="AC216" s="277" t="str">
        <f>IFERROR(VLOOKUP(TableHandbook[[#This Row],[UDC]],TableMJRUHUSEC[],7,FALSE),"")</f>
        <v/>
      </c>
      <c r="AD216" s="277" t="str">
        <f>IFERROR(VLOOKUP(TableHandbook[[#This Row],[UDC]],TableMJRUHUSGE[],7,FALSE),"")</f>
        <v/>
      </c>
      <c r="AE216" s="277" t="str">
        <f>IFERROR(VLOOKUP(TableHandbook[[#This Row],[UDC]],TableMJRUHUSHI[],7,FALSE),"")</f>
        <v/>
      </c>
      <c r="AF216" s="277" t="str">
        <f>IFERROR(VLOOKUP(TableHandbook[[#This Row],[UDC]],TableMJRUHUSPL[],7,FALSE),"")</f>
        <v/>
      </c>
      <c r="AG216" s="277" t="str">
        <f>IFERROR(VLOOKUP(TableHandbook[[#This Row],[UDC]],TableMJRUMATHT[],7,FALSE),"")</f>
        <v/>
      </c>
      <c r="AH216" s="277" t="str">
        <f>IFERROR(VLOOKUP(TableHandbook[[#This Row],[UDC]],TableMJRUSCIBI[],7,FALSE),"")</f>
        <v/>
      </c>
      <c r="AI216" s="277" t="str">
        <f>IFERROR(VLOOKUP(TableHandbook[[#This Row],[UDC]],TableMJRUSCICH[],7,FALSE),"")</f>
        <v/>
      </c>
      <c r="AJ216" s="277" t="str">
        <f>IFERROR(VLOOKUP(TableHandbook[[#This Row],[UDC]],TableMJRUSCIHB[],7,FALSE),"")</f>
        <v/>
      </c>
      <c r="AK216" s="277" t="str">
        <f>IFERROR(VLOOKUP(TableHandbook[[#This Row],[UDC]],TableMJRUSCIPH[],7,FALSE),"")</f>
        <v>Core</v>
      </c>
      <c r="AL216" s="277" t="str">
        <f>IFERROR(VLOOKUP(TableHandbook[[#This Row],[UDC]],TableMJRUSCIPS[],7,FALSE),"")</f>
        <v/>
      </c>
      <c r="AM216" s="202"/>
      <c r="AN216" s="277" t="str">
        <f>IFERROR(VLOOKUP(TableHandbook[[#This Row],[UDC]],TableSTRUBIOLB[],7,FALSE),"")</f>
        <v/>
      </c>
      <c r="AO216" s="277" t="str">
        <f>IFERROR(VLOOKUP(TableHandbook[[#This Row],[UDC]],TableSTRUBSCIM[],7,FALSE),"")</f>
        <v/>
      </c>
      <c r="AP216" s="277" t="str">
        <f>IFERROR(VLOOKUP(TableHandbook[[#This Row],[UDC]],TableSTRUCHEMB[],7,FALSE),"")</f>
        <v/>
      </c>
      <c r="AQ216" s="277" t="str">
        <f>IFERROR(VLOOKUP(TableHandbook[[#This Row],[UDC]],TableSTRUECOB1[],7,FALSE),"")</f>
        <v/>
      </c>
      <c r="AR216" s="277" t="str">
        <f>IFERROR(VLOOKUP(TableHandbook[[#This Row],[UDC]],TableSTRUEDART[],7,FALSE),"")</f>
        <v/>
      </c>
      <c r="AS216" s="277" t="str">
        <f>IFERROR(VLOOKUP(TableHandbook[[#This Row],[UDC]],TableSTRUEDENG[],7,FALSE),"")</f>
        <v/>
      </c>
      <c r="AT216" s="277" t="str">
        <f>IFERROR(VLOOKUP(TableHandbook[[#This Row],[UDC]],TableSTRUEDHAS[],7,FALSE),"")</f>
        <v/>
      </c>
      <c r="AU216" s="277" t="str">
        <f>IFERROR(VLOOKUP(TableHandbook[[#This Row],[UDC]],TableSTRUEDMAT[],7,FALSE),"")</f>
        <v/>
      </c>
      <c r="AV216" s="277" t="str">
        <f>IFERROR(VLOOKUP(TableHandbook[[#This Row],[UDC]],TableSTRUEDSCI[],7,FALSE),"")</f>
        <v/>
      </c>
      <c r="AW216" s="277" t="str">
        <f>IFERROR(VLOOKUP(TableHandbook[[#This Row],[UDC]],TableSTRUENGLB[],7,FALSE),"")</f>
        <v/>
      </c>
      <c r="AX216" s="277" t="str">
        <f>IFERROR(VLOOKUP(TableHandbook[[#This Row],[UDC]],TableSTRUENGLM[],7,FALSE),"")</f>
        <v/>
      </c>
      <c r="AY216" s="277" t="str">
        <f>IFERROR(VLOOKUP(TableHandbook[[#This Row],[UDC]],TableSTRUGEOB1[],7,FALSE),"")</f>
        <v/>
      </c>
      <c r="AZ216" s="277" t="str">
        <f>IFERROR(VLOOKUP(TableHandbook[[#This Row],[UDC]],TableSTRUHISB1[],7,FALSE),"")</f>
        <v/>
      </c>
      <c r="BA216" s="277" t="str">
        <f>IFERROR(VLOOKUP(TableHandbook[[#This Row],[UDC]],TableSTRUHUMAM[],7,FALSE),"")</f>
        <v/>
      </c>
      <c r="BB216" s="277" t="str">
        <f>IFERROR(VLOOKUP(TableHandbook[[#This Row],[UDC]],TableSTRUHUMBB[],7,FALSE),"")</f>
        <v/>
      </c>
      <c r="BC216" s="277" t="str">
        <f>IFERROR(VLOOKUP(TableHandbook[[#This Row],[UDC]],TableSTRUMATHB[],7,FALSE),"")</f>
        <v/>
      </c>
      <c r="BD216" s="277" t="str">
        <f>IFERROR(VLOOKUP(TableHandbook[[#This Row],[UDC]],TableSTRUMATHM[],7,FALSE),"")</f>
        <v/>
      </c>
      <c r="BE216" s="277" t="str">
        <f>IFERROR(VLOOKUP(TableHandbook[[#This Row],[UDC]],TableSTRUPARTB[],7,FALSE),"")</f>
        <v/>
      </c>
      <c r="BF216" s="277" t="str">
        <f>IFERROR(VLOOKUP(TableHandbook[[#This Row],[UDC]],TableSTRUPARTM[],7,FALSE),"")</f>
        <v/>
      </c>
      <c r="BG216" s="277" t="str">
        <f>IFERROR(VLOOKUP(TableHandbook[[#This Row],[UDC]],TableSTRUPOLB1[],7,FALSE),"")</f>
        <v/>
      </c>
      <c r="BH216" s="277" t="str">
        <f>IFERROR(VLOOKUP(TableHandbook[[#This Row],[UDC]],TableSTRUPSCIM[],7,FALSE),"")</f>
        <v/>
      </c>
      <c r="BI216" s="277" t="str">
        <f>IFERROR(VLOOKUP(TableHandbook[[#This Row],[UDC]],TableSTRUPSYCB[],7,FALSE),"")</f>
        <v/>
      </c>
      <c r="BJ216" s="277" t="str">
        <f>IFERROR(VLOOKUP(TableHandbook[[#This Row],[UDC]],TableSTRUPSYCM[],7,FALSE),"")</f>
        <v/>
      </c>
      <c r="BK216" s="277" t="str">
        <f>IFERROR(VLOOKUP(TableHandbook[[#This Row],[UDC]],TableSTRUSOSCM[],7,FALSE),"")</f>
        <v/>
      </c>
      <c r="BL216" s="277" t="str">
        <f>IFERROR(VLOOKUP(TableHandbook[[#This Row],[UDC]],TableSTRUVARTB[],7,FALSE),"")</f>
        <v/>
      </c>
      <c r="BM216" s="277" t="str">
        <f>IFERROR(VLOOKUP(TableHandbook[[#This Row],[UDC]],TableSTRUVARTM[],7,FALSE),"")</f>
        <v/>
      </c>
    </row>
    <row r="217" spans="1:65" x14ac:dyDescent="0.25">
      <c r="A217" s="262" t="s">
        <v>408</v>
      </c>
      <c r="B217" s="12">
        <v>1</v>
      </c>
      <c r="C217" s="11"/>
      <c r="D217" s="11" t="s">
        <v>792</v>
      </c>
      <c r="E217" s="12">
        <v>25</v>
      </c>
      <c r="F217" s="131" t="s">
        <v>308</v>
      </c>
      <c r="G217" s="279" t="str">
        <f>IFERROR(IF(VLOOKUP(TableHandbook[[#This Row],[UDC]],TableAvailabilities[],2,FALSE)&gt;0,"Y",""),"")</f>
        <v>Y</v>
      </c>
      <c r="H217" s="280" t="str">
        <f>IFERROR(IF(VLOOKUP(TableHandbook[[#This Row],[UDC]],TableAvailabilities[],3,FALSE)&gt;0,"Y",""),"")</f>
        <v/>
      </c>
      <c r="I217" s="280" t="str">
        <f>IFERROR(IF(VLOOKUP(TableHandbook[[#This Row],[UDC]],TableAvailabilities[],4,FALSE)&gt;0,"Y",""),"")</f>
        <v/>
      </c>
      <c r="J217" s="281" t="str">
        <f>IFERROR(IF(VLOOKUP(TableHandbook[[#This Row],[UDC]],TableAvailabilities[],5,FALSE)&gt;0,"Y",""),"")</f>
        <v/>
      </c>
      <c r="K217" s="281" t="str">
        <f>IFERROR(IF(VLOOKUP(TableHandbook[[#This Row],[UDC]],TableAvailabilities[],6,FALSE)&gt;0,"Y",""),"")</f>
        <v/>
      </c>
      <c r="L217" s="280" t="str">
        <f>IFERROR(IF(VLOOKUP(TableHandbook[[#This Row],[UDC]],TableAvailabilities[],7,FALSE)&gt;0,"Y",""),"")</f>
        <v/>
      </c>
      <c r="M217" s="276"/>
      <c r="N217" s="277" t="str">
        <f>IFERROR(VLOOKUP(TableHandbook[[#This Row],[UDC]],TableBEDUC[],7,FALSE),"")</f>
        <v/>
      </c>
      <c r="O217" s="277" t="str">
        <f>IFERROR(VLOOKUP(TableHandbook[[#This Row],[UDC]],TableBEDEC[],7,FALSE),"")</f>
        <v/>
      </c>
      <c r="P217" s="277" t="str">
        <f>IFERROR(VLOOKUP(TableHandbook[[#This Row],[UDC]],TableBEDPR[],7,FALSE),"")</f>
        <v/>
      </c>
      <c r="Q217" s="277" t="str">
        <f>IFERROR(VLOOKUP(TableHandbook[[#This Row],[UDC]],TableSTRUCATHL[],7,FALSE),"")</f>
        <v/>
      </c>
      <c r="R217" s="277" t="str">
        <f>IFERROR(VLOOKUP(TableHandbook[[#This Row],[UDC]],TableSTRUENGLL[],7,FALSE),"")</f>
        <v/>
      </c>
      <c r="S217" s="277" t="str">
        <f>IFERROR(VLOOKUP(TableHandbook[[#This Row],[UDC]],TableSTRUINTBC[],7,FALSE),"")</f>
        <v/>
      </c>
      <c r="T217" s="277" t="str">
        <f>IFERROR(VLOOKUP(TableHandbook[[#This Row],[UDC]],TableSTRUISTEM[],7,FALSE),"")</f>
        <v/>
      </c>
      <c r="U217" s="277" t="str">
        <f>IFERROR(VLOOKUP(TableHandbook[[#This Row],[UDC]],TableSTRULITNU[],7,FALSE),"")</f>
        <v/>
      </c>
      <c r="V217" s="277" t="str">
        <f>IFERROR(VLOOKUP(TableHandbook[[#This Row],[UDC]],TableSTRUTECHS[],7,FALSE),"")</f>
        <v/>
      </c>
      <c r="W217" s="277" t="str">
        <f>IFERROR(VLOOKUP(TableHandbook[[#This Row],[UDC]],TableBEDSC[],7,FALSE),"")</f>
        <v/>
      </c>
      <c r="X217" s="277" t="str">
        <f>IFERROR(VLOOKUP(TableHandbook[[#This Row],[UDC]],TableMJRUARTDR[],7,FALSE),"")</f>
        <v/>
      </c>
      <c r="Y217" s="277" t="str">
        <f>IFERROR(VLOOKUP(TableHandbook[[#This Row],[UDC]],TableMJRUARTME[],7,FALSE),"")</f>
        <v/>
      </c>
      <c r="Z217" s="277" t="str">
        <f>IFERROR(VLOOKUP(TableHandbook[[#This Row],[UDC]],TableMJRUARTVA[],7,FALSE),"")</f>
        <v/>
      </c>
      <c r="AA217" s="277" t="str">
        <f>IFERROR(VLOOKUP(TableHandbook[[#This Row],[UDC]],TableMJRUENGLT[],7,FALSE),"")</f>
        <v/>
      </c>
      <c r="AB217" s="277" t="str">
        <f>IFERROR(VLOOKUP(TableHandbook[[#This Row],[UDC]],TableMJRUHLTPE[],7,FALSE),"")</f>
        <v/>
      </c>
      <c r="AC217" s="277" t="str">
        <f>IFERROR(VLOOKUP(TableHandbook[[#This Row],[UDC]],TableMJRUHUSEC[],7,FALSE),"")</f>
        <v/>
      </c>
      <c r="AD217" s="277" t="str">
        <f>IFERROR(VLOOKUP(TableHandbook[[#This Row],[UDC]],TableMJRUHUSGE[],7,FALSE),"")</f>
        <v/>
      </c>
      <c r="AE217" s="277" t="str">
        <f>IFERROR(VLOOKUP(TableHandbook[[#This Row],[UDC]],TableMJRUHUSHI[],7,FALSE),"")</f>
        <v/>
      </c>
      <c r="AF217" s="277" t="str">
        <f>IFERROR(VLOOKUP(TableHandbook[[#This Row],[UDC]],TableMJRUHUSPL[],7,FALSE),"")</f>
        <v/>
      </c>
      <c r="AG217" s="277" t="str">
        <f>IFERROR(VLOOKUP(TableHandbook[[#This Row],[UDC]],TableMJRUMATHT[],7,FALSE),"")</f>
        <v/>
      </c>
      <c r="AH217" s="277" t="str">
        <f>IFERROR(VLOOKUP(TableHandbook[[#This Row],[UDC]],TableMJRUSCIBI[],7,FALSE),"")</f>
        <v/>
      </c>
      <c r="AI217" s="277" t="str">
        <f>IFERROR(VLOOKUP(TableHandbook[[#This Row],[UDC]],TableMJRUSCICH[],7,FALSE),"")</f>
        <v/>
      </c>
      <c r="AJ217" s="277" t="str">
        <f>IFERROR(VLOOKUP(TableHandbook[[#This Row],[UDC]],TableMJRUSCIHB[],7,FALSE),"")</f>
        <v/>
      </c>
      <c r="AK217" s="277" t="str">
        <f>IFERROR(VLOOKUP(TableHandbook[[#This Row],[UDC]],TableMJRUSCIPH[],7,FALSE),"")</f>
        <v>Core</v>
      </c>
      <c r="AL217" s="277" t="str">
        <f>IFERROR(VLOOKUP(TableHandbook[[#This Row],[UDC]],TableMJRUSCIPS[],7,FALSE),"")</f>
        <v/>
      </c>
      <c r="AM217" s="202"/>
      <c r="AN217" s="277" t="str">
        <f>IFERROR(VLOOKUP(TableHandbook[[#This Row],[UDC]],TableSTRUBIOLB[],7,FALSE),"")</f>
        <v/>
      </c>
      <c r="AO217" s="277" t="str">
        <f>IFERROR(VLOOKUP(TableHandbook[[#This Row],[UDC]],TableSTRUBSCIM[],7,FALSE),"")</f>
        <v/>
      </c>
      <c r="AP217" s="277" t="str">
        <f>IFERROR(VLOOKUP(TableHandbook[[#This Row],[UDC]],TableSTRUCHEMB[],7,FALSE),"")</f>
        <v/>
      </c>
      <c r="AQ217" s="277" t="str">
        <f>IFERROR(VLOOKUP(TableHandbook[[#This Row],[UDC]],TableSTRUECOB1[],7,FALSE),"")</f>
        <v/>
      </c>
      <c r="AR217" s="277" t="str">
        <f>IFERROR(VLOOKUP(TableHandbook[[#This Row],[UDC]],TableSTRUEDART[],7,FALSE),"")</f>
        <v/>
      </c>
      <c r="AS217" s="277" t="str">
        <f>IFERROR(VLOOKUP(TableHandbook[[#This Row],[UDC]],TableSTRUEDENG[],7,FALSE),"")</f>
        <v/>
      </c>
      <c r="AT217" s="277" t="str">
        <f>IFERROR(VLOOKUP(TableHandbook[[#This Row],[UDC]],TableSTRUEDHAS[],7,FALSE),"")</f>
        <v/>
      </c>
      <c r="AU217" s="277" t="str">
        <f>IFERROR(VLOOKUP(TableHandbook[[#This Row],[UDC]],TableSTRUEDMAT[],7,FALSE),"")</f>
        <v/>
      </c>
      <c r="AV217" s="277" t="str">
        <f>IFERROR(VLOOKUP(TableHandbook[[#This Row],[UDC]],TableSTRUEDSCI[],7,FALSE),"")</f>
        <v/>
      </c>
      <c r="AW217" s="277" t="str">
        <f>IFERROR(VLOOKUP(TableHandbook[[#This Row],[UDC]],TableSTRUENGLB[],7,FALSE),"")</f>
        <v/>
      </c>
      <c r="AX217" s="277" t="str">
        <f>IFERROR(VLOOKUP(TableHandbook[[#This Row],[UDC]],TableSTRUENGLM[],7,FALSE),"")</f>
        <v/>
      </c>
      <c r="AY217" s="277" t="str">
        <f>IFERROR(VLOOKUP(TableHandbook[[#This Row],[UDC]],TableSTRUGEOB1[],7,FALSE),"")</f>
        <v/>
      </c>
      <c r="AZ217" s="277" t="str">
        <f>IFERROR(VLOOKUP(TableHandbook[[#This Row],[UDC]],TableSTRUHISB1[],7,FALSE),"")</f>
        <v/>
      </c>
      <c r="BA217" s="277" t="str">
        <f>IFERROR(VLOOKUP(TableHandbook[[#This Row],[UDC]],TableSTRUHUMAM[],7,FALSE),"")</f>
        <v/>
      </c>
      <c r="BB217" s="277" t="str">
        <f>IFERROR(VLOOKUP(TableHandbook[[#This Row],[UDC]],TableSTRUHUMBB[],7,FALSE),"")</f>
        <v/>
      </c>
      <c r="BC217" s="277" t="str">
        <f>IFERROR(VLOOKUP(TableHandbook[[#This Row],[UDC]],TableSTRUMATHB[],7,FALSE),"")</f>
        <v/>
      </c>
      <c r="BD217" s="277" t="str">
        <f>IFERROR(VLOOKUP(TableHandbook[[#This Row],[UDC]],TableSTRUMATHM[],7,FALSE),"")</f>
        <v/>
      </c>
      <c r="BE217" s="277" t="str">
        <f>IFERROR(VLOOKUP(TableHandbook[[#This Row],[UDC]],TableSTRUPARTB[],7,FALSE),"")</f>
        <v/>
      </c>
      <c r="BF217" s="277" t="str">
        <f>IFERROR(VLOOKUP(TableHandbook[[#This Row],[UDC]],TableSTRUPARTM[],7,FALSE),"")</f>
        <v/>
      </c>
      <c r="BG217" s="277" t="str">
        <f>IFERROR(VLOOKUP(TableHandbook[[#This Row],[UDC]],TableSTRUPOLB1[],7,FALSE),"")</f>
        <v/>
      </c>
      <c r="BH217" s="277" t="str">
        <f>IFERROR(VLOOKUP(TableHandbook[[#This Row],[UDC]],TableSTRUPSCIM[],7,FALSE),"")</f>
        <v/>
      </c>
      <c r="BI217" s="277" t="str">
        <f>IFERROR(VLOOKUP(TableHandbook[[#This Row],[UDC]],TableSTRUPSYCB[],7,FALSE),"")</f>
        <v/>
      </c>
      <c r="BJ217" s="277" t="str">
        <f>IFERROR(VLOOKUP(TableHandbook[[#This Row],[UDC]],TableSTRUPSYCM[],7,FALSE),"")</f>
        <v/>
      </c>
      <c r="BK217" s="277" t="str">
        <f>IFERROR(VLOOKUP(TableHandbook[[#This Row],[UDC]],TableSTRUSOSCM[],7,FALSE),"")</f>
        <v/>
      </c>
      <c r="BL217" s="277" t="str">
        <f>IFERROR(VLOOKUP(TableHandbook[[#This Row],[UDC]],TableSTRUVARTB[],7,FALSE),"")</f>
        <v/>
      </c>
      <c r="BM217" s="277" t="str">
        <f>IFERROR(VLOOKUP(TableHandbook[[#This Row],[UDC]],TableSTRUVARTM[],7,FALSE),"")</f>
        <v/>
      </c>
    </row>
    <row r="218" spans="1:65" ht="26.25" x14ac:dyDescent="0.25">
      <c r="A218" s="262" t="s">
        <v>495</v>
      </c>
      <c r="B218" s="12">
        <v>1</v>
      </c>
      <c r="C218" s="11"/>
      <c r="D218" s="11" t="s">
        <v>793</v>
      </c>
      <c r="E218" s="12">
        <v>25</v>
      </c>
      <c r="F218" s="131" t="s">
        <v>794</v>
      </c>
      <c r="G218" s="279" t="str">
        <f>IFERROR(IF(VLOOKUP(TableHandbook[[#This Row],[UDC]],TableAvailabilities[],2,FALSE)&gt;0,"Y",""),"")</f>
        <v>Y</v>
      </c>
      <c r="H218" s="280" t="str">
        <f>IFERROR(IF(VLOOKUP(TableHandbook[[#This Row],[UDC]],TableAvailabilities[],3,FALSE)&gt;0,"Y",""),"")</f>
        <v/>
      </c>
      <c r="I218" s="280" t="str">
        <f>IFERROR(IF(VLOOKUP(TableHandbook[[#This Row],[UDC]],TableAvailabilities[],4,FALSE)&gt;0,"Y",""),"")</f>
        <v/>
      </c>
      <c r="J218" s="281" t="str">
        <f>IFERROR(IF(VLOOKUP(TableHandbook[[#This Row],[UDC]],TableAvailabilities[],5,FALSE)&gt;0,"Y",""),"")</f>
        <v/>
      </c>
      <c r="K218" s="281" t="str">
        <f>IFERROR(IF(VLOOKUP(TableHandbook[[#This Row],[UDC]],TableAvailabilities[],6,FALSE)&gt;0,"Y",""),"")</f>
        <v/>
      </c>
      <c r="L218" s="280" t="str">
        <f>IFERROR(IF(VLOOKUP(TableHandbook[[#This Row],[UDC]],TableAvailabilities[],7,FALSE)&gt;0,"Y",""),"")</f>
        <v/>
      </c>
      <c r="M218" s="276"/>
      <c r="N218" s="277" t="str">
        <f>IFERROR(VLOOKUP(TableHandbook[[#This Row],[UDC]],TableBEDUC[],7,FALSE),"")</f>
        <v/>
      </c>
      <c r="O218" s="277" t="str">
        <f>IFERROR(VLOOKUP(TableHandbook[[#This Row],[UDC]],TableBEDEC[],7,FALSE),"")</f>
        <v/>
      </c>
      <c r="P218" s="277" t="str">
        <f>IFERROR(VLOOKUP(TableHandbook[[#This Row],[UDC]],TableBEDPR[],7,FALSE),"")</f>
        <v/>
      </c>
      <c r="Q218" s="277" t="str">
        <f>IFERROR(VLOOKUP(TableHandbook[[#This Row],[UDC]],TableSTRUCATHL[],7,FALSE),"")</f>
        <v/>
      </c>
      <c r="R218" s="277" t="str">
        <f>IFERROR(VLOOKUP(TableHandbook[[#This Row],[UDC]],TableSTRUENGLL[],7,FALSE),"")</f>
        <v/>
      </c>
      <c r="S218" s="277" t="str">
        <f>IFERROR(VLOOKUP(TableHandbook[[#This Row],[UDC]],TableSTRUINTBC[],7,FALSE),"")</f>
        <v/>
      </c>
      <c r="T218" s="277" t="str">
        <f>IFERROR(VLOOKUP(TableHandbook[[#This Row],[UDC]],TableSTRUISTEM[],7,FALSE),"")</f>
        <v/>
      </c>
      <c r="U218" s="277" t="str">
        <f>IFERROR(VLOOKUP(TableHandbook[[#This Row],[UDC]],TableSTRULITNU[],7,FALSE),"")</f>
        <v/>
      </c>
      <c r="V218" s="277" t="str">
        <f>IFERROR(VLOOKUP(TableHandbook[[#This Row],[UDC]],TableSTRUTECHS[],7,FALSE),"")</f>
        <v/>
      </c>
      <c r="W218" s="277" t="str">
        <f>IFERROR(VLOOKUP(TableHandbook[[#This Row],[UDC]],TableBEDSC[],7,FALSE),"")</f>
        <v/>
      </c>
      <c r="X218" s="277" t="str">
        <f>IFERROR(VLOOKUP(TableHandbook[[#This Row],[UDC]],TableMJRUARTDR[],7,FALSE),"")</f>
        <v/>
      </c>
      <c r="Y218" s="277" t="str">
        <f>IFERROR(VLOOKUP(TableHandbook[[#This Row],[UDC]],TableMJRUARTME[],7,FALSE),"")</f>
        <v/>
      </c>
      <c r="Z218" s="277" t="str">
        <f>IFERROR(VLOOKUP(TableHandbook[[#This Row],[UDC]],TableMJRUARTVA[],7,FALSE),"")</f>
        <v/>
      </c>
      <c r="AA218" s="277" t="str">
        <f>IFERROR(VLOOKUP(TableHandbook[[#This Row],[UDC]],TableMJRUENGLT[],7,FALSE),"")</f>
        <v/>
      </c>
      <c r="AB218" s="277" t="str">
        <f>IFERROR(VLOOKUP(TableHandbook[[#This Row],[UDC]],TableMJRUHLTPE[],7,FALSE),"")</f>
        <v/>
      </c>
      <c r="AC218" s="277" t="str">
        <f>IFERROR(VLOOKUP(TableHandbook[[#This Row],[UDC]],TableMJRUHUSEC[],7,FALSE),"")</f>
        <v/>
      </c>
      <c r="AD218" s="277" t="str">
        <f>IFERROR(VLOOKUP(TableHandbook[[#This Row],[UDC]],TableMJRUHUSGE[],7,FALSE),"")</f>
        <v/>
      </c>
      <c r="AE218" s="277" t="str">
        <f>IFERROR(VLOOKUP(TableHandbook[[#This Row],[UDC]],TableMJRUHUSHI[],7,FALSE),"")</f>
        <v/>
      </c>
      <c r="AF218" s="277" t="str">
        <f>IFERROR(VLOOKUP(TableHandbook[[#This Row],[UDC]],TableMJRUHUSPL[],7,FALSE),"")</f>
        <v/>
      </c>
      <c r="AG218" s="277" t="str">
        <f>IFERROR(VLOOKUP(TableHandbook[[#This Row],[UDC]],TableMJRUMATHT[],7,FALSE),"")</f>
        <v/>
      </c>
      <c r="AH218" s="277" t="str">
        <f>IFERROR(VLOOKUP(TableHandbook[[#This Row],[UDC]],TableMJRUSCIBI[],7,FALSE),"")</f>
        <v/>
      </c>
      <c r="AI218" s="277" t="str">
        <f>IFERROR(VLOOKUP(TableHandbook[[#This Row],[UDC]],TableMJRUSCICH[],7,FALSE),"")</f>
        <v/>
      </c>
      <c r="AJ218" s="277" t="str">
        <f>IFERROR(VLOOKUP(TableHandbook[[#This Row],[UDC]],TableMJRUSCIHB[],7,FALSE),"")</f>
        <v/>
      </c>
      <c r="AK218" s="277" t="str">
        <f>IFERROR(VLOOKUP(TableHandbook[[#This Row],[UDC]],TableMJRUSCIPH[],7,FALSE),"")</f>
        <v>Core</v>
      </c>
      <c r="AL218" s="277" t="str">
        <f>IFERROR(VLOOKUP(TableHandbook[[#This Row],[UDC]],TableMJRUSCIPS[],7,FALSE),"")</f>
        <v/>
      </c>
      <c r="AM218" s="202"/>
      <c r="AN218" s="277" t="str">
        <f>IFERROR(VLOOKUP(TableHandbook[[#This Row],[UDC]],TableSTRUBIOLB[],7,FALSE),"")</f>
        <v/>
      </c>
      <c r="AO218" s="277" t="str">
        <f>IFERROR(VLOOKUP(TableHandbook[[#This Row],[UDC]],TableSTRUBSCIM[],7,FALSE),"")</f>
        <v/>
      </c>
      <c r="AP218" s="277" t="str">
        <f>IFERROR(VLOOKUP(TableHandbook[[#This Row],[UDC]],TableSTRUCHEMB[],7,FALSE),"")</f>
        <v/>
      </c>
      <c r="AQ218" s="277" t="str">
        <f>IFERROR(VLOOKUP(TableHandbook[[#This Row],[UDC]],TableSTRUECOB1[],7,FALSE),"")</f>
        <v/>
      </c>
      <c r="AR218" s="277" t="str">
        <f>IFERROR(VLOOKUP(TableHandbook[[#This Row],[UDC]],TableSTRUEDART[],7,FALSE),"")</f>
        <v/>
      </c>
      <c r="AS218" s="277" t="str">
        <f>IFERROR(VLOOKUP(TableHandbook[[#This Row],[UDC]],TableSTRUEDENG[],7,FALSE),"")</f>
        <v/>
      </c>
      <c r="AT218" s="277" t="str">
        <f>IFERROR(VLOOKUP(TableHandbook[[#This Row],[UDC]],TableSTRUEDHAS[],7,FALSE),"")</f>
        <v/>
      </c>
      <c r="AU218" s="277" t="str">
        <f>IFERROR(VLOOKUP(TableHandbook[[#This Row],[UDC]],TableSTRUEDMAT[],7,FALSE),"")</f>
        <v/>
      </c>
      <c r="AV218" s="277" t="str">
        <f>IFERROR(VLOOKUP(TableHandbook[[#This Row],[UDC]],TableSTRUEDSCI[],7,FALSE),"")</f>
        <v/>
      </c>
      <c r="AW218" s="277" t="str">
        <f>IFERROR(VLOOKUP(TableHandbook[[#This Row],[UDC]],TableSTRUENGLB[],7,FALSE),"")</f>
        <v/>
      </c>
      <c r="AX218" s="277" t="str">
        <f>IFERROR(VLOOKUP(TableHandbook[[#This Row],[UDC]],TableSTRUENGLM[],7,FALSE),"")</f>
        <v/>
      </c>
      <c r="AY218" s="277" t="str">
        <f>IFERROR(VLOOKUP(TableHandbook[[#This Row],[UDC]],TableSTRUGEOB1[],7,FALSE),"")</f>
        <v/>
      </c>
      <c r="AZ218" s="277" t="str">
        <f>IFERROR(VLOOKUP(TableHandbook[[#This Row],[UDC]],TableSTRUHISB1[],7,FALSE),"")</f>
        <v/>
      </c>
      <c r="BA218" s="277" t="str">
        <f>IFERROR(VLOOKUP(TableHandbook[[#This Row],[UDC]],TableSTRUHUMAM[],7,FALSE),"")</f>
        <v/>
      </c>
      <c r="BB218" s="277" t="str">
        <f>IFERROR(VLOOKUP(TableHandbook[[#This Row],[UDC]],TableSTRUHUMBB[],7,FALSE),"")</f>
        <v/>
      </c>
      <c r="BC218" s="277" t="str">
        <f>IFERROR(VLOOKUP(TableHandbook[[#This Row],[UDC]],TableSTRUMATHB[],7,FALSE),"")</f>
        <v/>
      </c>
      <c r="BD218" s="277" t="str">
        <f>IFERROR(VLOOKUP(TableHandbook[[#This Row],[UDC]],TableSTRUMATHM[],7,FALSE),"")</f>
        <v/>
      </c>
      <c r="BE218" s="277" t="str">
        <f>IFERROR(VLOOKUP(TableHandbook[[#This Row],[UDC]],TableSTRUPARTB[],7,FALSE),"")</f>
        <v/>
      </c>
      <c r="BF218" s="277" t="str">
        <f>IFERROR(VLOOKUP(TableHandbook[[#This Row],[UDC]],TableSTRUPARTM[],7,FALSE),"")</f>
        <v/>
      </c>
      <c r="BG218" s="277" t="str">
        <f>IFERROR(VLOOKUP(TableHandbook[[#This Row],[UDC]],TableSTRUPOLB1[],7,FALSE),"")</f>
        <v/>
      </c>
      <c r="BH218" s="277" t="str">
        <f>IFERROR(VLOOKUP(TableHandbook[[#This Row],[UDC]],TableSTRUPSCIM[],7,FALSE),"")</f>
        <v/>
      </c>
      <c r="BI218" s="277" t="str">
        <f>IFERROR(VLOOKUP(TableHandbook[[#This Row],[UDC]],TableSTRUPSYCB[],7,FALSE),"")</f>
        <v/>
      </c>
      <c r="BJ218" s="277" t="str">
        <f>IFERROR(VLOOKUP(TableHandbook[[#This Row],[UDC]],TableSTRUPSYCM[],7,FALSE),"")</f>
        <v/>
      </c>
      <c r="BK218" s="277" t="str">
        <f>IFERROR(VLOOKUP(TableHandbook[[#This Row],[UDC]],TableSTRUSOSCM[],7,FALSE),"")</f>
        <v/>
      </c>
      <c r="BL218" s="277" t="str">
        <f>IFERROR(VLOOKUP(TableHandbook[[#This Row],[UDC]],TableSTRUVARTB[],7,FALSE),"")</f>
        <v/>
      </c>
      <c r="BM218" s="277" t="str">
        <f>IFERROR(VLOOKUP(TableHandbook[[#This Row],[UDC]],TableSTRUVARTM[],7,FALSE),"")</f>
        <v/>
      </c>
    </row>
    <row r="219" spans="1:65" x14ac:dyDescent="0.25">
      <c r="A219" s="262" t="s">
        <v>393</v>
      </c>
      <c r="B219" s="12">
        <v>1</v>
      </c>
      <c r="C219" s="11"/>
      <c r="D219" s="11" t="s">
        <v>795</v>
      </c>
      <c r="E219" s="12">
        <v>25</v>
      </c>
      <c r="F219" s="131" t="s">
        <v>796</v>
      </c>
      <c r="G219" s="279" t="str">
        <f>IFERROR(IF(VLOOKUP(TableHandbook[[#This Row],[UDC]],TableAvailabilities[],2,FALSE)&gt;0,"Y",""),"")</f>
        <v>Y</v>
      </c>
      <c r="H219" s="280" t="str">
        <f>IFERROR(IF(VLOOKUP(TableHandbook[[#This Row],[UDC]],TableAvailabilities[],3,FALSE)&gt;0,"Y",""),"")</f>
        <v/>
      </c>
      <c r="I219" s="280" t="str">
        <f>IFERROR(IF(VLOOKUP(TableHandbook[[#This Row],[UDC]],TableAvailabilities[],4,FALSE)&gt;0,"Y",""),"")</f>
        <v/>
      </c>
      <c r="J219" s="281" t="str">
        <f>IFERROR(IF(VLOOKUP(TableHandbook[[#This Row],[UDC]],TableAvailabilities[],5,FALSE)&gt;0,"Y",""),"")</f>
        <v/>
      </c>
      <c r="K219" s="281" t="str">
        <f>IFERROR(IF(VLOOKUP(TableHandbook[[#This Row],[UDC]],TableAvailabilities[],6,FALSE)&gt;0,"Y",""),"")</f>
        <v/>
      </c>
      <c r="L219" s="280" t="str">
        <f>IFERROR(IF(VLOOKUP(TableHandbook[[#This Row],[UDC]],TableAvailabilities[],7,FALSE)&gt;0,"Y",""),"")</f>
        <v/>
      </c>
      <c r="M219" s="276"/>
      <c r="N219" s="277" t="str">
        <f>IFERROR(VLOOKUP(TableHandbook[[#This Row],[UDC]],TableBEDUC[],7,FALSE),"")</f>
        <v/>
      </c>
      <c r="O219" s="277" t="str">
        <f>IFERROR(VLOOKUP(TableHandbook[[#This Row],[UDC]],TableBEDEC[],7,FALSE),"")</f>
        <v/>
      </c>
      <c r="P219" s="277" t="str">
        <f>IFERROR(VLOOKUP(TableHandbook[[#This Row],[UDC]],TableBEDPR[],7,FALSE),"")</f>
        <v/>
      </c>
      <c r="Q219" s="277" t="str">
        <f>IFERROR(VLOOKUP(TableHandbook[[#This Row],[UDC]],TableSTRUCATHL[],7,FALSE),"")</f>
        <v/>
      </c>
      <c r="R219" s="277" t="str">
        <f>IFERROR(VLOOKUP(TableHandbook[[#This Row],[UDC]],TableSTRUENGLL[],7,FALSE),"")</f>
        <v/>
      </c>
      <c r="S219" s="277" t="str">
        <f>IFERROR(VLOOKUP(TableHandbook[[#This Row],[UDC]],TableSTRUINTBC[],7,FALSE),"")</f>
        <v/>
      </c>
      <c r="T219" s="277" t="str">
        <f>IFERROR(VLOOKUP(TableHandbook[[#This Row],[UDC]],TableSTRUISTEM[],7,FALSE),"")</f>
        <v/>
      </c>
      <c r="U219" s="277" t="str">
        <f>IFERROR(VLOOKUP(TableHandbook[[#This Row],[UDC]],TableSTRULITNU[],7,FALSE),"")</f>
        <v/>
      </c>
      <c r="V219" s="277" t="str">
        <f>IFERROR(VLOOKUP(TableHandbook[[#This Row],[UDC]],TableSTRUTECHS[],7,FALSE),"")</f>
        <v/>
      </c>
      <c r="W219" s="277" t="str">
        <f>IFERROR(VLOOKUP(TableHandbook[[#This Row],[UDC]],TableBEDSC[],7,FALSE),"")</f>
        <v/>
      </c>
      <c r="X219" s="277" t="str">
        <f>IFERROR(VLOOKUP(TableHandbook[[#This Row],[UDC]],TableMJRUARTDR[],7,FALSE),"")</f>
        <v/>
      </c>
      <c r="Y219" s="277" t="str">
        <f>IFERROR(VLOOKUP(TableHandbook[[#This Row],[UDC]],TableMJRUARTME[],7,FALSE),"")</f>
        <v/>
      </c>
      <c r="Z219" s="277" t="str">
        <f>IFERROR(VLOOKUP(TableHandbook[[#This Row],[UDC]],TableMJRUARTVA[],7,FALSE),"")</f>
        <v/>
      </c>
      <c r="AA219" s="277" t="str">
        <f>IFERROR(VLOOKUP(TableHandbook[[#This Row],[UDC]],TableMJRUENGLT[],7,FALSE),"")</f>
        <v/>
      </c>
      <c r="AB219" s="277" t="str">
        <f>IFERROR(VLOOKUP(TableHandbook[[#This Row],[UDC]],TableMJRUHLTPE[],7,FALSE),"")</f>
        <v/>
      </c>
      <c r="AC219" s="277" t="str">
        <f>IFERROR(VLOOKUP(TableHandbook[[#This Row],[UDC]],TableMJRUHUSEC[],7,FALSE),"")</f>
        <v/>
      </c>
      <c r="AD219" s="277" t="str">
        <f>IFERROR(VLOOKUP(TableHandbook[[#This Row],[UDC]],TableMJRUHUSGE[],7,FALSE),"")</f>
        <v/>
      </c>
      <c r="AE219" s="277" t="str">
        <f>IFERROR(VLOOKUP(TableHandbook[[#This Row],[UDC]],TableMJRUHUSHI[],7,FALSE),"")</f>
        <v/>
      </c>
      <c r="AF219" s="277" t="str">
        <f>IFERROR(VLOOKUP(TableHandbook[[#This Row],[UDC]],TableMJRUHUSPL[],7,FALSE),"")</f>
        <v/>
      </c>
      <c r="AG219" s="277" t="str">
        <f>IFERROR(VLOOKUP(TableHandbook[[#This Row],[UDC]],TableMJRUMATHT[],7,FALSE),"")</f>
        <v/>
      </c>
      <c r="AH219" s="277" t="str">
        <f>IFERROR(VLOOKUP(TableHandbook[[#This Row],[UDC]],TableMJRUSCIBI[],7,FALSE),"")</f>
        <v/>
      </c>
      <c r="AI219" s="277" t="str">
        <f>IFERROR(VLOOKUP(TableHandbook[[#This Row],[UDC]],TableMJRUSCICH[],7,FALSE),"")</f>
        <v/>
      </c>
      <c r="AJ219" s="277" t="str">
        <f>IFERROR(VLOOKUP(TableHandbook[[#This Row],[UDC]],TableMJRUSCIHB[],7,FALSE),"")</f>
        <v/>
      </c>
      <c r="AK219" s="277" t="str">
        <f>IFERROR(VLOOKUP(TableHandbook[[#This Row],[UDC]],TableMJRUSCIPH[],7,FALSE),"")</f>
        <v>Core</v>
      </c>
      <c r="AL219" s="277" t="str">
        <f>IFERROR(VLOOKUP(TableHandbook[[#This Row],[UDC]],TableMJRUSCIPS[],7,FALSE),"")</f>
        <v/>
      </c>
      <c r="AM219" s="202"/>
      <c r="AN219" s="277" t="str">
        <f>IFERROR(VLOOKUP(TableHandbook[[#This Row],[UDC]],TableSTRUBIOLB[],7,FALSE),"")</f>
        <v/>
      </c>
      <c r="AO219" s="277" t="str">
        <f>IFERROR(VLOOKUP(TableHandbook[[#This Row],[UDC]],TableSTRUBSCIM[],7,FALSE),"")</f>
        <v/>
      </c>
      <c r="AP219" s="277" t="str">
        <f>IFERROR(VLOOKUP(TableHandbook[[#This Row],[UDC]],TableSTRUCHEMB[],7,FALSE),"")</f>
        <v/>
      </c>
      <c r="AQ219" s="277" t="str">
        <f>IFERROR(VLOOKUP(TableHandbook[[#This Row],[UDC]],TableSTRUECOB1[],7,FALSE),"")</f>
        <v/>
      </c>
      <c r="AR219" s="277" t="str">
        <f>IFERROR(VLOOKUP(TableHandbook[[#This Row],[UDC]],TableSTRUEDART[],7,FALSE),"")</f>
        <v/>
      </c>
      <c r="AS219" s="277" t="str">
        <f>IFERROR(VLOOKUP(TableHandbook[[#This Row],[UDC]],TableSTRUEDENG[],7,FALSE),"")</f>
        <v/>
      </c>
      <c r="AT219" s="277" t="str">
        <f>IFERROR(VLOOKUP(TableHandbook[[#This Row],[UDC]],TableSTRUEDHAS[],7,FALSE),"")</f>
        <v/>
      </c>
      <c r="AU219" s="277" t="str">
        <f>IFERROR(VLOOKUP(TableHandbook[[#This Row],[UDC]],TableSTRUEDMAT[],7,FALSE),"")</f>
        <v/>
      </c>
      <c r="AV219" s="277" t="str">
        <f>IFERROR(VLOOKUP(TableHandbook[[#This Row],[UDC]],TableSTRUEDSCI[],7,FALSE),"")</f>
        <v/>
      </c>
      <c r="AW219" s="277" t="str">
        <f>IFERROR(VLOOKUP(TableHandbook[[#This Row],[UDC]],TableSTRUENGLB[],7,FALSE),"")</f>
        <v/>
      </c>
      <c r="AX219" s="277" t="str">
        <f>IFERROR(VLOOKUP(TableHandbook[[#This Row],[UDC]],TableSTRUENGLM[],7,FALSE),"")</f>
        <v/>
      </c>
      <c r="AY219" s="277" t="str">
        <f>IFERROR(VLOOKUP(TableHandbook[[#This Row],[UDC]],TableSTRUGEOB1[],7,FALSE),"")</f>
        <v/>
      </c>
      <c r="AZ219" s="277" t="str">
        <f>IFERROR(VLOOKUP(TableHandbook[[#This Row],[UDC]],TableSTRUHISB1[],7,FALSE),"")</f>
        <v/>
      </c>
      <c r="BA219" s="277" t="str">
        <f>IFERROR(VLOOKUP(TableHandbook[[#This Row],[UDC]],TableSTRUHUMAM[],7,FALSE),"")</f>
        <v/>
      </c>
      <c r="BB219" s="277" t="str">
        <f>IFERROR(VLOOKUP(TableHandbook[[#This Row],[UDC]],TableSTRUHUMBB[],7,FALSE),"")</f>
        <v/>
      </c>
      <c r="BC219" s="277" t="str">
        <f>IFERROR(VLOOKUP(TableHandbook[[#This Row],[UDC]],TableSTRUMATHB[],7,FALSE),"")</f>
        <v/>
      </c>
      <c r="BD219" s="277" t="str">
        <f>IFERROR(VLOOKUP(TableHandbook[[#This Row],[UDC]],TableSTRUMATHM[],7,FALSE),"")</f>
        <v/>
      </c>
      <c r="BE219" s="277" t="str">
        <f>IFERROR(VLOOKUP(TableHandbook[[#This Row],[UDC]],TableSTRUPARTB[],7,FALSE),"")</f>
        <v/>
      </c>
      <c r="BF219" s="277" t="str">
        <f>IFERROR(VLOOKUP(TableHandbook[[#This Row],[UDC]],TableSTRUPARTM[],7,FALSE),"")</f>
        <v/>
      </c>
      <c r="BG219" s="277" t="str">
        <f>IFERROR(VLOOKUP(TableHandbook[[#This Row],[UDC]],TableSTRUPOLB1[],7,FALSE),"")</f>
        <v/>
      </c>
      <c r="BH219" s="277" t="str">
        <f>IFERROR(VLOOKUP(TableHandbook[[#This Row],[UDC]],TableSTRUPSCIM[],7,FALSE),"")</f>
        <v/>
      </c>
      <c r="BI219" s="277" t="str">
        <f>IFERROR(VLOOKUP(TableHandbook[[#This Row],[UDC]],TableSTRUPSYCB[],7,FALSE),"")</f>
        <v/>
      </c>
      <c r="BJ219" s="277" t="str">
        <f>IFERROR(VLOOKUP(TableHandbook[[#This Row],[UDC]],TableSTRUPSYCM[],7,FALSE),"")</f>
        <v/>
      </c>
      <c r="BK219" s="277" t="str">
        <f>IFERROR(VLOOKUP(TableHandbook[[#This Row],[UDC]],TableSTRUSOSCM[],7,FALSE),"")</f>
        <v/>
      </c>
      <c r="BL219" s="277" t="str">
        <f>IFERROR(VLOOKUP(TableHandbook[[#This Row],[UDC]],TableSTRUVARTB[],7,FALSE),"")</f>
        <v/>
      </c>
      <c r="BM219" s="277" t="str">
        <f>IFERROR(VLOOKUP(TableHandbook[[#This Row],[UDC]],TableSTRUVARTM[],7,FALSE),"")</f>
        <v/>
      </c>
    </row>
    <row r="220" spans="1:65" x14ac:dyDescent="0.25">
      <c r="A220" s="262" t="s">
        <v>385</v>
      </c>
      <c r="B220" s="12">
        <v>1</v>
      </c>
      <c r="C220" s="11"/>
      <c r="D220" s="11" t="s">
        <v>797</v>
      </c>
      <c r="E220" s="12">
        <v>25</v>
      </c>
      <c r="F220" s="131" t="s">
        <v>544</v>
      </c>
      <c r="G220" s="126" t="str">
        <f>IFERROR(IF(VLOOKUP(TableHandbook[[#This Row],[UDC]],TableAvailabilities[],2,FALSE)&gt;0,"Y",""),"")</f>
        <v/>
      </c>
      <c r="H220" s="127" t="str">
        <f>IFERROR(IF(VLOOKUP(TableHandbook[[#This Row],[UDC]],TableAvailabilities[],3,FALSE)&gt;0,"Y",""),"")</f>
        <v/>
      </c>
      <c r="I220" s="127" t="str">
        <f>IFERROR(IF(VLOOKUP(TableHandbook[[#This Row],[UDC]],TableAvailabilities[],4,FALSE)&gt;0,"Y",""),"")</f>
        <v/>
      </c>
      <c r="J220" s="128" t="str">
        <f>IFERROR(IF(VLOOKUP(TableHandbook[[#This Row],[UDC]],TableAvailabilities[],5,FALSE)&gt;0,"Y",""),"")</f>
        <v>Y</v>
      </c>
      <c r="K220" s="128" t="str">
        <f>IFERROR(IF(VLOOKUP(TableHandbook[[#This Row],[UDC]],TableAvailabilities[],6,FALSE)&gt;0,"Y",""),"")</f>
        <v>Y</v>
      </c>
      <c r="L220" s="127" t="str">
        <f>IFERROR(IF(VLOOKUP(TableHandbook[[#This Row],[UDC]],TableAvailabilities[],7,FALSE)&gt;0,"Y",""),"")</f>
        <v/>
      </c>
      <c r="M220" s="251"/>
      <c r="N220" s="200" t="str">
        <f>IFERROR(VLOOKUP(TableHandbook[[#This Row],[UDC]],TableBEDUC[],7,FALSE),"")</f>
        <v/>
      </c>
      <c r="O220" s="200" t="str">
        <f>IFERROR(VLOOKUP(TableHandbook[[#This Row],[UDC]],TableBEDEC[],7,FALSE),"")</f>
        <v/>
      </c>
      <c r="P220" s="200" t="str">
        <f>IFERROR(VLOOKUP(TableHandbook[[#This Row],[UDC]],TableBEDPR[],7,FALSE),"")</f>
        <v/>
      </c>
      <c r="Q220" s="200" t="str">
        <f>IFERROR(VLOOKUP(TableHandbook[[#This Row],[UDC]],TableSTRUCATHL[],7,FALSE),"")</f>
        <v/>
      </c>
      <c r="R220" s="200" t="str">
        <f>IFERROR(VLOOKUP(TableHandbook[[#This Row],[UDC]],TableSTRUENGLL[],7,FALSE),"")</f>
        <v/>
      </c>
      <c r="S220" s="200" t="str">
        <f>IFERROR(VLOOKUP(TableHandbook[[#This Row],[UDC]],TableSTRUINTBC[],7,FALSE),"")</f>
        <v/>
      </c>
      <c r="T220" s="200" t="str">
        <f>IFERROR(VLOOKUP(TableHandbook[[#This Row],[UDC]],TableSTRUISTEM[],7,FALSE),"")</f>
        <v/>
      </c>
      <c r="U220" s="200" t="str">
        <f>IFERROR(VLOOKUP(TableHandbook[[#This Row],[UDC]],TableSTRULITNU[],7,FALSE),"")</f>
        <v/>
      </c>
      <c r="V220" s="200" t="str">
        <f>IFERROR(VLOOKUP(TableHandbook[[#This Row],[UDC]],TableSTRUTECHS[],7,FALSE),"")</f>
        <v/>
      </c>
      <c r="W220" s="200" t="str">
        <f>IFERROR(VLOOKUP(TableHandbook[[#This Row],[UDC]],TableBEDSC[],7,FALSE),"")</f>
        <v/>
      </c>
      <c r="X220" s="200" t="str">
        <f>IFERROR(VLOOKUP(TableHandbook[[#This Row],[UDC]],TableMJRUARTDR[],7,FALSE),"")</f>
        <v/>
      </c>
      <c r="Y220" s="200" t="str">
        <f>IFERROR(VLOOKUP(TableHandbook[[#This Row],[UDC]],TableMJRUARTME[],7,FALSE),"")</f>
        <v/>
      </c>
      <c r="Z220" s="200" t="str">
        <f>IFERROR(VLOOKUP(TableHandbook[[#This Row],[UDC]],TableMJRUARTVA[],7,FALSE),"")</f>
        <v/>
      </c>
      <c r="AA220" s="200" t="str">
        <f>IFERROR(VLOOKUP(TableHandbook[[#This Row],[UDC]],TableMJRUENGLT[],7,FALSE),"")</f>
        <v/>
      </c>
      <c r="AB220" s="200" t="str">
        <f>IFERROR(VLOOKUP(TableHandbook[[#This Row],[UDC]],TableMJRUHLTPE[],7,FALSE),"")</f>
        <v/>
      </c>
      <c r="AC220" s="200" t="str">
        <f>IFERROR(VLOOKUP(TableHandbook[[#This Row],[UDC]],TableMJRUHUSEC[],7,FALSE),"")</f>
        <v/>
      </c>
      <c r="AD220" s="200" t="str">
        <f>IFERROR(VLOOKUP(TableHandbook[[#This Row],[UDC]],TableMJRUHUSGE[],7,FALSE),"")</f>
        <v/>
      </c>
      <c r="AE220" s="200" t="str">
        <f>IFERROR(VLOOKUP(TableHandbook[[#This Row],[UDC]],TableMJRUHUSHI[],7,FALSE),"")</f>
        <v/>
      </c>
      <c r="AF220" s="200" t="str">
        <f>IFERROR(VLOOKUP(TableHandbook[[#This Row],[UDC]],TableMJRUHUSPL[],7,FALSE),"")</f>
        <v>Core</v>
      </c>
      <c r="AG220" s="200" t="str">
        <f>IFERROR(VLOOKUP(TableHandbook[[#This Row],[UDC]],TableMJRUMATHT[],7,FALSE),"")</f>
        <v/>
      </c>
      <c r="AH220" s="200" t="str">
        <f>IFERROR(VLOOKUP(TableHandbook[[#This Row],[UDC]],TableMJRUSCIBI[],7,FALSE),"")</f>
        <v/>
      </c>
      <c r="AI220" s="200" t="str">
        <f>IFERROR(VLOOKUP(TableHandbook[[#This Row],[UDC]],TableMJRUSCICH[],7,FALSE),"")</f>
        <v/>
      </c>
      <c r="AJ220" s="200" t="str">
        <f>IFERROR(VLOOKUP(TableHandbook[[#This Row],[UDC]],TableMJRUSCIHB[],7,FALSE),"")</f>
        <v/>
      </c>
      <c r="AK220" s="200" t="str">
        <f>IFERROR(VLOOKUP(TableHandbook[[#This Row],[UDC]],TableMJRUSCIPH[],7,FALSE),"")</f>
        <v/>
      </c>
      <c r="AL220" s="200" t="str">
        <f>IFERROR(VLOOKUP(TableHandbook[[#This Row],[UDC]],TableMJRUSCIPS[],7,FALSE),"")</f>
        <v/>
      </c>
      <c r="AM220" s="202"/>
      <c r="AN220" s="200" t="str">
        <f>IFERROR(VLOOKUP(TableHandbook[[#This Row],[UDC]],TableSTRUBIOLB[],7,FALSE),"")</f>
        <v/>
      </c>
      <c r="AO220" s="200" t="str">
        <f>IFERROR(VLOOKUP(TableHandbook[[#This Row],[UDC]],TableSTRUBSCIM[],7,FALSE),"")</f>
        <v/>
      </c>
      <c r="AP220" s="200" t="str">
        <f>IFERROR(VLOOKUP(TableHandbook[[#This Row],[UDC]],TableSTRUCHEMB[],7,FALSE),"")</f>
        <v/>
      </c>
      <c r="AQ220" s="200" t="str">
        <f>IFERROR(VLOOKUP(TableHandbook[[#This Row],[UDC]],TableSTRUECOB1[],7,FALSE),"")</f>
        <v/>
      </c>
      <c r="AR220" s="200" t="str">
        <f>IFERROR(VLOOKUP(TableHandbook[[#This Row],[UDC]],TableSTRUEDART[],7,FALSE),"")</f>
        <v/>
      </c>
      <c r="AS220" s="200" t="str">
        <f>IFERROR(VLOOKUP(TableHandbook[[#This Row],[UDC]],TableSTRUEDENG[],7,FALSE),"")</f>
        <v/>
      </c>
      <c r="AT220" s="200" t="str">
        <f>IFERROR(VLOOKUP(TableHandbook[[#This Row],[UDC]],TableSTRUEDHAS[],7,FALSE),"")</f>
        <v/>
      </c>
      <c r="AU220" s="200" t="str">
        <f>IFERROR(VLOOKUP(TableHandbook[[#This Row],[UDC]],TableSTRUEDMAT[],7,FALSE),"")</f>
        <v/>
      </c>
      <c r="AV220" s="200" t="str">
        <f>IFERROR(VLOOKUP(TableHandbook[[#This Row],[UDC]],TableSTRUEDSCI[],7,FALSE),"")</f>
        <v/>
      </c>
      <c r="AW220" s="200" t="str">
        <f>IFERROR(VLOOKUP(TableHandbook[[#This Row],[UDC]],TableSTRUENGLB[],7,FALSE),"")</f>
        <v/>
      </c>
      <c r="AX220" s="200" t="str">
        <f>IFERROR(VLOOKUP(TableHandbook[[#This Row],[UDC]],TableSTRUENGLM[],7,FALSE),"")</f>
        <v/>
      </c>
      <c r="AY220" s="200" t="str">
        <f>IFERROR(VLOOKUP(TableHandbook[[#This Row],[UDC]],TableSTRUGEOB1[],7,FALSE),"")</f>
        <v/>
      </c>
      <c r="AZ220" s="200" t="str">
        <f>IFERROR(VLOOKUP(TableHandbook[[#This Row],[UDC]],TableSTRUHISB1[],7,FALSE),"")</f>
        <v/>
      </c>
      <c r="BA220" s="200" t="str">
        <f>IFERROR(VLOOKUP(TableHandbook[[#This Row],[UDC]],TableSTRUHUMAM[],7,FALSE),"")</f>
        <v/>
      </c>
      <c r="BB220" s="200" t="str">
        <f>IFERROR(VLOOKUP(TableHandbook[[#This Row],[UDC]],TableSTRUHUMBB[],7,FALSE),"")</f>
        <v/>
      </c>
      <c r="BC220" s="200" t="str">
        <f>IFERROR(VLOOKUP(TableHandbook[[#This Row],[UDC]],TableSTRUMATHB[],7,FALSE),"")</f>
        <v/>
      </c>
      <c r="BD220" s="200" t="str">
        <f>IFERROR(VLOOKUP(TableHandbook[[#This Row],[UDC]],TableSTRUMATHM[],7,FALSE),"")</f>
        <v/>
      </c>
      <c r="BE220" s="200" t="str">
        <f>IFERROR(VLOOKUP(TableHandbook[[#This Row],[UDC]],TableSTRUPARTB[],7,FALSE),"")</f>
        <v/>
      </c>
      <c r="BF220" s="200" t="str">
        <f>IFERROR(VLOOKUP(TableHandbook[[#This Row],[UDC]],TableSTRUPARTM[],7,FALSE),"")</f>
        <v/>
      </c>
      <c r="BG220" s="200" t="str">
        <f>IFERROR(VLOOKUP(TableHandbook[[#This Row],[UDC]],TableSTRUPOLB1[],7,FALSE),"")</f>
        <v/>
      </c>
      <c r="BH220" s="200" t="str">
        <f>IFERROR(VLOOKUP(TableHandbook[[#This Row],[UDC]],TableSTRUPSCIM[],7,FALSE),"")</f>
        <v/>
      </c>
      <c r="BI220" s="200" t="str">
        <f>IFERROR(VLOOKUP(TableHandbook[[#This Row],[UDC]],TableSTRUPSYCB[],7,FALSE),"")</f>
        <v/>
      </c>
      <c r="BJ220" s="200" t="str">
        <f>IFERROR(VLOOKUP(TableHandbook[[#This Row],[UDC]],TableSTRUPSYCM[],7,FALSE),"")</f>
        <v/>
      </c>
      <c r="BK220" s="200" t="str">
        <f>IFERROR(VLOOKUP(TableHandbook[[#This Row],[UDC]],TableSTRUSOSCM[],7,FALSE),"")</f>
        <v/>
      </c>
      <c r="BL220" s="200" t="str">
        <f>IFERROR(VLOOKUP(TableHandbook[[#This Row],[UDC]],TableSTRUVARTB[],7,FALSE),"")</f>
        <v/>
      </c>
      <c r="BM220" s="200" t="str">
        <f>IFERROR(VLOOKUP(TableHandbook[[#This Row],[UDC]],TableSTRUVARTM[],7,FALSE),"")</f>
        <v/>
      </c>
    </row>
    <row r="221" spans="1:65" x14ac:dyDescent="0.25">
      <c r="A221" s="262" t="s">
        <v>338</v>
      </c>
      <c r="B221" s="12">
        <v>1</v>
      </c>
      <c r="C221" s="11"/>
      <c r="D221" s="11" t="s">
        <v>798</v>
      </c>
      <c r="E221" s="12">
        <v>25</v>
      </c>
      <c r="F221" s="131" t="s">
        <v>544</v>
      </c>
      <c r="G221" s="126" t="str">
        <f>IFERROR(IF(VLOOKUP(TableHandbook[[#This Row],[UDC]],TableAvailabilities[],2,FALSE)&gt;0,"Y",""),"")</f>
        <v>Y</v>
      </c>
      <c r="H221" s="127" t="str">
        <f>IFERROR(IF(VLOOKUP(TableHandbook[[#This Row],[UDC]],TableAvailabilities[],3,FALSE)&gt;0,"Y",""),"")</f>
        <v>Y</v>
      </c>
      <c r="I221" s="127" t="str">
        <f>IFERROR(IF(VLOOKUP(TableHandbook[[#This Row],[UDC]],TableAvailabilities[],4,FALSE)&gt;0,"Y",""),"")</f>
        <v>Y</v>
      </c>
      <c r="J221" s="128" t="str">
        <f>IFERROR(IF(VLOOKUP(TableHandbook[[#This Row],[UDC]],TableAvailabilities[],5,FALSE)&gt;0,"Y",""),"")</f>
        <v>Y</v>
      </c>
      <c r="K221" s="128" t="str">
        <f>IFERROR(IF(VLOOKUP(TableHandbook[[#This Row],[UDC]],TableAvailabilities[],6,FALSE)&gt;0,"Y",""),"")</f>
        <v>Y</v>
      </c>
      <c r="L221" s="127" t="str">
        <f>IFERROR(IF(VLOOKUP(TableHandbook[[#This Row],[UDC]],TableAvailabilities[],7,FALSE)&gt;0,"Y",""),"")</f>
        <v/>
      </c>
      <c r="M221" s="251"/>
      <c r="N221" s="200" t="str">
        <f>IFERROR(VLOOKUP(TableHandbook[[#This Row],[UDC]],TableBEDUC[],7,FALSE),"")</f>
        <v/>
      </c>
      <c r="O221" s="200" t="str">
        <f>IFERROR(VLOOKUP(TableHandbook[[#This Row],[UDC]],TableBEDEC[],7,FALSE),"")</f>
        <v/>
      </c>
      <c r="P221" s="200" t="str">
        <f>IFERROR(VLOOKUP(TableHandbook[[#This Row],[UDC]],TableBEDPR[],7,FALSE),"")</f>
        <v/>
      </c>
      <c r="Q221" s="200" t="str">
        <f>IFERROR(VLOOKUP(TableHandbook[[#This Row],[UDC]],TableSTRUCATHL[],7,FALSE),"")</f>
        <v/>
      </c>
      <c r="R221" s="200" t="str">
        <f>IFERROR(VLOOKUP(TableHandbook[[#This Row],[UDC]],TableSTRUENGLL[],7,FALSE),"")</f>
        <v/>
      </c>
      <c r="S221" s="200" t="str">
        <f>IFERROR(VLOOKUP(TableHandbook[[#This Row],[UDC]],TableSTRUINTBC[],7,FALSE),"")</f>
        <v/>
      </c>
      <c r="T221" s="200" t="str">
        <f>IFERROR(VLOOKUP(TableHandbook[[#This Row],[UDC]],TableSTRUISTEM[],7,FALSE),"")</f>
        <v/>
      </c>
      <c r="U221" s="200" t="str">
        <f>IFERROR(VLOOKUP(TableHandbook[[#This Row],[UDC]],TableSTRULITNU[],7,FALSE),"")</f>
        <v/>
      </c>
      <c r="V221" s="200" t="str">
        <f>IFERROR(VLOOKUP(TableHandbook[[#This Row],[UDC]],TableSTRUTECHS[],7,FALSE),"")</f>
        <v/>
      </c>
      <c r="W221" s="200" t="str">
        <f>IFERROR(VLOOKUP(TableHandbook[[#This Row],[UDC]],TableBEDSC[],7,FALSE),"")</f>
        <v/>
      </c>
      <c r="X221" s="200" t="str">
        <f>IFERROR(VLOOKUP(TableHandbook[[#This Row],[UDC]],TableMJRUARTDR[],7,FALSE),"")</f>
        <v/>
      </c>
      <c r="Y221" s="200" t="str">
        <f>IFERROR(VLOOKUP(TableHandbook[[#This Row],[UDC]],TableMJRUARTME[],7,FALSE),"")</f>
        <v/>
      </c>
      <c r="Z221" s="200" t="str">
        <f>IFERROR(VLOOKUP(TableHandbook[[#This Row],[UDC]],TableMJRUARTVA[],7,FALSE),"")</f>
        <v/>
      </c>
      <c r="AA221" s="200" t="str">
        <f>IFERROR(VLOOKUP(TableHandbook[[#This Row],[UDC]],TableMJRUENGLT[],7,FALSE),"")</f>
        <v/>
      </c>
      <c r="AB221" s="200" t="str">
        <f>IFERROR(VLOOKUP(TableHandbook[[#This Row],[UDC]],TableMJRUHLTPE[],7,FALSE),"")</f>
        <v/>
      </c>
      <c r="AC221" s="200" t="str">
        <f>IFERROR(VLOOKUP(TableHandbook[[#This Row],[UDC]],TableMJRUHUSEC[],7,FALSE),"")</f>
        <v/>
      </c>
      <c r="AD221" s="200" t="str">
        <f>IFERROR(VLOOKUP(TableHandbook[[#This Row],[UDC]],TableMJRUHUSGE[],7,FALSE),"")</f>
        <v/>
      </c>
      <c r="AE221" s="200" t="str">
        <f>IFERROR(VLOOKUP(TableHandbook[[#This Row],[UDC]],TableMJRUHUSHI[],7,FALSE),"")</f>
        <v/>
      </c>
      <c r="AF221" s="200" t="str">
        <f>IFERROR(VLOOKUP(TableHandbook[[#This Row],[UDC]],TableMJRUHUSPL[],7,FALSE),"")</f>
        <v/>
      </c>
      <c r="AG221" s="200" t="str">
        <f>IFERROR(VLOOKUP(TableHandbook[[#This Row],[UDC]],TableMJRUMATHT[],7,FALSE),"")</f>
        <v/>
      </c>
      <c r="AH221" s="200" t="str">
        <f>IFERROR(VLOOKUP(TableHandbook[[#This Row],[UDC]],TableMJRUSCIBI[],7,FALSE),"")</f>
        <v/>
      </c>
      <c r="AI221" s="200" t="str">
        <f>IFERROR(VLOOKUP(TableHandbook[[#This Row],[UDC]],TableMJRUSCICH[],7,FALSE),"")</f>
        <v/>
      </c>
      <c r="AJ221" s="200" t="str">
        <f>IFERROR(VLOOKUP(TableHandbook[[#This Row],[UDC]],TableMJRUSCIHB[],7,FALSE),"")</f>
        <v/>
      </c>
      <c r="AK221" s="200" t="str">
        <f>IFERROR(VLOOKUP(TableHandbook[[#This Row],[UDC]],TableMJRUSCIPH[],7,FALSE),"")</f>
        <v/>
      </c>
      <c r="AL221" s="200" t="str">
        <f>IFERROR(VLOOKUP(TableHandbook[[#This Row],[UDC]],TableMJRUSCIPS[],7,FALSE),"")</f>
        <v>Core</v>
      </c>
      <c r="AM221" s="202"/>
      <c r="AN221" s="200" t="str">
        <f>IFERROR(VLOOKUP(TableHandbook[[#This Row],[UDC]],TableSTRUBIOLB[],7,FALSE),"")</f>
        <v/>
      </c>
      <c r="AO221" s="200" t="str">
        <f>IFERROR(VLOOKUP(TableHandbook[[#This Row],[UDC]],TableSTRUBSCIM[],7,FALSE),"")</f>
        <v/>
      </c>
      <c r="AP221" s="200" t="str">
        <f>IFERROR(VLOOKUP(TableHandbook[[#This Row],[UDC]],TableSTRUCHEMB[],7,FALSE),"")</f>
        <v/>
      </c>
      <c r="AQ221" s="200" t="str">
        <f>IFERROR(VLOOKUP(TableHandbook[[#This Row],[UDC]],TableSTRUECOB1[],7,FALSE),"")</f>
        <v/>
      </c>
      <c r="AR221" s="200" t="str">
        <f>IFERROR(VLOOKUP(TableHandbook[[#This Row],[UDC]],TableSTRUEDART[],7,FALSE),"")</f>
        <v/>
      </c>
      <c r="AS221" s="200" t="str">
        <f>IFERROR(VLOOKUP(TableHandbook[[#This Row],[UDC]],TableSTRUEDENG[],7,FALSE),"")</f>
        <v/>
      </c>
      <c r="AT221" s="200" t="str">
        <f>IFERROR(VLOOKUP(TableHandbook[[#This Row],[UDC]],TableSTRUEDHAS[],7,FALSE),"")</f>
        <v/>
      </c>
      <c r="AU221" s="200" t="str">
        <f>IFERROR(VLOOKUP(TableHandbook[[#This Row],[UDC]],TableSTRUEDMAT[],7,FALSE),"")</f>
        <v/>
      </c>
      <c r="AV221" s="200" t="str">
        <f>IFERROR(VLOOKUP(TableHandbook[[#This Row],[UDC]],TableSTRUEDSCI[],7,FALSE),"")</f>
        <v/>
      </c>
      <c r="AW221" s="200" t="str">
        <f>IFERROR(VLOOKUP(TableHandbook[[#This Row],[UDC]],TableSTRUENGLB[],7,FALSE),"")</f>
        <v/>
      </c>
      <c r="AX221" s="200" t="str">
        <f>IFERROR(VLOOKUP(TableHandbook[[#This Row],[UDC]],TableSTRUENGLM[],7,FALSE),"")</f>
        <v/>
      </c>
      <c r="AY221" s="200" t="str">
        <f>IFERROR(VLOOKUP(TableHandbook[[#This Row],[UDC]],TableSTRUGEOB1[],7,FALSE),"")</f>
        <v/>
      </c>
      <c r="AZ221" s="200" t="str">
        <f>IFERROR(VLOOKUP(TableHandbook[[#This Row],[UDC]],TableSTRUHISB1[],7,FALSE),"")</f>
        <v/>
      </c>
      <c r="BA221" s="200" t="str">
        <f>IFERROR(VLOOKUP(TableHandbook[[#This Row],[UDC]],TableSTRUHUMAM[],7,FALSE),"")</f>
        <v/>
      </c>
      <c r="BB221" s="200" t="str">
        <f>IFERROR(VLOOKUP(TableHandbook[[#This Row],[UDC]],TableSTRUHUMBB[],7,FALSE),"")</f>
        <v/>
      </c>
      <c r="BC221" s="200" t="str">
        <f>IFERROR(VLOOKUP(TableHandbook[[#This Row],[UDC]],TableSTRUMATHB[],7,FALSE),"")</f>
        <v/>
      </c>
      <c r="BD221" s="200" t="str">
        <f>IFERROR(VLOOKUP(TableHandbook[[#This Row],[UDC]],TableSTRUMATHM[],7,FALSE),"")</f>
        <v/>
      </c>
      <c r="BE221" s="200" t="str">
        <f>IFERROR(VLOOKUP(TableHandbook[[#This Row],[UDC]],TableSTRUPARTB[],7,FALSE),"")</f>
        <v/>
      </c>
      <c r="BF221" s="200" t="str">
        <f>IFERROR(VLOOKUP(TableHandbook[[#This Row],[UDC]],TableSTRUPARTM[],7,FALSE),"")</f>
        <v/>
      </c>
      <c r="BG221" s="200" t="str">
        <f>IFERROR(VLOOKUP(TableHandbook[[#This Row],[UDC]],TableSTRUPOLB1[],7,FALSE),"")</f>
        <v/>
      </c>
      <c r="BH221" s="200" t="str">
        <f>IFERROR(VLOOKUP(TableHandbook[[#This Row],[UDC]],TableSTRUPSCIM[],7,FALSE),"")</f>
        <v/>
      </c>
      <c r="BI221" s="200" t="str">
        <f>IFERROR(VLOOKUP(TableHandbook[[#This Row],[UDC]],TableSTRUPSYCB[],7,FALSE),"")</f>
        <v/>
      </c>
      <c r="BJ221" s="200" t="str">
        <f>IFERROR(VLOOKUP(TableHandbook[[#This Row],[UDC]],TableSTRUPSYCM[],7,FALSE),"")</f>
        <v>Core</v>
      </c>
      <c r="BK221" s="200" t="str">
        <f>IFERROR(VLOOKUP(TableHandbook[[#This Row],[UDC]],TableSTRUSOSCM[],7,FALSE),"")</f>
        <v/>
      </c>
      <c r="BL221" s="200" t="str">
        <f>IFERROR(VLOOKUP(TableHandbook[[#This Row],[UDC]],TableSTRUVARTB[],7,FALSE),"")</f>
        <v/>
      </c>
      <c r="BM221" s="200" t="str">
        <f>IFERROR(VLOOKUP(TableHandbook[[#This Row],[UDC]],TableSTRUVARTM[],7,FALSE),"")</f>
        <v/>
      </c>
    </row>
    <row r="222" spans="1:65" x14ac:dyDescent="0.25">
      <c r="A222" s="262" t="s">
        <v>312</v>
      </c>
      <c r="B222" s="12">
        <v>1</v>
      </c>
      <c r="C222" s="11"/>
      <c r="D222" s="11" t="s">
        <v>799</v>
      </c>
      <c r="E222" s="12">
        <v>25</v>
      </c>
      <c r="F222" s="131" t="s">
        <v>544</v>
      </c>
      <c r="G222" s="126" t="str">
        <f>IFERROR(IF(VLOOKUP(TableHandbook[[#This Row],[UDC]],TableAvailabilities[],2,FALSE)&gt;0,"Y",""),"")</f>
        <v/>
      </c>
      <c r="H222" s="127" t="str">
        <f>IFERROR(IF(VLOOKUP(TableHandbook[[#This Row],[UDC]],TableAvailabilities[],3,FALSE)&gt;0,"Y",""),"")</f>
        <v/>
      </c>
      <c r="I222" s="127" t="str">
        <f>IFERROR(IF(VLOOKUP(TableHandbook[[#This Row],[UDC]],TableAvailabilities[],4,FALSE)&gt;0,"Y",""),"")</f>
        <v/>
      </c>
      <c r="J222" s="128" t="str">
        <f>IFERROR(IF(VLOOKUP(TableHandbook[[#This Row],[UDC]],TableAvailabilities[],5,FALSE)&gt;0,"Y",""),"")</f>
        <v>Y</v>
      </c>
      <c r="K222" s="128" t="str">
        <f>IFERROR(IF(VLOOKUP(TableHandbook[[#This Row],[UDC]],TableAvailabilities[],6,FALSE)&gt;0,"Y",""),"")</f>
        <v>Y</v>
      </c>
      <c r="L222" s="127" t="str">
        <f>IFERROR(IF(VLOOKUP(TableHandbook[[#This Row],[UDC]],TableAvailabilities[],7,FALSE)&gt;0,"Y",""),"")</f>
        <v/>
      </c>
      <c r="M222" s="251"/>
      <c r="N222" s="200" t="str">
        <f>IFERROR(VLOOKUP(TableHandbook[[#This Row],[UDC]],TableBEDUC[],7,FALSE),"")</f>
        <v/>
      </c>
      <c r="O222" s="200" t="str">
        <f>IFERROR(VLOOKUP(TableHandbook[[#This Row],[UDC]],TableBEDEC[],7,FALSE),"")</f>
        <v/>
      </c>
      <c r="P222" s="200" t="str">
        <f>IFERROR(VLOOKUP(TableHandbook[[#This Row],[UDC]],TableBEDPR[],7,FALSE),"")</f>
        <v/>
      </c>
      <c r="Q222" s="200" t="str">
        <f>IFERROR(VLOOKUP(TableHandbook[[#This Row],[UDC]],TableSTRUCATHL[],7,FALSE),"")</f>
        <v/>
      </c>
      <c r="R222" s="200" t="str">
        <f>IFERROR(VLOOKUP(TableHandbook[[#This Row],[UDC]],TableSTRUENGLL[],7,FALSE),"")</f>
        <v/>
      </c>
      <c r="S222" s="200" t="str">
        <f>IFERROR(VLOOKUP(TableHandbook[[#This Row],[UDC]],TableSTRUINTBC[],7,FALSE),"")</f>
        <v/>
      </c>
      <c r="T222" s="200" t="str">
        <f>IFERROR(VLOOKUP(TableHandbook[[#This Row],[UDC]],TableSTRUISTEM[],7,FALSE),"")</f>
        <v/>
      </c>
      <c r="U222" s="200" t="str">
        <f>IFERROR(VLOOKUP(TableHandbook[[#This Row],[UDC]],TableSTRULITNU[],7,FALSE),"")</f>
        <v/>
      </c>
      <c r="V222" s="200" t="str">
        <f>IFERROR(VLOOKUP(TableHandbook[[#This Row],[UDC]],TableSTRUTECHS[],7,FALSE),"")</f>
        <v/>
      </c>
      <c r="W222" s="200" t="str">
        <f>IFERROR(VLOOKUP(TableHandbook[[#This Row],[UDC]],TableBEDSC[],7,FALSE),"")</f>
        <v/>
      </c>
      <c r="X222" s="200" t="str">
        <f>IFERROR(VLOOKUP(TableHandbook[[#This Row],[UDC]],TableMJRUARTDR[],7,FALSE),"")</f>
        <v/>
      </c>
      <c r="Y222" s="200" t="str">
        <f>IFERROR(VLOOKUP(TableHandbook[[#This Row],[UDC]],TableMJRUARTME[],7,FALSE),"")</f>
        <v/>
      </c>
      <c r="Z222" s="200" t="str">
        <f>IFERROR(VLOOKUP(TableHandbook[[#This Row],[UDC]],TableMJRUARTVA[],7,FALSE),"")</f>
        <v/>
      </c>
      <c r="AA222" s="200" t="str">
        <f>IFERROR(VLOOKUP(TableHandbook[[#This Row],[UDC]],TableMJRUENGLT[],7,FALSE),"")</f>
        <v/>
      </c>
      <c r="AB222" s="200" t="str">
        <f>IFERROR(VLOOKUP(TableHandbook[[#This Row],[UDC]],TableMJRUHLTPE[],7,FALSE),"")</f>
        <v/>
      </c>
      <c r="AC222" s="200" t="str">
        <f>IFERROR(VLOOKUP(TableHandbook[[#This Row],[UDC]],TableMJRUHUSEC[],7,FALSE),"")</f>
        <v/>
      </c>
      <c r="AD222" s="200" t="str">
        <f>IFERROR(VLOOKUP(TableHandbook[[#This Row],[UDC]],TableMJRUHUSGE[],7,FALSE),"")</f>
        <v/>
      </c>
      <c r="AE222" s="200" t="str">
        <f>IFERROR(VLOOKUP(TableHandbook[[#This Row],[UDC]],TableMJRUHUSHI[],7,FALSE),"")</f>
        <v/>
      </c>
      <c r="AF222" s="200" t="str">
        <f>IFERROR(VLOOKUP(TableHandbook[[#This Row],[UDC]],TableMJRUHUSPL[],7,FALSE),"")</f>
        <v/>
      </c>
      <c r="AG222" s="200" t="str">
        <f>IFERROR(VLOOKUP(TableHandbook[[#This Row],[UDC]],TableMJRUMATHT[],7,FALSE),"")</f>
        <v/>
      </c>
      <c r="AH222" s="200" t="str">
        <f>IFERROR(VLOOKUP(TableHandbook[[#This Row],[UDC]],TableMJRUSCIBI[],7,FALSE),"")</f>
        <v/>
      </c>
      <c r="AI222" s="200" t="str">
        <f>IFERROR(VLOOKUP(TableHandbook[[#This Row],[UDC]],TableMJRUSCICH[],7,FALSE),"")</f>
        <v/>
      </c>
      <c r="AJ222" s="200" t="str">
        <f>IFERROR(VLOOKUP(TableHandbook[[#This Row],[UDC]],TableMJRUSCIHB[],7,FALSE),"")</f>
        <v/>
      </c>
      <c r="AK222" s="200" t="str">
        <f>IFERROR(VLOOKUP(TableHandbook[[#This Row],[UDC]],TableMJRUSCIPH[],7,FALSE),"")</f>
        <v/>
      </c>
      <c r="AL222" s="200" t="str">
        <f>IFERROR(VLOOKUP(TableHandbook[[#This Row],[UDC]],TableMJRUSCIPS[],7,FALSE),"")</f>
        <v>Core</v>
      </c>
      <c r="AM222" s="202"/>
      <c r="AN222" s="200" t="str">
        <f>IFERROR(VLOOKUP(TableHandbook[[#This Row],[UDC]],TableSTRUBIOLB[],7,FALSE),"")</f>
        <v/>
      </c>
      <c r="AO222" s="200" t="str">
        <f>IFERROR(VLOOKUP(TableHandbook[[#This Row],[UDC]],TableSTRUBSCIM[],7,FALSE),"")</f>
        <v/>
      </c>
      <c r="AP222" s="200" t="str">
        <f>IFERROR(VLOOKUP(TableHandbook[[#This Row],[UDC]],TableSTRUCHEMB[],7,FALSE),"")</f>
        <v/>
      </c>
      <c r="AQ222" s="200" t="str">
        <f>IFERROR(VLOOKUP(TableHandbook[[#This Row],[UDC]],TableSTRUECOB1[],7,FALSE),"")</f>
        <v/>
      </c>
      <c r="AR222" s="200" t="str">
        <f>IFERROR(VLOOKUP(TableHandbook[[#This Row],[UDC]],TableSTRUEDART[],7,FALSE),"")</f>
        <v/>
      </c>
      <c r="AS222" s="200" t="str">
        <f>IFERROR(VLOOKUP(TableHandbook[[#This Row],[UDC]],TableSTRUEDENG[],7,FALSE),"")</f>
        <v/>
      </c>
      <c r="AT222" s="200" t="str">
        <f>IFERROR(VLOOKUP(TableHandbook[[#This Row],[UDC]],TableSTRUEDHAS[],7,FALSE),"")</f>
        <v/>
      </c>
      <c r="AU222" s="200" t="str">
        <f>IFERROR(VLOOKUP(TableHandbook[[#This Row],[UDC]],TableSTRUEDMAT[],7,FALSE),"")</f>
        <v/>
      </c>
      <c r="AV222" s="200" t="str">
        <f>IFERROR(VLOOKUP(TableHandbook[[#This Row],[UDC]],TableSTRUEDSCI[],7,FALSE),"")</f>
        <v/>
      </c>
      <c r="AW222" s="200" t="str">
        <f>IFERROR(VLOOKUP(TableHandbook[[#This Row],[UDC]],TableSTRUENGLB[],7,FALSE),"")</f>
        <v/>
      </c>
      <c r="AX222" s="200" t="str">
        <f>IFERROR(VLOOKUP(TableHandbook[[#This Row],[UDC]],TableSTRUENGLM[],7,FALSE),"")</f>
        <v/>
      </c>
      <c r="AY222" s="200" t="str">
        <f>IFERROR(VLOOKUP(TableHandbook[[#This Row],[UDC]],TableSTRUGEOB1[],7,FALSE),"")</f>
        <v/>
      </c>
      <c r="AZ222" s="200" t="str">
        <f>IFERROR(VLOOKUP(TableHandbook[[#This Row],[UDC]],TableSTRUHISB1[],7,FALSE),"")</f>
        <v/>
      </c>
      <c r="BA222" s="200" t="str">
        <f>IFERROR(VLOOKUP(TableHandbook[[#This Row],[UDC]],TableSTRUHUMAM[],7,FALSE),"")</f>
        <v/>
      </c>
      <c r="BB222" s="200" t="str">
        <f>IFERROR(VLOOKUP(TableHandbook[[#This Row],[UDC]],TableSTRUHUMBB[],7,FALSE),"")</f>
        <v/>
      </c>
      <c r="BC222" s="200" t="str">
        <f>IFERROR(VLOOKUP(TableHandbook[[#This Row],[UDC]],TableSTRUMATHB[],7,FALSE),"")</f>
        <v/>
      </c>
      <c r="BD222" s="200" t="str">
        <f>IFERROR(VLOOKUP(TableHandbook[[#This Row],[UDC]],TableSTRUMATHM[],7,FALSE),"")</f>
        <v/>
      </c>
      <c r="BE222" s="200" t="str">
        <f>IFERROR(VLOOKUP(TableHandbook[[#This Row],[UDC]],TableSTRUPARTB[],7,FALSE),"")</f>
        <v/>
      </c>
      <c r="BF222" s="200" t="str">
        <f>IFERROR(VLOOKUP(TableHandbook[[#This Row],[UDC]],TableSTRUPARTM[],7,FALSE),"")</f>
        <v/>
      </c>
      <c r="BG222" s="200" t="str">
        <f>IFERROR(VLOOKUP(TableHandbook[[#This Row],[UDC]],TableSTRUPOLB1[],7,FALSE),"")</f>
        <v/>
      </c>
      <c r="BH222" s="200" t="str">
        <f>IFERROR(VLOOKUP(TableHandbook[[#This Row],[UDC]],TableSTRUPSCIM[],7,FALSE),"")</f>
        <v/>
      </c>
      <c r="BI222" s="200" t="str">
        <f>IFERROR(VLOOKUP(TableHandbook[[#This Row],[UDC]],TableSTRUPSYCB[],7,FALSE),"")</f>
        <v/>
      </c>
      <c r="BJ222" s="200" t="str">
        <f>IFERROR(VLOOKUP(TableHandbook[[#This Row],[UDC]],TableSTRUPSYCM[],7,FALSE),"")</f>
        <v>Core</v>
      </c>
      <c r="BK222" s="200" t="str">
        <f>IFERROR(VLOOKUP(TableHandbook[[#This Row],[UDC]],TableSTRUSOSCM[],7,FALSE),"")</f>
        <v/>
      </c>
      <c r="BL222" s="200" t="str">
        <f>IFERROR(VLOOKUP(TableHandbook[[#This Row],[UDC]],TableSTRUVARTB[],7,FALSE),"")</f>
        <v/>
      </c>
      <c r="BM222" s="200" t="str">
        <f>IFERROR(VLOOKUP(TableHandbook[[#This Row],[UDC]],TableSTRUVARTM[],7,FALSE),"")</f>
        <v/>
      </c>
    </row>
    <row r="223" spans="1:65" x14ac:dyDescent="0.25">
      <c r="A223" s="262" t="s">
        <v>375</v>
      </c>
      <c r="B223" s="12">
        <v>1</v>
      </c>
      <c r="C223" s="11"/>
      <c r="D223" s="11" t="s">
        <v>800</v>
      </c>
      <c r="E223" s="12">
        <v>25</v>
      </c>
      <c r="F223" s="131" t="s">
        <v>338</v>
      </c>
      <c r="G223" s="126" t="str">
        <f>IFERROR(IF(VLOOKUP(TableHandbook[[#This Row],[UDC]],TableAvailabilities[],2,FALSE)&gt;0,"Y",""),"")</f>
        <v>Y</v>
      </c>
      <c r="H223" s="127" t="str">
        <f>IFERROR(IF(VLOOKUP(TableHandbook[[#This Row],[UDC]],TableAvailabilities[],3,FALSE)&gt;0,"Y",""),"")</f>
        <v>Y</v>
      </c>
      <c r="I223" s="127" t="str">
        <f>IFERROR(IF(VLOOKUP(TableHandbook[[#This Row],[UDC]],TableAvailabilities[],4,FALSE)&gt;0,"Y",""),"")</f>
        <v/>
      </c>
      <c r="J223" s="128" t="str">
        <f>IFERROR(IF(VLOOKUP(TableHandbook[[#This Row],[UDC]],TableAvailabilities[],5,FALSE)&gt;0,"Y",""),"")</f>
        <v/>
      </c>
      <c r="K223" s="128" t="str">
        <f>IFERROR(IF(VLOOKUP(TableHandbook[[#This Row],[UDC]],TableAvailabilities[],6,FALSE)&gt;0,"Y",""),"")</f>
        <v/>
      </c>
      <c r="L223" s="127" t="str">
        <f>IFERROR(IF(VLOOKUP(TableHandbook[[#This Row],[UDC]],TableAvailabilities[],7,FALSE)&gt;0,"Y",""),"")</f>
        <v/>
      </c>
      <c r="M223" s="251"/>
      <c r="N223" s="200" t="str">
        <f>IFERROR(VLOOKUP(TableHandbook[[#This Row],[UDC]],TableBEDUC[],7,FALSE),"")</f>
        <v/>
      </c>
      <c r="O223" s="200" t="str">
        <f>IFERROR(VLOOKUP(TableHandbook[[#This Row],[UDC]],TableBEDEC[],7,FALSE),"")</f>
        <v/>
      </c>
      <c r="P223" s="200" t="str">
        <f>IFERROR(VLOOKUP(TableHandbook[[#This Row],[UDC]],TableBEDPR[],7,FALSE),"")</f>
        <v/>
      </c>
      <c r="Q223" s="200" t="str">
        <f>IFERROR(VLOOKUP(TableHandbook[[#This Row],[UDC]],TableSTRUCATHL[],7,FALSE),"")</f>
        <v/>
      </c>
      <c r="R223" s="200" t="str">
        <f>IFERROR(VLOOKUP(TableHandbook[[#This Row],[UDC]],TableSTRUENGLL[],7,FALSE),"")</f>
        <v/>
      </c>
      <c r="S223" s="200" t="str">
        <f>IFERROR(VLOOKUP(TableHandbook[[#This Row],[UDC]],TableSTRUINTBC[],7,FALSE),"")</f>
        <v/>
      </c>
      <c r="T223" s="200" t="str">
        <f>IFERROR(VLOOKUP(TableHandbook[[#This Row],[UDC]],TableSTRUISTEM[],7,FALSE),"")</f>
        <v/>
      </c>
      <c r="U223" s="200" t="str">
        <f>IFERROR(VLOOKUP(TableHandbook[[#This Row],[UDC]],TableSTRULITNU[],7,FALSE),"")</f>
        <v/>
      </c>
      <c r="V223" s="200" t="str">
        <f>IFERROR(VLOOKUP(TableHandbook[[#This Row],[UDC]],TableSTRUTECHS[],7,FALSE),"")</f>
        <v/>
      </c>
      <c r="W223" s="200" t="str">
        <f>IFERROR(VLOOKUP(TableHandbook[[#This Row],[UDC]],TableBEDSC[],7,FALSE),"")</f>
        <v/>
      </c>
      <c r="X223" s="200" t="str">
        <f>IFERROR(VLOOKUP(TableHandbook[[#This Row],[UDC]],TableMJRUARTDR[],7,FALSE),"")</f>
        <v/>
      </c>
      <c r="Y223" s="200" t="str">
        <f>IFERROR(VLOOKUP(TableHandbook[[#This Row],[UDC]],TableMJRUARTME[],7,FALSE),"")</f>
        <v/>
      </c>
      <c r="Z223" s="200" t="str">
        <f>IFERROR(VLOOKUP(TableHandbook[[#This Row],[UDC]],TableMJRUARTVA[],7,FALSE),"")</f>
        <v/>
      </c>
      <c r="AA223" s="200" t="str">
        <f>IFERROR(VLOOKUP(TableHandbook[[#This Row],[UDC]],TableMJRUENGLT[],7,FALSE),"")</f>
        <v/>
      </c>
      <c r="AB223" s="200" t="str">
        <f>IFERROR(VLOOKUP(TableHandbook[[#This Row],[UDC]],TableMJRUHLTPE[],7,FALSE),"")</f>
        <v/>
      </c>
      <c r="AC223" s="200" t="str">
        <f>IFERROR(VLOOKUP(TableHandbook[[#This Row],[UDC]],TableMJRUHUSEC[],7,FALSE),"")</f>
        <v/>
      </c>
      <c r="AD223" s="200" t="str">
        <f>IFERROR(VLOOKUP(TableHandbook[[#This Row],[UDC]],TableMJRUHUSGE[],7,FALSE),"")</f>
        <v/>
      </c>
      <c r="AE223" s="200" t="str">
        <f>IFERROR(VLOOKUP(TableHandbook[[#This Row],[UDC]],TableMJRUHUSHI[],7,FALSE),"")</f>
        <v/>
      </c>
      <c r="AF223" s="200" t="str">
        <f>IFERROR(VLOOKUP(TableHandbook[[#This Row],[UDC]],TableMJRUHUSPL[],7,FALSE),"")</f>
        <v/>
      </c>
      <c r="AG223" s="200" t="str">
        <f>IFERROR(VLOOKUP(TableHandbook[[#This Row],[UDC]],TableMJRUMATHT[],7,FALSE),"")</f>
        <v/>
      </c>
      <c r="AH223" s="200" t="str">
        <f>IFERROR(VLOOKUP(TableHandbook[[#This Row],[UDC]],TableMJRUSCIBI[],7,FALSE),"")</f>
        <v/>
      </c>
      <c r="AI223" s="200" t="str">
        <f>IFERROR(VLOOKUP(TableHandbook[[#This Row],[UDC]],TableMJRUSCICH[],7,FALSE),"")</f>
        <v/>
      </c>
      <c r="AJ223" s="200" t="str">
        <f>IFERROR(VLOOKUP(TableHandbook[[#This Row],[UDC]],TableMJRUSCIHB[],7,FALSE),"")</f>
        <v/>
      </c>
      <c r="AK223" s="200" t="str">
        <f>IFERROR(VLOOKUP(TableHandbook[[#This Row],[UDC]],TableMJRUSCIPH[],7,FALSE),"")</f>
        <v/>
      </c>
      <c r="AL223" s="200" t="str">
        <f>IFERROR(VLOOKUP(TableHandbook[[#This Row],[UDC]],TableMJRUSCIPS[],7,FALSE),"")</f>
        <v>Core</v>
      </c>
      <c r="AM223" s="202"/>
      <c r="AN223" s="200" t="str">
        <f>IFERROR(VLOOKUP(TableHandbook[[#This Row],[UDC]],TableSTRUBIOLB[],7,FALSE),"")</f>
        <v/>
      </c>
      <c r="AO223" s="200" t="str">
        <f>IFERROR(VLOOKUP(TableHandbook[[#This Row],[UDC]],TableSTRUBSCIM[],7,FALSE),"")</f>
        <v/>
      </c>
      <c r="AP223" s="200" t="str">
        <f>IFERROR(VLOOKUP(TableHandbook[[#This Row],[UDC]],TableSTRUCHEMB[],7,FALSE),"")</f>
        <v/>
      </c>
      <c r="AQ223" s="200" t="str">
        <f>IFERROR(VLOOKUP(TableHandbook[[#This Row],[UDC]],TableSTRUECOB1[],7,FALSE),"")</f>
        <v/>
      </c>
      <c r="AR223" s="200" t="str">
        <f>IFERROR(VLOOKUP(TableHandbook[[#This Row],[UDC]],TableSTRUEDART[],7,FALSE),"")</f>
        <v/>
      </c>
      <c r="AS223" s="200" t="str">
        <f>IFERROR(VLOOKUP(TableHandbook[[#This Row],[UDC]],TableSTRUEDENG[],7,FALSE),"")</f>
        <v/>
      </c>
      <c r="AT223" s="200" t="str">
        <f>IFERROR(VLOOKUP(TableHandbook[[#This Row],[UDC]],TableSTRUEDHAS[],7,FALSE),"")</f>
        <v/>
      </c>
      <c r="AU223" s="200" t="str">
        <f>IFERROR(VLOOKUP(TableHandbook[[#This Row],[UDC]],TableSTRUEDMAT[],7,FALSE),"")</f>
        <v/>
      </c>
      <c r="AV223" s="200" t="str">
        <f>IFERROR(VLOOKUP(TableHandbook[[#This Row],[UDC]],TableSTRUEDSCI[],7,FALSE),"")</f>
        <v/>
      </c>
      <c r="AW223" s="200" t="str">
        <f>IFERROR(VLOOKUP(TableHandbook[[#This Row],[UDC]],TableSTRUENGLB[],7,FALSE),"")</f>
        <v/>
      </c>
      <c r="AX223" s="200" t="str">
        <f>IFERROR(VLOOKUP(TableHandbook[[#This Row],[UDC]],TableSTRUENGLM[],7,FALSE),"")</f>
        <v/>
      </c>
      <c r="AY223" s="200" t="str">
        <f>IFERROR(VLOOKUP(TableHandbook[[#This Row],[UDC]],TableSTRUGEOB1[],7,FALSE),"")</f>
        <v/>
      </c>
      <c r="AZ223" s="200" t="str">
        <f>IFERROR(VLOOKUP(TableHandbook[[#This Row],[UDC]],TableSTRUHISB1[],7,FALSE),"")</f>
        <v/>
      </c>
      <c r="BA223" s="200" t="str">
        <f>IFERROR(VLOOKUP(TableHandbook[[#This Row],[UDC]],TableSTRUHUMAM[],7,FALSE),"")</f>
        <v/>
      </c>
      <c r="BB223" s="200" t="str">
        <f>IFERROR(VLOOKUP(TableHandbook[[#This Row],[UDC]],TableSTRUHUMBB[],7,FALSE),"")</f>
        <v/>
      </c>
      <c r="BC223" s="200" t="str">
        <f>IFERROR(VLOOKUP(TableHandbook[[#This Row],[UDC]],TableSTRUMATHB[],7,FALSE),"")</f>
        <v/>
      </c>
      <c r="BD223" s="200" t="str">
        <f>IFERROR(VLOOKUP(TableHandbook[[#This Row],[UDC]],TableSTRUMATHM[],7,FALSE),"")</f>
        <v/>
      </c>
      <c r="BE223" s="200" t="str">
        <f>IFERROR(VLOOKUP(TableHandbook[[#This Row],[UDC]],TableSTRUPARTB[],7,FALSE),"")</f>
        <v/>
      </c>
      <c r="BF223" s="200" t="str">
        <f>IFERROR(VLOOKUP(TableHandbook[[#This Row],[UDC]],TableSTRUPARTM[],7,FALSE),"")</f>
        <v/>
      </c>
      <c r="BG223" s="200" t="str">
        <f>IFERROR(VLOOKUP(TableHandbook[[#This Row],[UDC]],TableSTRUPOLB1[],7,FALSE),"")</f>
        <v/>
      </c>
      <c r="BH223" s="200" t="str">
        <f>IFERROR(VLOOKUP(TableHandbook[[#This Row],[UDC]],TableSTRUPSCIM[],7,FALSE),"")</f>
        <v/>
      </c>
      <c r="BI223" s="200" t="str">
        <f>IFERROR(VLOOKUP(TableHandbook[[#This Row],[UDC]],TableSTRUPSYCB[],7,FALSE),"")</f>
        <v/>
      </c>
      <c r="BJ223" s="200" t="str">
        <f>IFERROR(VLOOKUP(TableHandbook[[#This Row],[UDC]],TableSTRUPSYCM[],7,FALSE),"")</f>
        <v>Core</v>
      </c>
      <c r="BK223" s="200" t="str">
        <f>IFERROR(VLOOKUP(TableHandbook[[#This Row],[UDC]],TableSTRUSOSCM[],7,FALSE),"")</f>
        <v/>
      </c>
      <c r="BL223" s="200" t="str">
        <f>IFERROR(VLOOKUP(TableHandbook[[#This Row],[UDC]],TableSTRUVARTB[],7,FALSE),"")</f>
        <v/>
      </c>
      <c r="BM223" s="200" t="str">
        <f>IFERROR(VLOOKUP(TableHandbook[[#This Row],[UDC]],TableSTRUVARTM[],7,FALSE),"")</f>
        <v/>
      </c>
    </row>
    <row r="224" spans="1:65" x14ac:dyDescent="0.25">
      <c r="A224" s="261" t="s">
        <v>515</v>
      </c>
      <c r="B224" s="12">
        <v>1</v>
      </c>
      <c r="C224" s="11"/>
      <c r="D224" s="11" t="s">
        <v>801</v>
      </c>
      <c r="E224" s="12">
        <v>25</v>
      </c>
      <c r="F224" s="131" t="s">
        <v>558</v>
      </c>
      <c r="G224" s="126" t="str">
        <f>IFERROR(IF(VLOOKUP(TableHandbook[[#This Row],[UDC]],TableAvailabilities[],2,FALSE)&gt;0,"Y",""),"")</f>
        <v/>
      </c>
      <c r="H224" s="127" t="str">
        <f>IFERROR(IF(VLOOKUP(TableHandbook[[#This Row],[UDC]],TableAvailabilities[],3,FALSE)&gt;0,"Y",""),"")</f>
        <v/>
      </c>
      <c r="I224" s="127" t="str">
        <f>IFERROR(IF(VLOOKUP(TableHandbook[[#This Row],[UDC]],TableAvailabilities[],4,FALSE)&gt;0,"Y",""),"")</f>
        <v/>
      </c>
      <c r="J224" s="128" t="str">
        <f>IFERROR(IF(VLOOKUP(TableHandbook[[#This Row],[UDC]],TableAvailabilities[],5,FALSE)&gt;0,"Y",""),"")</f>
        <v>Y</v>
      </c>
      <c r="K224" s="128" t="str">
        <f>IFERROR(IF(VLOOKUP(TableHandbook[[#This Row],[UDC]],TableAvailabilities[],6,FALSE)&gt;0,"Y",""),"")</f>
        <v>Y</v>
      </c>
      <c r="L224" s="127" t="str">
        <f>IFERROR(IF(VLOOKUP(TableHandbook[[#This Row],[UDC]],TableAvailabilities[],7,FALSE)&gt;0,"Y",""),"")</f>
        <v/>
      </c>
      <c r="M224" s="251"/>
      <c r="N224" s="200" t="str">
        <f>IFERROR(VLOOKUP(TableHandbook[[#This Row],[UDC]],TableBEDUC[],7,FALSE),"")</f>
        <v/>
      </c>
      <c r="O224" s="200" t="str">
        <f>IFERROR(VLOOKUP(TableHandbook[[#This Row],[UDC]],TableBEDEC[],7,FALSE),"")</f>
        <v/>
      </c>
      <c r="P224" s="200" t="str">
        <f>IFERROR(VLOOKUP(TableHandbook[[#This Row],[UDC]],TableBEDPR[],7,FALSE),"")</f>
        <v/>
      </c>
      <c r="Q224" s="200" t="str">
        <f>IFERROR(VLOOKUP(TableHandbook[[#This Row],[UDC]],TableSTRUCATHL[],7,FALSE),"")</f>
        <v/>
      </c>
      <c r="R224" s="200" t="str">
        <f>IFERROR(VLOOKUP(TableHandbook[[#This Row],[UDC]],TableSTRUENGLL[],7,FALSE),"")</f>
        <v/>
      </c>
      <c r="S224" s="200" t="str">
        <f>IFERROR(VLOOKUP(TableHandbook[[#This Row],[UDC]],TableSTRUINTBC[],7,FALSE),"")</f>
        <v/>
      </c>
      <c r="T224" s="200" t="str">
        <f>IFERROR(VLOOKUP(TableHandbook[[#This Row],[UDC]],TableSTRUISTEM[],7,FALSE),"")</f>
        <v/>
      </c>
      <c r="U224" s="200" t="str">
        <f>IFERROR(VLOOKUP(TableHandbook[[#This Row],[UDC]],TableSTRULITNU[],7,FALSE),"")</f>
        <v/>
      </c>
      <c r="V224" s="200" t="str">
        <f>IFERROR(VLOOKUP(TableHandbook[[#This Row],[UDC]],TableSTRUTECHS[],7,FALSE),"")</f>
        <v/>
      </c>
      <c r="W224" s="200" t="str">
        <f>IFERROR(VLOOKUP(TableHandbook[[#This Row],[UDC]],TableBEDSC[],7,FALSE),"")</f>
        <v/>
      </c>
      <c r="X224" s="200" t="str">
        <f>IFERROR(VLOOKUP(TableHandbook[[#This Row],[UDC]],TableMJRUARTDR[],7,FALSE),"")</f>
        <v/>
      </c>
      <c r="Y224" s="200" t="str">
        <f>IFERROR(VLOOKUP(TableHandbook[[#This Row],[UDC]],TableMJRUARTME[],7,FALSE),"")</f>
        <v/>
      </c>
      <c r="Z224" s="200" t="str">
        <f>IFERROR(VLOOKUP(TableHandbook[[#This Row],[UDC]],TableMJRUARTVA[],7,FALSE),"")</f>
        <v/>
      </c>
      <c r="AA224" s="200" t="str">
        <f>IFERROR(VLOOKUP(TableHandbook[[#This Row],[UDC]],TableMJRUENGLT[],7,FALSE),"")</f>
        <v/>
      </c>
      <c r="AB224" s="200" t="str">
        <f>IFERROR(VLOOKUP(TableHandbook[[#This Row],[UDC]],TableMJRUHLTPE[],7,FALSE),"")</f>
        <v/>
      </c>
      <c r="AC224" s="200" t="str">
        <f>IFERROR(VLOOKUP(TableHandbook[[#This Row],[UDC]],TableMJRUHUSEC[],7,FALSE),"")</f>
        <v/>
      </c>
      <c r="AD224" s="200" t="str">
        <f>IFERROR(VLOOKUP(TableHandbook[[#This Row],[UDC]],TableMJRUHUSGE[],7,FALSE),"")</f>
        <v/>
      </c>
      <c r="AE224" s="200" t="str">
        <f>IFERROR(VLOOKUP(TableHandbook[[#This Row],[UDC]],TableMJRUHUSHI[],7,FALSE),"")</f>
        <v/>
      </c>
      <c r="AF224" s="200" t="str">
        <f>IFERROR(VLOOKUP(TableHandbook[[#This Row],[UDC]],TableMJRUHUSPL[],7,FALSE),"")</f>
        <v/>
      </c>
      <c r="AG224" s="200" t="str">
        <f>IFERROR(VLOOKUP(TableHandbook[[#This Row],[UDC]],TableMJRUMATHT[],7,FALSE),"")</f>
        <v/>
      </c>
      <c r="AH224" s="200" t="str">
        <f>IFERROR(VLOOKUP(TableHandbook[[#This Row],[UDC]],TableMJRUSCIBI[],7,FALSE),"")</f>
        <v/>
      </c>
      <c r="AI224" s="200" t="str">
        <f>IFERROR(VLOOKUP(TableHandbook[[#This Row],[UDC]],TableMJRUSCICH[],7,FALSE),"")</f>
        <v/>
      </c>
      <c r="AJ224" s="200" t="str">
        <f>IFERROR(VLOOKUP(TableHandbook[[#This Row],[UDC]],TableMJRUSCIHB[],7,FALSE),"")</f>
        <v/>
      </c>
      <c r="AK224" s="200" t="str">
        <f>IFERROR(VLOOKUP(TableHandbook[[#This Row],[UDC]],TableMJRUSCIPH[],7,FALSE),"")</f>
        <v/>
      </c>
      <c r="AL224" s="200" t="str">
        <f>IFERROR(VLOOKUP(TableHandbook[[#This Row],[UDC]],TableMJRUSCIPS[],7,FALSE),"")</f>
        <v/>
      </c>
      <c r="AM224" s="202"/>
      <c r="AN224" s="200" t="str">
        <f>IFERROR(VLOOKUP(TableHandbook[[#This Row],[UDC]],TableSTRUBIOLB[],7,FALSE),"")</f>
        <v/>
      </c>
      <c r="AO224" s="200" t="str">
        <f>IFERROR(VLOOKUP(TableHandbook[[#This Row],[UDC]],TableSTRUBSCIM[],7,FALSE),"")</f>
        <v/>
      </c>
      <c r="AP224" s="200" t="str">
        <f>IFERROR(VLOOKUP(TableHandbook[[#This Row],[UDC]],TableSTRUCHEMB[],7,FALSE),"")</f>
        <v/>
      </c>
      <c r="AQ224" s="200" t="str">
        <f>IFERROR(VLOOKUP(TableHandbook[[#This Row],[UDC]],TableSTRUECOB1[],7,FALSE),"")</f>
        <v/>
      </c>
      <c r="AR224" s="200" t="str">
        <f>IFERROR(VLOOKUP(TableHandbook[[#This Row],[UDC]],TableSTRUEDART[],7,FALSE),"")</f>
        <v/>
      </c>
      <c r="AS224" s="200" t="str">
        <f>IFERROR(VLOOKUP(TableHandbook[[#This Row],[UDC]],TableSTRUEDENG[],7,FALSE),"")</f>
        <v/>
      </c>
      <c r="AT224" s="200" t="str">
        <f>IFERROR(VLOOKUP(TableHandbook[[#This Row],[UDC]],TableSTRUEDHAS[],7,FALSE),"")</f>
        <v/>
      </c>
      <c r="AU224" s="200" t="str">
        <f>IFERROR(VLOOKUP(TableHandbook[[#This Row],[UDC]],TableSTRUEDMAT[],7,FALSE),"")</f>
        <v/>
      </c>
      <c r="AV224" s="200" t="str">
        <f>IFERROR(VLOOKUP(TableHandbook[[#This Row],[UDC]],TableSTRUEDSCI[],7,FALSE),"")</f>
        <v/>
      </c>
      <c r="AW224" s="200" t="str">
        <f>IFERROR(VLOOKUP(TableHandbook[[#This Row],[UDC]],TableSTRUENGLB[],7,FALSE),"")</f>
        <v/>
      </c>
      <c r="AX224" s="200" t="str">
        <f>IFERROR(VLOOKUP(TableHandbook[[#This Row],[UDC]],TableSTRUENGLM[],7,FALSE),"")</f>
        <v/>
      </c>
      <c r="AY224" s="200" t="str">
        <f>IFERROR(VLOOKUP(TableHandbook[[#This Row],[UDC]],TableSTRUGEOB1[],7,FALSE),"")</f>
        <v/>
      </c>
      <c r="AZ224" s="200" t="str">
        <f>IFERROR(VLOOKUP(TableHandbook[[#This Row],[UDC]],TableSTRUHISB1[],7,FALSE),"")</f>
        <v/>
      </c>
      <c r="BA224" s="200" t="str">
        <f>IFERROR(VLOOKUP(TableHandbook[[#This Row],[UDC]],TableSTRUHUMAM[],7,FALSE),"")</f>
        <v/>
      </c>
      <c r="BB224" s="200" t="str">
        <f>IFERROR(VLOOKUP(TableHandbook[[#This Row],[UDC]],TableSTRUHUMBB[],7,FALSE),"")</f>
        <v/>
      </c>
      <c r="BC224" s="200" t="str">
        <f>IFERROR(VLOOKUP(TableHandbook[[#This Row],[UDC]],TableSTRUMATHB[],7,FALSE),"")</f>
        <v/>
      </c>
      <c r="BD224" s="200" t="str">
        <f>IFERROR(VLOOKUP(TableHandbook[[#This Row],[UDC]],TableSTRUMATHM[],7,FALSE),"")</f>
        <v/>
      </c>
      <c r="BE224" s="200" t="str">
        <f>IFERROR(VLOOKUP(TableHandbook[[#This Row],[UDC]],TableSTRUPARTB[],7,FALSE),"")</f>
        <v/>
      </c>
      <c r="BF224" s="200" t="str">
        <f>IFERROR(VLOOKUP(TableHandbook[[#This Row],[UDC]],TableSTRUPARTM[],7,FALSE),"")</f>
        <v/>
      </c>
      <c r="BG224" s="200" t="str">
        <f>IFERROR(VLOOKUP(TableHandbook[[#This Row],[UDC]],TableSTRUPOLB1[],7,FALSE),"")</f>
        <v/>
      </c>
      <c r="BH224" s="200" t="str">
        <f>IFERROR(VLOOKUP(TableHandbook[[#This Row],[UDC]],TableSTRUPSCIM[],7,FALSE),"")</f>
        <v/>
      </c>
      <c r="BI224" s="200" t="str">
        <f>IFERROR(VLOOKUP(TableHandbook[[#This Row],[UDC]],TableSTRUPSYCB[],7,FALSE),"")</f>
        <v>Core</v>
      </c>
      <c r="BJ224" s="200" t="str">
        <f>IFERROR(VLOOKUP(TableHandbook[[#This Row],[UDC]],TableSTRUPSYCM[],7,FALSE),"")</f>
        <v/>
      </c>
      <c r="BK224" s="200" t="str">
        <f>IFERROR(VLOOKUP(TableHandbook[[#This Row],[UDC]],TableSTRUSOSCM[],7,FALSE),"")</f>
        <v/>
      </c>
      <c r="BL224" s="200" t="str">
        <f>IFERROR(VLOOKUP(TableHandbook[[#This Row],[UDC]],TableSTRUVARTB[],7,FALSE),"")</f>
        <v/>
      </c>
      <c r="BM224" s="200" t="str">
        <f>IFERROR(VLOOKUP(TableHandbook[[#This Row],[UDC]],TableSTRUVARTM[],7,FALSE),"")</f>
        <v/>
      </c>
    </row>
    <row r="225" spans="1:65" x14ac:dyDescent="0.25">
      <c r="A225" s="261" t="s">
        <v>521</v>
      </c>
      <c r="B225" s="12">
        <v>1</v>
      </c>
      <c r="C225" s="11"/>
      <c r="D225" s="11" t="s">
        <v>802</v>
      </c>
      <c r="E225" s="12">
        <v>25</v>
      </c>
      <c r="F225" s="131" t="s">
        <v>338</v>
      </c>
      <c r="G225" s="126" t="str">
        <f>IFERROR(IF(VLOOKUP(TableHandbook[[#This Row],[UDC]],TableAvailabilities[],2,FALSE)&gt;0,"Y",""),"")</f>
        <v/>
      </c>
      <c r="H225" s="127" t="str">
        <f>IFERROR(IF(VLOOKUP(TableHandbook[[#This Row],[UDC]],TableAvailabilities[],3,FALSE)&gt;0,"Y",""),"")</f>
        <v/>
      </c>
      <c r="I225" s="127" t="str">
        <f>IFERROR(IF(VLOOKUP(TableHandbook[[#This Row],[UDC]],TableAvailabilities[],4,FALSE)&gt;0,"Y",""),"")</f>
        <v/>
      </c>
      <c r="J225" s="128" t="str">
        <f>IFERROR(IF(VLOOKUP(TableHandbook[[#This Row],[UDC]],TableAvailabilities[],5,FALSE)&gt;0,"Y",""),"")</f>
        <v>Y</v>
      </c>
      <c r="K225" s="128" t="str">
        <f>IFERROR(IF(VLOOKUP(TableHandbook[[#This Row],[UDC]],TableAvailabilities[],6,FALSE)&gt;0,"Y",""),"")</f>
        <v>Y</v>
      </c>
      <c r="L225" s="127" t="str">
        <f>IFERROR(IF(VLOOKUP(TableHandbook[[#This Row],[UDC]],TableAvailabilities[],7,FALSE)&gt;0,"Y",""),"")</f>
        <v/>
      </c>
      <c r="M225" s="251"/>
      <c r="N225" s="200" t="str">
        <f>IFERROR(VLOOKUP(TableHandbook[[#This Row],[UDC]],TableBEDUC[],7,FALSE),"")</f>
        <v/>
      </c>
      <c r="O225" s="200" t="str">
        <f>IFERROR(VLOOKUP(TableHandbook[[#This Row],[UDC]],TableBEDEC[],7,FALSE),"")</f>
        <v/>
      </c>
      <c r="P225" s="200" t="str">
        <f>IFERROR(VLOOKUP(TableHandbook[[#This Row],[UDC]],TableBEDPR[],7,FALSE),"")</f>
        <v/>
      </c>
      <c r="Q225" s="200" t="str">
        <f>IFERROR(VLOOKUP(TableHandbook[[#This Row],[UDC]],TableSTRUCATHL[],7,FALSE),"")</f>
        <v/>
      </c>
      <c r="R225" s="200" t="str">
        <f>IFERROR(VLOOKUP(TableHandbook[[#This Row],[UDC]],TableSTRUENGLL[],7,FALSE),"")</f>
        <v/>
      </c>
      <c r="S225" s="200" t="str">
        <f>IFERROR(VLOOKUP(TableHandbook[[#This Row],[UDC]],TableSTRUINTBC[],7,FALSE),"")</f>
        <v/>
      </c>
      <c r="T225" s="200" t="str">
        <f>IFERROR(VLOOKUP(TableHandbook[[#This Row],[UDC]],TableSTRUISTEM[],7,FALSE),"")</f>
        <v/>
      </c>
      <c r="U225" s="200" t="str">
        <f>IFERROR(VLOOKUP(TableHandbook[[#This Row],[UDC]],TableSTRULITNU[],7,FALSE),"")</f>
        <v/>
      </c>
      <c r="V225" s="200" t="str">
        <f>IFERROR(VLOOKUP(TableHandbook[[#This Row],[UDC]],TableSTRUTECHS[],7,FALSE),"")</f>
        <v/>
      </c>
      <c r="W225" s="200" t="str">
        <f>IFERROR(VLOOKUP(TableHandbook[[#This Row],[UDC]],TableBEDSC[],7,FALSE),"")</f>
        <v/>
      </c>
      <c r="X225" s="200" t="str">
        <f>IFERROR(VLOOKUP(TableHandbook[[#This Row],[UDC]],TableMJRUARTDR[],7,FALSE),"")</f>
        <v/>
      </c>
      <c r="Y225" s="200" t="str">
        <f>IFERROR(VLOOKUP(TableHandbook[[#This Row],[UDC]],TableMJRUARTME[],7,FALSE),"")</f>
        <v/>
      </c>
      <c r="Z225" s="200" t="str">
        <f>IFERROR(VLOOKUP(TableHandbook[[#This Row],[UDC]],TableMJRUARTVA[],7,FALSE),"")</f>
        <v/>
      </c>
      <c r="AA225" s="200" t="str">
        <f>IFERROR(VLOOKUP(TableHandbook[[#This Row],[UDC]],TableMJRUENGLT[],7,FALSE),"")</f>
        <v/>
      </c>
      <c r="AB225" s="200" t="str">
        <f>IFERROR(VLOOKUP(TableHandbook[[#This Row],[UDC]],TableMJRUHLTPE[],7,FALSE),"")</f>
        <v/>
      </c>
      <c r="AC225" s="200" t="str">
        <f>IFERROR(VLOOKUP(TableHandbook[[#This Row],[UDC]],TableMJRUHUSEC[],7,FALSE),"")</f>
        <v/>
      </c>
      <c r="AD225" s="200" t="str">
        <f>IFERROR(VLOOKUP(TableHandbook[[#This Row],[UDC]],TableMJRUHUSGE[],7,FALSE),"")</f>
        <v/>
      </c>
      <c r="AE225" s="200" t="str">
        <f>IFERROR(VLOOKUP(TableHandbook[[#This Row],[UDC]],TableMJRUHUSHI[],7,FALSE),"")</f>
        <v/>
      </c>
      <c r="AF225" s="200" t="str">
        <f>IFERROR(VLOOKUP(TableHandbook[[#This Row],[UDC]],TableMJRUHUSPL[],7,FALSE),"")</f>
        <v/>
      </c>
      <c r="AG225" s="200" t="str">
        <f>IFERROR(VLOOKUP(TableHandbook[[#This Row],[UDC]],TableMJRUMATHT[],7,FALSE),"")</f>
        <v/>
      </c>
      <c r="AH225" s="200" t="str">
        <f>IFERROR(VLOOKUP(TableHandbook[[#This Row],[UDC]],TableMJRUSCIBI[],7,FALSE),"")</f>
        <v/>
      </c>
      <c r="AI225" s="200" t="str">
        <f>IFERROR(VLOOKUP(TableHandbook[[#This Row],[UDC]],TableMJRUSCICH[],7,FALSE),"")</f>
        <v/>
      </c>
      <c r="AJ225" s="200" t="str">
        <f>IFERROR(VLOOKUP(TableHandbook[[#This Row],[UDC]],TableMJRUSCIHB[],7,FALSE),"")</f>
        <v/>
      </c>
      <c r="AK225" s="200" t="str">
        <f>IFERROR(VLOOKUP(TableHandbook[[#This Row],[UDC]],TableMJRUSCIPH[],7,FALSE),"")</f>
        <v/>
      </c>
      <c r="AL225" s="200" t="str">
        <f>IFERROR(VLOOKUP(TableHandbook[[#This Row],[UDC]],TableMJRUSCIPS[],7,FALSE),"")</f>
        <v/>
      </c>
      <c r="AM225" s="202"/>
      <c r="AN225" s="200" t="str">
        <f>IFERROR(VLOOKUP(TableHandbook[[#This Row],[UDC]],TableSTRUBIOLB[],7,FALSE),"")</f>
        <v/>
      </c>
      <c r="AO225" s="200" t="str">
        <f>IFERROR(VLOOKUP(TableHandbook[[#This Row],[UDC]],TableSTRUBSCIM[],7,FALSE),"")</f>
        <v/>
      </c>
      <c r="AP225" s="200" t="str">
        <f>IFERROR(VLOOKUP(TableHandbook[[#This Row],[UDC]],TableSTRUCHEMB[],7,FALSE),"")</f>
        <v/>
      </c>
      <c r="AQ225" s="200" t="str">
        <f>IFERROR(VLOOKUP(TableHandbook[[#This Row],[UDC]],TableSTRUECOB1[],7,FALSE),"")</f>
        <v/>
      </c>
      <c r="AR225" s="200" t="str">
        <f>IFERROR(VLOOKUP(TableHandbook[[#This Row],[UDC]],TableSTRUEDART[],7,FALSE),"")</f>
        <v/>
      </c>
      <c r="AS225" s="200" t="str">
        <f>IFERROR(VLOOKUP(TableHandbook[[#This Row],[UDC]],TableSTRUEDENG[],7,FALSE),"")</f>
        <v/>
      </c>
      <c r="AT225" s="200" t="str">
        <f>IFERROR(VLOOKUP(TableHandbook[[#This Row],[UDC]],TableSTRUEDHAS[],7,FALSE),"")</f>
        <v/>
      </c>
      <c r="AU225" s="200" t="str">
        <f>IFERROR(VLOOKUP(TableHandbook[[#This Row],[UDC]],TableSTRUEDMAT[],7,FALSE),"")</f>
        <v/>
      </c>
      <c r="AV225" s="200" t="str">
        <f>IFERROR(VLOOKUP(TableHandbook[[#This Row],[UDC]],TableSTRUEDSCI[],7,FALSE),"")</f>
        <v/>
      </c>
      <c r="AW225" s="200" t="str">
        <f>IFERROR(VLOOKUP(TableHandbook[[#This Row],[UDC]],TableSTRUENGLB[],7,FALSE),"")</f>
        <v/>
      </c>
      <c r="AX225" s="200" t="str">
        <f>IFERROR(VLOOKUP(TableHandbook[[#This Row],[UDC]],TableSTRUENGLM[],7,FALSE),"")</f>
        <v/>
      </c>
      <c r="AY225" s="200" t="str">
        <f>IFERROR(VLOOKUP(TableHandbook[[#This Row],[UDC]],TableSTRUGEOB1[],7,FALSE),"")</f>
        <v/>
      </c>
      <c r="AZ225" s="200" t="str">
        <f>IFERROR(VLOOKUP(TableHandbook[[#This Row],[UDC]],TableSTRUHISB1[],7,FALSE),"")</f>
        <v/>
      </c>
      <c r="BA225" s="200" t="str">
        <f>IFERROR(VLOOKUP(TableHandbook[[#This Row],[UDC]],TableSTRUHUMAM[],7,FALSE),"")</f>
        <v/>
      </c>
      <c r="BB225" s="200" t="str">
        <f>IFERROR(VLOOKUP(TableHandbook[[#This Row],[UDC]],TableSTRUHUMBB[],7,FALSE),"")</f>
        <v/>
      </c>
      <c r="BC225" s="200" t="str">
        <f>IFERROR(VLOOKUP(TableHandbook[[#This Row],[UDC]],TableSTRUMATHB[],7,FALSE),"")</f>
        <v/>
      </c>
      <c r="BD225" s="200" t="str">
        <f>IFERROR(VLOOKUP(TableHandbook[[#This Row],[UDC]],TableSTRUMATHM[],7,FALSE),"")</f>
        <v/>
      </c>
      <c r="BE225" s="200" t="str">
        <f>IFERROR(VLOOKUP(TableHandbook[[#This Row],[UDC]],TableSTRUPARTB[],7,FALSE),"")</f>
        <v/>
      </c>
      <c r="BF225" s="200" t="str">
        <f>IFERROR(VLOOKUP(TableHandbook[[#This Row],[UDC]],TableSTRUPARTM[],7,FALSE),"")</f>
        <v/>
      </c>
      <c r="BG225" s="200" t="str">
        <f>IFERROR(VLOOKUP(TableHandbook[[#This Row],[UDC]],TableSTRUPOLB1[],7,FALSE),"")</f>
        <v/>
      </c>
      <c r="BH225" s="200" t="str">
        <f>IFERROR(VLOOKUP(TableHandbook[[#This Row],[UDC]],TableSTRUPSCIM[],7,FALSE),"")</f>
        <v/>
      </c>
      <c r="BI225" s="200" t="str">
        <f>IFERROR(VLOOKUP(TableHandbook[[#This Row],[UDC]],TableSTRUPSYCB[],7,FALSE),"")</f>
        <v/>
      </c>
      <c r="BJ225" s="200" t="str">
        <f>IFERROR(VLOOKUP(TableHandbook[[#This Row],[UDC]],TableSTRUPSYCM[],7,FALSE),"")</f>
        <v>AltCore</v>
      </c>
      <c r="BK225" s="200" t="str">
        <f>IFERROR(VLOOKUP(TableHandbook[[#This Row],[UDC]],TableSTRUSOSCM[],7,FALSE),"")</f>
        <v/>
      </c>
      <c r="BL225" s="200" t="str">
        <f>IFERROR(VLOOKUP(TableHandbook[[#This Row],[UDC]],TableSTRUVARTB[],7,FALSE),"")</f>
        <v/>
      </c>
      <c r="BM225" s="200" t="str">
        <f>IFERROR(VLOOKUP(TableHandbook[[#This Row],[UDC]],TableSTRUVARTM[],7,FALSE),"")</f>
        <v/>
      </c>
    </row>
    <row r="226" spans="1:65" x14ac:dyDescent="0.25">
      <c r="A226" s="262" t="s">
        <v>389</v>
      </c>
      <c r="B226" s="12">
        <v>1</v>
      </c>
      <c r="C226" s="11"/>
      <c r="D226" s="11" t="s">
        <v>803</v>
      </c>
      <c r="E226" s="12">
        <v>25</v>
      </c>
      <c r="F226" s="131" t="s">
        <v>804</v>
      </c>
      <c r="G226" s="126" t="str">
        <f>IFERROR(IF(VLOOKUP(TableHandbook[[#This Row],[UDC]],TableAvailabilities[],2,FALSE)&gt;0,"Y",""),"")</f>
        <v/>
      </c>
      <c r="H226" s="127" t="str">
        <f>IFERROR(IF(VLOOKUP(TableHandbook[[#This Row],[UDC]],TableAvailabilities[],3,FALSE)&gt;0,"Y",""),"")</f>
        <v/>
      </c>
      <c r="I226" s="127" t="str">
        <f>IFERROR(IF(VLOOKUP(TableHandbook[[#This Row],[UDC]],TableAvailabilities[],4,FALSE)&gt;0,"Y",""),"")</f>
        <v/>
      </c>
      <c r="J226" s="128" t="str">
        <f>IFERROR(IF(VLOOKUP(TableHandbook[[#This Row],[UDC]],TableAvailabilities[],5,FALSE)&gt;0,"Y",""),"")</f>
        <v>Y</v>
      </c>
      <c r="K226" s="128" t="str">
        <f>IFERROR(IF(VLOOKUP(TableHandbook[[#This Row],[UDC]],TableAvailabilities[],6,FALSE)&gt;0,"Y",""),"")</f>
        <v>Y</v>
      </c>
      <c r="L226" s="127" t="str">
        <f>IFERROR(IF(VLOOKUP(TableHandbook[[#This Row],[UDC]],TableAvailabilities[],7,FALSE)&gt;0,"Y",""),"")</f>
        <v/>
      </c>
      <c r="M226" s="251"/>
      <c r="N226" s="200" t="str">
        <f>IFERROR(VLOOKUP(TableHandbook[[#This Row],[UDC]],TableBEDUC[],7,FALSE),"")</f>
        <v/>
      </c>
      <c r="O226" s="200" t="str">
        <f>IFERROR(VLOOKUP(TableHandbook[[#This Row],[UDC]],TableBEDEC[],7,FALSE),"")</f>
        <v/>
      </c>
      <c r="P226" s="200" t="str">
        <f>IFERROR(VLOOKUP(TableHandbook[[#This Row],[UDC]],TableBEDPR[],7,FALSE),"")</f>
        <v/>
      </c>
      <c r="Q226" s="200" t="str">
        <f>IFERROR(VLOOKUP(TableHandbook[[#This Row],[UDC]],TableSTRUCATHL[],7,FALSE),"")</f>
        <v/>
      </c>
      <c r="R226" s="200" t="str">
        <f>IFERROR(VLOOKUP(TableHandbook[[#This Row],[UDC]],TableSTRUENGLL[],7,FALSE),"")</f>
        <v/>
      </c>
      <c r="S226" s="200" t="str">
        <f>IFERROR(VLOOKUP(TableHandbook[[#This Row],[UDC]],TableSTRUINTBC[],7,FALSE),"")</f>
        <v/>
      </c>
      <c r="T226" s="200" t="str">
        <f>IFERROR(VLOOKUP(TableHandbook[[#This Row],[UDC]],TableSTRUISTEM[],7,FALSE),"")</f>
        <v/>
      </c>
      <c r="U226" s="200" t="str">
        <f>IFERROR(VLOOKUP(TableHandbook[[#This Row],[UDC]],TableSTRULITNU[],7,FALSE),"")</f>
        <v/>
      </c>
      <c r="V226" s="200" t="str">
        <f>IFERROR(VLOOKUP(TableHandbook[[#This Row],[UDC]],TableSTRUTECHS[],7,FALSE),"")</f>
        <v/>
      </c>
      <c r="W226" s="200" t="str">
        <f>IFERROR(VLOOKUP(TableHandbook[[#This Row],[UDC]],TableBEDSC[],7,FALSE),"")</f>
        <v/>
      </c>
      <c r="X226" s="200" t="str">
        <f>IFERROR(VLOOKUP(TableHandbook[[#This Row],[UDC]],TableMJRUARTDR[],7,FALSE),"")</f>
        <v/>
      </c>
      <c r="Y226" s="200" t="str">
        <f>IFERROR(VLOOKUP(TableHandbook[[#This Row],[UDC]],TableMJRUARTME[],7,FALSE),"")</f>
        <v/>
      </c>
      <c r="Z226" s="200" t="str">
        <f>IFERROR(VLOOKUP(TableHandbook[[#This Row],[UDC]],TableMJRUARTVA[],7,FALSE),"")</f>
        <v/>
      </c>
      <c r="AA226" s="200" t="str">
        <f>IFERROR(VLOOKUP(TableHandbook[[#This Row],[UDC]],TableMJRUENGLT[],7,FALSE),"")</f>
        <v/>
      </c>
      <c r="AB226" s="200" t="str">
        <f>IFERROR(VLOOKUP(TableHandbook[[#This Row],[UDC]],TableMJRUHLTPE[],7,FALSE),"")</f>
        <v/>
      </c>
      <c r="AC226" s="200" t="str">
        <f>IFERROR(VLOOKUP(TableHandbook[[#This Row],[UDC]],TableMJRUHUSEC[],7,FALSE),"")</f>
        <v/>
      </c>
      <c r="AD226" s="200" t="str">
        <f>IFERROR(VLOOKUP(TableHandbook[[#This Row],[UDC]],TableMJRUHUSGE[],7,FALSE),"")</f>
        <v/>
      </c>
      <c r="AE226" s="200" t="str">
        <f>IFERROR(VLOOKUP(TableHandbook[[#This Row],[UDC]],TableMJRUHUSHI[],7,FALSE),"")</f>
        <v/>
      </c>
      <c r="AF226" s="200" t="str">
        <f>IFERROR(VLOOKUP(TableHandbook[[#This Row],[UDC]],TableMJRUHUSPL[],7,FALSE),"")</f>
        <v/>
      </c>
      <c r="AG226" s="200" t="str">
        <f>IFERROR(VLOOKUP(TableHandbook[[#This Row],[UDC]],TableMJRUMATHT[],7,FALSE),"")</f>
        <v/>
      </c>
      <c r="AH226" s="200" t="str">
        <f>IFERROR(VLOOKUP(TableHandbook[[#This Row],[UDC]],TableMJRUSCIBI[],7,FALSE),"")</f>
        <v/>
      </c>
      <c r="AI226" s="200" t="str">
        <f>IFERROR(VLOOKUP(TableHandbook[[#This Row],[UDC]],TableMJRUSCICH[],7,FALSE),"")</f>
        <v/>
      </c>
      <c r="AJ226" s="200" t="str">
        <f>IFERROR(VLOOKUP(TableHandbook[[#This Row],[UDC]],TableMJRUSCIHB[],7,FALSE),"")</f>
        <v/>
      </c>
      <c r="AK226" s="200" t="str">
        <f>IFERROR(VLOOKUP(TableHandbook[[#This Row],[UDC]],TableMJRUSCIPH[],7,FALSE),"")</f>
        <v/>
      </c>
      <c r="AL226" s="200" t="str">
        <f>IFERROR(VLOOKUP(TableHandbook[[#This Row],[UDC]],TableMJRUSCIPS[],7,FALSE),"")</f>
        <v>Core</v>
      </c>
      <c r="AM226" s="202"/>
      <c r="AN226" s="200" t="str">
        <f>IFERROR(VLOOKUP(TableHandbook[[#This Row],[UDC]],TableSTRUBIOLB[],7,FALSE),"")</f>
        <v/>
      </c>
      <c r="AO226" s="200" t="str">
        <f>IFERROR(VLOOKUP(TableHandbook[[#This Row],[UDC]],TableSTRUBSCIM[],7,FALSE),"")</f>
        <v/>
      </c>
      <c r="AP226" s="200" t="str">
        <f>IFERROR(VLOOKUP(TableHandbook[[#This Row],[UDC]],TableSTRUCHEMB[],7,FALSE),"")</f>
        <v/>
      </c>
      <c r="AQ226" s="200" t="str">
        <f>IFERROR(VLOOKUP(TableHandbook[[#This Row],[UDC]],TableSTRUECOB1[],7,FALSE),"")</f>
        <v/>
      </c>
      <c r="AR226" s="200" t="str">
        <f>IFERROR(VLOOKUP(TableHandbook[[#This Row],[UDC]],TableSTRUEDART[],7,FALSE),"")</f>
        <v/>
      </c>
      <c r="AS226" s="200" t="str">
        <f>IFERROR(VLOOKUP(TableHandbook[[#This Row],[UDC]],TableSTRUEDENG[],7,FALSE),"")</f>
        <v/>
      </c>
      <c r="AT226" s="200" t="str">
        <f>IFERROR(VLOOKUP(TableHandbook[[#This Row],[UDC]],TableSTRUEDHAS[],7,FALSE),"")</f>
        <v/>
      </c>
      <c r="AU226" s="200" t="str">
        <f>IFERROR(VLOOKUP(TableHandbook[[#This Row],[UDC]],TableSTRUEDMAT[],7,FALSE),"")</f>
        <v/>
      </c>
      <c r="AV226" s="200" t="str">
        <f>IFERROR(VLOOKUP(TableHandbook[[#This Row],[UDC]],TableSTRUEDSCI[],7,FALSE),"")</f>
        <v/>
      </c>
      <c r="AW226" s="200" t="str">
        <f>IFERROR(VLOOKUP(TableHandbook[[#This Row],[UDC]],TableSTRUENGLB[],7,FALSE),"")</f>
        <v/>
      </c>
      <c r="AX226" s="200" t="str">
        <f>IFERROR(VLOOKUP(TableHandbook[[#This Row],[UDC]],TableSTRUENGLM[],7,FALSE),"")</f>
        <v/>
      </c>
      <c r="AY226" s="200" t="str">
        <f>IFERROR(VLOOKUP(TableHandbook[[#This Row],[UDC]],TableSTRUGEOB1[],7,FALSE),"")</f>
        <v/>
      </c>
      <c r="AZ226" s="200" t="str">
        <f>IFERROR(VLOOKUP(TableHandbook[[#This Row],[UDC]],TableSTRUHISB1[],7,FALSE),"")</f>
        <v/>
      </c>
      <c r="BA226" s="200" t="str">
        <f>IFERROR(VLOOKUP(TableHandbook[[#This Row],[UDC]],TableSTRUHUMAM[],7,FALSE),"")</f>
        <v/>
      </c>
      <c r="BB226" s="200" t="str">
        <f>IFERROR(VLOOKUP(TableHandbook[[#This Row],[UDC]],TableSTRUHUMBB[],7,FALSE),"")</f>
        <v/>
      </c>
      <c r="BC226" s="200" t="str">
        <f>IFERROR(VLOOKUP(TableHandbook[[#This Row],[UDC]],TableSTRUMATHB[],7,FALSE),"")</f>
        <v/>
      </c>
      <c r="BD226" s="200" t="str">
        <f>IFERROR(VLOOKUP(TableHandbook[[#This Row],[UDC]],TableSTRUMATHM[],7,FALSE),"")</f>
        <v/>
      </c>
      <c r="BE226" s="200" t="str">
        <f>IFERROR(VLOOKUP(TableHandbook[[#This Row],[UDC]],TableSTRUPARTB[],7,FALSE),"")</f>
        <v/>
      </c>
      <c r="BF226" s="200" t="str">
        <f>IFERROR(VLOOKUP(TableHandbook[[#This Row],[UDC]],TableSTRUPARTM[],7,FALSE),"")</f>
        <v/>
      </c>
      <c r="BG226" s="200" t="str">
        <f>IFERROR(VLOOKUP(TableHandbook[[#This Row],[UDC]],TableSTRUPOLB1[],7,FALSE),"")</f>
        <v/>
      </c>
      <c r="BH226" s="200" t="str">
        <f>IFERROR(VLOOKUP(TableHandbook[[#This Row],[UDC]],TableSTRUPSCIM[],7,FALSE),"")</f>
        <v/>
      </c>
      <c r="BI226" s="200" t="str">
        <f>IFERROR(VLOOKUP(TableHandbook[[#This Row],[UDC]],TableSTRUPSYCB[],7,FALSE),"")</f>
        <v/>
      </c>
      <c r="BJ226" s="200" t="str">
        <f>IFERROR(VLOOKUP(TableHandbook[[#This Row],[UDC]],TableSTRUPSYCM[],7,FALSE),"")</f>
        <v/>
      </c>
      <c r="BK226" s="200" t="str">
        <f>IFERROR(VLOOKUP(TableHandbook[[#This Row],[UDC]],TableSTRUSOSCM[],7,FALSE),"")</f>
        <v/>
      </c>
      <c r="BL226" s="200" t="str">
        <f>IFERROR(VLOOKUP(TableHandbook[[#This Row],[UDC]],TableSTRUVARTB[],7,FALSE),"")</f>
        <v/>
      </c>
      <c r="BM226" s="200" t="str">
        <f>IFERROR(VLOOKUP(TableHandbook[[#This Row],[UDC]],TableSTRUVARTM[],7,FALSE),"")</f>
        <v/>
      </c>
    </row>
    <row r="227" spans="1:65" x14ac:dyDescent="0.25">
      <c r="A227" s="262" t="s">
        <v>392</v>
      </c>
      <c r="B227" s="12">
        <v>3</v>
      </c>
      <c r="C227" s="11"/>
      <c r="D227" s="11" t="s">
        <v>805</v>
      </c>
      <c r="E227" s="12">
        <v>25</v>
      </c>
      <c r="F227" s="131" t="s">
        <v>90</v>
      </c>
      <c r="G227" s="126" t="str">
        <f>IFERROR(IF(VLOOKUP(TableHandbook[[#This Row],[UDC]],TableAvailabilities[],2,FALSE)&gt;0,"Y",""),"")</f>
        <v>Y</v>
      </c>
      <c r="H227" s="127" t="str">
        <f>IFERROR(IF(VLOOKUP(TableHandbook[[#This Row],[UDC]],TableAvailabilities[],3,FALSE)&gt;0,"Y",""),"")</f>
        <v/>
      </c>
      <c r="I227" s="127" t="str">
        <f>IFERROR(IF(VLOOKUP(TableHandbook[[#This Row],[UDC]],TableAvailabilities[],4,FALSE)&gt;0,"Y",""),"")</f>
        <v/>
      </c>
      <c r="J227" s="128" t="str">
        <f>IFERROR(IF(VLOOKUP(TableHandbook[[#This Row],[UDC]],TableAvailabilities[],5,FALSE)&gt;0,"Y",""),"")</f>
        <v/>
      </c>
      <c r="K227" s="128" t="str">
        <f>IFERROR(IF(VLOOKUP(TableHandbook[[#This Row],[UDC]],TableAvailabilities[],6,FALSE)&gt;0,"Y",""),"")</f>
        <v/>
      </c>
      <c r="L227" s="127" t="str">
        <f>IFERROR(IF(VLOOKUP(TableHandbook[[#This Row],[UDC]],TableAvailabilities[],7,FALSE)&gt;0,"Y",""),"")</f>
        <v/>
      </c>
      <c r="M227" s="251"/>
      <c r="N227" s="200" t="str">
        <f>IFERROR(VLOOKUP(TableHandbook[[#This Row],[UDC]],TableBEDUC[],7,FALSE),"")</f>
        <v/>
      </c>
      <c r="O227" s="200" t="str">
        <f>IFERROR(VLOOKUP(TableHandbook[[#This Row],[UDC]],TableBEDEC[],7,FALSE),"")</f>
        <v/>
      </c>
      <c r="P227" s="200" t="str">
        <f>IFERROR(VLOOKUP(TableHandbook[[#This Row],[UDC]],TableBEDPR[],7,FALSE),"")</f>
        <v/>
      </c>
      <c r="Q227" s="200" t="str">
        <f>IFERROR(VLOOKUP(TableHandbook[[#This Row],[UDC]],TableSTRUCATHL[],7,FALSE),"")</f>
        <v/>
      </c>
      <c r="R227" s="200" t="str">
        <f>IFERROR(VLOOKUP(TableHandbook[[#This Row],[UDC]],TableSTRUENGLL[],7,FALSE),"")</f>
        <v/>
      </c>
      <c r="S227" s="200" t="str">
        <f>IFERROR(VLOOKUP(TableHandbook[[#This Row],[UDC]],TableSTRUINTBC[],7,FALSE),"")</f>
        <v/>
      </c>
      <c r="T227" s="200" t="str">
        <f>IFERROR(VLOOKUP(TableHandbook[[#This Row],[UDC]],TableSTRUISTEM[],7,FALSE),"")</f>
        <v/>
      </c>
      <c r="U227" s="200" t="str">
        <f>IFERROR(VLOOKUP(TableHandbook[[#This Row],[UDC]],TableSTRULITNU[],7,FALSE),"")</f>
        <v/>
      </c>
      <c r="V227" s="200" t="str">
        <f>IFERROR(VLOOKUP(TableHandbook[[#This Row],[UDC]],TableSTRUTECHS[],7,FALSE),"")</f>
        <v/>
      </c>
      <c r="W227" s="200" t="str">
        <f>IFERROR(VLOOKUP(TableHandbook[[#This Row],[UDC]],TableBEDSC[],7,FALSE),"")</f>
        <v/>
      </c>
      <c r="X227" s="200" t="str">
        <f>IFERROR(VLOOKUP(TableHandbook[[#This Row],[UDC]],TableMJRUARTDR[],7,FALSE),"")</f>
        <v/>
      </c>
      <c r="Y227" s="200" t="str">
        <f>IFERROR(VLOOKUP(TableHandbook[[#This Row],[UDC]],TableMJRUARTME[],7,FALSE),"")</f>
        <v/>
      </c>
      <c r="Z227" s="200" t="str">
        <f>IFERROR(VLOOKUP(TableHandbook[[#This Row],[UDC]],TableMJRUARTVA[],7,FALSE),"")</f>
        <v/>
      </c>
      <c r="AA227" s="200" t="str">
        <f>IFERROR(VLOOKUP(TableHandbook[[#This Row],[UDC]],TableMJRUENGLT[],7,FALSE),"")</f>
        <v/>
      </c>
      <c r="AB227" s="200" t="str">
        <f>IFERROR(VLOOKUP(TableHandbook[[#This Row],[UDC]],TableMJRUHLTPE[],7,FALSE),"")</f>
        <v>Core</v>
      </c>
      <c r="AC227" s="200" t="str">
        <f>IFERROR(VLOOKUP(TableHandbook[[#This Row],[UDC]],TableMJRUHUSEC[],7,FALSE),"")</f>
        <v/>
      </c>
      <c r="AD227" s="200" t="str">
        <f>IFERROR(VLOOKUP(TableHandbook[[#This Row],[UDC]],TableMJRUHUSGE[],7,FALSE),"")</f>
        <v/>
      </c>
      <c r="AE227" s="200" t="str">
        <f>IFERROR(VLOOKUP(TableHandbook[[#This Row],[UDC]],TableMJRUHUSHI[],7,FALSE),"")</f>
        <v/>
      </c>
      <c r="AF227" s="200" t="str">
        <f>IFERROR(VLOOKUP(TableHandbook[[#This Row],[UDC]],TableMJRUHUSPL[],7,FALSE),"")</f>
        <v/>
      </c>
      <c r="AG227" s="200" t="str">
        <f>IFERROR(VLOOKUP(TableHandbook[[#This Row],[UDC]],TableMJRUMATHT[],7,FALSE),"")</f>
        <v/>
      </c>
      <c r="AH227" s="200" t="str">
        <f>IFERROR(VLOOKUP(TableHandbook[[#This Row],[UDC]],TableMJRUSCIBI[],7,FALSE),"")</f>
        <v/>
      </c>
      <c r="AI227" s="200" t="str">
        <f>IFERROR(VLOOKUP(TableHandbook[[#This Row],[UDC]],TableMJRUSCICH[],7,FALSE),"")</f>
        <v/>
      </c>
      <c r="AJ227" s="200" t="str">
        <f>IFERROR(VLOOKUP(TableHandbook[[#This Row],[UDC]],TableMJRUSCIHB[],7,FALSE),"")</f>
        <v/>
      </c>
      <c r="AK227" s="200" t="str">
        <f>IFERROR(VLOOKUP(TableHandbook[[#This Row],[UDC]],TableMJRUSCIPH[],7,FALSE),"")</f>
        <v/>
      </c>
      <c r="AL227" s="200" t="str">
        <f>IFERROR(VLOOKUP(TableHandbook[[#This Row],[UDC]],TableMJRUSCIPS[],7,FALSE),"")</f>
        <v/>
      </c>
      <c r="AM227" s="202"/>
      <c r="AN227" s="200" t="str">
        <f>IFERROR(VLOOKUP(TableHandbook[[#This Row],[UDC]],TableSTRUBIOLB[],7,FALSE),"")</f>
        <v/>
      </c>
      <c r="AO227" s="200" t="str">
        <f>IFERROR(VLOOKUP(TableHandbook[[#This Row],[UDC]],TableSTRUBSCIM[],7,FALSE),"")</f>
        <v/>
      </c>
      <c r="AP227" s="200" t="str">
        <f>IFERROR(VLOOKUP(TableHandbook[[#This Row],[UDC]],TableSTRUCHEMB[],7,FALSE),"")</f>
        <v/>
      </c>
      <c r="AQ227" s="200" t="str">
        <f>IFERROR(VLOOKUP(TableHandbook[[#This Row],[UDC]],TableSTRUECOB1[],7,FALSE),"")</f>
        <v/>
      </c>
      <c r="AR227" s="200" t="str">
        <f>IFERROR(VLOOKUP(TableHandbook[[#This Row],[UDC]],TableSTRUEDART[],7,FALSE),"")</f>
        <v/>
      </c>
      <c r="AS227" s="200" t="str">
        <f>IFERROR(VLOOKUP(TableHandbook[[#This Row],[UDC]],TableSTRUEDENG[],7,FALSE),"")</f>
        <v/>
      </c>
      <c r="AT227" s="200" t="str">
        <f>IFERROR(VLOOKUP(TableHandbook[[#This Row],[UDC]],TableSTRUEDHAS[],7,FALSE),"")</f>
        <v/>
      </c>
      <c r="AU227" s="200" t="str">
        <f>IFERROR(VLOOKUP(TableHandbook[[#This Row],[UDC]],TableSTRUEDMAT[],7,FALSE),"")</f>
        <v/>
      </c>
      <c r="AV227" s="200" t="str">
        <f>IFERROR(VLOOKUP(TableHandbook[[#This Row],[UDC]],TableSTRUEDSCI[],7,FALSE),"")</f>
        <v/>
      </c>
      <c r="AW227" s="200" t="str">
        <f>IFERROR(VLOOKUP(TableHandbook[[#This Row],[UDC]],TableSTRUENGLB[],7,FALSE),"")</f>
        <v/>
      </c>
      <c r="AX227" s="200" t="str">
        <f>IFERROR(VLOOKUP(TableHandbook[[#This Row],[UDC]],TableSTRUENGLM[],7,FALSE),"")</f>
        <v/>
      </c>
      <c r="AY227" s="200" t="str">
        <f>IFERROR(VLOOKUP(TableHandbook[[#This Row],[UDC]],TableSTRUGEOB1[],7,FALSE),"")</f>
        <v/>
      </c>
      <c r="AZ227" s="200" t="str">
        <f>IFERROR(VLOOKUP(TableHandbook[[#This Row],[UDC]],TableSTRUHISB1[],7,FALSE),"")</f>
        <v/>
      </c>
      <c r="BA227" s="200" t="str">
        <f>IFERROR(VLOOKUP(TableHandbook[[#This Row],[UDC]],TableSTRUHUMAM[],7,FALSE),"")</f>
        <v/>
      </c>
      <c r="BB227" s="200" t="str">
        <f>IFERROR(VLOOKUP(TableHandbook[[#This Row],[UDC]],TableSTRUHUMBB[],7,FALSE),"")</f>
        <v/>
      </c>
      <c r="BC227" s="200" t="str">
        <f>IFERROR(VLOOKUP(TableHandbook[[#This Row],[UDC]],TableSTRUMATHB[],7,FALSE),"")</f>
        <v/>
      </c>
      <c r="BD227" s="200" t="str">
        <f>IFERROR(VLOOKUP(TableHandbook[[#This Row],[UDC]],TableSTRUMATHM[],7,FALSE),"")</f>
        <v/>
      </c>
      <c r="BE227" s="200" t="str">
        <f>IFERROR(VLOOKUP(TableHandbook[[#This Row],[UDC]],TableSTRUPARTB[],7,FALSE),"")</f>
        <v/>
      </c>
      <c r="BF227" s="200" t="str">
        <f>IFERROR(VLOOKUP(TableHandbook[[#This Row],[UDC]],TableSTRUPARTM[],7,FALSE),"")</f>
        <v/>
      </c>
      <c r="BG227" s="200" t="str">
        <f>IFERROR(VLOOKUP(TableHandbook[[#This Row],[UDC]],TableSTRUPOLB1[],7,FALSE),"")</f>
        <v/>
      </c>
      <c r="BH227" s="200" t="str">
        <f>IFERROR(VLOOKUP(TableHandbook[[#This Row],[UDC]],TableSTRUPSCIM[],7,FALSE),"")</f>
        <v/>
      </c>
      <c r="BI227" s="200" t="str">
        <f>IFERROR(VLOOKUP(TableHandbook[[#This Row],[UDC]],TableSTRUPSYCB[],7,FALSE),"")</f>
        <v/>
      </c>
      <c r="BJ227" s="200" t="str">
        <f>IFERROR(VLOOKUP(TableHandbook[[#This Row],[UDC]],TableSTRUPSYCM[],7,FALSE),"")</f>
        <v/>
      </c>
      <c r="BK227" s="200" t="str">
        <f>IFERROR(VLOOKUP(TableHandbook[[#This Row],[UDC]],TableSTRUSOSCM[],7,FALSE),"")</f>
        <v/>
      </c>
      <c r="BL227" s="200" t="str">
        <f>IFERROR(VLOOKUP(TableHandbook[[#This Row],[UDC]],TableSTRUVARTB[],7,FALSE),"")</f>
        <v/>
      </c>
      <c r="BM227" s="200" t="str">
        <f>IFERROR(VLOOKUP(TableHandbook[[#This Row],[UDC]],TableSTRUVARTM[],7,FALSE),"")</f>
        <v/>
      </c>
    </row>
    <row r="228" spans="1:65" x14ac:dyDescent="0.25">
      <c r="A228" s="262" t="s">
        <v>406</v>
      </c>
      <c r="B228" s="12">
        <v>1</v>
      </c>
      <c r="C228" s="11"/>
      <c r="D228" s="11" t="s">
        <v>806</v>
      </c>
      <c r="E228" s="12">
        <v>25</v>
      </c>
      <c r="F228" s="131" t="s">
        <v>807</v>
      </c>
      <c r="G228" s="126" t="str">
        <f>IFERROR(IF(VLOOKUP(TableHandbook[[#This Row],[UDC]],TableAvailabilities[],2,FALSE)&gt;0,"Y",""),"")</f>
        <v>Y</v>
      </c>
      <c r="H228" s="127" t="str">
        <f>IFERROR(IF(VLOOKUP(TableHandbook[[#This Row],[UDC]],TableAvailabilities[],3,FALSE)&gt;0,"Y",""),"")</f>
        <v>Y</v>
      </c>
      <c r="I228" s="127" t="str">
        <f>IFERROR(IF(VLOOKUP(TableHandbook[[#This Row],[UDC]],TableAvailabilities[],4,FALSE)&gt;0,"Y",""),"")</f>
        <v/>
      </c>
      <c r="J228" s="128" t="str">
        <f>IFERROR(IF(VLOOKUP(TableHandbook[[#This Row],[UDC]],TableAvailabilities[],5,FALSE)&gt;0,"Y",""),"")</f>
        <v/>
      </c>
      <c r="K228" s="128" t="str">
        <f>IFERROR(IF(VLOOKUP(TableHandbook[[#This Row],[UDC]],TableAvailabilities[],6,FALSE)&gt;0,"Y",""),"")</f>
        <v/>
      </c>
      <c r="L228" s="127" t="str">
        <f>IFERROR(IF(VLOOKUP(TableHandbook[[#This Row],[UDC]],TableAvailabilities[],7,FALSE)&gt;0,"Y",""),"")</f>
        <v/>
      </c>
      <c r="M228" s="251"/>
      <c r="N228" s="200" t="str">
        <f>IFERROR(VLOOKUP(TableHandbook[[#This Row],[UDC]],TableBEDUC[],7,FALSE),"")</f>
        <v/>
      </c>
      <c r="O228" s="200" t="str">
        <f>IFERROR(VLOOKUP(TableHandbook[[#This Row],[UDC]],TableBEDEC[],7,FALSE),"")</f>
        <v/>
      </c>
      <c r="P228" s="200" t="str">
        <f>IFERROR(VLOOKUP(TableHandbook[[#This Row],[UDC]],TableBEDPR[],7,FALSE),"")</f>
        <v/>
      </c>
      <c r="Q228" s="200" t="str">
        <f>IFERROR(VLOOKUP(TableHandbook[[#This Row],[UDC]],TableSTRUCATHL[],7,FALSE),"")</f>
        <v/>
      </c>
      <c r="R228" s="200" t="str">
        <f>IFERROR(VLOOKUP(TableHandbook[[#This Row],[UDC]],TableSTRUENGLL[],7,FALSE),"")</f>
        <v/>
      </c>
      <c r="S228" s="200" t="str">
        <f>IFERROR(VLOOKUP(TableHandbook[[#This Row],[UDC]],TableSTRUINTBC[],7,FALSE),"")</f>
        <v/>
      </c>
      <c r="T228" s="200" t="str">
        <f>IFERROR(VLOOKUP(TableHandbook[[#This Row],[UDC]],TableSTRUISTEM[],7,FALSE),"")</f>
        <v/>
      </c>
      <c r="U228" s="200" t="str">
        <f>IFERROR(VLOOKUP(TableHandbook[[#This Row],[UDC]],TableSTRULITNU[],7,FALSE),"")</f>
        <v/>
      </c>
      <c r="V228" s="200" t="str">
        <f>IFERROR(VLOOKUP(TableHandbook[[#This Row],[UDC]],TableSTRUTECHS[],7,FALSE),"")</f>
        <v/>
      </c>
      <c r="W228" s="200" t="str">
        <f>IFERROR(VLOOKUP(TableHandbook[[#This Row],[UDC]],TableBEDSC[],7,FALSE),"")</f>
        <v/>
      </c>
      <c r="X228" s="200" t="str">
        <f>IFERROR(VLOOKUP(TableHandbook[[#This Row],[UDC]],TableMJRUARTDR[],7,FALSE),"")</f>
        <v/>
      </c>
      <c r="Y228" s="200" t="str">
        <f>IFERROR(VLOOKUP(TableHandbook[[#This Row],[UDC]],TableMJRUARTME[],7,FALSE),"")</f>
        <v/>
      </c>
      <c r="Z228" s="200" t="str">
        <f>IFERROR(VLOOKUP(TableHandbook[[#This Row],[UDC]],TableMJRUARTVA[],7,FALSE),"")</f>
        <v/>
      </c>
      <c r="AA228" s="200" t="str">
        <f>IFERROR(VLOOKUP(TableHandbook[[#This Row],[UDC]],TableMJRUENGLT[],7,FALSE),"")</f>
        <v/>
      </c>
      <c r="AB228" s="200" t="str">
        <f>IFERROR(VLOOKUP(TableHandbook[[#This Row],[UDC]],TableMJRUHLTPE[],7,FALSE),"")</f>
        <v/>
      </c>
      <c r="AC228" s="200" t="str">
        <f>IFERROR(VLOOKUP(TableHandbook[[#This Row],[UDC]],TableMJRUHUSEC[],7,FALSE),"")</f>
        <v/>
      </c>
      <c r="AD228" s="200" t="str">
        <f>IFERROR(VLOOKUP(TableHandbook[[#This Row],[UDC]],TableMJRUHUSGE[],7,FALSE),"")</f>
        <v/>
      </c>
      <c r="AE228" s="200" t="str">
        <f>IFERROR(VLOOKUP(TableHandbook[[#This Row],[UDC]],TableMJRUHUSHI[],7,FALSE),"")</f>
        <v/>
      </c>
      <c r="AF228" s="200" t="str">
        <f>IFERROR(VLOOKUP(TableHandbook[[#This Row],[UDC]],TableMJRUHUSPL[],7,FALSE),"")</f>
        <v/>
      </c>
      <c r="AG228" s="200" t="str">
        <f>IFERROR(VLOOKUP(TableHandbook[[#This Row],[UDC]],TableMJRUMATHT[],7,FALSE),"")</f>
        <v/>
      </c>
      <c r="AH228" s="200" t="str">
        <f>IFERROR(VLOOKUP(TableHandbook[[#This Row],[UDC]],TableMJRUSCIBI[],7,FALSE),"")</f>
        <v/>
      </c>
      <c r="AI228" s="200" t="str">
        <f>IFERROR(VLOOKUP(TableHandbook[[#This Row],[UDC]],TableMJRUSCICH[],7,FALSE),"")</f>
        <v/>
      </c>
      <c r="AJ228" s="200" t="str">
        <f>IFERROR(VLOOKUP(TableHandbook[[#This Row],[UDC]],TableMJRUSCIHB[],7,FALSE),"")</f>
        <v/>
      </c>
      <c r="AK228" s="200" t="str">
        <f>IFERROR(VLOOKUP(TableHandbook[[#This Row],[UDC]],TableMJRUSCIPH[],7,FALSE),"")</f>
        <v/>
      </c>
      <c r="AL228" s="200" t="str">
        <f>IFERROR(VLOOKUP(TableHandbook[[#This Row],[UDC]],TableMJRUSCIPS[],7,FALSE),"")</f>
        <v>Core</v>
      </c>
      <c r="AM228" s="202"/>
      <c r="AN228" s="200" t="str">
        <f>IFERROR(VLOOKUP(TableHandbook[[#This Row],[UDC]],TableSTRUBIOLB[],7,FALSE),"")</f>
        <v/>
      </c>
      <c r="AO228" s="200" t="str">
        <f>IFERROR(VLOOKUP(TableHandbook[[#This Row],[UDC]],TableSTRUBSCIM[],7,FALSE),"")</f>
        <v/>
      </c>
      <c r="AP228" s="200" t="str">
        <f>IFERROR(VLOOKUP(TableHandbook[[#This Row],[UDC]],TableSTRUCHEMB[],7,FALSE),"")</f>
        <v/>
      </c>
      <c r="AQ228" s="200" t="str">
        <f>IFERROR(VLOOKUP(TableHandbook[[#This Row],[UDC]],TableSTRUECOB1[],7,FALSE),"")</f>
        <v/>
      </c>
      <c r="AR228" s="200" t="str">
        <f>IFERROR(VLOOKUP(TableHandbook[[#This Row],[UDC]],TableSTRUEDART[],7,FALSE),"")</f>
        <v/>
      </c>
      <c r="AS228" s="200" t="str">
        <f>IFERROR(VLOOKUP(TableHandbook[[#This Row],[UDC]],TableSTRUEDENG[],7,FALSE),"")</f>
        <v/>
      </c>
      <c r="AT228" s="200" t="str">
        <f>IFERROR(VLOOKUP(TableHandbook[[#This Row],[UDC]],TableSTRUEDHAS[],7,FALSE),"")</f>
        <v/>
      </c>
      <c r="AU228" s="200" t="str">
        <f>IFERROR(VLOOKUP(TableHandbook[[#This Row],[UDC]],TableSTRUEDMAT[],7,FALSE),"")</f>
        <v/>
      </c>
      <c r="AV228" s="200" t="str">
        <f>IFERROR(VLOOKUP(TableHandbook[[#This Row],[UDC]],TableSTRUEDSCI[],7,FALSE),"")</f>
        <v/>
      </c>
      <c r="AW228" s="200" t="str">
        <f>IFERROR(VLOOKUP(TableHandbook[[#This Row],[UDC]],TableSTRUENGLB[],7,FALSE),"")</f>
        <v/>
      </c>
      <c r="AX228" s="200" t="str">
        <f>IFERROR(VLOOKUP(TableHandbook[[#This Row],[UDC]],TableSTRUENGLM[],7,FALSE),"")</f>
        <v/>
      </c>
      <c r="AY228" s="200" t="str">
        <f>IFERROR(VLOOKUP(TableHandbook[[#This Row],[UDC]],TableSTRUGEOB1[],7,FALSE),"")</f>
        <v/>
      </c>
      <c r="AZ228" s="200" t="str">
        <f>IFERROR(VLOOKUP(TableHandbook[[#This Row],[UDC]],TableSTRUHISB1[],7,FALSE),"")</f>
        <v/>
      </c>
      <c r="BA228" s="200" t="str">
        <f>IFERROR(VLOOKUP(TableHandbook[[#This Row],[UDC]],TableSTRUHUMAM[],7,FALSE),"")</f>
        <v/>
      </c>
      <c r="BB228" s="200" t="str">
        <f>IFERROR(VLOOKUP(TableHandbook[[#This Row],[UDC]],TableSTRUHUMBB[],7,FALSE),"")</f>
        <v/>
      </c>
      <c r="BC228" s="200" t="str">
        <f>IFERROR(VLOOKUP(TableHandbook[[#This Row],[UDC]],TableSTRUMATHB[],7,FALSE),"")</f>
        <v/>
      </c>
      <c r="BD228" s="200" t="str">
        <f>IFERROR(VLOOKUP(TableHandbook[[#This Row],[UDC]],TableSTRUMATHM[],7,FALSE),"")</f>
        <v/>
      </c>
      <c r="BE228" s="200" t="str">
        <f>IFERROR(VLOOKUP(TableHandbook[[#This Row],[UDC]],TableSTRUPARTB[],7,FALSE),"")</f>
        <v/>
      </c>
      <c r="BF228" s="200" t="str">
        <f>IFERROR(VLOOKUP(TableHandbook[[#This Row],[UDC]],TableSTRUPARTM[],7,FALSE),"")</f>
        <v/>
      </c>
      <c r="BG228" s="200" t="str">
        <f>IFERROR(VLOOKUP(TableHandbook[[#This Row],[UDC]],TableSTRUPOLB1[],7,FALSE),"")</f>
        <v/>
      </c>
      <c r="BH228" s="200" t="str">
        <f>IFERROR(VLOOKUP(TableHandbook[[#This Row],[UDC]],TableSTRUPSCIM[],7,FALSE),"")</f>
        <v/>
      </c>
      <c r="BI228" s="200" t="str">
        <f>IFERROR(VLOOKUP(TableHandbook[[#This Row],[UDC]],TableSTRUPSYCB[],7,FALSE),"")</f>
        <v/>
      </c>
      <c r="BJ228" s="200" t="str">
        <f>IFERROR(VLOOKUP(TableHandbook[[#This Row],[UDC]],TableSTRUPSYCM[],7,FALSE),"")</f>
        <v/>
      </c>
      <c r="BK228" s="200" t="str">
        <f>IFERROR(VLOOKUP(TableHandbook[[#This Row],[UDC]],TableSTRUSOSCM[],7,FALSE),"")</f>
        <v/>
      </c>
      <c r="BL228" s="200" t="str">
        <f>IFERROR(VLOOKUP(TableHandbook[[#This Row],[UDC]],TableSTRUVARTB[],7,FALSE),"")</f>
        <v/>
      </c>
      <c r="BM228" s="200" t="str">
        <f>IFERROR(VLOOKUP(TableHandbook[[#This Row],[UDC]],TableSTRUVARTM[],7,FALSE),"")</f>
        <v/>
      </c>
    </row>
    <row r="229" spans="1:65" x14ac:dyDescent="0.25">
      <c r="A229" s="262" t="s">
        <v>473</v>
      </c>
      <c r="B229" s="12">
        <v>1</v>
      </c>
      <c r="C229" s="11"/>
      <c r="D229" s="11" t="s">
        <v>808</v>
      </c>
      <c r="E229" s="12">
        <v>25</v>
      </c>
      <c r="F229" s="131" t="s">
        <v>544</v>
      </c>
      <c r="G229" s="126" t="str">
        <f>IFERROR(IF(VLOOKUP(TableHandbook[[#This Row],[UDC]],TableAvailabilities[],2,FALSE)&gt;0,"Y",""),"")</f>
        <v>Y</v>
      </c>
      <c r="H229" s="127" t="str">
        <f>IFERROR(IF(VLOOKUP(TableHandbook[[#This Row],[UDC]],TableAvailabilities[],3,FALSE)&gt;0,"Y",""),"")</f>
        <v>Y</v>
      </c>
      <c r="I229" s="127" t="str">
        <f>IFERROR(IF(VLOOKUP(TableHandbook[[#This Row],[UDC]],TableAvailabilities[],4,FALSE)&gt;0,"Y",""),"")</f>
        <v/>
      </c>
      <c r="J229" s="128" t="str">
        <f>IFERROR(IF(VLOOKUP(TableHandbook[[#This Row],[UDC]],TableAvailabilities[],5,FALSE)&gt;0,"Y",""),"")</f>
        <v>Y</v>
      </c>
      <c r="K229" s="128" t="str">
        <f>IFERROR(IF(VLOOKUP(TableHandbook[[#This Row],[UDC]],TableAvailabilities[],6,FALSE)&gt;0,"Y",""),"")</f>
        <v>Y</v>
      </c>
      <c r="L229" s="127" t="str">
        <f>IFERROR(IF(VLOOKUP(TableHandbook[[#This Row],[UDC]],TableAvailabilities[],7,FALSE)&gt;0,"Y",""),"")</f>
        <v/>
      </c>
      <c r="M229" s="251"/>
      <c r="N229" s="200" t="str">
        <f>IFERROR(VLOOKUP(TableHandbook[[#This Row],[UDC]],TableBEDUC[],7,FALSE),"")</f>
        <v/>
      </c>
      <c r="O229" s="200" t="str">
        <f>IFERROR(VLOOKUP(TableHandbook[[#This Row],[UDC]],TableBEDEC[],7,FALSE),"")</f>
        <v/>
      </c>
      <c r="P229" s="200" t="str">
        <f>IFERROR(VLOOKUP(TableHandbook[[#This Row],[UDC]],TableBEDPR[],7,FALSE),"")</f>
        <v/>
      </c>
      <c r="Q229" s="200" t="str">
        <f>IFERROR(VLOOKUP(TableHandbook[[#This Row],[UDC]],TableSTRUCATHL[],7,FALSE),"")</f>
        <v/>
      </c>
      <c r="R229" s="200" t="str">
        <f>IFERROR(VLOOKUP(TableHandbook[[#This Row],[UDC]],TableSTRUENGLL[],7,FALSE),"")</f>
        <v/>
      </c>
      <c r="S229" s="200" t="str">
        <f>IFERROR(VLOOKUP(TableHandbook[[#This Row],[UDC]],TableSTRUINTBC[],7,FALSE),"")</f>
        <v/>
      </c>
      <c r="T229" s="200" t="str">
        <f>IFERROR(VLOOKUP(TableHandbook[[#This Row],[UDC]],TableSTRUISTEM[],7,FALSE),"")</f>
        <v/>
      </c>
      <c r="U229" s="200" t="str">
        <f>IFERROR(VLOOKUP(TableHandbook[[#This Row],[UDC]],TableSTRULITNU[],7,FALSE),"")</f>
        <v/>
      </c>
      <c r="V229" s="200" t="str">
        <f>IFERROR(VLOOKUP(TableHandbook[[#This Row],[UDC]],TableSTRUTECHS[],7,FALSE),"")</f>
        <v/>
      </c>
      <c r="W229" s="200" t="str">
        <f>IFERROR(VLOOKUP(TableHandbook[[#This Row],[UDC]],TableBEDSC[],7,FALSE),"")</f>
        <v/>
      </c>
      <c r="X229" s="200" t="str">
        <f>IFERROR(VLOOKUP(TableHandbook[[#This Row],[UDC]],TableMJRUARTDR[],7,FALSE),"")</f>
        <v/>
      </c>
      <c r="Y229" s="200" t="str">
        <f>IFERROR(VLOOKUP(TableHandbook[[#This Row],[UDC]],TableMJRUARTME[],7,FALSE),"")</f>
        <v/>
      </c>
      <c r="Z229" s="200" t="str">
        <f>IFERROR(VLOOKUP(TableHandbook[[#This Row],[UDC]],TableMJRUARTVA[],7,FALSE),"")</f>
        <v/>
      </c>
      <c r="AA229" s="200" t="str">
        <f>IFERROR(VLOOKUP(TableHandbook[[#This Row],[UDC]],TableMJRUENGLT[],7,FALSE),"")</f>
        <v/>
      </c>
      <c r="AB229" s="200" t="str">
        <f>IFERROR(VLOOKUP(TableHandbook[[#This Row],[UDC]],TableMJRUHLTPE[],7,FALSE),"")</f>
        <v>Core</v>
      </c>
      <c r="AC229" s="200" t="str">
        <f>IFERROR(VLOOKUP(TableHandbook[[#This Row],[UDC]],TableMJRUHUSEC[],7,FALSE),"")</f>
        <v/>
      </c>
      <c r="AD229" s="200" t="str">
        <f>IFERROR(VLOOKUP(TableHandbook[[#This Row],[UDC]],TableMJRUHUSGE[],7,FALSE),"")</f>
        <v/>
      </c>
      <c r="AE229" s="200" t="str">
        <f>IFERROR(VLOOKUP(TableHandbook[[#This Row],[UDC]],TableMJRUHUSHI[],7,FALSE),"")</f>
        <v/>
      </c>
      <c r="AF229" s="200" t="str">
        <f>IFERROR(VLOOKUP(TableHandbook[[#This Row],[UDC]],TableMJRUHUSPL[],7,FALSE),"")</f>
        <v/>
      </c>
      <c r="AG229" s="200" t="str">
        <f>IFERROR(VLOOKUP(TableHandbook[[#This Row],[UDC]],TableMJRUMATHT[],7,FALSE),"")</f>
        <v/>
      </c>
      <c r="AH229" s="200" t="str">
        <f>IFERROR(VLOOKUP(TableHandbook[[#This Row],[UDC]],TableMJRUSCIBI[],7,FALSE),"")</f>
        <v/>
      </c>
      <c r="AI229" s="200" t="str">
        <f>IFERROR(VLOOKUP(TableHandbook[[#This Row],[UDC]],TableMJRUSCICH[],7,FALSE),"")</f>
        <v/>
      </c>
      <c r="AJ229" s="200" t="str">
        <f>IFERROR(VLOOKUP(TableHandbook[[#This Row],[UDC]],TableMJRUSCIHB[],7,FALSE),"")</f>
        <v/>
      </c>
      <c r="AK229" s="200" t="str">
        <f>IFERROR(VLOOKUP(TableHandbook[[#This Row],[UDC]],TableMJRUSCIPH[],7,FALSE),"")</f>
        <v/>
      </c>
      <c r="AL229" s="200" t="str">
        <f>IFERROR(VLOOKUP(TableHandbook[[#This Row],[UDC]],TableMJRUSCIPS[],7,FALSE),"")</f>
        <v/>
      </c>
      <c r="AM229" s="202"/>
      <c r="AN229" s="200" t="str">
        <f>IFERROR(VLOOKUP(TableHandbook[[#This Row],[UDC]],TableSTRUBIOLB[],7,FALSE),"")</f>
        <v/>
      </c>
      <c r="AO229" s="200" t="str">
        <f>IFERROR(VLOOKUP(TableHandbook[[#This Row],[UDC]],TableSTRUBSCIM[],7,FALSE),"")</f>
        <v/>
      </c>
      <c r="AP229" s="200" t="str">
        <f>IFERROR(VLOOKUP(TableHandbook[[#This Row],[UDC]],TableSTRUCHEMB[],7,FALSE),"")</f>
        <v/>
      </c>
      <c r="AQ229" s="200" t="str">
        <f>IFERROR(VLOOKUP(TableHandbook[[#This Row],[UDC]],TableSTRUECOB1[],7,FALSE),"")</f>
        <v/>
      </c>
      <c r="AR229" s="200" t="str">
        <f>IFERROR(VLOOKUP(TableHandbook[[#This Row],[UDC]],TableSTRUEDART[],7,FALSE),"")</f>
        <v/>
      </c>
      <c r="AS229" s="200" t="str">
        <f>IFERROR(VLOOKUP(TableHandbook[[#This Row],[UDC]],TableSTRUEDENG[],7,FALSE),"")</f>
        <v/>
      </c>
      <c r="AT229" s="200" t="str">
        <f>IFERROR(VLOOKUP(TableHandbook[[#This Row],[UDC]],TableSTRUEDHAS[],7,FALSE),"")</f>
        <v/>
      </c>
      <c r="AU229" s="200" t="str">
        <f>IFERROR(VLOOKUP(TableHandbook[[#This Row],[UDC]],TableSTRUEDMAT[],7,FALSE),"")</f>
        <v/>
      </c>
      <c r="AV229" s="200" t="str">
        <f>IFERROR(VLOOKUP(TableHandbook[[#This Row],[UDC]],TableSTRUEDSCI[],7,FALSE),"")</f>
        <v/>
      </c>
      <c r="AW229" s="200" t="str">
        <f>IFERROR(VLOOKUP(TableHandbook[[#This Row],[UDC]],TableSTRUENGLB[],7,FALSE),"")</f>
        <v/>
      </c>
      <c r="AX229" s="200" t="str">
        <f>IFERROR(VLOOKUP(TableHandbook[[#This Row],[UDC]],TableSTRUENGLM[],7,FALSE),"")</f>
        <v/>
      </c>
      <c r="AY229" s="200" t="str">
        <f>IFERROR(VLOOKUP(TableHandbook[[#This Row],[UDC]],TableSTRUGEOB1[],7,FALSE),"")</f>
        <v/>
      </c>
      <c r="AZ229" s="200" t="str">
        <f>IFERROR(VLOOKUP(TableHandbook[[#This Row],[UDC]],TableSTRUHISB1[],7,FALSE),"")</f>
        <v/>
      </c>
      <c r="BA229" s="200" t="str">
        <f>IFERROR(VLOOKUP(TableHandbook[[#This Row],[UDC]],TableSTRUHUMAM[],7,FALSE),"")</f>
        <v/>
      </c>
      <c r="BB229" s="200" t="str">
        <f>IFERROR(VLOOKUP(TableHandbook[[#This Row],[UDC]],TableSTRUHUMBB[],7,FALSE),"")</f>
        <v/>
      </c>
      <c r="BC229" s="200" t="str">
        <f>IFERROR(VLOOKUP(TableHandbook[[#This Row],[UDC]],TableSTRUMATHB[],7,FALSE),"")</f>
        <v/>
      </c>
      <c r="BD229" s="200" t="str">
        <f>IFERROR(VLOOKUP(TableHandbook[[#This Row],[UDC]],TableSTRUMATHM[],7,FALSE),"")</f>
        <v/>
      </c>
      <c r="BE229" s="200" t="str">
        <f>IFERROR(VLOOKUP(TableHandbook[[#This Row],[UDC]],TableSTRUPARTB[],7,FALSE),"")</f>
        <v/>
      </c>
      <c r="BF229" s="200" t="str">
        <f>IFERROR(VLOOKUP(TableHandbook[[#This Row],[UDC]],TableSTRUPARTM[],7,FALSE),"")</f>
        <v/>
      </c>
      <c r="BG229" s="200" t="str">
        <f>IFERROR(VLOOKUP(TableHandbook[[#This Row],[UDC]],TableSTRUPOLB1[],7,FALSE),"")</f>
        <v/>
      </c>
      <c r="BH229" s="200" t="str">
        <f>IFERROR(VLOOKUP(TableHandbook[[#This Row],[UDC]],TableSTRUPSCIM[],7,FALSE),"")</f>
        <v/>
      </c>
      <c r="BI229" s="200" t="str">
        <f>IFERROR(VLOOKUP(TableHandbook[[#This Row],[UDC]],TableSTRUPSYCB[],7,FALSE),"")</f>
        <v/>
      </c>
      <c r="BJ229" s="200" t="str">
        <f>IFERROR(VLOOKUP(TableHandbook[[#This Row],[UDC]],TableSTRUPSYCM[],7,FALSE),"")</f>
        <v/>
      </c>
      <c r="BK229" s="200" t="str">
        <f>IFERROR(VLOOKUP(TableHandbook[[#This Row],[UDC]],TableSTRUSOSCM[],7,FALSE),"")</f>
        <v/>
      </c>
      <c r="BL229" s="200" t="str">
        <f>IFERROR(VLOOKUP(TableHandbook[[#This Row],[UDC]],TableSTRUVARTB[],7,FALSE),"")</f>
        <v/>
      </c>
      <c r="BM229" s="200" t="str">
        <f>IFERROR(VLOOKUP(TableHandbook[[#This Row],[UDC]],TableSTRUVARTM[],7,FALSE),"")</f>
        <v/>
      </c>
    </row>
    <row r="230" spans="1:65" x14ac:dyDescent="0.25">
      <c r="A230" s="262" t="s">
        <v>487</v>
      </c>
      <c r="B230" s="12">
        <v>2</v>
      </c>
      <c r="C230" s="11"/>
      <c r="D230" s="11" t="s">
        <v>809</v>
      </c>
      <c r="E230" s="12">
        <v>25</v>
      </c>
      <c r="F230" s="131" t="s">
        <v>476</v>
      </c>
      <c r="G230" s="126" t="str">
        <f>IFERROR(IF(VLOOKUP(TableHandbook[[#This Row],[UDC]],TableAvailabilities[],2,FALSE)&gt;0,"Y",""),"")</f>
        <v/>
      </c>
      <c r="H230" s="127" t="str">
        <f>IFERROR(IF(VLOOKUP(TableHandbook[[#This Row],[UDC]],TableAvailabilities[],3,FALSE)&gt;0,"Y",""),"")</f>
        <v/>
      </c>
      <c r="I230" s="127" t="str">
        <f>IFERROR(IF(VLOOKUP(TableHandbook[[#This Row],[UDC]],TableAvailabilities[],4,FALSE)&gt;0,"Y",""),"")</f>
        <v/>
      </c>
      <c r="J230" s="128" t="str">
        <f>IFERROR(IF(VLOOKUP(TableHandbook[[#This Row],[UDC]],TableAvailabilities[],5,FALSE)&gt;0,"Y",""),"")</f>
        <v>Y</v>
      </c>
      <c r="K230" s="128" t="str">
        <f>IFERROR(IF(VLOOKUP(TableHandbook[[#This Row],[UDC]],TableAvailabilities[],6,FALSE)&gt;0,"Y",""),"")</f>
        <v/>
      </c>
      <c r="L230" s="127" t="str">
        <f>IFERROR(IF(VLOOKUP(TableHandbook[[#This Row],[UDC]],TableAvailabilities[],7,FALSE)&gt;0,"Y",""),"")</f>
        <v/>
      </c>
      <c r="M230" s="251"/>
      <c r="N230" s="200" t="str">
        <f>IFERROR(VLOOKUP(TableHandbook[[#This Row],[UDC]],TableBEDUC[],7,FALSE),"")</f>
        <v/>
      </c>
      <c r="O230" s="200" t="str">
        <f>IFERROR(VLOOKUP(TableHandbook[[#This Row],[UDC]],TableBEDEC[],7,FALSE),"")</f>
        <v/>
      </c>
      <c r="P230" s="200" t="str">
        <f>IFERROR(VLOOKUP(TableHandbook[[#This Row],[UDC]],TableBEDPR[],7,FALSE),"")</f>
        <v/>
      </c>
      <c r="Q230" s="200" t="str">
        <f>IFERROR(VLOOKUP(TableHandbook[[#This Row],[UDC]],TableSTRUCATHL[],7,FALSE),"")</f>
        <v/>
      </c>
      <c r="R230" s="200" t="str">
        <f>IFERROR(VLOOKUP(TableHandbook[[#This Row],[UDC]],TableSTRUENGLL[],7,FALSE),"")</f>
        <v/>
      </c>
      <c r="S230" s="200" t="str">
        <f>IFERROR(VLOOKUP(TableHandbook[[#This Row],[UDC]],TableSTRUINTBC[],7,FALSE),"")</f>
        <v/>
      </c>
      <c r="T230" s="200" t="str">
        <f>IFERROR(VLOOKUP(TableHandbook[[#This Row],[UDC]],TableSTRUISTEM[],7,FALSE),"")</f>
        <v/>
      </c>
      <c r="U230" s="200" t="str">
        <f>IFERROR(VLOOKUP(TableHandbook[[#This Row],[UDC]],TableSTRULITNU[],7,FALSE),"")</f>
        <v/>
      </c>
      <c r="V230" s="200" t="str">
        <f>IFERROR(VLOOKUP(TableHandbook[[#This Row],[UDC]],TableSTRUTECHS[],7,FALSE),"")</f>
        <v/>
      </c>
      <c r="W230" s="200" t="str">
        <f>IFERROR(VLOOKUP(TableHandbook[[#This Row],[UDC]],TableBEDSC[],7,FALSE),"")</f>
        <v/>
      </c>
      <c r="X230" s="200" t="str">
        <f>IFERROR(VLOOKUP(TableHandbook[[#This Row],[UDC]],TableMJRUARTDR[],7,FALSE),"")</f>
        <v/>
      </c>
      <c r="Y230" s="200" t="str">
        <f>IFERROR(VLOOKUP(TableHandbook[[#This Row],[UDC]],TableMJRUARTME[],7,FALSE),"")</f>
        <v/>
      </c>
      <c r="Z230" s="200" t="str">
        <f>IFERROR(VLOOKUP(TableHandbook[[#This Row],[UDC]],TableMJRUARTVA[],7,FALSE),"")</f>
        <v/>
      </c>
      <c r="AA230" s="200" t="str">
        <f>IFERROR(VLOOKUP(TableHandbook[[#This Row],[UDC]],TableMJRUENGLT[],7,FALSE),"")</f>
        <v/>
      </c>
      <c r="AB230" s="200" t="str">
        <f>IFERROR(VLOOKUP(TableHandbook[[#This Row],[UDC]],TableMJRUHLTPE[],7,FALSE),"")</f>
        <v>Core</v>
      </c>
      <c r="AC230" s="200" t="str">
        <f>IFERROR(VLOOKUP(TableHandbook[[#This Row],[UDC]],TableMJRUHUSEC[],7,FALSE),"")</f>
        <v/>
      </c>
      <c r="AD230" s="200" t="str">
        <f>IFERROR(VLOOKUP(TableHandbook[[#This Row],[UDC]],TableMJRUHUSGE[],7,FALSE),"")</f>
        <v/>
      </c>
      <c r="AE230" s="200" t="str">
        <f>IFERROR(VLOOKUP(TableHandbook[[#This Row],[UDC]],TableMJRUHUSHI[],7,FALSE),"")</f>
        <v/>
      </c>
      <c r="AF230" s="200" t="str">
        <f>IFERROR(VLOOKUP(TableHandbook[[#This Row],[UDC]],TableMJRUHUSPL[],7,FALSE),"")</f>
        <v/>
      </c>
      <c r="AG230" s="200" t="str">
        <f>IFERROR(VLOOKUP(TableHandbook[[#This Row],[UDC]],TableMJRUMATHT[],7,FALSE),"")</f>
        <v/>
      </c>
      <c r="AH230" s="200" t="str">
        <f>IFERROR(VLOOKUP(TableHandbook[[#This Row],[UDC]],TableMJRUSCIBI[],7,FALSE),"")</f>
        <v/>
      </c>
      <c r="AI230" s="200" t="str">
        <f>IFERROR(VLOOKUP(TableHandbook[[#This Row],[UDC]],TableMJRUSCICH[],7,FALSE),"")</f>
        <v/>
      </c>
      <c r="AJ230" s="200" t="str">
        <f>IFERROR(VLOOKUP(TableHandbook[[#This Row],[UDC]],TableMJRUSCIHB[],7,FALSE),"")</f>
        <v/>
      </c>
      <c r="AK230" s="200" t="str">
        <f>IFERROR(VLOOKUP(TableHandbook[[#This Row],[UDC]],TableMJRUSCIPH[],7,FALSE),"")</f>
        <v/>
      </c>
      <c r="AL230" s="200" t="str">
        <f>IFERROR(VLOOKUP(TableHandbook[[#This Row],[UDC]],TableMJRUSCIPS[],7,FALSE),"")</f>
        <v/>
      </c>
      <c r="AM230" s="202"/>
      <c r="AN230" s="200" t="str">
        <f>IFERROR(VLOOKUP(TableHandbook[[#This Row],[UDC]],TableSTRUBIOLB[],7,FALSE),"")</f>
        <v/>
      </c>
      <c r="AO230" s="200" t="str">
        <f>IFERROR(VLOOKUP(TableHandbook[[#This Row],[UDC]],TableSTRUBSCIM[],7,FALSE),"")</f>
        <v/>
      </c>
      <c r="AP230" s="200" t="str">
        <f>IFERROR(VLOOKUP(TableHandbook[[#This Row],[UDC]],TableSTRUCHEMB[],7,FALSE),"")</f>
        <v/>
      </c>
      <c r="AQ230" s="200" t="str">
        <f>IFERROR(VLOOKUP(TableHandbook[[#This Row],[UDC]],TableSTRUECOB1[],7,FALSE),"")</f>
        <v/>
      </c>
      <c r="AR230" s="200" t="str">
        <f>IFERROR(VLOOKUP(TableHandbook[[#This Row],[UDC]],TableSTRUEDART[],7,FALSE),"")</f>
        <v/>
      </c>
      <c r="AS230" s="200" t="str">
        <f>IFERROR(VLOOKUP(TableHandbook[[#This Row],[UDC]],TableSTRUEDENG[],7,FALSE),"")</f>
        <v/>
      </c>
      <c r="AT230" s="200" t="str">
        <f>IFERROR(VLOOKUP(TableHandbook[[#This Row],[UDC]],TableSTRUEDHAS[],7,FALSE),"")</f>
        <v/>
      </c>
      <c r="AU230" s="200" t="str">
        <f>IFERROR(VLOOKUP(TableHandbook[[#This Row],[UDC]],TableSTRUEDMAT[],7,FALSE),"")</f>
        <v/>
      </c>
      <c r="AV230" s="200" t="str">
        <f>IFERROR(VLOOKUP(TableHandbook[[#This Row],[UDC]],TableSTRUEDSCI[],7,FALSE),"")</f>
        <v/>
      </c>
      <c r="AW230" s="200" t="str">
        <f>IFERROR(VLOOKUP(TableHandbook[[#This Row],[UDC]],TableSTRUENGLB[],7,FALSE),"")</f>
        <v/>
      </c>
      <c r="AX230" s="200" t="str">
        <f>IFERROR(VLOOKUP(TableHandbook[[#This Row],[UDC]],TableSTRUENGLM[],7,FALSE),"")</f>
        <v/>
      </c>
      <c r="AY230" s="200" t="str">
        <f>IFERROR(VLOOKUP(TableHandbook[[#This Row],[UDC]],TableSTRUGEOB1[],7,FALSE),"")</f>
        <v/>
      </c>
      <c r="AZ230" s="200" t="str">
        <f>IFERROR(VLOOKUP(TableHandbook[[#This Row],[UDC]],TableSTRUHISB1[],7,FALSE),"")</f>
        <v/>
      </c>
      <c r="BA230" s="200" t="str">
        <f>IFERROR(VLOOKUP(TableHandbook[[#This Row],[UDC]],TableSTRUHUMAM[],7,FALSE),"")</f>
        <v/>
      </c>
      <c r="BB230" s="200" t="str">
        <f>IFERROR(VLOOKUP(TableHandbook[[#This Row],[UDC]],TableSTRUHUMBB[],7,FALSE),"")</f>
        <v/>
      </c>
      <c r="BC230" s="200" t="str">
        <f>IFERROR(VLOOKUP(TableHandbook[[#This Row],[UDC]],TableSTRUMATHB[],7,FALSE),"")</f>
        <v/>
      </c>
      <c r="BD230" s="200" t="str">
        <f>IFERROR(VLOOKUP(TableHandbook[[#This Row],[UDC]],TableSTRUMATHM[],7,FALSE),"")</f>
        <v/>
      </c>
      <c r="BE230" s="200" t="str">
        <f>IFERROR(VLOOKUP(TableHandbook[[#This Row],[UDC]],TableSTRUPARTB[],7,FALSE),"")</f>
        <v/>
      </c>
      <c r="BF230" s="200" t="str">
        <f>IFERROR(VLOOKUP(TableHandbook[[#This Row],[UDC]],TableSTRUPARTM[],7,FALSE),"")</f>
        <v/>
      </c>
      <c r="BG230" s="200" t="str">
        <f>IFERROR(VLOOKUP(TableHandbook[[#This Row],[UDC]],TableSTRUPOLB1[],7,FALSE),"")</f>
        <v/>
      </c>
      <c r="BH230" s="200" t="str">
        <f>IFERROR(VLOOKUP(TableHandbook[[#This Row],[UDC]],TableSTRUPSCIM[],7,FALSE),"")</f>
        <v/>
      </c>
      <c r="BI230" s="200" t="str">
        <f>IFERROR(VLOOKUP(TableHandbook[[#This Row],[UDC]],TableSTRUPSYCB[],7,FALSE),"")</f>
        <v/>
      </c>
      <c r="BJ230" s="200" t="str">
        <f>IFERROR(VLOOKUP(TableHandbook[[#This Row],[UDC]],TableSTRUPSYCM[],7,FALSE),"")</f>
        <v/>
      </c>
      <c r="BK230" s="200" t="str">
        <f>IFERROR(VLOOKUP(TableHandbook[[#This Row],[UDC]],TableSTRUSOSCM[],7,FALSE),"")</f>
        <v/>
      </c>
      <c r="BL230" s="200" t="str">
        <f>IFERROR(VLOOKUP(TableHandbook[[#This Row],[UDC]],TableSTRUVARTB[],7,FALSE),"")</f>
        <v/>
      </c>
      <c r="BM230" s="200" t="str">
        <f>IFERROR(VLOOKUP(TableHandbook[[#This Row],[UDC]],TableSTRUVARTM[],7,FALSE),"")</f>
        <v/>
      </c>
    </row>
    <row r="231" spans="1:65" x14ac:dyDescent="0.25">
      <c r="A231" s="262" t="s">
        <v>346</v>
      </c>
      <c r="B231" s="12">
        <v>1</v>
      </c>
      <c r="C231" s="11"/>
      <c r="D231" s="11" t="s">
        <v>810</v>
      </c>
      <c r="E231" s="12">
        <v>25</v>
      </c>
      <c r="F231" s="131" t="s">
        <v>90</v>
      </c>
      <c r="G231" s="126" t="str">
        <f>IFERROR(IF(VLOOKUP(TableHandbook[[#This Row],[UDC]],TableAvailabilities[],2,FALSE)&gt;0,"Y",""),"")</f>
        <v/>
      </c>
      <c r="H231" s="127" t="str">
        <f>IFERROR(IF(VLOOKUP(TableHandbook[[#This Row],[UDC]],TableAvailabilities[],3,FALSE)&gt;0,"Y",""),"")</f>
        <v/>
      </c>
      <c r="I231" s="127" t="str">
        <f>IFERROR(IF(VLOOKUP(TableHandbook[[#This Row],[UDC]],TableAvailabilities[],4,FALSE)&gt;0,"Y",""),"")</f>
        <v/>
      </c>
      <c r="J231" s="128" t="str">
        <f>IFERROR(IF(VLOOKUP(TableHandbook[[#This Row],[UDC]],TableAvailabilities[],5,FALSE)&gt;0,"Y",""),"")</f>
        <v>Y</v>
      </c>
      <c r="K231" s="128" t="str">
        <f>IFERROR(IF(VLOOKUP(TableHandbook[[#This Row],[UDC]],TableAvailabilities[],6,FALSE)&gt;0,"Y",""),"")</f>
        <v/>
      </c>
      <c r="L231" s="127" t="str">
        <f>IFERROR(IF(VLOOKUP(TableHandbook[[#This Row],[UDC]],TableAvailabilities[],7,FALSE)&gt;0,"Y",""),"")</f>
        <v/>
      </c>
      <c r="M231" s="251"/>
      <c r="N231" s="200" t="str">
        <f>IFERROR(VLOOKUP(TableHandbook[[#This Row],[UDC]],TableBEDUC[],7,FALSE),"")</f>
        <v/>
      </c>
      <c r="O231" s="200" t="str">
        <f>IFERROR(VLOOKUP(TableHandbook[[#This Row],[UDC]],TableBEDEC[],7,FALSE),"")</f>
        <v/>
      </c>
      <c r="P231" s="200" t="str">
        <f>IFERROR(VLOOKUP(TableHandbook[[#This Row],[UDC]],TableBEDPR[],7,FALSE),"")</f>
        <v/>
      </c>
      <c r="Q231" s="200" t="str">
        <f>IFERROR(VLOOKUP(TableHandbook[[#This Row],[UDC]],TableSTRUCATHL[],7,FALSE),"")</f>
        <v/>
      </c>
      <c r="R231" s="200" t="str">
        <f>IFERROR(VLOOKUP(TableHandbook[[#This Row],[UDC]],TableSTRUENGLL[],7,FALSE),"")</f>
        <v/>
      </c>
      <c r="S231" s="200" t="str">
        <f>IFERROR(VLOOKUP(TableHandbook[[#This Row],[UDC]],TableSTRUINTBC[],7,FALSE),"")</f>
        <v/>
      </c>
      <c r="T231" s="200" t="str">
        <f>IFERROR(VLOOKUP(TableHandbook[[#This Row],[UDC]],TableSTRUISTEM[],7,FALSE),"")</f>
        <v/>
      </c>
      <c r="U231" s="200" t="str">
        <f>IFERROR(VLOOKUP(TableHandbook[[#This Row],[UDC]],TableSTRULITNU[],7,FALSE),"")</f>
        <v/>
      </c>
      <c r="V231" s="200" t="str">
        <f>IFERROR(VLOOKUP(TableHandbook[[#This Row],[UDC]],TableSTRUTECHS[],7,FALSE),"")</f>
        <v/>
      </c>
      <c r="W231" s="200" t="str">
        <f>IFERROR(VLOOKUP(TableHandbook[[#This Row],[UDC]],TableBEDSC[],7,FALSE),"")</f>
        <v/>
      </c>
      <c r="X231" s="200" t="str">
        <f>IFERROR(VLOOKUP(TableHandbook[[#This Row],[UDC]],TableMJRUARTDR[],7,FALSE),"")</f>
        <v/>
      </c>
      <c r="Y231" s="200" t="str">
        <f>IFERROR(VLOOKUP(TableHandbook[[#This Row],[UDC]],TableMJRUARTME[],7,FALSE),"")</f>
        <v/>
      </c>
      <c r="Z231" s="200" t="str">
        <f>IFERROR(VLOOKUP(TableHandbook[[#This Row],[UDC]],TableMJRUARTVA[],7,FALSE),"")</f>
        <v/>
      </c>
      <c r="AA231" s="200" t="str">
        <f>IFERROR(VLOOKUP(TableHandbook[[#This Row],[UDC]],TableMJRUENGLT[],7,FALSE),"")</f>
        <v/>
      </c>
      <c r="AB231" s="200" t="str">
        <f>IFERROR(VLOOKUP(TableHandbook[[#This Row],[UDC]],TableMJRUHLTPE[],7,FALSE),"")</f>
        <v>Core</v>
      </c>
      <c r="AC231" s="200" t="str">
        <f>IFERROR(VLOOKUP(TableHandbook[[#This Row],[UDC]],TableMJRUHUSEC[],7,FALSE),"")</f>
        <v/>
      </c>
      <c r="AD231" s="200" t="str">
        <f>IFERROR(VLOOKUP(TableHandbook[[#This Row],[UDC]],TableMJRUHUSGE[],7,FALSE),"")</f>
        <v/>
      </c>
      <c r="AE231" s="200" t="str">
        <f>IFERROR(VLOOKUP(TableHandbook[[#This Row],[UDC]],TableMJRUHUSHI[],7,FALSE),"")</f>
        <v/>
      </c>
      <c r="AF231" s="200" t="str">
        <f>IFERROR(VLOOKUP(TableHandbook[[#This Row],[UDC]],TableMJRUHUSPL[],7,FALSE),"")</f>
        <v/>
      </c>
      <c r="AG231" s="200" t="str">
        <f>IFERROR(VLOOKUP(TableHandbook[[#This Row],[UDC]],TableMJRUMATHT[],7,FALSE),"")</f>
        <v/>
      </c>
      <c r="AH231" s="200" t="str">
        <f>IFERROR(VLOOKUP(TableHandbook[[#This Row],[UDC]],TableMJRUSCIBI[],7,FALSE),"")</f>
        <v/>
      </c>
      <c r="AI231" s="200" t="str">
        <f>IFERROR(VLOOKUP(TableHandbook[[#This Row],[UDC]],TableMJRUSCICH[],7,FALSE),"")</f>
        <v/>
      </c>
      <c r="AJ231" s="200" t="str">
        <f>IFERROR(VLOOKUP(TableHandbook[[#This Row],[UDC]],TableMJRUSCIHB[],7,FALSE),"")</f>
        <v/>
      </c>
      <c r="AK231" s="200" t="str">
        <f>IFERROR(VLOOKUP(TableHandbook[[#This Row],[UDC]],TableMJRUSCIPH[],7,FALSE),"")</f>
        <v/>
      </c>
      <c r="AL231" s="200" t="str">
        <f>IFERROR(VLOOKUP(TableHandbook[[#This Row],[UDC]],TableMJRUSCIPS[],7,FALSE),"")</f>
        <v/>
      </c>
      <c r="AM231" s="202"/>
      <c r="AN231" s="200" t="str">
        <f>IFERROR(VLOOKUP(TableHandbook[[#This Row],[UDC]],TableSTRUBIOLB[],7,FALSE),"")</f>
        <v/>
      </c>
      <c r="AO231" s="200" t="str">
        <f>IFERROR(VLOOKUP(TableHandbook[[#This Row],[UDC]],TableSTRUBSCIM[],7,FALSE),"")</f>
        <v/>
      </c>
      <c r="AP231" s="200" t="str">
        <f>IFERROR(VLOOKUP(TableHandbook[[#This Row],[UDC]],TableSTRUCHEMB[],7,FALSE),"")</f>
        <v/>
      </c>
      <c r="AQ231" s="200" t="str">
        <f>IFERROR(VLOOKUP(TableHandbook[[#This Row],[UDC]],TableSTRUECOB1[],7,FALSE),"")</f>
        <v/>
      </c>
      <c r="AR231" s="200" t="str">
        <f>IFERROR(VLOOKUP(TableHandbook[[#This Row],[UDC]],TableSTRUEDART[],7,FALSE),"")</f>
        <v/>
      </c>
      <c r="AS231" s="200" t="str">
        <f>IFERROR(VLOOKUP(TableHandbook[[#This Row],[UDC]],TableSTRUEDENG[],7,FALSE),"")</f>
        <v/>
      </c>
      <c r="AT231" s="200" t="str">
        <f>IFERROR(VLOOKUP(TableHandbook[[#This Row],[UDC]],TableSTRUEDHAS[],7,FALSE),"")</f>
        <v/>
      </c>
      <c r="AU231" s="200" t="str">
        <f>IFERROR(VLOOKUP(TableHandbook[[#This Row],[UDC]],TableSTRUEDMAT[],7,FALSE),"")</f>
        <v/>
      </c>
      <c r="AV231" s="200" t="str">
        <f>IFERROR(VLOOKUP(TableHandbook[[#This Row],[UDC]],TableSTRUEDSCI[],7,FALSE),"")</f>
        <v/>
      </c>
      <c r="AW231" s="200" t="str">
        <f>IFERROR(VLOOKUP(TableHandbook[[#This Row],[UDC]],TableSTRUENGLB[],7,FALSE),"")</f>
        <v/>
      </c>
      <c r="AX231" s="200" t="str">
        <f>IFERROR(VLOOKUP(TableHandbook[[#This Row],[UDC]],TableSTRUENGLM[],7,FALSE),"")</f>
        <v/>
      </c>
      <c r="AY231" s="200" t="str">
        <f>IFERROR(VLOOKUP(TableHandbook[[#This Row],[UDC]],TableSTRUGEOB1[],7,FALSE),"")</f>
        <v/>
      </c>
      <c r="AZ231" s="200" t="str">
        <f>IFERROR(VLOOKUP(TableHandbook[[#This Row],[UDC]],TableSTRUHISB1[],7,FALSE),"")</f>
        <v/>
      </c>
      <c r="BA231" s="200" t="str">
        <f>IFERROR(VLOOKUP(TableHandbook[[#This Row],[UDC]],TableSTRUHUMAM[],7,FALSE),"")</f>
        <v/>
      </c>
      <c r="BB231" s="200" t="str">
        <f>IFERROR(VLOOKUP(TableHandbook[[#This Row],[UDC]],TableSTRUHUMBB[],7,FALSE),"")</f>
        <v/>
      </c>
      <c r="BC231" s="200" t="str">
        <f>IFERROR(VLOOKUP(TableHandbook[[#This Row],[UDC]],TableSTRUMATHB[],7,FALSE),"")</f>
        <v/>
      </c>
      <c r="BD231" s="200" t="str">
        <f>IFERROR(VLOOKUP(TableHandbook[[#This Row],[UDC]],TableSTRUMATHM[],7,FALSE),"")</f>
        <v/>
      </c>
      <c r="BE231" s="200" t="str">
        <f>IFERROR(VLOOKUP(TableHandbook[[#This Row],[UDC]],TableSTRUPARTB[],7,FALSE),"")</f>
        <v/>
      </c>
      <c r="BF231" s="200" t="str">
        <f>IFERROR(VLOOKUP(TableHandbook[[#This Row],[UDC]],TableSTRUPARTM[],7,FALSE),"")</f>
        <v/>
      </c>
      <c r="BG231" s="200" t="str">
        <f>IFERROR(VLOOKUP(TableHandbook[[#This Row],[UDC]],TableSTRUPOLB1[],7,FALSE),"")</f>
        <v/>
      </c>
      <c r="BH231" s="200" t="str">
        <f>IFERROR(VLOOKUP(TableHandbook[[#This Row],[UDC]],TableSTRUPSCIM[],7,FALSE),"")</f>
        <v/>
      </c>
      <c r="BI231" s="200" t="str">
        <f>IFERROR(VLOOKUP(TableHandbook[[#This Row],[UDC]],TableSTRUPSYCB[],7,FALSE),"")</f>
        <v/>
      </c>
      <c r="BJ231" s="200" t="str">
        <f>IFERROR(VLOOKUP(TableHandbook[[#This Row],[UDC]],TableSTRUPSYCM[],7,FALSE),"")</f>
        <v/>
      </c>
      <c r="BK231" s="200" t="str">
        <f>IFERROR(VLOOKUP(TableHandbook[[#This Row],[UDC]],TableSTRUSOSCM[],7,FALSE),"")</f>
        <v/>
      </c>
      <c r="BL231" s="200" t="str">
        <f>IFERROR(VLOOKUP(TableHandbook[[#This Row],[UDC]],TableSTRUVARTB[],7,FALSE),"")</f>
        <v/>
      </c>
      <c r="BM231" s="200" t="str">
        <f>IFERROR(VLOOKUP(TableHandbook[[#This Row],[UDC]],TableSTRUVARTM[],7,FALSE),"")</f>
        <v/>
      </c>
    </row>
    <row r="232" spans="1:65" x14ac:dyDescent="0.25">
      <c r="A232" s="262" t="s">
        <v>494</v>
      </c>
      <c r="B232" s="12">
        <v>1</v>
      </c>
      <c r="C232" s="11"/>
      <c r="D232" s="11" t="s">
        <v>811</v>
      </c>
      <c r="E232" s="12">
        <v>25</v>
      </c>
      <c r="F232" s="131" t="s">
        <v>749</v>
      </c>
      <c r="G232" s="126" t="str">
        <f>IFERROR(IF(VLOOKUP(TableHandbook[[#This Row],[UDC]],TableAvailabilities[],2,FALSE)&gt;0,"Y",""),"")</f>
        <v>Y</v>
      </c>
      <c r="H232" s="127" t="str">
        <f>IFERROR(IF(VLOOKUP(TableHandbook[[#This Row],[UDC]],TableAvailabilities[],3,FALSE)&gt;0,"Y",""),"")</f>
        <v/>
      </c>
      <c r="I232" s="127" t="str">
        <f>IFERROR(IF(VLOOKUP(TableHandbook[[#This Row],[UDC]],TableAvailabilities[],4,FALSE)&gt;0,"Y",""),"")</f>
        <v/>
      </c>
      <c r="J232" s="128" t="str">
        <f>IFERROR(IF(VLOOKUP(TableHandbook[[#This Row],[UDC]],TableAvailabilities[],5,FALSE)&gt;0,"Y",""),"")</f>
        <v/>
      </c>
      <c r="K232" s="128" t="str">
        <f>IFERROR(IF(VLOOKUP(TableHandbook[[#This Row],[UDC]],TableAvailabilities[],6,FALSE)&gt;0,"Y",""),"")</f>
        <v/>
      </c>
      <c r="L232" s="127" t="str">
        <f>IFERROR(IF(VLOOKUP(TableHandbook[[#This Row],[UDC]],TableAvailabilities[],7,FALSE)&gt;0,"Y",""),"")</f>
        <v/>
      </c>
      <c r="M232" s="251"/>
      <c r="N232" s="200" t="str">
        <f>IFERROR(VLOOKUP(TableHandbook[[#This Row],[UDC]],TableBEDUC[],7,FALSE),"")</f>
        <v/>
      </c>
      <c r="O232" s="200" t="str">
        <f>IFERROR(VLOOKUP(TableHandbook[[#This Row],[UDC]],TableBEDEC[],7,FALSE),"")</f>
        <v/>
      </c>
      <c r="P232" s="200" t="str">
        <f>IFERROR(VLOOKUP(TableHandbook[[#This Row],[UDC]],TableBEDPR[],7,FALSE),"")</f>
        <v/>
      </c>
      <c r="Q232" s="200" t="str">
        <f>IFERROR(VLOOKUP(TableHandbook[[#This Row],[UDC]],TableSTRUCATHL[],7,FALSE),"")</f>
        <v/>
      </c>
      <c r="R232" s="200" t="str">
        <f>IFERROR(VLOOKUP(TableHandbook[[#This Row],[UDC]],TableSTRUENGLL[],7,FALSE),"")</f>
        <v/>
      </c>
      <c r="S232" s="200" t="str">
        <f>IFERROR(VLOOKUP(TableHandbook[[#This Row],[UDC]],TableSTRUINTBC[],7,FALSE),"")</f>
        <v/>
      </c>
      <c r="T232" s="200" t="str">
        <f>IFERROR(VLOOKUP(TableHandbook[[#This Row],[UDC]],TableSTRUISTEM[],7,FALSE),"")</f>
        <v/>
      </c>
      <c r="U232" s="200" t="str">
        <f>IFERROR(VLOOKUP(TableHandbook[[#This Row],[UDC]],TableSTRULITNU[],7,FALSE),"")</f>
        <v/>
      </c>
      <c r="V232" s="200" t="str">
        <f>IFERROR(VLOOKUP(TableHandbook[[#This Row],[UDC]],TableSTRUTECHS[],7,FALSE),"")</f>
        <v/>
      </c>
      <c r="W232" s="200" t="str">
        <f>IFERROR(VLOOKUP(TableHandbook[[#This Row],[UDC]],TableBEDSC[],7,FALSE),"")</f>
        <v/>
      </c>
      <c r="X232" s="200" t="str">
        <f>IFERROR(VLOOKUP(TableHandbook[[#This Row],[UDC]],TableMJRUARTDR[],7,FALSE),"")</f>
        <v/>
      </c>
      <c r="Y232" s="200" t="str">
        <f>IFERROR(VLOOKUP(TableHandbook[[#This Row],[UDC]],TableMJRUARTME[],7,FALSE),"")</f>
        <v/>
      </c>
      <c r="Z232" s="200" t="str">
        <f>IFERROR(VLOOKUP(TableHandbook[[#This Row],[UDC]],TableMJRUARTVA[],7,FALSE),"")</f>
        <v/>
      </c>
      <c r="AA232" s="200" t="str">
        <f>IFERROR(VLOOKUP(TableHandbook[[#This Row],[UDC]],TableMJRUENGLT[],7,FALSE),"")</f>
        <v/>
      </c>
      <c r="AB232" s="200" t="str">
        <f>IFERROR(VLOOKUP(TableHandbook[[#This Row],[UDC]],TableMJRUHLTPE[],7,FALSE),"")</f>
        <v>Core</v>
      </c>
      <c r="AC232" s="200" t="str">
        <f>IFERROR(VLOOKUP(TableHandbook[[#This Row],[UDC]],TableMJRUHUSEC[],7,FALSE),"")</f>
        <v/>
      </c>
      <c r="AD232" s="200" t="str">
        <f>IFERROR(VLOOKUP(TableHandbook[[#This Row],[UDC]],TableMJRUHUSGE[],7,FALSE),"")</f>
        <v/>
      </c>
      <c r="AE232" s="200" t="str">
        <f>IFERROR(VLOOKUP(TableHandbook[[#This Row],[UDC]],TableMJRUHUSHI[],7,FALSE),"")</f>
        <v/>
      </c>
      <c r="AF232" s="200" t="str">
        <f>IFERROR(VLOOKUP(TableHandbook[[#This Row],[UDC]],TableMJRUHUSPL[],7,FALSE),"")</f>
        <v/>
      </c>
      <c r="AG232" s="200" t="str">
        <f>IFERROR(VLOOKUP(TableHandbook[[#This Row],[UDC]],TableMJRUMATHT[],7,FALSE),"")</f>
        <v/>
      </c>
      <c r="AH232" s="200" t="str">
        <f>IFERROR(VLOOKUP(TableHandbook[[#This Row],[UDC]],TableMJRUSCIBI[],7,FALSE),"")</f>
        <v/>
      </c>
      <c r="AI232" s="200" t="str">
        <f>IFERROR(VLOOKUP(TableHandbook[[#This Row],[UDC]],TableMJRUSCICH[],7,FALSE),"")</f>
        <v/>
      </c>
      <c r="AJ232" s="200" t="str">
        <f>IFERROR(VLOOKUP(TableHandbook[[#This Row],[UDC]],TableMJRUSCIHB[],7,FALSE),"")</f>
        <v/>
      </c>
      <c r="AK232" s="200" t="str">
        <f>IFERROR(VLOOKUP(TableHandbook[[#This Row],[UDC]],TableMJRUSCIPH[],7,FALSE),"")</f>
        <v/>
      </c>
      <c r="AL232" s="200" t="str">
        <f>IFERROR(VLOOKUP(TableHandbook[[#This Row],[UDC]],TableMJRUSCIPS[],7,FALSE),"")</f>
        <v/>
      </c>
      <c r="AM232" s="202"/>
      <c r="AN232" s="200" t="str">
        <f>IFERROR(VLOOKUP(TableHandbook[[#This Row],[UDC]],TableSTRUBIOLB[],7,FALSE),"")</f>
        <v/>
      </c>
      <c r="AO232" s="200" t="str">
        <f>IFERROR(VLOOKUP(TableHandbook[[#This Row],[UDC]],TableSTRUBSCIM[],7,FALSE),"")</f>
        <v/>
      </c>
      <c r="AP232" s="200" t="str">
        <f>IFERROR(VLOOKUP(TableHandbook[[#This Row],[UDC]],TableSTRUCHEMB[],7,FALSE),"")</f>
        <v/>
      </c>
      <c r="AQ232" s="200" t="str">
        <f>IFERROR(VLOOKUP(TableHandbook[[#This Row],[UDC]],TableSTRUECOB1[],7,FALSE),"")</f>
        <v/>
      </c>
      <c r="AR232" s="200" t="str">
        <f>IFERROR(VLOOKUP(TableHandbook[[#This Row],[UDC]],TableSTRUEDART[],7,FALSE),"")</f>
        <v/>
      </c>
      <c r="AS232" s="200" t="str">
        <f>IFERROR(VLOOKUP(TableHandbook[[#This Row],[UDC]],TableSTRUEDENG[],7,FALSE),"")</f>
        <v/>
      </c>
      <c r="AT232" s="200" t="str">
        <f>IFERROR(VLOOKUP(TableHandbook[[#This Row],[UDC]],TableSTRUEDHAS[],7,FALSE),"")</f>
        <v/>
      </c>
      <c r="AU232" s="200" t="str">
        <f>IFERROR(VLOOKUP(TableHandbook[[#This Row],[UDC]],TableSTRUEDMAT[],7,FALSE),"")</f>
        <v/>
      </c>
      <c r="AV232" s="200" t="str">
        <f>IFERROR(VLOOKUP(TableHandbook[[#This Row],[UDC]],TableSTRUEDSCI[],7,FALSE),"")</f>
        <v/>
      </c>
      <c r="AW232" s="200" t="str">
        <f>IFERROR(VLOOKUP(TableHandbook[[#This Row],[UDC]],TableSTRUENGLB[],7,FALSE),"")</f>
        <v/>
      </c>
      <c r="AX232" s="200" t="str">
        <f>IFERROR(VLOOKUP(TableHandbook[[#This Row],[UDC]],TableSTRUENGLM[],7,FALSE),"")</f>
        <v/>
      </c>
      <c r="AY232" s="200" t="str">
        <f>IFERROR(VLOOKUP(TableHandbook[[#This Row],[UDC]],TableSTRUGEOB1[],7,FALSE),"")</f>
        <v/>
      </c>
      <c r="AZ232" s="200" t="str">
        <f>IFERROR(VLOOKUP(TableHandbook[[#This Row],[UDC]],TableSTRUHISB1[],7,FALSE),"")</f>
        <v/>
      </c>
      <c r="BA232" s="200" t="str">
        <f>IFERROR(VLOOKUP(TableHandbook[[#This Row],[UDC]],TableSTRUHUMAM[],7,FALSE),"")</f>
        <v/>
      </c>
      <c r="BB232" s="200" t="str">
        <f>IFERROR(VLOOKUP(TableHandbook[[#This Row],[UDC]],TableSTRUHUMBB[],7,FALSE),"")</f>
        <v/>
      </c>
      <c r="BC232" s="200" t="str">
        <f>IFERROR(VLOOKUP(TableHandbook[[#This Row],[UDC]],TableSTRUMATHB[],7,FALSE),"")</f>
        <v/>
      </c>
      <c r="BD232" s="200" t="str">
        <f>IFERROR(VLOOKUP(TableHandbook[[#This Row],[UDC]],TableSTRUMATHM[],7,FALSE),"")</f>
        <v/>
      </c>
      <c r="BE232" s="200" t="str">
        <f>IFERROR(VLOOKUP(TableHandbook[[#This Row],[UDC]],TableSTRUPARTB[],7,FALSE),"")</f>
        <v/>
      </c>
      <c r="BF232" s="200" t="str">
        <f>IFERROR(VLOOKUP(TableHandbook[[#This Row],[UDC]],TableSTRUPARTM[],7,FALSE),"")</f>
        <v/>
      </c>
      <c r="BG232" s="200" t="str">
        <f>IFERROR(VLOOKUP(TableHandbook[[#This Row],[UDC]],TableSTRUPOLB1[],7,FALSE),"")</f>
        <v/>
      </c>
      <c r="BH232" s="200" t="str">
        <f>IFERROR(VLOOKUP(TableHandbook[[#This Row],[UDC]],TableSTRUPSCIM[],7,FALSE),"")</f>
        <v/>
      </c>
      <c r="BI232" s="200" t="str">
        <f>IFERROR(VLOOKUP(TableHandbook[[#This Row],[UDC]],TableSTRUPSYCB[],7,FALSE),"")</f>
        <v/>
      </c>
      <c r="BJ232" s="200" t="str">
        <f>IFERROR(VLOOKUP(TableHandbook[[#This Row],[UDC]],TableSTRUPSYCM[],7,FALSE),"")</f>
        <v/>
      </c>
      <c r="BK232" s="200" t="str">
        <f>IFERROR(VLOOKUP(TableHandbook[[#This Row],[UDC]],TableSTRUSOSCM[],7,FALSE),"")</f>
        <v/>
      </c>
      <c r="BL232" s="200" t="str">
        <f>IFERROR(VLOOKUP(TableHandbook[[#This Row],[UDC]],TableSTRUVARTB[],7,FALSE),"")</f>
        <v/>
      </c>
      <c r="BM232" s="200" t="str">
        <f>IFERROR(VLOOKUP(TableHandbook[[#This Row],[UDC]],TableSTRUVARTM[],7,FALSE),"")</f>
        <v/>
      </c>
    </row>
    <row r="233" spans="1:65" x14ac:dyDescent="0.25">
      <c r="A233" s="262" t="s">
        <v>377</v>
      </c>
      <c r="B233" s="12">
        <v>2</v>
      </c>
      <c r="C233" s="11"/>
      <c r="D233" s="11" t="s">
        <v>812</v>
      </c>
      <c r="E233" s="12">
        <v>25</v>
      </c>
      <c r="F233" s="131" t="s">
        <v>813</v>
      </c>
      <c r="G233" s="126" t="str">
        <f>IFERROR(IF(VLOOKUP(TableHandbook[[#This Row],[UDC]],TableAvailabilities[],2,FALSE)&gt;0,"Y",""),"")</f>
        <v/>
      </c>
      <c r="H233" s="127" t="str">
        <f>IFERROR(IF(VLOOKUP(TableHandbook[[#This Row],[UDC]],TableAvailabilities[],3,FALSE)&gt;0,"Y",""),"")</f>
        <v/>
      </c>
      <c r="I233" s="127" t="str">
        <f>IFERROR(IF(VLOOKUP(TableHandbook[[#This Row],[UDC]],TableAvailabilities[],4,FALSE)&gt;0,"Y",""),"")</f>
        <v/>
      </c>
      <c r="J233" s="128" t="str">
        <f>IFERROR(IF(VLOOKUP(TableHandbook[[#This Row],[UDC]],TableAvailabilities[],5,FALSE)&gt;0,"Y",""),"")</f>
        <v>Y</v>
      </c>
      <c r="K233" s="128" t="str">
        <f>IFERROR(IF(VLOOKUP(TableHandbook[[#This Row],[UDC]],TableAvailabilities[],6,FALSE)&gt;0,"Y",""),"")</f>
        <v/>
      </c>
      <c r="L233" s="127" t="str">
        <f>IFERROR(IF(VLOOKUP(TableHandbook[[#This Row],[UDC]],TableAvailabilities[],7,FALSE)&gt;0,"Y",""),"")</f>
        <v/>
      </c>
      <c r="M233" s="251"/>
      <c r="N233" s="200" t="str">
        <f>IFERROR(VLOOKUP(TableHandbook[[#This Row],[UDC]],TableBEDUC[],7,FALSE),"")</f>
        <v/>
      </c>
      <c r="O233" s="200" t="str">
        <f>IFERROR(VLOOKUP(TableHandbook[[#This Row],[UDC]],TableBEDEC[],7,FALSE),"")</f>
        <v/>
      </c>
      <c r="P233" s="200" t="str">
        <f>IFERROR(VLOOKUP(TableHandbook[[#This Row],[UDC]],TableBEDPR[],7,FALSE),"")</f>
        <v/>
      </c>
      <c r="Q233" s="200" t="str">
        <f>IFERROR(VLOOKUP(TableHandbook[[#This Row],[UDC]],TableSTRUCATHL[],7,FALSE),"")</f>
        <v/>
      </c>
      <c r="R233" s="200" t="str">
        <f>IFERROR(VLOOKUP(TableHandbook[[#This Row],[UDC]],TableSTRUENGLL[],7,FALSE),"")</f>
        <v/>
      </c>
      <c r="S233" s="200" t="str">
        <f>IFERROR(VLOOKUP(TableHandbook[[#This Row],[UDC]],TableSTRUINTBC[],7,FALSE),"")</f>
        <v/>
      </c>
      <c r="T233" s="200" t="str">
        <f>IFERROR(VLOOKUP(TableHandbook[[#This Row],[UDC]],TableSTRUISTEM[],7,FALSE),"")</f>
        <v/>
      </c>
      <c r="U233" s="200" t="str">
        <f>IFERROR(VLOOKUP(TableHandbook[[#This Row],[UDC]],TableSTRULITNU[],7,FALSE),"")</f>
        <v/>
      </c>
      <c r="V233" s="200" t="str">
        <f>IFERROR(VLOOKUP(TableHandbook[[#This Row],[UDC]],TableSTRUTECHS[],7,FALSE),"")</f>
        <v/>
      </c>
      <c r="W233" s="200" t="str">
        <f>IFERROR(VLOOKUP(TableHandbook[[#This Row],[UDC]],TableBEDSC[],7,FALSE),"")</f>
        <v/>
      </c>
      <c r="X233" s="200" t="str">
        <f>IFERROR(VLOOKUP(TableHandbook[[#This Row],[UDC]],TableMJRUARTDR[],7,FALSE),"")</f>
        <v/>
      </c>
      <c r="Y233" s="200" t="str">
        <f>IFERROR(VLOOKUP(TableHandbook[[#This Row],[UDC]],TableMJRUARTME[],7,FALSE),"")</f>
        <v/>
      </c>
      <c r="Z233" s="200" t="str">
        <f>IFERROR(VLOOKUP(TableHandbook[[#This Row],[UDC]],TableMJRUARTVA[],7,FALSE),"")</f>
        <v/>
      </c>
      <c r="AA233" s="200" t="str">
        <f>IFERROR(VLOOKUP(TableHandbook[[#This Row],[UDC]],TableMJRUENGLT[],7,FALSE),"")</f>
        <v/>
      </c>
      <c r="AB233" s="200" t="str">
        <f>IFERROR(VLOOKUP(TableHandbook[[#This Row],[UDC]],TableMJRUHLTPE[],7,FALSE),"")</f>
        <v>Core</v>
      </c>
      <c r="AC233" s="200" t="str">
        <f>IFERROR(VLOOKUP(TableHandbook[[#This Row],[UDC]],TableMJRUHUSEC[],7,FALSE),"")</f>
        <v/>
      </c>
      <c r="AD233" s="200" t="str">
        <f>IFERROR(VLOOKUP(TableHandbook[[#This Row],[UDC]],TableMJRUHUSGE[],7,FALSE),"")</f>
        <v/>
      </c>
      <c r="AE233" s="200" t="str">
        <f>IFERROR(VLOOKUP(TableHandbook[[#This Row],[UDC]],TableMJRUHUSHI[],7,FALSE),"")</f>
        <v/>
      </c>
      <c r="AF233" s="200" t="str">
        <f>IFERROR(VLOOKUP(TableHandbook[[#This Row],[UDC]],TableMJRUHUSPL[],7,FALSE),"")</f>
        <v/>
      </c>
      <c r="AG233" s="200" t="str">
        <f>IFERROR(VLOOKUP(TableHandbook[[#This Row],[UDC]],TableMJRUMATHT[],7,FALSE),"")</f>
        <v/>
      </c>
      <c r="AH233" s="200" t="str">
        <f>IFERROR(VLOOKUP(TableHandbook[[#This Row],[UDC]],TableMJRUSCIBI[],7,FALSE),"")</f>
        <v/>
      </c>
      <c r="AI233" s="200" t="str">
        <f>IFERROR(VLOOKUP(TableHandbook[[#This Row],[UDC]],TableMJRUSCICH[],7,FALSE),"")</f>
        <v/>
      </c>
      <c r="AJ233" s="200" t="str">
        <f>IFERROR(VLOOKUP(TableHandbook[[#This Row],[UDC]],TableMJRUSCIHB[],7,FALSE),"")</f>
        <v/>
      </c>
      <c r="AK233" s="200" t="str">
        <f>IFERROR(VLOOKUP(TableHandbook[[#This Row],[UDC]],TableMJRUSCIPH[],7,FALSE),"")</f>
        <v/>
      </c>
      <c r="AL233" s="200" t="str">
        <f>IFERROR(VLOOKUP(TableHandbook[[#This Row],[UDC]],TableMJRUSCIPS[],7,FALSE),"")</f>
        <v/>
      </c>
      <c r="AM233" s="202"/>
      <c r="AN233" s="200" t="str">
        <f>IFERROR(VLOOKUP(TableHandbook[[#This Row],[UDC]],TableSTRUBIOLB[],7,FALSE),"")</f>
        <v/>
      </c>
      <c r="AO233" s="200" t="str">
        <f>IFERROR(VLOOKUP(TableHandbook[[#This Row],[UDC]],TableSTRUBSCIM[],7,FALSE),"")</f>
        <v/>
      </c>
      <c r="AP233" s="200" t="str">
        <f>IFERROR(VLOOKUP(TableHandbook[[#This Row],[UDC]],TableSTRUCHEMB[],7,FALSE),"")</f>
        <v/>
      </c>
      <c r="AQ233" s="200" t="str">
        <f>IFERROR(VLOOKUP(TableHandbook[[#This Row],[UDC]],TableSTRUECOB1[],7,FALSE),"")</f>
        <v/>
      </c>
      <c r="AR233" s="200" t="str">
        <f>IFERROR(VLOOKUP(TableHandbook[[#This Row],[UDC]],TableSTRUEDART[],7,FALSE),"")</f>
        <v/>
      </c>
      <c r="AS233" s="200" t="str">
        <f>IFERROR(VLOOKUP(TableHandbook[[#This Row],[UDC]],TableSTRUEDENG[],7,FALSE),"")</f>
        <v/>
      </c>
      <c r="AT233" s="200" t="str">
        <f>IFERROR(VLOOKUP(TableHandbook[[#This Row],[UDC]],TableSTRUEDHAS[],7,FALSE),"")</f>
        <v/>
      </c>
      <c r="AU233" s="200" t="str">
        <f>IFERROR(VLOOKUP(TableHandbook[[#This Row],[UDC]],TableSTRUEDMAT[],7,FALSE),"")</f>
        <v/>
      </c>
      <c r="AV233" s="200" t="str">
        <f>IFERROR(VLOOKUP(TableHandbook[[#This Row],[UDC]],TableSTRUEDSCI[],7,FALSE),"")</f>
        <v/>
      </c>
      <c r="AW233" s="200" t="str">
        <f>IFERROR(VLOOKUP(TableHandbook[[#This Row],[UDC]],TableSTRUENGLB[],7,FALSE),"")</f>
        <v/>
      </c>
      <c r="AX233" s="200" t="str">
        <f>IFERROR(VLOOKUP(TableHandbook[[#This Row],[UDC]],TableSTRUENGLM[],7,FALSE),"")</f>
        <v/>
      </c>
      <c r="AY233" s="200" t="str">
        <f>IFERROR(VLOOKUP(TableHandbook[[#This Row],[UDC]],TableSTRUGEOB1[],7,FALSE),"")</f>
        <v/>
      </c>
      <c r="AZ233" s="200" t="str">
        <f>IFERROR(VLOOKUP(TableHandbook[[#This Row],[UDC]],TableSTRUHISB1[],7,FALSE),"")</f>
        <v/>
      </c>
      <c r="BA233" s="200" t="str">
        <f>IFERROR(VLOOKUP(TableHandbook[[#This Row],[UDC]],TableSTRUHUMAM[],7,FALSE),"")</f>
        <v/>
      </c>
      <c r="BB233" s="200" t="str">
        <f>IFERROR(VLOOKUP(TableHandbook[[#This Row],[UDC]],TableSTRUHUMBB[],7,FALSE),"")</f>
        <v/>
      </c>
      <c r="BC233" s="200" t="str">
        <f>IFERROR(VLOOKUP(TableHandbook[[#This Row],[UDC]],TableSTRUMATHB[],7,FALSE),"")</f>
        <v/>
      </c>
      <c r="BD233" s="200" t="str">
        <f>IFERROR(VLOOKUP(TableHandbook[[#This Row],[UDC]],TableSTRUMATHM[],7,FALSE),"")</f>
        <v/>
      </c>
      <c r="BE233" s="200" t="str">
        <f>IFERROR(VLOOKUP(TableHandbook[[#This Row],[UDC]],TableSTRUPARTB[],7,FALSE),"")</f>
        <v/>
      </c>
      <c r="BF233" s="200" t="str">
        <f>IFERROR(VLOOKUP(TableHandbook[[#This Row],[UDC]],TableSTRUPARTM[],7,FALSE),"")</f>
        <v/>
      </c>
      <c r="BG233" s="200" t="str">
        <f>IFERROR(VLOOKUP(TableHandbook[[#This Row],[UDC]],TableSTRUPOLB1[],7,FALSE),"")</f>
        <v/>
      </c>
      <c r="BH233" s="200" t="str">
        <f>IFERROR(VLOOKUP(TableHandbook[[#This Row],[UDC]],TableSTRUPSCIM[],7,FALSE),"")</f>
        <v/>
      </c>
      <c r="BI233" s="200" t="str">
        <f>IFERROR(VLOOKUP(TableHandbook[[#This Row],[UDC]],TableSTRUPSYCB[],7,FALSE),"")</f>
        <v/>
      </c>
      <c r="BJ233" s="200" t="str">
        <f>IFERROR(VLOOKUP(TableHandbook[[#This Row],[UDC]],TableSTRUPSYCM[],7,FALSE),"")</f>
        <v/>
      </c>
      <c r="BK233" s="200" t="str">
        <f>IFERROR(VLOOKUP(TableHandbook[[#This Row],[UDC]],TableSTRUSOSCM[],7,FALSE),"")</f>
        <v/>
      </c>
      <c r="BL233" s="200" t="str">
        <f>IFERROR(VLOOKUP(TableHandbook[[#This Row],[UDC]],TableSTRUVARTB[],7,FALSE),"")</f>
        <v/>
      </c>
      <c r="BM233" s="200" t="str">
        <f>IFERROR(VLOOKUP(TableHandbook[[#This Row],[UDC]],TableSTRUVARTM[],7,FALSE),"")</f>
        <v/>
      </c>
    </row>
    <row r="234" spans="1:65" x14ac:dyDescent="0.25">
      <c r="A234" s="262" t="s">
        <v>301</v>
      </c>
      <c r="B234" s="12">
        <v>2</v>
      </c>
      <c r="C234" s="11"/>
      <c r="D234" s="11" t="s">
        <v>814</v>
      </c>
      <c r="E234" s="12">
        <v>25</v>
      </c>
      <c r="F234" s="131" t="s">
        <v>544</v>
      </c>
      <c r="G234" s="126" t="str">
        <f>IFERROR(IF(VLOOKUP(TableHandbook[[#This Row],[UDC]],TableAvailabilities[],2,FALSE)&gt;0,"Y",""),"")</f>
        <v>Y</v>
      </c>
      <c r="H234" s="127" t="str">
        <f>IFERROR(IF(VLOOKUP(TableHandbook[[#This Row],[UDC]],TableAvailabilities[],3,FALSE)&gt;0,"Y",""),"")</f>
        <v/>
      </c>
      <c r="I234" s="127" t="str">
        <f>IFERROR(IF(VLOOKUP(TableHandbook[[#This Row],[UDC]],TableAvailabilities[],4,FALSE)&gt;0,"Y",""),"")</f>
        <v/>
      </c>
      <c r="J234" s="128" t="str">
        <f>IFERROR(IF(VLOOKUP(TableHandbook[[#This Row],[UDC]],TableAvailabilities[],5,FALSE)&gt;0,"Y",""),"")</f>
        <v>Y</v>
      </c>
      <c r="K234" s="128" t="str">
        <f>IFERROR(IF(VLOOKUP(TableHandbook[[#This Row],[UDC]],TableAvailabilities[],6,FALSE)&gt;0,"Y",""),"")</f>
        <v/>
      </c>
      <c r="L234" s="127" t="str">
        <f>IFERROR(IF(VLOOKUP(TableHandbook[[#This Row],[UDC]],TableAvailabilities[],7,FALSE)&gt;0,"Y",""),"")</f>
        <v/>
      </c>
      <c r="M234" s="251"/>
      <c r="N234" s="200" t="str">
        <f>IFERROR(VLOOKUP(TableHandbook[[#This Row],[UDC]],TableBEDUC[],7,FALSE),"")</f>
        <v/>
      </c>
      <c r="O234" s="200" t="str">
        <f>IFERROR(VLOOKUP(TableHandbook[[#This Row],[UDC]],TableBEDEC[],7,FALSE),"")</f>
        <v/>
      </c>
      <c r="P234" s="200" t="str">
        <f>IFERROR(VLOOKUP(TableHandbook[[#This Row],[UDC]],TableBEDPR[],7,FALSE),"")</f>
        <v/>
      </c>
      <c r="Q234" s="200" t="str">
        <f>IFERROR(VLOOKUP(TableHandbook[[#This Row],[UDC]],TableSTRUCATHL[],7,FALSE),"")</f>
        <v/>
      </c>
      <c r="R234" s="200" t="str">
        <f>IFERROR(VLOOKUP(TableHandbook[[#This Row],[UDC]],TableSTRUENGLL[],7,FALSE),"")</f>
        <v/>
      </c>
      <c r="S234" s="200" t="str">
        <f>IFERROR(VLOOKUP(TableHandbook[[#This Row],[UDC]],TableSTRUINTBC[],7,FALSE),"")</f>
        <v/>
      </c>
      <c r="T234" s="200" t="str">
        <f>IFERROR(VLOOKUP(TableHandbook[[#This Row],[UDC]],TableSTRUISTEM[],7,FALSE),"")</f>
        <v/>
      </c>
      <c r="U234" s="200" t="str">
        <f>IFERROR(VLOOKUP(TableHandbook[[#This Row],[UDC]],TableSTRULITNU[],7,FALSE),"")</f>
        <v/>
      </c>
      <c r="V234" s="200" t="str">
        <f>IFERROR(VLOOKUP(TableHandbook[[#This Row],[UDC]],TableSTRUTECHS[],7,FALSE),"")</f>
        <v/>
      </c>
      <c r="W234" s="200" t="str">
        <f>IFERROR(VLOOKUP(TableHandbook[[#This Row],[UDC]],TableBEDSC[],7,FALSE),"")</f>
        <v/>
      </c>
      <c r="X234" s="200" t="str">
        <f>IFERROR(VLOOKUP(TableHandbook[[#This Row],[UDC]],TableMJRUARTDR[],7,FALSE),"")</f>
        <v/>
      </c>
      <c r="Y234" s="200" t="str">
        <f>IFERROR(VLOOKUP(TableHandbook[[#This Row],[UDC]],TableMJRUARTME[],7,FALSE),"")</f>
        <v>Core</v>
      </c>
      <c r="Z234" s="200" t="str">
        <f>IFERROR(VLOOKUP(TableHandbook[[#This Row],[UDC]],TableMJRUARTVA[],7,FALSE),"")</f>
        <v/>
      </c>
      <c r="AA234" s="200" t="str">
        <f>IFERROR(VLOOKUP(TableHandbook[[#This Row],[UDC]],TableMJRUENGLT[],7,FALSE),"")</f>
        <v/>
      </c>
      <c r="AB234" s="200" t="str">
        <f>IFERROR(VLOOKUP(TableHandbook[[#This Row],[UDC]],TableMJRUHLTPE[],7,FALSE),"")</f>
        <v/>
      </c>
      <c r="AC234" s="200" t="str">
        <f>IFERROR(VLOOKUP(TableHandbook[[#This Row],[UDC]],TableMJRUHUSEC[],7,FALSE),"")</f>
        <v/>
      </c>
      <c r="AD234" s="200" t="str">
        <f>IFERROR(VLOOKUP(TableHandbook[[#This Row],[UDC]],TableMJRUHUSGE[],7,FALSE),"")</f>
        <v/>
      </c>
      <c r="AE234" s="200" t="str">
        <f>IFERROR(VLOOKUP(TableHandbook[[#This Row],[UDC]],TableMJRUHUSHI[],7,FALSE),"")</f>
        <v/>
      </c>
      <c r="AF234" s="200" t="str">
        <f>IFERROR(VLOOKUP(TableHandbook[[#This Row],[UDC]],TableMJRUHUSPL[],7,FALSE),"")</f>
        <v/>
      </c>
      <c r="AG234" s="200" t="str">
        <f>IFERROR(VLOOKUP(TableHandbook[[#This Row],[UDC]],TableMJRUMATHT[],7,FALSE),"")</f>
        <v/>
      </c>
      <c r="AH234" s="200" t="str">
        <f>IFERROR(VLOOKUP(TableHandbook[[#This Row],[UDC]],TableMJRUSCIBI[],7,FALSE),"")</f>
        <v/>
      </c>
      <c r="AI234" s="200" t="str">
        <f>IFERROR(VLOOKUP(TableHandbook[[#This Row],[UDC]],TableMJRUSCICH[],7,FALSE),"")</f>
        <v/>
      </c>
      <c r="AJ234" s="200" t="str">
        <f>IFERROR(VLOOKUP(TableHandbook[[#This Row],[UDC]],TableMJRUSCIHB[],7,FALSE),"")</f>
        <v/>
      </c>
      <c r="AK234" s="200" t="str">
        <f>IFERROR(VLOOKUP(TableHandbook[[#This Row],[UDC]],TableMJRUSCIPH[],7,FALSE),"")</f>
        <v/>
      </c>
      <c r="AL234" s="200" t="str">
        <f>IFERROR(VLOOKUP(TableHandbook[[#This Row],[UDC]],TableMJRUSCIPS[],7,FALSE),"")</f>
        <v/>
      </c>
      <c r="AM234" s="202"/>
      <c r="AN234" s="200" t="str">
        <f>IFERROR(VLOOKUP(TableHandbook[[#This Row],[UDC]],TableSTRUBIOLB[],7,FALSE),"")</f>
        <v/>
      </c>
      <c r="AO234" s="200" t="str">
        <f>IFERROR(VLOOKUP(TableHandbook[[#This Row],[UDC]],TableSTRUBSCIM[],7,FALSE),"")</f>
        <v/>
      </c>
      <c r="AP234" s="200" t="str">
        <f>IFERROR(VLOOKUP(TableHandbook[[#This Row],[UDC]],TableSTRUCHEMB[],7,FALSE),"")</f>
        <v/>
      </c>
      <c r="AQ234" s="200" t="str">
        <f>IFERROR(VLOOKUP(TableHandbook[[#This Row],[UDC]],TableSTRUECOB1[],7,FALSE),"")</f>
        <v/>
      </c>
      <c r="AR234" s="200" t="str">
        <f>IFERROR(VLOOKUP(TableHandbook[[#This Row],[UDC]],TableSTRUEDART[],7,FALSE),"")</f>
        <v/>
      </c>
      <c r="AS234" s="200" t="str">
        <f>IFERROR(VLOOKUP(TableHandbook[[#This Row],[UDC]],TableSTRUEDENG[],7,FALSE),"")</f>
        <v/>
      </c>
      <c r="AT234" s="200" t="str">
        <f>IFERROR(VLOOKUP(TableHandbook[[#This Row],[UDC]],TableSTRUEDHAS[],7,FALSE),"")</f>
        <v/>
      </c>
      <c r="AU234" s="200" t="str">
        <f>IFERROR(VLOOKUP(TableHandbook[[#This Row],[UDC]],TableSTRUEDMAT[],7,FALSE),"")</f>
        <v/>
      </c>
      <c r="AV234" s="200" t="str">
        <f>IFERROR(VLOOKUP(TableHandbook[[#This Row],[UDC]],TableSTRUEDSCI[],7,FALSE),"")</f>
        <v/>
      </c>
      <c r="AW234" s="200" t="str">
        <f>IFERROR(VLOOKUP(TableHandbook[[#This Row],[UDC]],TableSTRUENGLB[],7,FALSE),"")</f>
        <v/>
      </c>
      <c r="AX234" s="200" t="str">
        <f>IFERROR(VLOOKUP(TableHandbook[[#This Row],[UDC]],TableSTRUENGLM[],7,FALSE),"")</f>
        <v/>
      </c>
      <c r="AY234" s="200" t="str">
        <f>IFERROR(VLOOKUP(TableHandbook[[#This Row],[UDC]],TableSTRUGEOB1[],7,FALSE),"")</f>
        <v/>
      </c>
      <c r="AZ234" s="200" t="str">
        <f>IFERROR(VLOOKUP(TableHandbook[[#This Row],[UDC]],TableSTRUHISB1[],7,FALSE),"")</f>
        <v/>
      </c>
      <c r="BA234" s="200" t="str">
        <f>IFERROR(VLOOKUP(TableHandbook[[#This Row],[UDC]],TableSTRUHUMAM[],7,FALSE),"")</f>
        <v/>
      </c>
      <c r="BB234" s="200" t="str">
        <f>IFERROR(VLOOKUP(TableHandbook[[#This Row],[UDC]],TableSTRUHUMBB[],7,FALSE),"")</f>
        <v/>
      </c>
      <c r="BC234" s="200" t="str">
        <f>IFERROR(VLOOKUP(TableHandbook[[#This Row],[UDC]],TableSTRUMATHB[],7,FALSE),"")</f>
        <v/>
      </c>
      <c r="BD234" s="200" t="str">
        <f>IFERROR(VLOOKUP(TableHandbook[[#This Row],[UDC]],TableSTRUMATHM[],7,FALSE),"")</f>
        <v/>
      </c>
      <c r="BE234" s="200" t="str">
        <f>IFERROR(VLOOKUP(TableHandbook[[#This Row],[UDC]],TableSTRUPARTB[],7,FALSE),"")</f>
        <v/>
      </c>
      <c r="BF234" s="200" t="str">
        <f>IFERROR(VLOOKUP(TableHandbook[[#This Row],[UDC]],TableSTRUPARTM[],7,FALSE),"")</f>
        <v/>
      </c>
      <c r="BG234" s="200" t="str">
        <f>IFERROR(VLOOKUP(TableHandbook[[#This Row],[UDC]],TableSTRUPOLB1[],7,FALSE),"")</f>
        <v/>
      </c>
      <c r="BH234" s="200" t="str">
        <f>IFERROR(VLOOKUP(TableHandbook[[#This Row],[UDC]],TableSTRUPSCIM[],7,FALSE),"")</f>
        <v/>
      </c>
      <c r="BI234" s="200" t="str">
        <f>IFERROR(VLOOKUP(TableHandbook[[#This Row],[UDC]],TableSTRUPSYCB[],7,FALSE),"")</f>
        <v/>
      </c>
      <c r="BJ234" s="200" t="str">
        <f>IFERROR(VLOOKUP(TableHandbook[[#This Row],[UDC]],TableSTRUPSYCM[],7,FALSE),"")</f>
        <v/>
      </c>
      <c r="BK234" s="200" t="str">
        <f>IFERROR(VLOOKUP(TableHandbook[[#This Row],[UDC]],TableSTRUSOSCM[],7,FALSE),"")</f>
        <v/>
      </c>
      <c r="BL234" s="200" t="str">
        <f>IFERROR(VLOOKUP(TableHandbook[[#This Row],[UDC]],TableSTRUVARTB[],7,FALSE),"")</f>
        <v/>
      </c>
      <c r="BM234" s="200" t="str">
        <f>IFERROR(VLOOKUP(TableHandbook[[#This Row],[UDC]],TableSTRUVARTM[],7,FALSE),"")</f>
        <v/>
      </c>
    </row>
    <row r="235" spans="1:65" x14ac:dyDescent="0.25">
      <c r="A235" s="262" t="s">
        <v>380</v>
      </c>
      <c r="B235" s="12">
        <v>1</v>
      </c>
      <c r="C235" s="11"/>
      <c r="D235" s="11" t="s">
        <v>815</v>
      </c>
      <c r="E235" s="12">
        <v>25</v>
      </c>
      <c r="F235" s="131" t="s">
        <v>544</v>
      </c>
      <c r="G235" s="126" t="str">
        <f>IFERROR(IF(VLOOKUP(TableHandbook[[#This Row],[UDC]],TableAvailabilities[],2,FALSE)&gt;0,"Y",""),"")</f>
        <v/>
      </c>
      <c r="H235" s="127" t="str">
        <f>IFERROR(IF(VLOOKUP(TableHandbook[[#This Row],[UDC]],TableAvailabilities[],3,FALSE)&gt;0,"Y",""),"")</f>
        <v/>
      </c>
      <c r="I235" s="127" t="str">
        <f>IFERROR(IF(VLOOKUP(TableHandbook[[#This Row],[UDC]],TableAvailabilities[],4,FALSE)&gt;0,"Y",""),"")</f>
        <v/>
      </c>
      <c r="J235" s="128" t="str">
        <f>IFERROR(IF(VLOOKUP(TableHandbook[[#This Row],[UDC]],TableAvailabilities[],5,FALSE)&gt;0,"Y",""),"")</f>
        <v>Y</v>
      </c>
      <c r="K235" s="128" t="str">
        <f>IFERROR(IF(VLOOKUP(TableHandbook[[#This Row],[UDC]],TableAvailabilities[],6,FALSE)&gt;0,"Y",""),"")</f>
        <v>Y</v>
      </c>
      <c r="L235" s="127" t="str">
        <f>IFERROR(IF(VLOOKUP(TableHandbook[[#This Row],[UDC]],TableAvailabilities[],7,FALSE)&gt;0,"Y",""),"")</f>
        <v/>
      </c>
      <c r="M235" s="251"/>
      <c r="N235" s="200" t="str">
        <f>IFERROR(VLOOKUP(TableHandbook[[#This Row],[UDC]],TableBEDUC[],7,FALSE),"")</f>
        <v/>
      </c>
      <c r="O235" s="200" t="str">
        <f>IFERROR(VLOOKUP(TableHandbook[[#This Row],[UDC]],TableBEDEC[],7,FALSE),"")</f>
        <v/>
      </c>
      <c r="P235" s="200" t="str">
        <f>IFERROR(VLOOKUP(TableHandbook[[#This Row],[UDC]],TableBEDPR[],7,FALSE),"")</f>
        <v/>
      </c>
      <c r="Q235" s="200" t="str">
        <f>IFERROR(VLOOKUP(TableHandbook[[#This Row],[UDC]],TableSTRUCATHL[],7,FALSE),"")</f>
        <v/>
      </c>
      <c r="R235" s="200" t="str">
        <f>IFERROR(VLOOKUP(TableHandbook[[#This Row],[UDC]],TableSTRUENGLL[],7,FALSE),"")</f>
        <v/>
      </c>
      <c r="S235" s="200" t="str">
        <f>IFERROR(VLOOKUP(TableHandbook[[#This Row],[UDC]],TableSTRUINTBC[],7,FALSE),"")</f>
        <v/>
      </c>
      <c r="T235" s="200" t="str">
        <f>IFERROR(VLOOKUP(TableHandbook[[#This Row],[UDC]],TableSTRUISTEM[],7,FALSE),"")</f>
        <v/>
      </c>
      <c r="U235" s="200" t="str">
        <f>IFERROR(VLOOKUP(TableHandbook[[#This Row],[UDC]],TableSTRULITNU[],7,FALSE),"")</f>
        <v/>
      </c>
      <c r="V235" s="200" t="str">
        <f>IFERROR(VLOOKUP(TableHandbook[[#This Row],[UDC]],TableSTRUTECHS[],7,FALSE),"")</f>
        <v/>
      </c>
      <c r="W235" s="200" t="str">
        <f>IFERROR(VLOOKUP(TableHandbook[[#This Row],[UDC]],TableBEDSC[],7,FALSE),"")</f>
        <v/>
      </c>
      <c r="X235" s="200" t="str">
        <f>IFERROR(VLOOKUP(TableHandbook[[#This Row],[UDC]],TableMJRUARTDR[],7,FALSE),"")</f>
        <v/>
      </c>
      <c r="Y235" s="200" t="str">
        <f>IFERROR(VLOOKUP(TableHandbook[[#This Row],[UDC]],TableMJRUARTME[],7,FALSE),"")</f>
        <v>Core</v>
      </c>
      <c r="Z235" s="200" t="str">
        <f>IFERROR(VLOOKUP(TableHandbook[[#This Row],[UDC]],TableMJRUARTVA[],7,FALSE),"")</f>
        <v/>
      </c>
      <c r="AA235" s="200" t="str">
        <f>IFERROR(VLOOKUP(TableHandbook[[#This Row],[UDC]],TableMJRUENGLT[],7,FALSE),"")</f>
        <v/>
      </c>
      <c r="AB235" s="200" t="str">
        <f>IFERROR(VLOOKUP(TableHandbook[[#This Row],[UDC]],TableMJRUHLTPE[],7,FALSE),"")</f>
        <v/>
      </c>
      <c r="AC235" s="200" t="str">
        <f>IFERROR(VLOOKUP(TableHandbook[[#This Row],[UDC]],TableMJRUHUSEC[],7,FALSE),"")</f>
        <v/>
      </c>
      <c r="AD235" s="200" t="str">
        <f>IFERROR(VLOOKUP(TableHandbook[[#This Row],[UDC]],TableMJRUHUSGE[],7,FALSE),"")</f>
        <v/>
      </c>
      <c r="AE235" s="200" t="str">
        <f>IFERROR(VLOOKUP(TableHandbook[[#This Row],[UDC]],TableMJRUHUSHI[],7,FALSE),"")</f>
        <v/>
      </c>
      <c r="AF235" s="200" t="str">
        <f>IFERROR(VLOOKUP(TableHandbook[[#This Row],[UDC]],TableMJRUHUSPL[],7,FALSE),"")</f>
        <v/>
      </c>
      <c r="AG235" s="200" t="str">
        <f>IFERROR(VLOOKUP(TableHandbook[[#This Row],[UDC]],TableMJRUMATHT[],7,FALSE),"")</f>
        <v/>
      </c>
      <c r="AH235" s="200" t="str">
        <f>IFERROR(VLOOKUP(TableHandbook[[#This Row],[UDC]],TableMJRUSCIBI[],7,FALSE),"")</f>
        <v/>
      </c>
      <c r="AI235" s="200" t="str">
        <f>IFERROR(VLOOKUP(TableHandbook[[#This Row],[UDC]],TableMJRUSCICH[],7,FALSE),"")</f>
        <v/>
      </c>
      <c r="AJ235" s="200" t="str">
        <f>IFERROR(VLOOKUP(TableHandbook[[#This Row],[UDC]],TableMJRUSCIHB[],7,FALSE),"")</f>
        <v/>
      </c>
      <c r="AK235" s="200" t="str">
        <f>IFERROR(VLOOKUP(TableHandbook[[#This Row],[UDC]],TableMJRUSCIPH[],7,FALSE),"")</f>
        <v/>
      </c>
      <c r="AL235" s="200" t="str">
        <f>IFERROR(VLOOKUP(TableHandbook[[#This Row],[UDC]],TableMJRUSCIPS[],7,FALSE),"")</f>
        <v/>
      </c>
      <c r="AM235" s="202"/>
      <c r="AN235" s="200" t="str">
        <f>IFERROR(VLOOKUP(TableHandbook[[#This Row],[UDC]],TableSTRUBIOLB[],7,FALSE),"")</f>
        <v/>
      </c>
      <c r="AO235" s="200" t="str">
        <f>IFERROR(VLOOKUP(TableHandbook[[#This Row],[UDC]],TableSTRUBSCIM[],7,FALSE),"")</f>
        <v/>
      </c>
      <c r="AP235" s="200" t="str">
        <f>IFERROR(VLOOKUP(TableHandbook[[#This Row],[UDC]],TableSTRUCHEMB[],7,FALSE),"")</f>
        <v/>
      </c>
      <c r="AQ235" s="200" t="str">
        <f>IFERROR(VLOOKUP(TableHandbook[[#This Row],[UDC]],TableSTRUECOB1[],7,FALSE),"")</f>
        <v/>
      </c>
      <c r="AR235" s="200" t="str">
        <f>IFERROR(VLOOKUP(TableHandbook[[#This Row],[UDC]],TableSTRUEDART[],7,FALSE),"")</f>
        <v/>
      </c>
      <c r="AS235" s="200" t="str">
        <f>IFERROR(VLOOKUP(TableHandbook[[#This Row],[UDC]],TableSTRUEDENG[],7,FALSE),"")</f>
        <v/>
      </c>
      <c r="AT235" s="200" t="str">
        <f>IFERROR(VLOOKUP(TableHandbook[[#This Row],[UDC]],TableSTRUEDHAS[],7,FALSE),"")</f>
        <v/>
      </c>
      <c r="AU235" s="200" t="str">
        <f>IFERROR(VLOOKUP(TableHandbook[[#This Row],[UDC]],TableSTRUEDMAT[],7,FALSE),"")</f>
        <v/>
      </c>
      <c r="AV235" s="200" t="str">
        <f>IFERROR(VLOOKUP(TableHandbook[[#This Row],[UDC]],TableSTRUEDSCI[],7,FALSE),"")</f>
        <v/>
      </c>
      <c r="AW235" s="200" t="str">
        <f>IFERROR(VLOOKUP(TableHandbook[[#This Row],[UDC]],TableSTRUENGLB[],7,FALSE),"")</f>
        <v/>
      </c>
      <c r="AX235" s="200" t="str">
        <f>IFERROR(VLOOKUP(TableHandbook[[#This Row],[UDC]],TableSTRUENGLM[],7,FALSE),"")</f>
        <v/>
      </c>
      <c r="AY235" s="200" t="str">
        <f>IFERROR(VLOOKUP(TableHandbook[[#This Row],[UDC]],TableSTRUGEOB1[],7,FALSE),"")</f>
        <v/>
      </c>
      <c r="AZ235" s="200" t="str">
        <f>IFERROR(VLOOKUP(TableHandbook[[#This Row],[UDC]],TableSTRUHISB1[],7,FALSE),"")</f>
        <v/>
      </c>
      <c r="BA235" s="200" t="str">
        <f>IFERROR(VLOOKUP(TableHandbook[[#This Row],[UDC]],TableSTRUHUMAM[],7,FALSE),"")</f>
        <v/>
      </c>
      <c r="BB235" s="200" t="str">
        <f>IFERROR(VLOOKUP(TableHandbook[[#This Row],[UDC]],TableSTRUHUMBB[],7,FALSE),"")</f>
        <v/>
      </c>
      <c r="BC235" s="200" t="str">
        <f>IFERROR(VLOOKUP(TableHandbook[[#This Row],[UDC]],TableSTRUMATHB[],7,FALSE),"")</f>
        <v/>
      </c>
      <c r="BD235" s="200" t="str">
        <f>IFERROR(VLOOKUP(TableHandbook[[#This Row],[UDC]],TableSTRUMATHM[],7,FALSE),"")</f>
        <v/>
      </c>
      <c r="BE235" s="200" t="str">
        <f>IFERROR(VLOOKUP(TableHandbook[[#This Row],[UDC]],TableSTRUPARTB[],7,FALSE),"")</f>
        <v/>
      </c>
      <c r="BF235" s="200" t="str">
        <f>IFERROR(VLOOKUP(TableHandbook[[#This Row],[UDC]],TableSTRUPARTM[],7,FALSE),"")</f>
        <v/>
      </c>
      <c r="BG235" s="200" t="str">
        <f>IFERROR(VLOOKUP(TableHandbook[[#This Row],[UDC]],TableSTRUPOLB1[],7,FALSE),"")</f>
        <v/>
      </c>
      <c r="BH235" s="200" t="str">
        <f>IFERROR(VLOOKUP(TableHandbook[[#This Row],[UDC]],TableSTRUPSCIM[],7,FALSE),"")</f>
        <v/>
      </c>
      <c r="BI235" s="200" t="str">
        <f>IFERROR(VLOOKUP(TableHandbook[[#This Row],[UDC]],TableSTRUPSYCB[],7,FALSE),"")</f>
        <v/>
      </c>
      <c r="BJ235" s="200" t="str">
        <f>IFERROR(VLOOKUP(TableHandbook[[#This Row],[UDC]],TableSTRUPSYCM[],7,FALSE),"")</f>
        <v/>
      </c>
      <c r="BK235" s="200" t="str">
        <f>IFERROR(VLOOKUP(TableHandbook[[#This Row],[UDC]],TableSTRUSOSCM[],7,FALSE),"")</f>
        <v/>
      </c>
      <c r="BL235" s="200" t="str">
        <f>IFERROR(VLOOKUP(TableHandbook[[#This Row],[UDC]],TableSTRUVARTB[],7,FALSE),"")</f>
        <v/>
      </c>
      <c r="BM235" s="200" t="str">
        <f>IFERROR(VLOOKUP(TableHandbook[[#This Row],[UDC]],TableSTRUVARTM[],7,FALSE),"")</f>
        <v/>
      </c>
    </row>
    <row r="236" spans="1:65" x14ac:dyDescent="0.25">
      <c r="A236" s="262" t="s">
        <v>327</v>
      </c>
      <c r="B236" s="12">
        <v>2</v>
      </c>
      <c r="C236" s="11"/>
      <c r="D236" s="11" t="s">
        <v>816</v>
      </c>
      <c r="E236" s="12">
        <v>25</v>
      </c>
      <c r="F236" s="131" t="s">
        <v>544</v>
      </c>
      <c r="G236" s="126" t="str">
        <f>IFERROR(IF(VLOOKUP(TableHandbook[[#This Row],[UDC]],TableAvailabilities[],2,FALSE)&gt;0,"Y",""),"")</f>
        <v>Y</v>
      </c>
      <c r="H236" s="127" t="str">
        <f>IFERROR(IF(VLOOKUP(TableHandbook[[#This Row],[UDC]],TableAvailabilities[],3,FALSE)&gt;0,"Y",""),"")</f>
        <v/>
      </c>
      <c r="I236" s="127" t="str">
        <f>IFERROR(IF(VLOOKUP(TableHandbook[[#This Row],[UDC]],TableAvailabilities[],4,FALSE)&gt;0,"Y",""),"")</f>
        <v/>
      </c>
      <c r="J236" s="128" t="str">
        <f>IFERROR(IF(VLOOKUP(TableHandbook[[#This Row],[UDC]],TableAvailabilities[],5,FALSE)&gt;0,"Y",""),"")</f>
        <v>Y</v>
      </c>
      <c r="K236" s="128" t="str">
        <f>IFERROR(IF(VLOOKUP(TableHandbook[[#This Row],[UDC]],TableAvailabilities[],6,FALSE)&gt;0,"Y",""),"")</f>
        <v/>
      </c>
      <c r="L236" s="127" t="str">
        <f>IFERROR(IF(VLOOKUP(TableHandbook[[#This Row],[UDC]],TableAvailabilities[],7,FALSE)&gt;0,"Y",""),"")</f>
        <v/>
      </c>
      <c r="M236" s="251"/>
      <c r="N236" s="200" t="str">
        <f>IFERROR(VLOOKUP(TableHandbook[[#This Row],[UDC]],TableBEDUC[],7,FALSE),"")</f>
        <v/>
      </c>
      <c r="O236" s="200" t="str">
        <f>IFERROR(VLOOKUP(TableHandbook[[#This Row],[UDC]],TableBEDEC[],7,FALSE),"")</f>
        <v/>
      </c>
      <c r="P236" s="200" t="str">
        <f>IFERROR(VLOOKUP(TableHandbook[[#This Row],[UDC]],TableBEDPR[],7,FALSE),"")</f>
        <v/>
      </c>
      <c r="Q236" s="200" t="str">
        <f>IFERROR(VLOOKUP(TableHandbook[[#This Row],[UDC]],TableSTRUCATHL[],7,FALSE),"")</f>
        <v/>
      </c>
      <c r="R236" s="200" t="str">
        <f>IFERROR(VLOOKUP(TableHandbook[[#This Row],[UDC]],TableSTRUENGLL[],7,FALSE),"")</f>
        <v/>
      </c>
      <c r="S236" s="200" t="str">
        <f>IFERROR(VLOOKUP(TableHandbook[[#This Row],[UDC]],TableSTRUINTBC[],7,FALSE),"")</f>
        <v/>
      </c>
      <c r="T236" s="200" t="str">
        <f>IFERROR(VLOOKUP(TableHandbook[[#This Row],[UDC]],TableSTRUISTEM[],7,FALSE),"")</f>
        <v/>
      </c>
      <c r="U236" s="200" t="str">
        <f>IFERROR(VLOOKUP(TableHandbook[[#This Row],[UDC]],TableSTRULITNU[],7,FALSE),"")</f>
        <v/>
      </c>
      <c r="V236" s="200" t="str">
        <f>IFERROR(VLOOKUP(TableHandbook[[#This Row],[UDC]],TableSTRUTECHS[],7,FALSE),"")</f>
        <v/>
      </c>
      <c r="W236" s="200" t="str">
        <f>IFERROR(VLOOKUP(TableHandbook[[#This Row],[UDC]],TableBEDSC[],7,FALSE),"")</f>
        <v/>
      </c>
      <c r="X236" s="200" t="str">
        <f>IFERROR(VLOOKUP(TableHandbook[[#This Row],[UDC]],TableMJRUARTDR[],7,FALSE),"")</f>
        <v/>
      </c>
      <c r="Y236" s="200" t="str">
        <f>IFERROR(VLOOKUP(TableHandbook[[#This Row],[UDC]],TableMJRUARTME[],7,FALSE),"")</f>
        <v>Core</v>
      </c>
      <c r="Z236" s="200" t="str">
        <f>IFERROR(VLOOKUP(TableHandbook[[#This Row],[UDC]],TableMJRUARTVA[],7,FALSE),"")</f>
        <v/>
      </c>
      <c r="AA236" s="200" t="str">
        <f>IFERROR(VLOOKUP(TableHandbook[[#This Row],[UDC]],TableMJRUENGLT[],7,FALSE),"")</f>
        <v/>
      </c>
      <c r="AB236" s="200" t="str">
        <f>IFERROR(VLOOKUP(TableHandbook[[#This Row],[UDC]],TableMJRUHLTPE[],7,FALSE),"")</f>
        <v/>
      </c>
      <c r="AC236" s="200" t="str">
        <f>IFERROR(VLOOKUP(TableHandbook[[#This Row],[UDC]],TableMJRUHUSEC[],7,FALSE),"")</f>
        <v/>
      </c>
      <c r="AD236" s="200" t="str">
        <f>IFERROR(VLOOKUP(TableHandbook[[#This Row],[UDC]],TableMJRUHUSGE[],7,FALSE),"")</f>
        <v/>
      </c>
      <c r="AE236" s="200" t="str">
        <f>IFERROR(VLOOKUP(TableHandbook[[#This Row],[UDC]],TableMJRUHUSHI[],7,FALSE),"")</f>
        <v/>
      </c>
      <c r="AF236" s="200" t="str">
        <f>IFERROR(VLOOKUP(TableHandbook[[#This Row],[UDC]],TableMJRUHUSPL[],7,FALSE),"")</f>
        <v/>
      </c>
      <c r="AG236" s="200" t="str">
        <f>IFERROR(VLOOKUP(TableHandbook[[#This Row],[UDC]],TableMJRUMATHT[],7,FALSE),"")</f>
        <v/>
      </c>
      <c r="AH236" s="200" t="str">
        <f>IFERROR(VLOOKUP(TableHandbook[[#This Row],[UDC]],TableMJRUSCIBI[],7,FALSE),"")</f>
        <v/>
      </c>
      <c r="AI236" s="200" t="str">
        <f>IFERROR(VLOOKUP(TableHandbook[[#This Row],[UDC]],TableMJRUSCICH[],7,FALSE),"")</f>
        <v/>
      </c>
      <c r="AJ236" s="200" t="str">
        <f>IFERROR(VLOOKUP(TableHandbook[[#This Row],[UDC]],TableMJRUSCIHB[],7,FALSE),"")</f>
        <v/>
      </c>
      <c r="AK236" s="200" t="str">
        <f>IFERROR(VLOOKUP(TableHandbook[[#This Row],[UDC]],TableMJRUSCIPH[],7,FALSE),"")</f>
        <v/>
      </c>
      <c r="AL236" s="200" t="str">
        <f>IFERROR(VLOOKUP(TableHandbook[[#This Row],[UDC]],TableMJRUSCIPS[],7,FALSE),"")</f>
        <v/>
      </c>
      <c r="AM236" s="202"/>
      <c r="AN236" s="200" t="str">
        <f>IFERROR(VLOOKUP(TableHandbook[[#This Row],[UDC]],TableSTRUBIOLB[],7,FALSE),"")</f>
        <v/>
      </c>
      <c r="AO236" s="200" t="str">
        <f>IFERROR(VLOOKUP(TableHandbook[[#This Row],[UDC]],TableSTRUBSCIM[],7,FALSE),"")</f>
        <v/>
      </c>
      <c r="AP236" s="200" t="str">
        <f>IFERROR(VLOOKUP(TableHandbook[[#This Row],[UDC]],TableSTRUCHEMB[],7,FALSE),"")</f>
        <v/>
      </c>
      <c r="AQ236" s="200" t="str">
        <f>IFERROR(VLOOKUP(TableHandbook[[#This Row],[UDC]],TableSTRUECOB1[],7,FALSE),"")</f>
        <v/>
      </c>
      <c r="AR236" s="200" t="str">
        <f>IFERROR(VLOOKUP(TableHandbook[[#This Row],[UDC]],TableSTRUEDART[],7,FALSE),"")</f>
        <v/>
      </c>
      <c r="AS236" s="200" t="str">
        <f>IFERROR(VLOOKUP(TableHandbook[[#This Row],[UDC]],TableSTRUEDENG[],7,FALSE),"")</f>
        <v/>
      </c>
      <c r="AT236" s="200" t="str">
        <f>IFERROR(VLOOKUP(TableHandbook[[#This Row],[UDC]],TableSTRUEDHAS[],7,FALSE),"")</f>
        <v/>
      </c>
      <c r="AU236" s="200" t="str">
        <f>IFERROR(VLOOKUP(TableHandbook[[#This Row],[UDC]],TableSTRUEDMAT[],7,FALSE),"")</f>
        <v/>
      </c>
      <c r="AV236" s="200" t="str">
        <f>IFERROR(VLOOKUP(TableHandbook[[#This Row],[UDC]],TableSTRUEDSCI[],7,FALSE),"")</f>
        <v/>
      </c>
      <c r="AW236" s="200" t="str">
        <f>IFERROR(VLOOKUP(TableHandbook[[#This Row],[UDC]],TableSTRUENGLB[],7,FALSE),"")</f>
        <v/>
      </c>
      <c r="AX236" s="200" t="str">
        <f>IFERROR(VLOOKUP(TableHandbook[[#This Row],[UDC]],TableSTRUENGLM[],7,FALSE),"")</f>
        <v/>
      </c>
      <c r="AY236" s="200" t="str">
        <f>IFERROR(VLOOKUP(TableHandbook[[#This Row],[UDC]],TableSTRUGEOB1[],7,FALSE),"")</f>
        <v/>
      </c>
      <c r="AZ236" s="200" t="str">
        <f>IFERROR(VLOOKUP(TableHandbook[[#This Row],[UDC]],TableSTRUHISB1[],7,FALSE),"")</f>
        <v/>
      </c>
      <c r="BA236" s="200" t="str">
        <f>IFERROR(VLOOKUP(TableHandbook[[#This Row],[UDC]],TableSTRUHUMAM[],7,FALSE),"")</f>
        <v/>
      </c>
      <c r="BB236" s="200" t="str">
        <f>IFERROR(VLOOKUP(TableHandbook[[#This Row],[UDC]],TableSTRUHUMBB[],7,FALSE),"")</f>
        <v/>
      </c>
      <c r="BC236" s="200" t="str">
        <f>IFERROR(VLOOKUP(TableHandbook[[#This Row],[UDC]],TableSTRUMATHB[],7,FALSE),"")</f>
        <v/>
      </c>
      <c r="BD236" s="200" t="str">
        <f>IFERROR(VLOOKUP(TableHandbook[[#This Row],[UDC]],TableSTRUMATHM[],7,FALSE),"")</f>
        <v/>
      </c>
      <c r="BE236" s="200" t="str">
        <f>IFERROR(VLOOKUP(TableHandbook[[#This Row],[UDC]],TableSTRUPARTB[],7,FALSE),"")</f>
        <v/>
      </c>
      <c r="BF236" s="200" t="str">
        <f>IFERROR(VLOOKUP(TableHandbook[[#This Row],[UDC]],TableSTRUPARTM[],7,FALSE),"")</f>
        <v>Core</v>
      </c>
      <c r="BG236" s="200" t="str">
        <f>IFERROR(VLOOKUP(TableHandbook[[#This Row],[UDC]],TableSTRUPOLB1[],7,FALSE),"")</f>
        <v/>
      </c>
      <c r="BH236" s="200" t="str">
        <f>IFERROR(VLOOKUP(TableHandbook[[#This Row],[UDC]],TableSTRUPSCIM[],7,FALSE),"")</f>
        <v/>
      </c>
      <c r="BI236" s="200" t="str">
        <f>IFERROR(VLOOKUP(TableHandbook[[#This Row],[UDC]],TableSTRUPSYCB[],7,FALSE),"")</f>
        <v/>
      </c>
      <c r="BJ236" s="200" t="str">
        <f>IFERROR(VLOOKUP(TableHandbook[[#This Row],[UDC]],TableSTRUPSYCM[],7,FALSE),"")</f>
        <v/>
      </c>
      <c r="BK236" s="200" t="str">
        <f>IFERROR(VLOOKUP(TableHandbook[[#This Row],[UDC]],TableSTRUSOSCM[],7,FALSE),"")</f>
        <v/>
      </c>
      <c r="BL236" s="200" t="str">
        <f>IFERROR(VLOOKUP(TableHandbook[[#This Row],[UDC]],TableSTRUVARTB[],7,FALSE),"")</f>
        <v/>
      </c>
      <c r="BM236" s="200" t="str">
        <f>IFERROR(VLOOKUP(TableHandbook[[#This Row],[UDC]],TableSTRUVARTM[],7,FALSE),"")</f>
        <v/>
      </c>
    </row>
    <row r="237" spans="1:65" x14ac:dyDescent="0.25">
      <c r="A237" s="262" t="s">
        <v>349</v>
      </c>
      <c r="B237" s="12">
        <v>3</v>
      </c>
      <c r="C237" s="11"/>
      <c r="D237" s="11" t="s">
        <v>817</v>
      </c>
      <c r="E237" s="12">
        <v>25</v>
      </c>
      <c r="F237" s="131" t="s">
        <v>544</v>
      </c>
      <c r="G237" s="126" t="str">
        <f>IFERROR(IF(VLOOKUP(TableHandbook[[#This Row],[UDC]],TableAvailabilities[],2,FALSE)&gt;0,"Y",""),"")</f>
        <v>Y</v>
      </c>
      <c r="H237" s="127" t="str">
        <f>IFERROR(IF(VLOOKUP(TableHandbook[[#This Row],[UDC]],TableAvailabilities[],3,FALSE)&gt;0,"Y",""),"")</f>
        <v/>
      </c>
      <c r="I237" s="127" t="str">
        <f>IFERROR(IF(VLOOKUP(TableHandbook[[#This Row],[UDC]],TableAvailabilities[],4,FALSE)&gt;0,"Y",""),"")</f>
        <v/>
      </c>
      <c r="J237" s="128" t="str">
        <f>IFERROR(IF(VLOOKUP(TableHandbook[[#This Row],[UDC]],TableAvailabilities[],5,FALSE)&gt;0,"Y",""),"")</f>
        <v>Y</v>
      </c>
      <c r="K237" s="128" t="str">
        <f>IFERROR(IF(VLOOKUP(TableHandbook[[#This Row],[UDC]],TableAvailabilities[],6,FALSE)&gt;0,"Y",""),"")</f>
        <v/>
      </c>
      <c r="L237" s="127" t="str">
        <f>IFERROR(IF(VLOOKUP(TableHandbook[[#This Row],[UDC]],TableAvailabilities[],7,FALSE)&gt;0,"Y",""),"")</f>
        <v/>
      </c>
      <c r="M237" s="251"/>
      <c r="N237" s="200" t="str">
        <f>IFERROR(VLOOKUP(TableHandbook[[#This Row],[UDC]],TableBEDUC[],7,FALSE),"")</f>
        <v/>
      </c>
      <c r="O237" s="200" t="str">
        <f>IFERROR(VLOOKUP(TableHandbook[[#This Row],[UDC]],TableBEDEC[],7,FALSE),"")</f>
        <v/>
      </c>
      <c r="P237" s="200" t="str">
        <f>IFERROR(VLOOKUP(TableHandbook[[#This Row],[UDC]],TableBEDPR[],7,FALSE),"")</f>
        <v/>
      </c>
      <c r="Q237" s="200" t="str">
        <f>IFERROR(VLOOKUP(TableHandbook[[#This Row],[UDC]],TableSTRUCATHL[],7,FALSE),"")</f>
        <v/>
      </c>
      <c r="R237" s="200" t="str">
        <f>IFERROR(VLOOKUP(TableHandbook[[#This Row],[UDC]],TableSTRUENGLL[],7,FALSE),"")</f>
        <v/>
      </c>
      <c r="S237" s="200" t="str">
        <f>IFERROR(VLOOKUP(TableHandbook[[#This Row],[UDC]],TableSTRUINTBC[],7,FALSE),"")</f>
        <v/>
      </c>
      <c r="T237" s="200" t="str">
        <f>IFERROR(VLOOKUP(TableHandbook[[#This Row],[UDC]],TableSTRUISTEM[],7,FALSE),"")</f>
        <v/>
      </c>
      <c r="U237" s="200" t="str">
        <f>IFERROR(VLOOKUP(TableHandbook[[#This Row],[UDC]],TableSTRULITNU[],7,FALSE),"")</f>
        <v/>
      </c>
      <c r="V237" s="200" t="str">
        <f>IFERROR(VLOOKUP(TableHandbook[[#This Row],[UDC]],TableSTRUTECHS[],7,FALSE),"")</f>
        <v/>
      </c>
      <c r="W237" s="200" t="str">
        <f>IFERROR(VLOOKUP(TableHandbook[[#This Row],[UDC]],TableBEDSC[],7,FALSE),"")</f>
        <v/>
      </c>
      <c r="X237" s="200" t="str">
        <f>IFERROR(VLOOKUP(TableHandbook[[#This Row],[UDC]],TableMJRUARTDR[],7,FALSE),"")</f>
        <v/>
      </c>
      <c r="Y237" s="200" t="str">
        <f>IFERROR(VLOOKUP(TableHandbook[[#This Row],[UDC]],TableMJRUARTME[],7,FALSE),"")</f>
        <v>Core</v>
      </c>
      <c r="Z237" s="200" t="str">
        <f>IFERROR(VLOOKUP(TableHandbook[[#This Row],[UDC]],TableMJRUARTVA[],7,FALSE),"")</f>
        <v/>
      </c>
      <c r="AA237" s="200" t="str">
        <f>IFERROR(VLOOKUP(TableHandbook[[#This Row],[UDC]],TableMJRUENGLT[],7,FALSE),"")</f>
        <v/>
      </c>
      <c r="AB237" s="200" t="str">
        <f>IFERROR(VLOOKUP(TableHandbook[[#This Row],[UDC]],TableMJRUHLTPE[],7,FALSE),"")</f>
        <v/>
      </c>
      <c r="AC237" s="200" t="str">
        <f>IFERROR(VLOOKUP(TableHandbook[[#This Row],[UDC]],TableMJRUHUSEC[],7,FALSE),"")</f>
        <v/>
      </c>
      <c r="AD237" s="200" t="str">
        <f>IFERROR(VLOOKUP(TableHandbook[[#This Row],[UDC]],TableMJRUHUSGE[],7,FALSE),"")</f>
        <v/>
      </c>
      <c r="AE237" s="200" t="str">
        <f>IFERROR(VLOOKUP(TableHandbook[[#This Row],[UDC]],TableMJRUHUSHI[],7,FALSE),"")</f>
        <v/>
      </c>
      <c r="AF237" s="200" t="str">
        <f>IFERROR(VLOOKUP(TableHandbook[[#This Row],[UDC]],TableMJRUHUSPL[],7,FALSE),"")</f>
        <v/>
      </c>
      <c r="AG237" s="200" t="str">
        <f>IFERROR(VLOOKUP(TableHandbook[[#This Row],[UDC]],TableMJRUMATHT[],7,FALSE),"")</f>
        <v/>
      </c>
      <c r="AH237" s="200" t="str">
        <f>IFERROR(VLOOKUP(TableHandbook[[#This Row],[UDC]],TableMJRUSCIBI[],7,FALSE),"")</f>
        <v/>
      </c>
      <c r="AI237" s="200" t="str">
        <f>IFERROR(VLOOKUP(TableHandbook[[#This Row],[UDC]],TableMJRUSCICH[],7,FALSE),"")</f>
        <v/>
      </c>
      <c r="AJ237" s="200" t="str">
        <f>IFERROR(VLOOKUP(TableHandbook[[#This Row],[UDC]],TableMJRUSCIHB[],7,FALSE),"")</f>
        <v/>
      </c>
      <c r="AK237" s="200" t="str">
        <f>IFERROR(VLOOKUP(TableHandbook[[#This Row],[UDC]],TableMJRUSCIPH[],7,FALSE),"")</f>
        <v/>
      </c>
      <c r="AL237" s="200" t="str">
        <f>IFERROR(VLOOKUP(TableHandbook[[#This Row],[UDC]],TableMJRUSCIPS[],7,FALSE),"")</f>
        <v/>
      </c>
      <c r="AM237" s="202"/>
      <c r="AN237" s="200" t="str">
        <f>IFERROR(VLOOKUP(TableHandbook[[#This Row],[UDC]],TableSTRUBIOLB[],7,FALSE),"")</f>
        <v/>
      </c>
      <c r="AO237" s="200" t="str">
        <f>IFERROR(VLOOKUP(TableHandbook[[#This Row],[UDC]],TableSTRUBSCIM[],7,FALSE),"")</f>
        <v/>
      </c>
      <c r="AP237" s="200" t="str">
        <f>IFERROR(VLOOKUP(TableHandbook[[#This Row],[UDC]],TableSTRUCHEMB[],7,FALSE),"")</f>
        <v/>
      </c>
      <c r="AQ237" s="200" t="str">
        <f>IFERROR(VLOOKUP(TableHandbook[[#This Row],[UDC]],TableSTRUECOB1[],7,FALSE),"")</f>
        <v/>
      </c>
      <c r="AR237" s="200" t="str">
        <f>IFERROR(VLOOKUP(TableHandbook[[#This Row],[UDC]],TableSTRUEDART[],7,FALSE),"")</f>
        <v/>
      </c>
      <c r="AS237" s="200" t="str">
        <f>IFERROR(VLOOKUP(TableHandbook[[#This Row],[UDC]],TableSTRUEDENG[],7,FALSE),"")</f>
        <v/>
      </c>
      <c r="AT237" s="200" t="str">
        <f>IFERROR(VLOOKUP(TableHandbook[[#This Row],[UDC]],TableSTRUEDHAS[],7,FALSE),"")</f>
        <v/>
      </c>
      <c r="AU237" s="200" t="str">
        <f>IFERROR(VLOOKUP(TableHandbook[[#This Row],[UDC]],TableSTRUEDMAT[],7,FALSE),"")</f>
        <v/>
      </c>
      <c r="AV237" s="200" t="str">
        <f>IFERROR(VLOOKUP(TableHandbook[[#This Row],[UDC]],TableSTRUEDSCI[],7,FALSE),"")</f>
        <v/>
      </c>
      <c r="AW237" s="200" t="str">
        <f>IFERROR(VLOOKUP(TableHandbook[[#This Row],[UDC]],TableSTRUENGLB[],7,FALSE),"")</f>
        <v/>
      </c>
      <c r="AX237" s="200" t="str">
        <f>IFERROR(VLOOKUP(TableHandbook[[#This Row],[UDC]],TableSTRUENGLM[],7,FALSE),"")</f>
        <v/>
      </c>
      <c r="AY237" s="200" t="str">
        <f>IFERROR(VLOOKUP(TableHandbook[[#This Row],[UDC]],TableSTRUGEOB1[],7,FALSE),"")</f>
        <v/>
      </c>
      <c r="AZ237" s="200" t="str">
        <f>IFERROR(VLOOKUP(TableHandbook[[#This Row],[UDC]],TableSTRUHISB1[],7,FALSE),"")</f>
        <v/>
      </c>
      <c r="BA237" s="200" t="str">
        <f>IFERROR(VLOOKUP(TableHandbook[[#This Row],[UDC]],TableSTRUHUMAM[],7,FALSE),"")</f>
        <v/>
      </c>
      <c r="BB237" s="200" t="str">
        <f>IFERROR(VLOOKUP(TableHandbook[[#This Row],[UDC]],TableSTRUHUMBB[],7,FALSE),"")</f>
        <v/>
      </c>
      <c r="BC237" s="200" t="str">
        <f>IFERROR(VLOOKUP(TableHandbook[[#This Row],[UDC]],TableSTRUMATHB[],7,FALSE),"")</f>
        <v/>
      </c>
      <c r="BD237" s="200" t="str">
        <f>IFERROR(VLOOKUP(TableHandbook[[#This Row],[UDC]],TableSTRUMATHM[],7,FALSE),"")</f>
        <v/>
      </c>
      <c r="BE237" s="200" t="str">
        <f>IFERROR(VLOOKUP(TableHandbook[[#This Row],[UDC]],TableSTRUPARTB[],7,FALSE),"")</f>
        <v/>
      </c>
      <c r="BF237" s="200" t="str">
        <f>IFERROR(VLOOKUP(TableHandbook[[#This Row],[UDC]],TableSTRUPARTM[],7,FALSE),"")</f>
        <v>Core</v>
      </c>
      <c r="BG237" s="200" t="str">
        <f>IFERROR(VLOOKUP(TableHandbook[[#This Row],[UDC]],TableSTRUPOLB1[],7,FALSE),"")</f>
        <v/>
      </c>
      <c r="BH237" s="200" t="str">
        <f>IFERROR(VLOOKUP(TableHandbook[[#This Row],[UDC]],TableSTRUPSCIM[],7,FALSE),"")</f>
        <v/>
      </c>
      <c r="BI237" s="200" t="str">
        <f>IFERROR(VLOOKUP(TableHandbook[[#This Row],[UDC]],TableSTRUPSYCB[],7,FALSE),"")</f>
        <v/>
      </c>
      <c r="BJ237" s="200" t="str">
        <f>IFERROR(VLOOKUP(TableHandbook[[#This Row],[UDC]],TableSTRUPSYCM[],7,FALSE),"")</f>
        <v/>
      </c>
      <c r="BK237" s="200" t="str">
        <f>IFERROR(VLOOKUP(TableHandbook[[#This Row],[UDC]],TableSTRUSOSCM[],7,FALSE),"")</f>
        <v/>
      </c>
      <c r="BL237" s="200" t="str">
        <f>IFERROR(VLOOKUP(TableHandbook[[#This Row],[UDC]],TableSTRUVARTB[],7,FALSE),"")</f>
        <v/>
      </c>
      <c r="BM237" s="200" t="str">
        <f>IFERROR(VLOOKUP(TableHandbook[[#This Row],[UDC]],TableSTRUVARTM[],7,FALSE),"")</f>
        <v/>
      </c>
    </row>
    <row r="238" spans="1:65" x14ac:dyDescent="0.25">
      <c r="A238" s="262" t="s">
        <v>365</v>
      </c>
      <c r="B238" s="12">
        <v>2</v>
      </c>
      <c r="C238" s="11"/>
      <c r="D238" s="11" t="s">
        <v>818</v>
      </c>
      <c r="E238" s="12">
        <v>25</v>
      </c>
      <c r="F238" s="131" t="s">
        <v>819</v>
      </c>
      <c r="G238" s="126" t="str">
        <f>IFERROR(IF(VLOOKUP(TableHandbook[[#This Row],[UDC]],TableAvailabilities[],2,FALSE)&gt;0,"Y",""),"")</f>
        <v>Y</v>
      </c>
      <c r="H238" s="127" t="str">
        <f>IFERROR(IF(VLOOKUP(TableHandbook[[#This Row],[UDC]],TableAvailabilities[],3,FALSE)&gt;0,"Y",""),"")</f>
        <v/>
      </c>
      <c r="I238" s="127" t="str">
        <f>IFERROR(IF(VLOOKUP(TableHandbook[[#This Row],[UDC]],TableAvailabilities[],4,FALSE)&gt;0,"Y",""),"")</f>
        <v/>
      </c>
      <c r="J238" s="128" t="str">
        <f>IFERROR(IF(VLOOKUP(TableHandbook[[#This Row],[UDC]],TableAvailabilities[],5,FALSE)&gt;0,"Y",""),"")</f>
        <v/>
      </c>
      <c r="K238" s="128" t="str">
        <f>IFERROR(IF(VLOOKUP(TableHandbook[[#This Row],[UDC]],TableAvailabilities[],6,FALSE)&gt;0,"Y",""),"")</f>
        <v/>
      </c>
      <c r="L238" s="127" t="str">
        <f>IFERROR(IF(VLOOKUP(TableHandbook[[#This Row],[UDC]],TableAvailabilities[],7,FALSE)&gt;0,"Y",""),"")</f>
        <v/>
      </c>
      <c r="M238" s="251"/>
      <c r="N238" s="200" t="str">
        <f>IFERROR(VLOOKUP(TableHandbook[[#This Row],[UDC]],TableBEDUC[],7,FALSE),"")</f>
        <v/>
      </c>
      <c r="O238" s="200" t="str">
        <f>IFERROR(VLOOKUP(TableHandbook[[#This Row],[UDC]],TableBEDEC[],7,FALSE),"")</f>
        <v/>
      </c>
      <c r="P238" s="200" t="str">
        <f>IFERROR(VLOOKUP(TableHandbook[[#This Row],[UDC]],TableBEDPR[],7,FALSE),"")</f>
        <v/>
      </c>
      <c r="Q238" s="200" t="str">
        <f>IFERROR(VLOOKUP(TableHandbook[[#This Row],[UDC]],TableSTRUCATHL[],7,FALSE),"")</f>
        <v/>
      </c>
      <c r="R238" s="200" t="str">
        <f>IFERROR(VLOOKUP(TableHandbook[[#This Row],[UDC]],TableSTRUENGLL[],7,FALSE),"")</f>
        <v/>
      </c>
      <c r="S238" s="200" t="str">
        <f>IFERROR(VLOOKUP(TableHandbook[[#This Row],[UDC]],TableSTRUINTBC[],7,FALSE),"")</f>
        <v/>
      </c>
      <c r="T238" s="200" t="str">
        <f>IFERROR(VLOOKUP(TableHandbook[[#This Row],[UDC]],TableSTRUISTEM[],7,FALSE),"")</f>
        <v/>
      </c>
      <c r="U238" s="200" t="str">
        <f>IFERROR(VLOOKUP(TableHandbook[[#This Row],[UDC]],TableSTRULITNU[],7,FALSE),"")</f>
        <v/>
      </c>
      <c r="V238" s="200" t="str">
        <f>IFERROR(VLOOKUP(TableHandbook[[#This Row],[UDC]],TableSTRUTECHS[],7,FALSE),"")</f>
        <v/>
      </c>
      <c r="W238" s="200" t="str">
        <f>IFERROR(VLOOKUP(TableHandbook[[#This Row],[UDC]],TableBEDSC[],7,FALSE),"")</f>
        <v/>
      </c>
      <c r="X238" s="200" t="str">
        <f>IFERROR(VLOOKUP(TableHandbook[[#This Row],[UDC]],TableMJRUARTDR[],7,FALSE),"")</f>
        <v/>
      </c>
      <c r="Y238" s="200" t="str">
        <f>IFERROR(VLOOKUP(TableHandbook[[#This Row],[UDC]],TableMJRUARTME[],7,FALSE),"")</f>
        <v>Core</v>
      </c>
      <c r="Z238" s="200" t="str">
        <f>IFERROR(VLOOKUP(TableHandbook[[#This Row],[UDC]],TableMJRUARTVA[],7,FALSE),"")</f>
        <v/>
      </c>
      <c r="AA238" s="200" t="str">
        <f>IFERROR(VLOOKUP(TableHandbook[[#This Row],[UDC]],TableMJRUENGLT[],7,FALSE),"")</f>
        <v/>
      </c>
      <c r="AB238" s="200" t="str">
        <f>IFERROR(VLOOKUP(TableHandbook[[#This Row],[UDC]],TableMJRUHLTPE[],7,FALSE),"")</f>
        <v/>
      </c>
      <c r="AC238" s="200" t="str">
        <f>IFERROR(VLOOKUP(TableHandbook[[#This Row],[UDC]],TableMJRUHUSEC[],7,FALSE),"")</f>
        <v/>
      </c>
      <c r="AD238" s="200" t="str">
        <f>IFERROR(VLOOKUP(TableHandbook[[#This Row],[UDC]],TableMJRUHUSGE[],7,FALSE),"")</f>
        <v/>
      </c>
      <c r="AE238" s="200" t="str">
        <f>IFERROR(VLOOKUP(TableHandbook[[#This Row],[UDC]],TableMJRUHUSHI[],7,FALSE),"")</f>
        <v/>
      </c>
      <c r="AF238" s="200" t="str">
        <f>IFERROR(VLOOKUP(TableHandbook[[#This Row],[UDC]],TableMJRUHUSPL[],7,FALSE),"")</f>
        <v/>
      </c>
      <c r="AG238" s="200" t="str">
        <f>IFERROR(VLOOKUP(TableHandbook[[#This Row],[UDC]],TableMJRUMATHT[],7,FALSE),"")</f>
        <v/>
      </c>
      <c r="AH238" s="200" t="str">
        <f>IFERROR(VLOOKUP(TableHandbook[[#This Row],[UDC]],TableMJRUSCIBI[],7,FALSE),"")</f>
        <v/>
      </c>
      <c r="AI238" s="200" t="str">
        <f>IFERROR(VLOOKUP(TableHandbook[[#This Row],[UDC]],TableMJRUSCICH[],7,FALSE),"")</f>
        <v/>
      </c>
      <c r="AJ238" s="200" t="str">
        <f>IFERROR(VLOOKUP(TableHandbook[[#This Row],[UDC]],TableMJRUSCIHB[],7,FALSE),"")</f>
        <v/>
      </c>
      <c r="AK238" s="200" t="str">
        <f>IFERROR(VLOOKUP(TableHandbook[[#This Row],[UDC]],TableMJRUSCIPH[],7,FALSE),"")</f>
        <v/>
      </c>
      <c r="AL238" s="200" t="str">
        <f>IFERROR(VLOOKUP(TableHandbook[[#This Row],[UDC]],TableMJRUSCIPS[],7,FALSE),"")</f>
        <v/>
      </c>
      <c r="AM238" s="202"/>
      <c r="AN238" s="200" t="str">
        <f>IFERROR(VLOOKUP(TableHandbook[[#This Row],[UDC]],TableSTRUBIOLB[],7,FALSE),"")</f>
        <v/>
      </c>
      <c r="AO238" s="200" t="str">
        <f>IFERROR(VLOOKUP(TableHandbook[[#This Row],[UDC]],TableSTRUBSCIM[],7,FALSE),"")</f>
        <v/>
      </c>
      <c r="AP238" s="200" t="str">
        <f>IFERROR(VLOOKUP(TableHandbook[[#This Row],[UDC]],TableSTRUCHEMB[],7,FALSE),"")</f>
        <v/>
      </c>
      <c r="AQ238" s="200" t="str">
        <f>IFERROR(VLOOKUP(TableHandbook[[#This Row],[UDC]],TableSTRUECOB1[],7,FALSE),"")</f>
        <v/>
      </c>
      <c r="AR238" s="200" t="str">
        <f>IFERROR(VLOOKUP(TableHandbook[[#This Row],[UDC]],TableSTRUEDART[],7,FALSE),"")</f>
        <v/>
      </c>
      <c r="AS238" s="200" t="str">
        <f>IFERROR(VLOOKUP(TableHandbook[[#This Row],[UDC]],TableSTRUEDENG[],7,FALSE),"")</f>
        <v/>
      </c>
      <c r="AT238" s="200" t="str">
        <f>IFERROR(VLOOKUP(TableHandbook[[#This Row],[UDC]],TableSTRUEDHAS[],7,FALSE),"")</f>
        <v/>
      </c>
      <c r="AU238" s="200" t="str">
        <f>IFERROR(VLOOKUP(TableHandbook[[#This Row],[UDC]],TableSTRUEDMAT[],7,FALSE),"")</f>
        <v/>
      </c>
      <c r="AV238" s="200" t="str">
        <f>IFERROR(VLOOKUP(TableHandbook[[#This Row],[UDC]],TableSTRUEDSCI[],7,FALSE),"")</f>
        <v/>
      </c>
      <c r="AW238" s="200" t="str">
        <f>IFERROR(VLOOKUP(TableHandbook[[#This Row],[UDC]],TableSTRUENGLB[],7,FALSE),"")</f>
        <v/>
      </c>
      <c r="AX238" s="200" t="str">
        <f>IFERROR(VLOOKUP(TableHandbook[[#This Row],[UDC]],TableSTRUENGLM[],7,FALSE),"")</f>
        <v/>
      </c>
      <c r="AY238" s="200" t="str">
        <f>IFERROR(VLOOKUP(TableHandbook[[#This Row],[UDC]],TableSTRUGEOB1[],7,FALSE),"")</f>
        <v/>
      </c>
      <c r="AZ238" s="200" t="str">
        <f>IFERROR(VLOOKUP(TableHandbook[[#This Row],[UDC]],TableSTRUHISB1[],7,FALSE),"")</f>
        <v/>
      </c>
      <c r="BA238" s="200" t="str">
        <f>IFERROR(VLOOKUP(TableHandbook[[#This Row],[UDC]],TableSTRUHUMAM[],7,FALSE),"")</f>
        <v/>
      </c>
      <c r="BB238" s="200" t="str">
        <f>IFERROR(VLOOKUP(TableHandbook[[#This Row],[UDC]],TableSTRUHUMBB[],7,FALSE),"")</f>
        <v/>
      </c>
      <c r="BC238" s="200" t="str">
        <f>IFERROR(VLOOKUP(TableHandbook[[#This Row],[UDC]],TableSTRUMATHB[],7,FALSE),"")</f>
        <v/>
      </c>
      <c r="BD238" s="200" t="str">
        <f>IFERROR(VLOOKUP(TableHandbook[[#This Row],[UDC]],TableSTRUMATHM[],7,FALSE),"")</f>
        <v/>
      </c>
      <c r="BE238" s="200" t="str">
        <f>IFERROR(VLOOKUP(TableHandbook[[#This Row],[UDC]],TableSTRUPARTB[],7,FALSE),"")</f>
        <v/>
      </c>
      <c r="BF238" s="200" t="str">
        <f>IFERROR(VLOOKUP(TableHandbook[[#This Row],[UDC]],TableSTRUPARTM[],7,FALSE),"")</f>
        <v/>
      </c>
      <c r="BG238" s="200" t="str">
        <f>IFERROR(VLOOKUP(TableHandbook[[#This Row],[UDC]],TableSTRUPOLB1[],7,FALSE),"")</f>
        <v/>
      </c>
      <c r="BH238" s="200" t="str">
        <f>IFERROR(VLOOKUP(TableHandbook[[#This Row],[UDC]],TableSTRUPSCIM[],7,FALSE),"")</f>
        <v/>
      </c>
      <c r="BI238" s="200" t="str">
        <f>IFERROR(VLOOKUP(TableHandbook[[#This Row],[UDC]],TableSTRUPSYCB[],7,FALSE),"")</f>
        <v/>
      </c>
      <c r="BJ238" s="200" t="str">
        <f>IFERROR(VLOOKUP(TableHandbook[[#This Row],[UDC]],TableSTRUPSYCM[],7,FALSE),"")</f>
        <v/>
      </c>
      <c r="BK238" s="200" t="str">
        <f>IFERROR(VLOOKUP(TableHandbook[[#This Row],[UDC]],TableSTRUSOSCM[],7,FALSE),"")</f>
        <v/>
      </c>
      <c r="BL238" s="200" t="str">
        <f>IFERROR(VLOOKUP(TableHandbook[[#This Row],[UDC]],TableSTRUVARTB[],7,FALSE),"")</f>
        <v/>
      </c>
      <c r="BM238" s="200" t="str">
        <f>IFERROR(VLOOKUP(TableHandbook[[#This Row],[UDC]],TableSTRUVARTM[],7,FALSE),"")</f>
        <v/>
      </c>
    </row>
    <row r="239" spans="1:65" x14ac:dyDescent="0.25">
      <c r="A239" s="261" t="s">
        <v>514</v>
      </c>
      <c r="B239" s="12">
        <v>1</v>
      </c>
      <c r="C239" s="11"/>
      <c r="D239" s="11" t="s">
        <v>820</v>
      </c>
      <c r="E239" s="12">
        <v>25</v>
      </c>
      <c r="F239" s="131" t="s">
        <v>819</v>
      </c>
      <c r="G239" s="126" t="str">
        <f>IFERROR(IF(VLOOKUP(TableHandbook[[#This Row],[UDC]],TableAvailabilities[],2,FALSE)&gt;0,"Y",""),"")</f>
        <v/>
      </c>
      <c r="H239" s="127" t="str">
        <f>IFERROR(IF(VLOOKUP(TableHandbook[[#This Row],[UDC]],TableAvailabilities[],3,FALSE)&gt;0,"Y",""),"")</f>
        <v/>
      </c>
      <c r="I239" s="127" t="str">
        <f>IFERROR(IF(VLOOKUP(TableHandbook[[#This Row],[UDC]],TableAvailabilities[],4,FALSE)&gt;0,"Y",""),"")</f>
        <v/>
      </c>
      <c r="J239" s="128" t="str">
        <f>IFERROR(IF(VLOOKUP(TableHandbook[[#This Row],[UDC]],TableAvailabilities[],5,FALSE)&gt;0,"Y",""),"")</f>
        <v>Y</v>
      </c>
      <c r="K239" s="128" t="str">
        <f>IFERROR(IF(VLOOKUP(TableHandbook[[#This Row],[UDC]],TableAvailabilities[],6,FALSE)&gt;0,"Y",""),"")</f>
        <v/>
      </c>
      <c r="L239" s="127" t="str">
        <f>IFERROR(IF(VLOOKUP(TableHandbook[[#This Row],[UDC]],TableAvailabilities[],7,FALSE)&gt;0,"Y",""),"")</f>
        <v/>
      </c>
      <c r="M239" s="251"/>
      <c r="N239" s="200" t="str">
        <f>IFERROR(VLOOKUP(TableHandbook[[#This Row],[UDC]],TableBEDUC[],7,FALSE),"")</f>
        <v/>
      </c>
      <c r="O239" s="200" t="str">
        <f>IFERROR(VLOOKUP(TableHandbook[[#This Row],[UDC]],TableBEDEC[],7,FALSE),"")</f>
        <v/>
      </c>
      <c r="P239" s="200" t="str">
        <f>IFERROR(VLOOKUP(TableHandbook[[#This Row],[UDC]],TableBEDPR[],7,FALSE),"")</f>
        <v/>
      </c>
      <c r="Q239" s="200" t="str">
        <f>IFERROR(VLOOKUP(TableHandbook[[#This Row],[UDC]],TableSTRUCATHL[],7,FALSE),"")</f>
        <v/>
      </c>
      <c r="R239" s="200" t="str">
        <f>IFERROR(VLOOKUP(TableHandbook[[#This Row],[UDC]],TableSTRUENGLL[],7,FALSE),"")</f>
        <v/>
      </c>
      <c r="S239" s="200" t="str">
        <f>IFERROR(VLOOKUP(TableHandbook[[#This Row],[UDC]],TableSTRUINTBC[],7,FALSE),"")</f>
        <v/>
      </c>
      <c r="T239" s="200" t="str">
        <f>IFERROR(VLOOKUP(TableHandbook[[#This Row],[UDC]],TableSTRUISTEM[],7,FALSE),"")</f>
        <v/>
      </c>
      <c r="U239" s="200" t="str">
        <f>IFERROR(VLOOKUP(TableHandbook[[#This Row],[UDC]],TableSTRULITNU[],7,FALSE),"")</f>
        <v/>
      </c>
      <c r="V239" s="200" t="str">
        <f>IFERROR(VLOOKUP(TableHandbook[[#This Row],[UDC]],TableSTRUTECHS[],7,FALSE),"")</f>
        <v/>
      </c>
      <c r="W239" s="200" t="str">
        <f>IFERROR(VLOOKUP(TableHandbook[[#This Row],[UDC]],TableBEDSC[],7,FALSE),"")</f>
        <v/>
      </c>
      <c r="X239" s="200" t="str">
        <f>IFERROR(VLOOKUP(TableHandbook[[#This Row],[UDC]],TableMJRUARTDR[],7,FALSE),"")</f>
        <v/>
      </c>
      <c r="Y239" s="200" t="str">
        <f>IFERROR(VLOOKUP(TableHandbook[[#This Row],[UDC]],TableMJRUARTME[],7,FALSE),"")</f>
        <v/>
      </c>
      <c r="Z239" s="200" t="str">
        <f>IFERROR(VLOOKUP(TableHandbook[[#This Row],[UDC]],TableMJRUARTVA[],7,FALSE),"")</f>
        <v/>
      </c>
      <c r="AA239" s="200" t="str">
        <f>IFERROR(VLOOKUP(TableHandbook[[#This Row],[UDC]],TableMJRUENGLT[],7,FALSE),"")</f>
        <v/>
      </c>
      <c r="AB239" s="200" t="str">
        <f>IFERROR(VLOOKUP(TableHandbook[[#This Row],[UDC]],TableMJRUHLTPE[],7,FALSE),"")</f>
        <v/>
      </c>
      <c r="AC239" s="200" t="str">
        <f>IFERROR(VLOOKUP(TableHandbook[[#This Row],[UDC]],TableMJRUHUSEC[],7,FALSE),"")</f>
        <v/>
      </c>
      <c r="AD239" s="200" t="str">
        <f>IFERROR(VLOOKUP(TableHandbook[[#This Row],[UDC]],TableMJRUHUSGE[],7,FALSE),"")</f>
        <v/>
      </c>
      <c r="AE239" s="200" t="str">
        <f>IFERROR(VLOOKUP(TableHandbook[[#This Row],[UDC]],TableMJRUHUSHI[],7,FALSE),"")</f>
        <v/>
      </c>
      <c r="AF239" s="200" t="str">
        <f>IFERROR(VLOOKUP(TableHandbook[[#This Row],[UDC]],TableMJRUHUSPL[],7,FALSE),"")</f>
        <v/>
      </c>
      <c r="AG239" s="200" t="str">
        <f>IFERROR(VLOOKUP(TableHandbook[[#This Row],[UDC]],TableMJRUMATHT[],7,FALSE),"")</f>
        <v/>
      </c>
      <c r="AH239" s="200" t="str">
        <f>IFERROR(VLOOKUP(TableHandbook[[#This Row],[UDC]],TableMJRUSCIBI[],7,FALSE),"")</f>
        <v/>
      </c>
      <c r="AI239" s="200" t="str">
        <f>IFERROR(VLOOKUP(TableHandbook[[#This Row],[UDC]],TableMJRUSCICH[],7,FALSE),"")</f>
        <v/>
      </c>
      <c r="AJ239" s="200" t="str">
        <f>IFERROR(VLOOKUP(TableHandbook[[#This Row],[UDC]],TableMJRUSCIHB[],7,FALSE),"")</f>
        <v/>
      </c>
      <c r="AK239" s="200" t="str">
        <f>IFERROR(VLOOKUP(TableHandbook[[#This Row],[UDC]],TableMJRUSCIPH[],7,FALSE),"")</f>
        <v/>
      </c>
      <c r="AL239" s="200" t="str">
        <f>IFERROR(VLOOKUP(TableHandbook[[#This Row],[UDC]],TableMJRUSCIPS[],7,FALSE),"")</f>
        <v/>
      </c>
      <c r="AM239" s="202"/>
      <c r="AN239" s="200" t="str">
        <f>IFERROR(VLOOKUP(TableHandbook[[#This Row],[UDC]],TableSTRUBIOLB[],7,FALSE),"")</f>
        <v/>
      </c>
      <c r="AO239" s="200" t="str">
        <f>IFERROR(VLOOKUP(TableHandbook[[#This Row],[UDC]],TableSTRUBSCIM[],7,FALSE),"")</f>
        <v/>
      </c>
      <c r="AP239" s="200" t="str">
        <f>IFERROR(VLOOKUP(TableHandbook[[#This Row],[UDC]],TableSTRUCHEMB[],7,FALSE),"")</f>
        <v/>
      </c>
      <c r="AQ239" s="200" t="str">
        <f>IFERROR(VLOOKUP(TableHandbook[[#This Row],[UDC]],TableSTRUECOB1[],7,FALSE),"")</f>
        <v/>
      </c>
      <c r="AR239" s="200" t="str">
        <f>IFERROR(VLOOKUP(TableHandbook[[#This Row],[UDC]],TableSTRUEDART[],7,FALSE),"")</f>
        <v/>
      </c>
      <c r="AS239" s="200" t="str">
        <f>IFERROR(VLOOKUP(TableHandbook[[#This Row],[UDC]],TableSTRUEDENG[],7,FALSE),"")</f>
        <v/>
      </c>
      <c r="AT239" s="200" t="str">
        <f>IFERROR(VLOOKUP(TableHandbook[[#This Row],[UDC]],TableSTRUEDHAS[],7,FALSE),"")</f>
        <v/>
      </c>
      <c r="AU239" s="200" t="str">
        <f>IFERROR(VLOOKUP(TableHandbook[[#This Row],[UDC]],TableSTRUEDMAT[],7,FALSE),"")</f>
        <v/>
      </c>
      <c r="AV239" s="200" t="str">
        <f>IFERROR(VLOOKUP(TableHandbook[[#This Row],[UDC]],TableSTRUEDSCI[],7,FALSE),"")</f>
        <v/>
      </c>
      <c r="AW239" s="200" t="str">
        <f>IFERROR(VLOOKUP(TableHandbook[[#This Row],[UDC]],TableSTRUENGLB[],7,FALSE),"")</f>
        <v/>
      </c>
      <c r="AX239" s="200" t="str">
        <f>IFERROR(VLOOKUP(TableHandbook[[#This Row],[UDC]],TableSTRUENGLM[],7,FALSE),"")</f>
        <v/>
      </c>
      <c r="AY239" s="200" t="str">
        <f>IFERROR(VLOOKUP(TableHandbook[[#This Row],[UDC]],TableSTRUGEOB1[],7,FALSE),"")</f>
        <v/>
      </c>
      <c r="AZ239" s="200" t="str">
        <f>IFERROR(VLOOKUP(TableHandbook[[#This Row],[UDC]],TableSTRUHISB1[],7,FALSE),"")</f>
        <v/>
      </c>
      <c r="BA239" s="200" t="str">
        <f>IFERROR(VLOOKUP(TableHandbook[[#This Row],[UDC]],TableSTRUHUMAM[],7,FALSE),"")</f>
        <v/>
      </c>
      <c r="BB239" s="200" t="str">
        <f>IFERROR(VLOOKUP(TableHandbook[[#This Row],[UDC]],TableSTRUHUMBB[],7,FALSE),"")</f>
        <v/>
      </c>
      <c r="BC239" s="200" t="str">
        <f>IFERROR(VLOOKUP(TableHandbook[[#This Row],[UDC]],TableSTRUMATHB[],7,FALSE),"")</f>
        <v/>
      </c>
      <c r="BD239" s="200" t="str">
        <f>IFERROR(VLOOKUP(TableHandbook[[#This Row],[UDC]],TableSTRUMATHM[],7,FALSE),"")</f>
        <v/>
      </c>
      <c r="BE239" s="200" t="str">
        <f>IFERROR(VLOOKUP(TableHandbook[[#This Row],[UDC]],TableSTRUPARTB[],7,FALSE),"")</f>
        <v>Core</v>
      </c>
      <c r="BF239" s="200" t="str">
        <f>IFERROR(VLOOKUP(TableHandbook[[#This Row],[UDC]],TableSTRUPARTM[],7,FALSE),"")</f>
        <v/>
      </c>
      <c r="BG239" s="200" t="str">
        <f>IFERROR(VLOOKUP(TableHandbook[[#This Row],[UDC]],TableSTRUPOLB1[],7,FALSE),"")</f>
        <v/>
      </c>
      <c r="BH239" s="200" t="str">
        <f>IFERROR(VLOOKUP(TableHandbook[[#This Row],[UDC]],TableSTRUPSCIM[],7,FALSE),"")</f>
        <v/>
      </c>
      <c r="BI239" s="200" t="str">
        <f>IFERROR(VLOOKUP(TableHandbook[[#This Row],[UDC]],TableSTRUPSYCB[],7,FALSE),"")</f>
        <v/>
      </c>
      <c r="BJ239" s="200" t="str">
        <f>IFERROR(VLOOKUP(TableHandbook[[#This Row],[UDC]],TableSTRUPSYCM[],7,FALSE),"")</f>
        <v/>
      </c>
      <c r="BK239" s="200" t="str">
        <f>IFERROR(VLOOKUP(TableHandbook[[#This Row],[UDC]],TableSTRUSOSCM[],7,FALSE),"")</f>
        <v/>
      </c>
      <c r="BL239" s="200" t="str">
        <f>IFERROR(VLOOKUP(TableHandbook[[#This Row],[UDC]],TableSTRUVARTB[],7,FALSE),"")</f>
        <v/>
      </c>
      <c r="BM239" s="200" t="str">
        <f>IFERROR(VLOOKUP(TableHandbook[[#This Row],[UDC]],TableSTRUVARTM[],7,FALSE),"")</f>
        <v/>
      </c>
    </row>
    <row r="240" spans="1:65" x14ac:dyDescent="0.25">
      <c r="A240" s="262" t="s">
        <v>395</v>
      </c>
      <c r="B240" s="12">
        <v>5</v>
      </c>
      <c r="C240" s="11"/>
      <c r="D240" s="11" t="s">
        <v>821</v>
      </c>
      <c r="E240" s="12">
        <v>25</v>
      </c>
      <c r="F240" s="131" t="s">
        <v>822</v>
      </c>
      <c r="G240" s="126" t="str">
        <f>IFERROR(IF(VLOOKUP(TableHandbook[[#This Row],[UDC]],TableAvailabilities[],2,FALSE)&gt;0,"Y",""),"")</f>
        <v>Y</v>
      </c>
      <c r="H240" s="127" t="str">
        <f>IFERROR(IF(VLOOKUP(TableHandbook[[#This Row],[UDC]],TableAvailabilities[],3,FALSE)&gt;0,"Y",""),"")</f>
        <v/>
      </c>
      <c r="I240" s="127" t="str">
        <f>IFERROR(IF(VLOOKUP(TableHandbook[[#This Row],[UDC]],TableAvailabilities[],4,FALSE)&gt;0,"Y",""),"")</f>
        <v/>
      </c>
      <c r="J240" s="128" t="str">
        <f>IFERROR(IF(VLOOKUP(TableHandbook[[#This Row],[UDC]],TableAvailabilities[],5,FALSE)&gt;0,"Y",""),"")</f>
        <v/>
      </c>
      <c r="K240" s="128" t="str">
        <f>IFERROR(IF(VLOOKUP(TableHandbook[[#This Row],[UDC]],TableAvailabilities[],6,FALSE)&gt;0,"Y",""),"")</f>
        <v/>
      </c>
      <c r="L240" s="127" t="str">
        <f>IFERROR(IF(VLOOKUP(TableHandbook[[#This Row],[UDC]],TableAvailabilities[],7,FALSE)&gt;0,"Y",""),"")</f>
        <v/>
      </c>
      <c r="M240" s="251"/>
      <c r="N240" s="200" t="str">
        <f>IFERROR(VLOOKUP(TableHandbook[[#This Row],[UDC]],TableBEDUC[],7,FALSE),"")</f>
        <v/>
      </c>
      <c r="O240" s="200" t="str">
        <f>IFERROR(VLOOKUP(TableHandbook[[#This Row],[UDC]],TableBEDEC[],7,FALSE),"")</f>
        <v/>
      </c>
      <c r="P240" s="200" t="str">
        <f>IFERROR(VLOOKUP(TableHandbook[[#This Row],[UDC]],TableBEDPR[],7,FALSE),"")</f>
        <v/>
      </c>
      <c r="Q240" s="200" t="str">
        <f>IFERROR(VLOOKUP(TableHandbook[[#This Row],[UDC]],TableSTRUCATHL[],7,FALSE),"")</f>
        <v/>
      </c>
      <c r="R240" s="200" t="str">
        <f>IFERROR(VLOOKUP(TableHandbook[[#This Row],[UDC]],TableSTRUENGLL[],7,FALSE),"")</f>
        <v/>
      </c>
      <c r="S240" s="200" t="str">
        <f>IFERROR(VLOOKUP(TableHandbook[[#This Row],[UDC]],TableSTRUINTBC[],7,FALSE),"")</f>
        <v/>
      </c>
      <c r="T240" s="200" t="str">
        <f>IFERROR(VLOOKUP(TableHandbook[[#This Row],[UDC]],TableSTRUISTEM[],7,FALSE),"")</f>
        <v/>
      </c>
      <c r="U240" s="200" t="str">
        <f>IFERROR(VLOOKUP(TableHandbook[[#This Row],[UDC]],TableSTRULITNU[],7,FALSE),"")</f>
        <v/>
      </c>
      <c r="V240" s="200" t="str">
        <f>IFERROR(VLOOKUP(TableHandbook[[#This Row],[UDC]],TableSTRUTECHS[],7,FALSE),"")</f>
        <v/>
      </c>
      <c r="W240" s="200" t="str">
        <f>IFERROR(VLOOKUP(TableHandbook[[#This Row],[UDC]],TableBEDSC[],7,FALSE),"")</f>
        <v/>
      </c>
      <c r="X240" s="200" t="str">
        <f>IFERROR(VLOOKUP(TableHandbook[[#This Row],[UDC]],TableMJRUARTDR[],7,FALSE),"")</f>
        <v/>
      </c>
      <c r="Y240" s="200" t="str">
        <f>IFERROR(VLOOKUP(TableHandbook[[#This Row],[UDC]],TableMJRUARTME[],7,FALSE),"")</f>
        <v>Core</v>
      </c>
      <c r="Z240" s="200" t="str">
        <f>IFERROR(VLOOKUP(TableHandbook[[#This Row],[UDC]],TableMJRUARTVA[],7,FALSE),"")</f>
        <v/>
      </c>
      <c r="AA240" s="200" t="str">
        <f>IFERROR(VLOOKUP(TableHandbook[[#This Row],[UDC]],TableMJRUENGLT[],7,FALSE),"")</f>
        <v/>
      </c>
      <c r="AB240" s="200" t="str">
        <f>IFERROR(VLOOKUP(TableHandbook[[#This Row],[UDC]],TableMJRUHLTPE[],7,FALSE),"")</f>
        <v/>
      </c>
      <c r="AC240" s="200" t="str">
        <f>IFERROR(VLOOKUP(TableHandbook[[#This Row],[UDC]],TableMJRUHUSEC[],7,FALSE),"")</f>
        <v/>
      </c>
      <c r="AD240" s="200" t="str">
        <f>IFERROR(VLOOKUP(TableHandbook[[#This Row],[UDC]],TableMJRUHUSGE[],7,FALSE),"")</f>
        <v/>
      </c>
      <c r="AE240" s="200" t="str">
        <f>IFERROR(VLOOKUP(TableHandbook[[#This Row],[UDC]],TableMJRUHUSHI[],7,FALSE),"")</f>
        <v/>
      </c>
      <c r="AF240" s="200" t="str">
        <f>IFERROR(VLOOKUP(TableHandbook[[#This Row],[UDC]],TableMJRUHUSPL[],7,FALSE),"")</f>
        <v/>
      </c>
      <c r="AG240" s="200" t="str">
        <f>IFERROR(VLOOKUP(TableHandbook[[#This Row],[UDC]],TableMJRUMATHT[],7,FALSE),"")</f>
        <v/>
      </c>
      <c r="AH240" s="200" t="str">
        <f>IFERROR(VLOOKUP(TableHandbook[[#This Row],[UDC]],TableMJRUSCIBI[],7,FALSE),"")</f>
        <v/>
      </c>
      <c r="AI240" s="200" t="str">
        <f>IFERROR(VLOOKUP(TableHandbook[[#This Row],[UDC]],TableMJRUSCICH[],7,FALSE),"")</f>
        <v/>
      </c>
      <c r="AJ240" s="200" t="str">
        <f>IFERROR(VLOOKUP(TableHandbook[[#This Row],[UDC]],TableMJRUSCIHB[],7,FALSE),"")</f>
        <v/>
      </c>
      <c r="AK240" s="200" t="str">
        <f>IFERROR(VLOOKUP(TableHandbook[[#This Row],[UDC]],TableMJRUSCIPH[],7,FALSE),"")</f>
        <v/>
      </c>
      <c r="AL240" s="200" t="str">
        <f>IFERROR(VLOOKUP(TableHandbook[[#This Row],[UDC]],TableMJRUSCIPS[],7,FALSE),"")</f>
        <v/>
      </c>
      <c r="AM240" s="202"/>
      <c r="AN240" s="200" t="str">
        <f>IFERROR(VLOOKUP(TableHandbook[[#This Row],[UDC]],TableSTRUBIOLB[],7,FALSE),"")</f>
        <v/>
      </c>
      <c r="AO240" s="200" t="str">
        <f>IFERROR(VLOOKUP(TableHandbook[[#This Row],[UDC]],TableSTRUBSCIM[],7,FALSE),"")</f>
        <v/>
      </c>
      <c r="AP240" s="200" t="str">
        <f>IFERROR(VLOOKUP(TableHandbook[[#This Row],[UDC]],TableSTRUCHEMB[],7,FALSE),"")</f>
        <v/>
      </c>
      <c r="AQ240" s="200" t="str">
        <f>IFERROR(VLOOKUP(TableHandbook[[#This Row],[UDC]],TableSTRUECOB1[],7,FALSE),"")</f>
        <v/>
      </c>
      <c r="AR240" s="200" t="str">
        <f>IFERROR(VLOOKUP(TableHandbook[[#This Row],[UDC]],TableSTRUEDART[],7,FALSE),"")</f>
        <v/>
      </c>
      <c r="AS240" s="200" t="str">
        <f>IFERROR(VLOOKUP(TableHandbook[[#This Row],[UDC]],TableSTRUEDENG[],7,FALSE),"")</f>
        <v/>
      </c>
      <c r="AT240" s="200" t="str">
        <f>IFERROR(VLOOKUP(TableHandbook[[#This Row],[UDC]],TableSTRUEDHAS[],7,FALSE),"")</f>
        <v/>
      </c>
      <c r="AU240" s="200" t="str">
        <f>IFERROR(VLOOKUP(TableHandbook[[#This Row],[UDC]],TableSTRUEDMAT[],7,FALSE),"")</f>
        <v/>
      </c>
      <c r="AV240" s="200" t="str">
        <f>IFERROR(VLOOKUP(TableHandbook[[#This Row],[UDC]],TableSTRUEDSCI[],7,FALSE),"")</f>
        <v/>
      </c>
      <c r="AW240" s="200" t="str">
        <f>IFERROR(VLOOKUP(TableHandbook[[#This Row],[UDC]],TableSTRUENGLB[],7,FALSE),"")</f>
        <v/>
      </c>
      <c r="AX240" s="200" t="str">
        <f>IFERROR(VLOOKUP(TableHandbook[[#This Row],[UDC]],TableSTRUENGLM[],7,FALSE),"")</f>
        <v/>
      </c>
      <c r="AY240" s="200" t="str">
        <f>IFERROR(VLOOKUP(TableHandbook[[#This Row],[UDC]],TableSTRUGEOB1[],7,FALSE),"")</f>
        <v/>
      </c>
      <c r="AZ240" s="200" t="str">
        <f>IFERROR(VLOOKUP(TableHandbook[[#This Row],[UDC]],TableSTRUHISB1[],7,FALSE),"")</f>
        <v/>
      </c>
      <c r="BA240" s="200" t="str">
        <f>IFERROR(VLOOKUP(TableHandbook[[#This Row],[UDC]],TableSTRUHUMAM[],7,FALSE),"")</f>
        <v/>
      </c>
      <c r="BB240" s="200" t="str">
        <f>IFERROR(VLOOKUP(TableHandbook[[#This Row],[UDC]],TableSTRUHUMBB[],7,FALSE),"")</f>
        <v/>
      </c>
      <c r="BC240" s="200" t="str">
        <f>IFERROR(VLOOKUP(TableHandbook[[#This Row],[UDC]],TableSTRUMATHB[],7,FALSE),"")</f>
        <v/>
      </c>
      <c r="BD240" s="200" t="str">
        <f>IFERROR(VLOOKUP(TableHandbook[[#This Row],[UDC]],TableSTRUMATHM[],7,FALSE),"")</f>
        <v/>
      </c>
      <c r="BE240" s="200" t="str">
        <f>IFERROR(VLOOKUP(TableHandbook[[#This Row],[UDC]],TableSTRUPARTB[],7,FALSE),"")</f>
        <v/>
      </c>
      <c r="BF240" s="200" t="str">
        <f>IFERROR(VLOOKUP(TableHandbook[[#This Row],[UDC]],TableSTRUPARTM[],7,FALSE),"")</f>
        <v/>
      </c>
      <c r="BG240" s="200" t="str">
        <f>IFERROR(VLOOKUP(TableHandbook[[#This Row],[UDC]],TableSTRUPOLB1[],7,FALSE),"")</f>
        <v/>
      </c>
      <c r="BH240" s="200" t="str">
        <f>IFERROR(VLOOKUP(TableHandbook[[#This Row],[UDC]],TableSTRUPSCIM[],7,FALSE),"")</f>
        <v/>
      </c>
      <c r="BI240" s="200" t="str">
        <f>IFERROR(VLOOKUP(TableHandbook[[#This Row],[UDC]],TableSTRUPSYCB[],7,FALSE),"")</f>
        <v/>
      </c>
      <c r="BJ240" s="200" t="str">
        <f>IFERROR(VLOOKUP(TableHandbook[[#This Row],[UDC]],TableSTRUPSYCM[],7,FALSE),"")</f>
        <v/>
      </c>
      <c r="BK240" s="200" t="str">
        <f>IFERROR(VLOOKUP(TableHandbook[[#This Row],[UDC]],TableSTRUSOSCM[],7,FALSE),"")</f>
        <v/>
      </c>
      <c r="BL240" s="200" t="str">
        <f>IFERROR(VLOOKUP(TableHandbook[[#This Row],[UDC]],TableSTRUVARTB[],7,FALSE),"")</f>
        <v/>
      </c>
      <c r="BM240" s="200" t="str">
        <f>IFERROR(VLOOKUP(TableHandbook[[#This Row],[UDC]],TableSTRUVARTM[],7,FALSE),"")</f>
        <v/>
      </c>
    </row>
    <row r="241" spans="1:65" x14ac:dyDescent="0.25">
      <c r="A241" s="262" t="s">
        <v>334</v>
      </c>
      <c r="B241" s="12">
        <v>1</v>
      </c>
      <c r="C241" s="11"/>
      <c r="D241" s="11" t="s">
        <v>823</v>
      </c>
      <c r="E241" s="12">
        <v>25</v>
      </c>
      <c r="F241" s="131" t="s">
        <v>544</v>
      </c>
      <c r="G241" s="126" t="str">
        <f>IFERROR(IF(VLOOKUP(TableHandbook[[#This Row],[UDC]],TableAvailabilities[],2,FALSE)&gt;0,"Y",""),"")</f>
        <v>Y</v>
      </c>
      <c r="H241" s="127" t="str">
        <f>IFERROR(IF(VLOOKUP(TableHandbook[[#This Row],[UDC]],TableAvailabilities[],3,FALSE)&gt;0,"Y",""),"")</f>
        <v/>
      </c>
      <c r="I241" s="127" t="str">
        <f>IFERROR(IF(VLOOKUP(TableHandbook[[#This Row],[UDC]],TableAvailabilities[],4,FALSE)&gt;0,"Y",""),"")</f>
        <v/>
      </c>
      <c r="J241" s="128" t="str">
        <f>IFERROR(IF(VLOOKUP(TableHandbook[[#This Row],[UDC]],TableAvailabilities[],5,FALSE)&gt;0,"Y",""),"")</f>
        <v>Y</v>
      </c>
      <c r="K241" s="128" t="str">
        <f>IFERROR(IF(VLOOKUP(TableHandbook[[#This Row],[UDC]],TableAvailabilities[],6,FALSE)&gt;0,"Y",""),"")</f>
        <v/>
      </c>
      <c r="L241" s="127" t="str">
        <f>IFERROR(IF(VLOOKUP(TableHandbook[[#This Row],[UDC]],TableAvailabilities[],7,FALSE)&gt;0,"Y",""),"")</f>
        <v/>
      </c>
      <c r="M241" s="251"/>
      <c r="N241" s="200" t="str">
        <f>IFERROR(VLOOKUP(TableHandbook[[#This Row],[UDC]],TableBEDUC[],7,FALSE),"")</f>
        <v/>
      </c>
      <c r="O241" s="200" t="str">
        <f>IFERROR(VLOOKUP(TableHandbook[[#This Row],[UDC]],TableBEDEC[],7,FALSE),"")</f>
        <v/>
      </c>
      <c r="P241" s="200" t="str">
        <f>IFERROR(VLOOKUP(TableHandbook[[#This Row],[UDC]],TableBEDPR[],7,FALSE),"")</f>
        <v/>
      </c>
      <c r="Q241" s="200" t="str">
        <f>IFERROR(VLOOKUP(TableHandbook[[#This Row],[UDC]],TableSTRUCATHL[],7,FALSE),"")</f>
        <v/>
      </c>
      <c r="R241" s="200" t="str">
        <f>IFERROR(VLOOKUP(TableHandbook[[#This Row],[UDC]],TableSTRUENGLL[],7,FALSE),"")</f>
        <v/>
      </c>
      <c r="S241" s="200" t="str">
        <f>IFERROR(VLOOKUP(TableHandbook[[#This Row],[UDC]],TableSTRUINTBC[],7,FALSE),"")</f>
        <v/>
      </c>
      <c r="T241" s="200" t="str">
        <f>IFERROR(VLOOKUP(TableHandbook[[#This Row],[UDC]],TableSTRUISTEM[],7,FALSE),"")</f>
        <v/>
      </c>
      <c r="U241" s="200" t="str">
        <f>IFERROR(VLOOKUP(TableHandbook[[#This Row],[UDC]],TableSTRULITNU[],7,FALSE),"")</f>
        <v/>
      </c>
      <c r="V241" s="200" t="str">
        <f>IFERROR(VLOOKUP(TableHandbook[[#This Row],[UDC]],TableSTRUTECHS[],7,FALSE),"")</f>
        <v/>
      </c>
      <c r="W241" s="200" t="str">
        <f>IFERROR(VLOOKUP(TableHandbook[[#This Row],[UDC]],TableBEDSC[],7,FALSE),"")</f>
        <v/>
      </c>
      <c r="X241" s="200" t="str">
        <f>IFERROR(VLOOKUP(TableHandbook[[#This Row],[UDC]],TableMJRUARTDR[],7,FALSE),"")</f>
        <v/>
      </c>
      <c r="Y241" s="200" t="str">
        <f>IFERROR(VLOOKUP(TableHandbook[[#This Row],[UDC]],TableMJRUARTME[],7,FALSE),"")</f>
        <v/>
      </c>
      <c r="Z241" s="200" t="str">
        <f>IFERROR(VLOOKUP(TableHandbook[[#This Row],[UDC]],TableMJRUARTVA[],7,FALSE),"")</f>
        <v/>
      </c>
      <c r="AA241" s="200" t="str">
        <f>IFERROR(VLOOKUP(TableHandbook[[#This Row],[UDC]],TableMJRUENGLT[],7,FALSE),"")</f>
        <v/>
      </c>
      <c r="AB241" s="200" t="str">
        <f>IFERROR(VLOOKUP(TableHandbook[[#This Row],[UDC]],TableMJRUHLTPE[],7,FALSE),"")</f>
        <v/>
      </c>
      <c r="AC241" s="200" t="str">
        <f>IFERROR(VLOOKUP(TableHandbook[[#This Row],[UDC]],TableMJRUHUSEC[],7,FALSE),"")</f>
        <v/>
      </c>
      <c r="AD241" s="200" t="str">
        <f>IFERROR(VLOOKUP(TableHandbook[[#This Row],[UDC]],TableMJRUHUSGE[],7,FALSE),"")</f>
        <v/>
      </c>
      <c r="AE241" s="200" t="str">
        <f>IFERROR(VLOOKUP(TableHandbook[[#This Row],[UDC]],TableMJRUHUSHI[],7,FALSE),"")</f>
        <v/>
      </c>
      <c r="AF241" s="200" t="str">
        <f>IFERROR(VLOOKUP(TableHandbook[[#This Row],[UDC]],TableMJRUHUSPL[],7,FALSE),"")</f>
        <v/>
      </c>
      <c r="AG241" s="200" t="str">
        <f>IFERROR(VLOOKUP(TableHandbook[[#This Row],[UDC]],TableMJRUMATHT[],7,FALSE),"")</f>
        <v>Core</v>
      </c>
      <c r="AH241" s="200" t="str">
        <f>IFERROR(VLOOKUP(TableHandbook[[#This Row],[UDC]],TableMJRUSCIBI[],7,FALSE),"")</f>
        <v/>
      </c>
      <c r="AI241" s="200" t="str">
        <f>IFERROR(VLOOKUP(TableHandbook[[#This Row],[UDC]],TableMJRUSCICH[],7,FALSE),"")</f>
        <v/>
      </c>
      <c r="AJ241" s="200" t="str">
        <f>IFERROR(VLOOKUP(TableHandbook[[#This Row],[UDC]],TableMJRUSCIHB[],7,FALSE),"")</f>
        <v/>
      </c>
      <c r="AK241" s="200" t="str">
        <f>IFERROR(VLOOKUP(TableHandbook[[#This Row],[UDC]],TableMJRUSCIPH[],7,FALSE),"")</f>
        <v>Core</v>
      </c>
      <c r="AL241" s="200" t="str">
        <f>IFERROR(VLOOKUP(TableHandbook[[#This Row],[UDC]],TableMJRUSCIPS[],7,FALSE),"")</f>
        <v/>
      </c>
      <c r="AM241" s="202"/>
      <c r="AN241" s="200" t="str">
        <f>IFERROR(VLOOKUP(TableHandbook[[#This Row],[UDC]],TableSTRUBIOLB[],7,FALSE),"")</f>
        <v>Core</v>
      </c>
      <c r="AO241" s="200" t="str">
        <f>IFERROR(VLOOKUP(TableHandbook[[#This Row],[UDC]],TableSTRUBSCIM[],7,FALSE),"")</f>
        <v/>
      </c>
      <c r="AP241" s="200" t="str">
        <f>IFERROR(VLOOKUP(TableHandbook[[#This Row],[UDC]],TableSTRUCHEMB[],7,FALSE),"")</f>
        <v/>
      </c>
      <c r="AQ241" s="200" t="str">
        <f>IFERROR(VLOOKUP(TableHandbook[[#This Row],[UDC]],TableSTRUECOB1[],7,FALSE),"")</f>
        <v/>
      </c>
      <c r="AR241" s="200" t="str">
        <f>IFERROR(VLOOKUP(TableHandbook[[#This Row],[UDC]],TableSTRUEDART[],7,FALSE),"")</f>
        <v/>
      </c>
      <c r="AS241" s="200" t="str">
        <f>IFERROR(VLOOKUP(TableHandbook[[#This Row],[UDC]],TableSTRUEDENG[],7,FALSE),"")</f>
        <v/>
      </c>
      <c r="AT241" s="200" t="str">
        <f>IFERROR(VLOOKUP(TableHandbook[[#This Row],[UDC]],TableSTRUEDHAS[],7,FALSE),"")</f>
        <v/>
      </c>
      <c r="AU241" s="200" t="str">
        <f>IFERROR(VLOOKUP(TableHandbook[[#This Row],[UDC]],TableSTRUEDMAT[],7,FALSE),"")</f>
        <v/>
      </c>
      <c r="AV241" s="200" t="str">
        <f>IFERROR(VLOOKUP(TableHandbook[[#This Row],[UDC]],TableSTRUEDSCI[],7,FALSE),"")</f>
        <v/>
      </c>
      <c r="AW241" s="200" t="str">
        <f>IFERROR(VLOOKUP(TableHandbook[[#This Row],[UDC]],TableSTRUENGLB[],7,FALSE),"")</f>
        <v/>
      </c>
      <c r="AX241" s="200" t="str">
        <f>IFERROR(VLOOKUP(TableHandbook[[#This Row],[UDC]],TableSTRUENGLM[],7,FALSE),"")</f>
        <v/>
      </c>
      <c r="AY241" s="200" t="str">
        <f>IFERROR(VLOOKUP(TableHandbook[[#This Row],[UDC]],TableSTRUGEOB1[],7,FALSE),"")</f>
        <v/>
      </c>
      <c r="AZ241" s="200" t="str">
        <f>IFERROR(VLOOKUP(TableHandbook[[#This Row],[UDC]],TableSTRUHISB1[],7,FALSE),"")</f>
        <v/>
      </c>
      <c r="BA241" s="200" t="str">
        <f>IFERROR(VLOOKUP(TableHandbook[[#This Row],[UDC]],TableSTRUHUMAM[],7,FALSE),"")</f>
        <v/>
      </c>
      <c r="BB241" s="200" t="str">
        <f>IFERROR(VLOOKUP(TableHandbook[[#This Row],[UDC]],TableSTRUHUMBB[],7,FALSE),"")</f>
        <v/>
      </c>
      <c r="BC241" s="200" t="str">
        <f>IFERROR(VLOOKUP(TableHandbook[[#This Row],[UDC]],TableSTRUMATHB[],7,FALSE),"")</f>
        <v/>
      </c>
      <c r="BD241" s="200" t="str">
        <f>IFERROR(VLOOKUP(TableHandbook[[#This Row],[UDC]],TableSTRUMATHM[],7,FALSE),"")</f>
        <v>Core</v>
      </c>
      <c r="BE241" s="200" t="str">
        <f>IFERROR(VLOOKUP(TableHandbook[[#This Row],[UDC]],TableSTRUPARTB[],7,FALSE),"")</f>
        <v/>
      </c>
      <c r="BF241" s="200" t="str">
        <f>IFERROR(VLOOKUP(TableHandbook[[#This Row],[UDC]],TableSTRUPARTM[],7,FALSE),"")</f>
        <v/>
      </c>
      <c r="BG241" s="200" t="str">
        <f>IFERROR(VLOOKUP(TableHandbook[[#This Row],[UDC]],TableSTRUPOLB1[],7,FALSE),"")</f>
        <v/>
      </c>
      <c r="BH241" s="200" t="str">
        <f>IFERROR(VLOOKUP(TableHandbook[[#This Row],[UDC]],TableSTRUPSCIM[],7,FALSE),"")</f>
        <v/>
      </c>
      <c r="BI241" s="200" t="str">
        <f>IFERROR(VLOOKUP(TableHandbook[[#This Row],[UDC]],TableSTRUPSYCB[],7,FALSE),"")</f>
        <v/>
      </c>
      <c r="BJ241" s="200" t="str">
        <f>IFERROR(VLOOKUP(TableHandbook[[#This Row],[UDC]],TableSTRUPSYCM[],7,FALSE),"")</f>
        <v/>
      </c>
      <c r="BK241" s="200" t="str">
        <f>IFERROR(VLOOKUP(TableHandbook[[#This Row],[UDC]],TableSTRUSOSCM[],7,FALSE),"")</f>
        <v/>
      </c>
      <c r="BL241" s="200" t="str">
        <f>IFERROR(VLOOKUP(TableHandbook[[#This Row],[UDC]],TableSTRUVARTB[],7,FALSE),"")</f>
        <v/>
      </c>
      <c r="BM241" s="200" t="str">
        <f>IFERROR(VLOOKUP(TableHandbook[[#This Row],[UDC]],TableSTRUVARTM[],7,FALSE),"")</f>
        <v/>
      </c>
    </row>
    <row r="242" spans="1:65" x14ac:dyDescent="0.25">
      <c r="A242" s="261" t="s">
        <v>502</v>
      </c>
      <c r="B242" s="12">
        <v>2</v>
      </c>
      <c r="C242" s="11"/>
      <c r="D242" s="11" t="s">
        <v>824</v>
      </c>
      <c r="E242" s="12">
        <v>25</v>
      </c>
      <c r="F242" s="131" t="s">
        <v>825</v>
      </c>
      <c r="G242" s="126" t="str">
        <f>IFERROR(IF(VLOOKUP(TableHandbook[[#This Row],[UDC]],TableAvailabilities[],2,FALSE)&gt;0,"Y",""),"")</f>
        <v>Y</v>
      </c>
      <c r="H242" s="127" t="str">
        <f>IFERROR(IF(VLOOKUP(TableHandbook[[#This Row],[UDC]],TableAvailabilities[],3,FALSE)&gt;0,"Y",""),"")</f>
        <v/>
      </c>
      <c r="I242" s="127" t="str">
        <f>IFERROR(IF(VLOOKUP(TableHandbook[[#This Row],[UDC]],TableAvailabilities[],4,FALSE)&gt;0,"Y",""),"")</f>
        <v/>
      </c>
      <c r="J242" s="128" t="str">
        <f>IFERROR(IF(VLOOKUP(TableHandbook[[#This Row],[UDC]],TableAvailabilities[],5,FALSE)&gt;0,"Y",""),"")</f>
        <v/>
      </c>
      <c r="K242" s="128" t="str">
        <f>IFERROR(IF(VLOOKUP(TableHandbook[[#This Row],[UDC]],TableAvailabilities[],6,FALSE)&gt;0,"Y",""),"")</f>
        <v/>
      </c>
      <c r="L242" s="127" t="str">
        <f>IFERROR(IF(VLOOKUP(TableHandbook[[#This Row],[UDC]],TableAvailabilities[],7,FALSE)&gt;0,"Y",""),"")</f>
        <v/>
      </c>
      <c r="M242" s="251"/>
      <c r="N242" s="200" t="str">
        <f>IFERROR(VLOOKUP(TableHandbook[[#This Row],[UDC]],TableBEDUC[],7,FALSE),"")</f>
        <v/>
      </c>
      <c r="O242" s="200" t="str">
        <f>IFERROR(VLOOKUP(TableHandbook[[#This Row],[UDC]],TableBEDEC[],7,FALSE),"")</f>
        <v/>
      </c>
      <c r="P242" s="200" t="str">
        <f>IFERROR(VLOOKUP(TableHandbook[[#This Row],[UDC]],TableBEDPR[],7,FALSE),"")</f>
        <v/>
      </c>
      <c r="Q242" s="200" t="str">
        <f>IFERROR(VLOOKUP(TableHandbook[[#This Row],[UDC]],TableSTRUCATHL[],7,FALSE),"")</f>
        <v/>
      </c>
      <c r="R242" s="200" t="str">
        <f>IFERROR(VLOOKUP(TableHandbook[[#This Row],[UDC]],TableSTRUENGLL[],7,FALSE),"")</f>
        <v/>
      </c>
      <c r="S242" s="200" t="str">
        <f>IFERROR(VLOOKUP(TableHandbook[[#This Row],[UDC]],TableSTRUINTBC[],7,FALSE),"")</f>
        <v/>
      </c>
      <c r="T242" s="200" t="str">
        <f>IFERROR(VLOOKUP(TableHandbook[[#This Row],[UDC]],TableSTRUISTEM[],7,FALSE),"")</f>
        <v/>
      </c>
      <c r="U242" s="200" t="str">
        <f>IFERROR(VLOOKUP(TableHandbook[[#This Row],[UDC]],TableSTRULITNU[],7,FALSE),"")</f>
        <v/>
      </c>
      <c r="V242" s="200" t="str">
        <f>IFERROR(VLOOKUP(TableHandbook[[#This Row],[UDC]],TableSTRUTECHS[],7,FALSE),"")</f>
        <v/>
      </c>
      <c r="W242" s="200" t="str">
        <f>IFERROR(VLOOKUP(TableHandbook[[#This Row],[UDC]],TableBEDSC[],7,FALSE),"")</f>
        <v/>
      </c>
      <c r="X242" s="200" t="str">
        <f>IFERROR(VLOOKUP(TableHandbook[[#This Row],[UDC]],TableMJRUARTDR[],7,FALSE),"")</f>
        <v/>
      </c>
      <c r="Y242" s="200" t="str">
        <f>IFERROR(VLOOKUP(TableHandbook[[#This Row],[UDC]],TableMJRUARTME[],7,FALSE),"")</f>
        <v/>
      </c>
      <c r="Z242" s="200" t="str">
        <f>IFERROR(VLOOKUP(TableHandbook[[#This Row],[UDC]],TableMJRUARTVA[],7,FALSE),"")</f>
        <v/>
      </c>
      <c r="AA242" s="200" t="str">
        <f>IFERROR(VLOOKUP(TableHandbook[[#This Row],[UDC]],TableMJRUENGLT[],7,FALSE),"")</f>
        <v/>
      </c>
      <c r="AB242" s="200" t="str">
        <f>IFERROR(VLOOKUP(TableHandbook[[#This Row],[UDC]],TableMJRUHLTPE[],7,FALSE),"")</f>
        <v/>
      </c>
      <c r="AC242" s="200" t="str">
        <f>IFERROR(VLOOKUP(TableHandbook[[#This Row],[UDC]],TableMJRUHUSEC[],7,FALSE),"")</f>
        <v/>
      </c>
      <c r="AD242" s="200" t="str">
        <f>IFERROR(VLOOKUP(TableHandbook[[#This Row],[UDC]],TableMJRUHUSGE[],7,FALSE),"")</f>
        <v/>
      </c>
      <c r="AE242" s="200" t="str">
        <f>IFERROR(VLOOKUP(TableHandbook[[#This Row],[UDC]],TableMJRUHUSHI[],7,FALSE),"")</f>
        <v/>
      </c>
      <c r="AF242" s="200" t="str">
        <f>IFERROR(VLOOKUP(TableHandbook[[#This Row],[UDC]],TableMJRUHUSPL[],7,FALSE),"")</f>
        <v/>
      </c>
      <c r="AG242" s="200" t="str">
        <f>IFERROR(VLOOKUP(TableHandbook[[#This Row],[UDC]],TableMJRUMATHT[],7,FALSE),"")</f>
        <v/>
      </c>
      <c r="AH242" s="200" t="str">
        <f>IFERROR(VLOOKUP(TableHandbook[[#This Row],[UDC]],TableMJRUSCIBI[],7,FALSE),"")</f>
        <v/>
      </c>
      <c r="AI242" s="200" t="str">
        <f>IFERROR(VLOOKUP(TableHandbook[[#This Row],[UDC]],TableMJRUSCICH[],7,FALSE),"")</f>
        <v/>
      </c>
      <c r="AJ242" s="200" t="str">
        <f>IFERROR(VLOOKUP(TableHandbook[[#This Row],[UDC]],TableMJRUSCIHB[],7,FALSE),"")</f>
        <v/>
      </c>
      <c r="AK242" s="200" t="str">
        <f>IFERROR(VLOOKUP(TableHandbook[[#This Row],[UDC]],TableMJRUSCIPH[],7,FALSE),"")</f>
        <v/>
      </c>
      <c r="AL242" s="200" t="str">
        <f>IFERROR(VLOOKUP(TableHandbook[[#This Row],[UDC]],TableMJRUSCIPS[],7,FALSE),"")</f>
        <v/>
      </c>
      <c r="AM242" s="202"/>
      <c r="AN242" s="200" t="str">
        <f>IFERROR(VLOOKUP(TableHandbook[[#This Row],[UDC]],TableSTRUBIOLB[],7,FALSE),"")</f>
        <v/>
      </c>
      <c r="AO242" s="200" t="str">
        <f>IFERROR(VLOOKUP(TableHandbook[[#This Row],[UDC]],TableSTRUBSCIM[],7,FALSE),"")</f>
        <v/>
      </c>
      <c r="AP242" s="200" t="str">
        <f>IFERROR(VLOOKUP(TableHandbook[[#This Row],[UDC]],TableSTRUCHEMB[],7,FALSE),"")</f>
        <v/>
      </c>
      <c r="AQ242" s="200" t="str">
        <f>IFERROR(VLOOKUP(TableHandbook[[#This Row],[UDC]],TableSTRUECOB1[],7,FALSE),"")</f>
        <v/>
      </c>
      <c r="AR242" s="200" t="str">
        <f>IFERROR(VLOOKUP(TableHandbook[[#This Row],[UDC]],TableSTRUEDART[],7,FALSE),"")</f>
        <v/>
      </c>
      <c r="AS242" s="200" t="str">
        <f>IFERROR(VLOOKUP(TableHandbook[[#This Row],[UDC]],TableSTRUEDENG[],7,FALSE),"")</f>
        <v/>
      </c>
      <c r="AT242" s="200" t="str">
        <f>IFERROR(VLOOKUP(TableHandbook[[#This Row],[UDC]],TableSTRUEDHAS[],7,FALSE),"")</f>
        <v/>
      </c>
      <c r="AU242" s="200" t="str">
        <f>IFERROR(VLOOKUP(TableHandbook[[#This Row],[UDC]],TableSTRUEDMAT[],7,FALSE),"")</f>
        <v/>
      </c>
      <c r="AV242" s="200" t="str">
        <f>IFERROR(VLOOKUP(TableHandbook[[#This Row],[UDC]],TableSTRUEDSCI[],7,FALSE),"")</f>
        <v/>
      </c>
      <c r="AW242" s="200" t="str">
        <f>IFERROR(VLOOKUP(TableHandbook[[#This Row],[UDC]],TableSTRUENGLB[],7,FALSE),"")</f>
        <v/>
      </c>
      <c r="AX242" s="200" t="str">
        <f>IFERROR(VLOOKUP(TableHandbook[[#This Row],[UDC]],TableSTRUENGLM[],7,FALSE),"")</f>
        <v/>
      </c>
      <c r="AY242" s="200" t="str">
        <f>IFERROR(VLOOKUP(TableHandbook[[#This Row],[UDC]],TableSTRUGEOB1[],7,FALSE),"")</f>
        <v/>
      </c>
      <c r="AZ242" s="200" t="str">
        <f>IFERROR(VLOOKUP(TableHandbook[[#This Row],[UDC]],TableSTRUHISB1[],7,FALSE),"")</f>
        <v/>
      </c>
      <c r="BA242" s="200" t="str">
        <f>IFERROR(VLOOKUP(TableHandbook[[#This Row],[UDC]],TableSTRUHUMAM[],7,FALSE),"")</f>
        <v/>
      </c>
      <c r="BB242" s="200" t="str">
        <f>IFERROR(VLOOKUP(TableHandbook[[#This Row],[UDC]],TableSTRUHUMBB[],7,FALSE),"")</f>
        <v/>
      </c>
      <c r="BC242" s="200" t="str">
        <f>IFERROR(VLOOKUP(TableHandbook[[#This Row],[UDC]],TableSTRUMATHB[],7,FALSE),"")</f>
        <v>Core</v>
      </c>
      <c r="BD242" s="200" t="str">
        <f>IFERROR(VLOOKUP(TableHandbook[[#This Row],[UDC]],TableSTRUMATHM[],7,FALSE),"")</f>
        <v/>
      </c>
      <c r="BE242" s="200" t="str">
        <f>IFERROR(VLOOKUP(TableHandbook[[#This Row],[UDC]],TableSTRUPARTB[],7,FALSE),"")</f>
        <v/>
      </c>
      <c r="BF242" s="200" t="str">
        <f>IFERROR(VLOOKUP(TableHandbook[[#This Row],[UDC]],TableSTRUPARTM[],7,FALSE),"")</f>
        <v/>
      </c>
      <c r="BG242" s="200" t="str">
        <f>IFERROR(VLOOKUP(TableHandbook[[#This Row],[UDC]],TableSTRUPOLB1[],7,FALSE),"")</f>
        <v/>
      </c>
      <c r="BH242" s="200" t="str">
        <f>IFERROR(VLOOKUP(TableHandbook[[#This Row],[UDC]],TableSTRUPSCIM[],7,FALSE),"")</f>
        <v/>
      </c>
      <c r="BI242" s="200" t="str">
        <f>IFERROR(VLOOKUP(TableHandbook[[#This Row],[UDC]],TableSTRUPSYCB[],7,FALSE),"")</f>
        <v/>
      </c>
      <c r="BJ242" s="200" t="str">
        <f>IFERROR(VLOOKUP(TableHandbook[[#This Row],[UDC]],TableSTRUPSYCM[],7,FALSE),"")</f>
        <v/>
      </c>
      <c r="BK242" s="200" t="str">
        <f>IFERROR(VLOOKUP(TableHandbook[[#This Row],[UDC]],TableSTRUSOSCM[],7,FALSE),"")</f>
        <v/>
      </c>
      <c r="BL242" s="200" t="str">
        <f>IFERROR(VLOOKUP(TableHandbook[[#This Row],[UDC]],TableSTRUVARTB[],7,FALSE),"")</f>
        <v/>
      </c>
      <c r="BM242" s="200" t="str">
        <f>IFERROR(VLOOKUP(TableHandbook[[#This Row],[UDC]],TableSTRUVARTM[],7,FALSE),"")</f>
        <v/>
      </c>
    </row>
    <row r="243" spans="1:65" x14ac:dyDescent="0.25">
      <c r="A243" s="261" t="s">
        <v>482</v>
      </c>
      <c r="B243" s="12">
        <v>1</v>
      </c>
      <c r="C243" s="11"/>
      <c r="D243" s="11" t="s">
        <v>826</v>
      </c>
      <c r="E243" s="12">
        <v>25</v>
      </c>
      <c r="F243" s="131" t="s">
        <v>544</v>
      </c>
      <c r="G243" s="279" t="str">
        <f>IFERROR(IF(VLOOKUP(TableHandbook[[#This Row],[UDC]],TableAvailabilities[],2,FALSE)&gt;0,"Y",""),"")</f>
        <v>Y</v>
      </c>
      <c r="H243" s="280" t="str">
        <f>IFERROR(IF(VLOOKUP(TableHandbook[[#This Row],[UDC]],TableAvailabilities[],3,FALSE)&gt;0,"Y",""),"")</f>
        <v/>
      </c>
      <c r="I243" s="280" t="str">
        <f>IFERROR(IF(VLOOKUP(TableHandbook[[#This Row],[UDC]],TableAvailabilities[],4,FALSE)&gt;0,"Y",""),"")</f>
        <v/>
      </c>
      <c r="J243" s="281" t="str">
        <f>IFERROR(IF(VLOOKUP(TableHandbook[[#This Row],[UDC]],TableAvailabilities[],5,FALSE)&gt;0,"Y",""),"")</f>
        <v/>
      </c>
      <c r="K243" s="281" t="str">
        <f>IFERROR(IF(VLOOKUP(TableHandbook[[#This Row],[UDC]],TableAvailabilities[],6,FALSE)&gt;0,"Y",""),"")</f>
        <v/>
      </c>
      <c r="L243" s="280" t="str">
        <f>IFERROR(IF(VLOOKUP(TableHandbook[[#This Row],[UDC]],TableAvailabilities[],7,FALSE)&gt;0,"Y",""),"")</f>
        <v/>
      </c>
      <c r="M243" s="330" t="s">
        <v>827</v>
      </c>
      <c r="N243" s="277" t="str">
        <f>IFERROR(VLOOKUP(TableHandbook[[#This Row],[UDC]],TableBEDUC[],7,FALSE),"")</f>
        <v/>
      </c>
      <c r="O243" s="277" t="str">
        <f>IFERROR(VLOOKUP(TableHandbook[[#This Row],[UDC]],TableBEDEC[],7,FALSE),"")</f>
        <v/>
      </c>
      <c r="P243" s="277" t="str">
        <f>IFERROR(VLOOKUP(TableHandbook[[#This Row],[UDC]],TableBEDPR[],7,FALSE),"")</f>
        <v/>
      </c>
      <c r="Q243" s="277" t="str">
        <f>IFERROR(VLOOKUP(TableHandbook[[#This Row],[UDC]],TableSTRUCATHL[],7,FALSE),"")</f>
        <v/>
      </c>
      <c r="R243" s="277" t="str">
        <f>IFERROR(VLOOKUP(TableHandbook[[#This Row],[UDC]],TableSTRUENGLL[],7,FALSE),"")</f>
        <v/>
      </c>
      <c r="S243" s="277" t="str">
        <f>IFERROR(VLOOKUP(TableHandbook[[#This Row],[UDC]],TableSTRUINTBC[],7,FALSE),"")</f>
        <v/>
      </c>
      <c r="T243" s="277" t="str">
        <f>IFERROR(VLOOKUP(TableHandbook[[#This Row],[UDC]],TableSTRUISTEM[],7,FALSE),"")</f>
        <v/>
      </c>
      <c r="U243" s="277" t="str">
        <f>IFERROR(VLOOKUP(TableHandbook[[#This Row],[UDC]],TableSTRULITNU[],7,FALSE),"")</f>
        <v/>
      </c>
      <c r="V243" s="277" t="str">
        <f>IFERROR(VLOOKUP(TableHandbook[[#This Row],[UDC]],TableSTRUTECHS[],7,FALSE),"")</f>
        <v/>
      </c>
      <c r="W243" s="277" t="str">
        <f>IFERROR(VLOOKUP(TableHandbook[[#This Row],[UDC]],TableBEDSC[],7,FALSE),"")</f>
        <v/>
      </c>
      <c r="X243" s="277" t="str">
        <f>IFERROR(VLOOKUP(TableHandbook[[#This Row],[UDC]],TableMJRUARTDR[],7,FALSE),"")</f>
        <v/>
      </c>
      <c r="Y243" s="277" t="str">
        <f>IFERROR(VLOOKUP(TableHandbook[[#This Row],[UDC]],TableMJRUARTME[],7,FALSE),"")</f>
        <v/>
      </c>
      <c r="Z243" s="277" t="str">
        <f>IFERROR(VLOOKUP(TableHandbook[[#This Row],[UDC]],TableMJRUARTVA[],7,FALSE),"")</f>
        <v/>
      </c>
      <c r="AA243" s="277" t="str">
        <f>IFERROR(VLOOKUP(TableHandbook[[#This Row],[UDC]],TableMJRUENGLT[],7,FALSE),"")</f>
        <v/>
      </c>
      <c r="AB243" s="277" t="str">
        <f>IFERROR(VLOOKUP(TableHandbook[[#This Row],[UDC]],TableMJRUHLTPE[],7,FALSE),"")</f>
        <v/>
      </c>
      <c r="AC243" s="277" t="str">
        <f>IFERROR(VLOOKUP(TableHandbook[[#This Row],[UDC]],TableMJRUHUSEC[],7,FALSE),"")</f>
        <v/>
      </c>
      <c r="AD243" s="277" t="str">
        <f>IFERROR(VLOOKUP(TableHandbook[[#This Row],[UDC]],TableMJRUHUSGE[],7,FALSE),"")</f>
        <v/>
      </c>
      <c r="AE243" s="277" t="str">
        <f>IFERROR(VLOOKUP(TableHandbook[[#This Row],[UDC]],TableMJRUHUSHI[],7,FALSE),"")</f>
        <v/>
      </c>
      <c r="AF243" s="277" t="str">
        <f>IFERROR(VLOOKUP(TableHandbook[[#This Row],[UDC]],TableMJRUHUSPL[],7,FALSE),"")</f>
        <v/>
      </c>
      <c r="AG243" s="277" t="str">
        <f>IFERROR(VLOOKUP(TableHandbook[[#This Row],[UDC]],TableMJRUMATHT[],7,FALSE),"")</f>
        <v/>
      </c>
      <c r="AH243" s="277" t="str">
        <f>IFERROR(VLOOKUP(TableHandbook[[#This Row],[UDC]],TableMJRUSCIBI[],7,FALSE),"")</f>
        <v/>
      </c>
      <c r="AI243" s="277" t="str">
        <f>IFERROR(VLOOKUP(TableHandbook[[#This Row],[UDC]],TableMJRUSCICH[],7,FALSE),"")</f>
        <v/>
      </c>
      <c r="AJ243" s="277" t="str">
        <f>IFERROR(VLOOKUP(TableHandbook[[#This Row],[UDC]],TableMJRUSCIHB[],7,FALSE),"")</f>
        <v/>
      </c>
      <c r="AK243" s="277" t="str">
        <f>IFERROR(VLOOKUP(TableHandbook[[#This Row],[UDC]],TableMJRUSCIPH[],7,FALSE),"")</f>
        <v/>
      </c>
      <c r="AL243" s="277" t="str">
        <f>IFERROR(VLOOKUP(TableHandbook[[#This Row],[UDC]],TableMJRUSCIPS[],7,FALSE),"")</f>
        <v/>
      </c>
      <c r="AM243" s="202"/>
      <c r="AN243" s="277" t="str">
        <f>IFERROR(VLOOKUP(TableHandbook[[#This Row],[UDC]],TableSTRUBIOLB[],7,FALSE),"")</f>
        <v/>
      </c>
      <c r="AO243" s="277" t="str">
        <f>IFERROR(VLOOKUP(TableHandbook[[#This Row],[UDC]],TableSTRUBSCIM[],7,FALSE),"")</f>
        <v/>
      </c>
      <c r="AP243" s="277" t="str">
        <f>IFERROR(VLOOKUP(TableHandbook[[#This Row],[UDC]],TableSTRUCHEMB[],7,FALSE),"")</f>
        <v/>
      </c>
      <c r="AQ243" s="277" t="str">
        <f>IFERROR(VLOOKUP(TableHandbook[[#This Row],[UDC]],TableSTRUECOB1[],7,FALSE),"")</f>
        <v/>
      </c>
      <c r="AR243" s="277" t="str">
        <f>IFERROR(VLOOKUP(TableHandbook[[#This Row],[UDC]],TableSTRUEDART[],7,FALSE),"")</f>
        <v/>
      </c>
      <c r="AS243" s="277" t="str">
        <f>IFERROR(VLOOKUP(TableHandbook[[#This Row],[UDC]],TableSTRUEDENG[],7,FALSE),"")</f>
        <v/>
      </c>
      <c r="AT243" s="277" t="str">
        <f>IFERROR(VLOOKUP(TableHandbook[[#This Row],[UDC]],TableSTRUEDHAS[],7,FALSE),"")</f>
        <v/>
      </c>
      <c r="AU243" s="277" t="str">
        <f>IFERROR(VLOOKUP(TableHandbook[[#This Row],[UDC]],TableSTRUEDMAT[],7,FALSE),"")</f>
        <v/>
      </c>
      <c r="AV243" s="277" t="str">
        <f>IFERROR(VLOOKUP(TableHandbook[[#This Row],[UDC]],TableSTRUEDSCI[],7,FALSE),"")</f>
        <v/>
      </c>
      <c r="AW243" s="277" t="str">
        <f>IFERROR(VLOOKUP(TableHandbook[[#This Row],[UDC]],TableSTRUENGLB[],7,FALSE),"")</f>
        <v/>
      </c>
      <c r="AX243" s="277" t="str">
        <f>IFERROR(VLOOKUP(TableHandbook[[#This Row],[UDC]],TableSTRUENGLM[],7,FALSE),"")</f>
        <v/>
      </c>
      <c r="AY243" s="277" t="str">
        <f>IFERROR(VLOOKUP(TableHandbook[[#This Row],[UDC]],TableSTRUGEOB1[],7,FALSE),"")</f>
        <v/>
      </c>
      <c r="AZ243" s="277" t="str">
        <f>IFERROR(VLOOKUP(TableHandbook[[#This Row],[UDC]],TableSTRUHISB1[],7,FALSE),"")</f>
        <v/>
      </c>
      <c r="BA243" s="277" t="str">
        <f>IFERROR(VLOOKUP(TableHandbook[[#This Row],[UDC]],TableSTRUHUMAM[],7,FALSE),"")</f>
        <v/>
      </c>
      <c r="BB243" s="277" t="str">
        <f>IFERROR(VLOOKUP(TableHandbook[[#This Row],[UDC]],TableSTRUHUMBB[],7,FALSE),"")</f>
        <v/>
      </c>
      <c r="BC243" s="277" t="str">
        <f>IFERROR(VLOOKUP(TableHandbook[[#This Row],[UDC]],TableSTRUMATHB[],7,FALSE),"")</f>
        <v>Core</v>
      </c>
      <c r="BD243" s="277" t="str">
        <f>IFERROR(VLOOKUP(TableHandbook[[#This Row],[UDC]],TableSTRUMATHM[],7,FALSE),"")</f>
        <v/>
      </c>
      <c r="BE243" s="277" t="str">
        <f>IFERROR(VLOOKUP(TableHandbook[[#This Row],[UDC]],TableSTRUPARTB[],7,FALSE),"")</f>
        <v/>
      </c>
      <c r="BF243" s="277" t="str">
        <f>IFERROR(VLOOKUP(TableHandbook[[#This Row],[UDC]],TableSTRUPARTM[],7,FALSE),"")</f>
        <v/>
      </c>
      <c r="BG243" s="277" t="str">
        <f>IFERROR(VLOOKUP(TableHandbook[[#This Row],[UDC]],TableSTRUPOLB1[],7,FALSE),"")</f>
        <v/>
      </c>
      <c r="BH243" s="277" t="str">
        <f>IFERROR(VLOOKUP(TableHandbook[[#This Row],[UDC]],TableSTRUPSCIM[],7,FALSE),"")</f>
        <v/>
      </c>
      <c r="BI243" s="277" t="str">
        <f>IFERROR(VLOOKUP(TableHandbook[[#This Row],[UDC]],TableSTRUPSYCB[],7,FALSE),"")</f>
        <v/>
      </c>
      <c r="BJ243" s="277" t="str">
        <f>IFERROR(VLOOKUP(TableHandbook[[#This Row],[UDC]],TableSTRUPSYCM[],7,FALSE),"")</f>
        <v/>
      </c>
      <c r="BK243" s="277" t="str">
        <f>IFERROR(VLOOKUP(TableHandbook[[#This Row],[UDC]],TableSTRUSOSCM[],7,FALSE),"")</f>
        <v/>
      </c>
      <c r="BL243" s="277" t="str">
        <f>IFERROR(VLOOKUP(TableHandbook[[#This Row],[UDC]],TableSTRUVARTB[],7,FALSE),"")</f>
        <v/>
      </c>
      <c r="BM243" s="277" t="str">
        <f>IFERROR(VLOOKUP(TableHandbook[[#This Row],[UDC]],TableSTRUVARTM[],7,FALSE),"")</f>
        <v/>
      </c>
    </row>
    <row r="244" spans="1:65" x14ac:dyDescent="0.25">
      <c r="A244" s="262" t="s">
        <v>828</v>
      </c>
      <c r="B244" s="12">
        <v>0</v>
      </c>
      <c r="C244" s="11"/>
      <c r="D244" s="11" t="s">
        <v>829</v>
      </c>
      <c r="E244" s="12">
        <v>150</v>
      </c>
      <c r="F244" s="131" t="s">
        <v>540</v>
      </c>
      <c r="G244" s="126" t="str">
        <f>IFERROR(IF(VLOOKUP(TableHandbook[[#This Row],[UDC]],TableAvailabilities[],2,FALSE)&gt;0,"Y",""),"")</f>
        <v/>
      </c>
      <c r="H244" s="127" t="str">
        <f>IFERROR(IF(VLOOKUP(TableHandbook[[#This Row],[UDC]],TableAvailabilities[],3,FALSE)&gt;0,"Y",""),"")</f>
        <v/>
      </c>
      <c r="I244" s="127" t="str">
        <f>IFERROR(IF(VLOOKUP(TableHandbook[[#This Row],[UDC]],TableAvailabilities[],4,FALSE)&gt;0,"Y",""),"")</f>
        <v/>
      </c>
      <c r="J244" s="128" t="str">
        <f>IFERROR(IF(VLOOKUP(TableHandbook[[#This Row],[UDC]],TableAvailabilities[],5,FALSE)&gt;0,"Y",""),"")</f>
        <v/>
      </c>
      <c r="K244" s="128" t="str">
        <f>IFERROR(IF(VLOOKUP(TableHandbook[[#This Row],[UDC]],TableAvailabilities[],6,FALSE)&gt;0,"Y",""),"")</f>
        <v/>
      </c>
      <c r="L244" s="127" t="str">
        <f>IFERROR(IF(VLOOKUP(TableHandbook[[#This Row],[UDC]],TableAvailabilities[],7,FALSE)&gt;0,"Y",""),"")</f>
        <v/>
      </c>
      <c r="M244" s="251"/>
      <c r="N244" s="200" t="str">
        <f>IFERROR(VLOOKUP(TableHandbook[[#This Row],[UDC]],TableBEDUC[],7,FALSE),"")</f>
        <v/>
      </c>
      <c r="O244" s="200" t="str">
        <f>IFERROR(VLOOKUP(TableHandbook[[#This Row],[UDC]],TableBEDEC[],7,FALSE),"")</f>
        <v/>
      </c>
      <c r="P244" s="200" t="str">
        <f>IFERROR(VLOOKUP(TableHandbook[[#This Row],[UDC]],TableBEDPR[],7,FALSE),"")</f>
        <v/>
      </c>
      <c r="Q244" s="200" t="str">
        <f>IFERROR(VLOOKUP(TableHandbook[[#This Row],[UDC]],TableSTRUCATHL[],7,FALSE),"")</f>
        <v/>
      </c>
      <c r="R244" s="200" t="str">
        <f>IFERROR(VLOOKUP(TableHandbook[[#This Row],[UDC]],TableSTRUENGLL[],7,FALSE),"")</f>
        <v/>
      </c>
      <c r="S244" s="200" t="str">
        <f>IFERROR(VLOOKUP(TableHandbook[[#This Row],[UDC]],TableSTRUINTBC[],7,FALSE),"")</f>
        <v/>
      </c>
      <c r="T244" s="200" t="str">
        <f>IFERROR(VLOOKUP(TableHandbook[[#This Row],[UDC]],TableSTRUISTEM[],7,FALSE),"")</f>
        <v/>
      </c>
      <c r="U244" s="200" t="str">
        <f>IFERROR(VLOOKUP(TableHandbook[[#This Row],[UDC]],TableSTRULITNU[],7,FALSE),"")</f>
        <v/>
      </c>
      <c r="V244" s="200" t="str">
        <f>IFERROR(VLOOKUP(TableHandbook[[#This Row],[UDC]],TableSTRUTECHS[],7,FALSE),"")</f>
        <v/>
      </c>
      <c r="W244" s="200" t="str">
        <f>IFERROR(VLOOKUP(TableHandbook[[#This Row],[UDC]],TableBEDSC[],7,FALSE),"")</f>
        <v/>
      </c>
      <c r="X244" s="200" t="str">
        <f>IFERROR(VLOOKUP(TableHandbook[[#This Row],[UDC]],TableMJRUARTDR[],7,FALSE),"")</f>
        <v>Core</v>
      </c>
      <c r="Y244" s="200" t="str">
        <f>IFERROR(VLOOKUP(TableHandbook[[#This Row],[UDC]],TableMJRUARTME[],7,FALSE),"")</f>
        <v>Core</v>
      </c>
      <c r="Z244" s="200" t="str">
        <f>IFERROR(VLOOKUP(TableHandbook[[#This Row],[UDC]],TableMJRUARTVA[],7,FALSE),"")</f>
        <v>Core</v>
      </c>
      <c r="AA244" s="200" t="str">
        <f>IFERROR(VLOOKUP(TableHandbook[[#This Row],[UDC]],TableMJRUENGLT[],7,FALSE),"")</f>
        <v>Core</v>
      </c>
      <c r="AB244" s="200" t="str">
        <f>IFERROR(VLOOKUP(TableHandbook[[#This Row],[UDC]],TableMJRUHLTPE[],7,FALSE),"")</f>
        <v/>
      </c>
      <c r="AC244" s="200" t="str">
        <f>IFERROR(VLOOKUP(TableHandbook[[#This Row],[UDC]],TableMJRUHUSEC[],7,FALSE),"")</f>
        <v>Core</v>
      </c>
      <c r="AD244" s="200" t="str">
        <f>IFERROR(VLOOKUP(TableHandbook[[#This Row],[UDC]],TableMJRUHUSGE[],7,FALSE),"")</f>
        <v>Core</v>
      </c>
      <c r="AE244" s="200" t="str">
        <f>IFERROR(VLOOKUP(TableHandbook[[#This Row],[UDC]],TableMJRUHUSHI[],7,FALSE),"")</f>
        <v>Core</v>
      </c>
      <c r="AF244" s="200" t="str">
        <f>IFERROR(VLOOKUP(TableHandbook[[#This Row],[UDC]],TableMJRUHUSPL[],7,FALSE),"")</f>
        <v>Core</v>
      </c>
      <c r="AG244" s="200" t="str">
        <f>IFERROR(VLOOKUP(TableHandbook[[#This Row],[UDC]],TableMJRUMATHT[],7,FALSE),"")</f>
        <v>Option</v>
      </c>
      <c r="AH244" s="200" t="str">
        <f>IFERROR(VLOOKUP(TableHandbook[[#This Row],[UDC]],TableMJRUSCIBI[],7,FALSE),"")</f>
        <v>Core</v>
      </c>
      <c r="AI244" s="200" t="str">
        <f>IFERROR(VLOOKUP(TableHandbook[[#This Row],[UDC]],TableMJRUSCICH[],7,FALSE),"")</f>
        <v>Core</v>
      </c>
      <c r="AJ244" s="200" t="str">
        <f>IFERROR(VLOOKUP(TableHandbook[[#This Row],[UDC]],TableMJRUSCIHB[],7,FALSE),"")</f>
        <v>Core</v>
      </c>
      <c r="AK244" s="200" t="str">
        <f>IFERROR(VLOOKUP(TableHandbook[[#This Row],[UDC]],TableMJRUSCIPH[],7,FALSE),"")</f>
        <v/>
      </c>
      <c r="AL244" s="200" t="str">
        <f>IFERROR(VLOOKUP(TableHandbook[[#This Row],[UDC]],TableMJRUSCIPS[],7,FALSE),"")</f>
        <v>Core</v>
      </c>
      <c r="AM244" s="202"/>
      <c r="AN244" s="200" t="str">
        <f>IFERROR(VLOOKUP(TableHandbook[[#This Row],[UDC]],TableSTRUBIOLB[],7,FALSE),"")</f>
        <v/>
      </c>
      <c r="AO244" s="200" t="str">
        <f>IFERROR(VLOOKUP(TableHandbook[[#This Row],[UDC]],TableSTRUBSCIM[],7,FALSE),"")</f>
        <v/>
      </c>
      <c r="AP244" s="200" t="str">
        <f>IFERROR(VLOOKUP(TableHandbook[[#This Row],[UDC]],TableSTRUCHEMB[],7,FALSE),"")</f>
        <v/>
      </c>
      <c r="AQ244" s="200" t="str">
        <f>IFERROR(VLOOKUP(TableHandbook[[#This Row],[UDC]],TableSTRUECOB1[],7,FALSE),"")</f>
        <v/>
      </c>
      <c r="AR244" s="200" t="str">
        <f>IFERROR(VLOOKUP(TableHandbook[[#This Row],[UDC]],TableSTRUEDART[],7,FALSE),"")</f>
        <v/>
      </c>
      <c r="AS244" s="200" t="str">
        <f>IFERROR(VLOOKUP(TableHandbook[[#This Row],[UDC]],TableSTRUEDENG[],7,FALSE),"")</f>
        <v/>
      </c>
      <c r="AT244" s="200" t="str">
        <f>IFERROR(VLOOKUP(TableHandbook[[#This Row],[UDC]],TableSTRUEDHAS[],7,FALSE),"")</f>
        <v/>
      </c>
      <c r="AU244" s="200" t="str">
        <f>IFERROR(VLOOKUP(TableHandbook[[#This Row],[UDC]],TableSTRUEDMAT[],7,FALSE),"")</f>
        <v/>
      </c>
      <c r="AV244" s="200" t="str">
        <f>IFERROR(VLOOKUP(TableHandbook[[#This Row],[UDC]],TableSTRUEDSCI[],7,FALSE),"")</f>
        <v/>
      </c>
      <c r="AW244" s="200" t="str">
        <f>IFERROR(VLOOKUP(TableHandbook[[#This Row],[UDC]],TableSTRUENGLB[],7,FALSE),"")</f>
        <v/>
      </c>
      <c r="AX244" s="200" t="str">
        <f>IFERROR(VLOOKUP(TableHandbook[[#This Row],[UDC]],TableSTRUENGLM[],7,FALSE),"")</f>
        <v/>
      </c>
      <c r="AY244" s="200" t="str">
        <f>IFERROR(VLOOKUP(TableHandbook[[#This Row],[UDC]],TableSTRUGEOB1[],7,FALSE),"")</f>
        <v/>
      </c>
      <c r="AZ244" s="200" t="str">
        <f>IFERROR(VLOOKUP(TableHandbook[[#This Row],[UDC]],TableSTRUHISB1[],7,FALSE),"")</f>
        <v/>
      </c>
      <c r="BA244" s="200" t="str">
        <f>IFERROR(VLOOKUP(TableHandbook[[#This Row],[UDC]],TableSTRUHUMAM[],7,FALSE),"")</f>
        <v/>
      </c>
      <c r="BB244" s="200" t="str">
        <f>IFERROR(VLOOKUP(TableHandbook[[#This Row],[UDC]],TableSTRUHUMBB[],7,FALSE),"")</f>
        <v/>
      </c>
      <c r="BC244" s="200" t="str">
        <f>IFERROR(VLOOKUP(TableHandbook[[#This Row],[UDC]],TableSTRUMATHB[],7,FALSE),"")</f>
        <v/>
      </c>
      <c r="BD244" s="200" t="str">
        <f>IFERROR(VLOOKUP(TableHandbook[[#This Row],[UDC]],TableSTRUMATHM[],7,FALSE),"")</f>
        <v/>
      </c>
      <c r="BE244" s="200" t="str">
        <f>IFERROR(VLOOKUP(TableHandbook[[#This Row],[UDC]],TableSTRUPARTB[],7,FALSE),"")</f>
        <v/>
      </c>
      <c r="BF244" s="200" t="str">
        <f>IFERROR(VLOOKUP(TableHandbook[[#This Row],[UDC]],TableSTRUPARTM[],7,FALSE),"")</f>
        <v/>
      </c>
      <c r="BG244" s="200" t="str">
        <f>IFERROR(VLOOKUP(TableHandbook[[#This Row],[UDC]],TableSTRUPOLB1[],7,FALSE),"")</f>
        <v/>
      </c>
      <c r="BH244" s="200" t="str">
        <f>IFERROR(VLOOKUP(TableHandbook[[#This Row],[UDC]],TableSTRUPSCIM[],7,FALSE),"")</f>
        <v/>
      </c>
      <c r="BI244" s="200" t="str">
        <f>IFERROR(VLOOKUP(TableHandbook[[#This Row],[UDC]],TableSTRUPSYCB[],7,FALSE),"")</f>
        <v/>
      </c>
      <c r="BJ244" s="200" t="str">
        <f>IFERROR(VLOOKUP(TableHandbook[[#This Row],[UDC]],TableSTRUPSYCM[],7,FALSE),"")</f>
        <v/>
      </c>
      <c r="BK244" s="200" t="str">
        <f>IFERROR(VLOOKUP(TableHandbook[[#This Row],[UDC]],TableSTRUSOSCM[],7,FALSE),"")</f>
        <v/>
      </c>
      <c r="BL244" s="200" t="str">
        <f>IFERROR(VLOOKUP(TableHandbook[[#This Row],[UDC]],TableSTRUVARTB[],7,FALSE),"")</f>
        <v/>
      </c>
      <c r="BM244" s="200" t="str">
        <f>IFERROR(VLOOKUP(TableHandbook[[#This Row],[UDC]],TableSTRUVARTM[],7,FALSE),"")</f>
        <v/>
      </c>
    </row>
    <row r="245" spans="1:65" x14ac:dyDescent="0.25">
      <c r="A245" s="262" t="s">
        <v>241</v>
      </c>
      <c r="B245" s="12">
        <v>3</v>
      </c>
      <c r="C245" s="11"/>
      <c r="D245" s="11" t="s">
        <v>240</v>
      </c>
      <c r="E245" s="12">
        <v>150</v>
      </c>
      <c r="F245" s="131" t="s">
        <v>540</v>
      </c>
      <c r="G245" s="126" t="str">
        <f>IFERROR(IF(VLOOKUP(TableHandbook[[#This Row],[UDC]],TableAvailabilities[],2,FALSE)&gt;0,"Y",""),"")</f>
        <v/>
      </c>
      <c r="H245" s="127" t="str">
        <f>IFERROR(IF(VLOOKUP(TableHandbook[[#This Row],[UDC]],TableAvailabilities[],3,FALSE)&gt;0,"Y",""),"")</f>
        <v/>
      </c>
      <c r="I245" s="127" t="str">
        <f>IFERROR(IF(VLOOKUP(TableHandbook[[#This Row],[UDC]],TableAvailabilities[],4,FALSE)&gt;0,"Y",""),"")</f>
        <v/>
      </c>
      <c r="J245" s="128" t="str">
        <f>IFERROR(IF(VLOOKUP(TableHandbook[[#This Row],[UDC]],TableAvailabilities[],5,FALSE)&gt;0,"Y",""),"")</f>
        <v/>
      </c>
      <c r="K245" s="128" t="str">
        <f>IFERROR(IF(VLOOKUP(TableHandbook[[#This Row],[UDC]],TableAvailabilities[],6,FALSE)&gt;0,"Y",""),"")</f>
        <v/>
      </c>
      <c r="L245" s="127" t="str">
        <f>IFERROR(IF(VLOOKUP(TableHandbook[[#This Row],[UDC]],TableAvailabilities[],7,FALSE)&gt;0,"Y",""),"")</f>
        <v/>
      </c>
      <c r="M245" s="251"/>
      <c r="N245" s="200" t="str">
        <f>IFERROR(VLOOKUP(TableHandbook[[#This Row],[UDC]],TableBEDUC[],7,FALSE),"")</f>
        <v/>
      </c>
      <c r="O245" s="200" t="str">
        <f>IFERROR(VLOOKUP(TableHandbook[[#This Row],[UDC]],TableBEDEC[],7,FALSE),"")</f>
        <v/>
      </c>
      <c r="P245" s="200" t="str">
        <f>IFERROR(VLOOKUP(TableHandbook[[#This Row],[UDC]],TableBEDPR[],7,FALSE),"")</f>
        <v/>
      </c>
      <c r="Q245" s="200" t="str">
        <f>IFERROR(VLOOKUP(TableHandbook[[#This Row],[UDC]],TableSTRUCATHL[],7,FALSE),"")</f>
        <v/>
      </c>
      <c r="R245" s="200" t="str">
        <f>IFERROR(VLOOKUP(TableHandbook[[#This Row],[UDC]],TableSTRUENGLL[],7,FALSE),"")</f>
        <v/>
      </c>
      <c r="S245" s="200" t="str">
        <f>IFERROR(VLOOKUP(TableHandbook[[#This Row],[UDC]],TableSTRUINTBC[],7,FALSE),"")</f>
        <v/>
      </c>
      <c r="T245" s="200" t="str">
        <f>IFERROR(VLOOKUP(TableHandbook[[#This Row],[UDC]],TableSTRUISTEM[],7,FALSE),"")</f>
        <v/>
      </c>
      <c r="U245" s="200" t="str">
        <f>IFERROR(VLOOKUP(TableHandbook[[#This Row],[UDC]],TableSTRULITNU[],7,FALSE),"")</f>
        <v/>
      </c>
      <c r="V245" s="200" t="str">
        <f>IFERROR(VLOOKUP(TableHandbook[[#This Row],[UDC]],TableSTRUTECHS[],7,FALSE),"")</f>
        <v/>
      </c>
      <c r="W245" s="200" t="str">
        <f>IFERROR(VLOOKUP(TableHandbook[[#This Row],[UDC]],TableBEDSC[],7,FALSE),"")</f>
        <v/>
      </c>
      <c r="X245" s="200" t="str">
        <f>IFERROR(VLOOKUP(TableHandbook[[#This Row],[UDC]],TableMJRUARTDR[],7,FALSE),"")</f>
        <v/>
      </c>
      <c r="Y245" s="200" t="str">
        <f>IFERROR(VLOOKUP(TableHandbook[[#This Row],[UDC]],TableMJRUARTME[],7,FALSE),"")</f>
        <v/>
      </c>
      <c r="Z245" s="200" t="str">
        <f>IFERROR(VLOOKUP(TableHandbook[[#This Row],[UDC]],TableMJRUARTVA[],7,FALSE),"")</f>
        <v/>
      </c>
      <c r="AA245" s="200" t="str">
        <f>IFERROR(VLOOKUP(TableHandbook[[#This Row],[UDC]],TableMJRUENGLT[],7,FALSE),"")</f>
        <v/>
      </c>
      <c r="AB245" s="200" t="str">
        <f>IFERROR(VLOOKUP(TableHandbook[[#This Row],[UDC]],TableMJRUHLTPE[],7,FALSE),"")</f>
        <v/>
      </c>
      <c r="AC245" s="200" t="str">
        <f>IFERROR(VLOOKUP(TableHandbook[[#This Row],[UDC]],TableMJRUHUSEC[],7,FALSE),"")</f>
        <v/>
      </c>
      <c r="AD245" s="200" t="str">
        <f>IFERROR(VLOOKUP(TableHandbook[[#This Row],[UDC]],TableMJRUHUSGE[],7,FALSE),"")</f>
        <v/>
      </c>
      <c r="AE245" s="200" t="str">
        <f>IFERROR(VLOOKUP(TableHandbook[[#This Row],[UDC]],TableMJRUHUSHI[],7,FALSE),"")</f>
        <v/>
      </c>
      <c r="AF245" s="200" t="str">
        <f>IFERROR(VLOOKUP(TableHandbook[[#This Row],[UDC]],TableMJRUHUSPL[],7,FALSE),"")</f>
        <v/>
      </c>
      <c r="AG245" s="200" t="str">
        <f>IFERROR(VLOOKUP(TableHandbook[[#This Row],[UDC]],TableMJRUMATHT[],7,FALSE),"")</f>
        <v/>
      </c>
      <c r="AH245" s="200" t="str">
        <f>IFERROR(VLOOKUP(TableHandbook[[#This Row],[UDC]],TableMJRUSCIBI[],7,FALSE),"")</f>
        <v>Option</v>
      </c>
      <c r="AI245" s="200" t="str">
        <f>IFERROR(VLOOKUP(TableHandbook[[#This Row],[UDC]],TableMJRUSCICH[],7,FALSE),"")</f>
        <v/>
      </c>
      <c r="AJ245" s="200" t="str">
        <f>IFERROR(VLOOKUP(TableHandbook[[#This Row],[UDC]],TableMJRUSCIHB[],7,FALSE),"")</f>
        <v/>
      </c>
      <c r="AK245" s="200" t="str">
        <f>IFERROR(VLOOKUP(TableHandbook[[#This Row],[UDC]],TableMJRUSCIPH[],7,FALSE),"")</f>
        <v/>
      </c>
      <c r="AL245" s="200" t="str">
        <f>IFERROR(VLOOKUP(TableHandbook[[#This Row],[UDC]],TableMJRUSCIPS[],7,FALSE),"")</f>
        <v/>
      </c>
      <c r="AM245" s="202"/>
      <c r="AN245" s="200" t="str">
        <f>IFERROR(VLOOKUP(TableHandbook[[#This Row],[UDC]],TableSTRUBIOLB[],7,FALSE),"")</f>
        <v/>
      </c>
      <c r="AO245" s="200" t="str">
        <f>IFERROR(VLOOKUP(TableHandbook[[#This Row],[UDC]],TableSTRUBSCIM[],7,FALSE),"")</f>
        <v/>
      </c>
      <c r="AP245" s="200" t="str">
        <f>IFERROR(VLOOKUP(TableHandbook[[#This Row],[UDC]],TableSTRUCHEMB[],7,FALSE),"")</f>
        <v/>
      </c>
      <c r="AQ245" s="200" t="str">
        <f>IFERROR(VLOOKUP(TableHandbook[[#This Row],[UDC]],TableSTRUECOB1[],7,FALSE),"")</f>
        <v/>
      </c>
      <c r="AR245" s="200" t="str">
        <f>IFERROR(VLOOKUP(TableHandbook[[#This Row],[UDC]],TableSTRUEDART[],7,FALSE),"")</f>
        <v/>
      </c>
      <c r="AS245" s="200" t="str">
        <f>IFERROR(VLOOKUP(TableHandbook[[#This Row],[UDC]],TableSTRUEDENG[],7,FALSE),"")</f>
        <v/>
      </c>
      <c r="AT245" s="200" t="str">
        <f>IFERROR(VLOOKUP(TableHandbook[[#This Row],[UDC]],TableSTRUEDHAS[],7,FALSE),"")</f>
        <v/>
      </c>
      <c r="AU245" s="200" t="str">
        <f>IFERROR(VLOOKUP(TableHandbook[[#This Row],[UDC]],TableSTRUEDMAT[],7,FALSE),"")</f>
        <v/>
      </c>
      <c r="AV245" s="200" t="str">
        <f>IFERROR(VLOOKUP(TableHandbook[[#This Row],[UDC]],TableSTRUEDSCI[],7,FALSE),"")</f>
        <v/>
      </c>
      <c r="AW245" s="200" t="str">
        <f>IFERROR(VLOOKUP(TableHandbook[[#This Row],[UDC]],TableSTRUENGLB[],7,FALSE),"")</f>
        <v/>
      </c>
      <c r="AX245" s="200" t="str">
        <f>IFERROR(VLOOKUP(TableHandbook[[#This Row],[UDC]],TableSTRUENGLM[],7,FALSE),"")</f>
        <v/>
      </c>
      <c r="AY245" s="200" t="str">
        <f>IFERROR(VLOOKUP(TableHandbook[[#This Row],[UDC]],TableSTRUGEOB1[],7,FALSE),"")</f>
        <v/>
      </c>
      <c r="AZ245" s="200" t="str">
        <f>IFERROR(VLOOKUP(TableHandbook[[#This Row],[UDC]],TableSTRUHISB1[],7,FALSE),"")</f>
        <v/>
      </c>
      <c r="BA245" s="200" t="str">
        <f>IFERROR(VLOOKUP(TableHandbook[[#This Row],[UDC]],TableSTRUHUMAM[],7,FALSE),"")</f>
        <v/>
      </c>
      <c r="BB245" s="200" t="str">
        <f>IFERROR(VLOOKUP(TableHandbook[[#This Row],[UDC]],TableSTRUHUMBB[],7,FALSE),"")</f>
        <v/>
      </c>
      <c r="BC245" s="200" t="str">
        <f>IFERROR(VLOOKUP(TableHandbook[[#This Row],[UDC]],TableSTRUMATHB[],7,FALSE),"")</f>
        <v/>
      </c>
      <c r="BD245" s="200" t="str">
        <f>IFERROR(VLOOKUP(TableHandbook[[#This Row],[UDC]],TableSTRUMATHM[],7,FALSE),"")</f>
        <v/>
      </c>
      <c r="BE245" s="200" t="str">
        <f>IFERROR(VLOOKUP(TableHandbook[[#This Row],[UDC]],TableSTRUPARTB[],7,FALSE),"")</f>
        <v/>
      </c>
      <c r="BF245" s="200" t="str">
        <f>IFERROR(VLOOKUP(TableHandbook[[#This Row],[UDC]],TableSTRUPARTM[],7,FALSE),"")</f>
        <v/>
      </c>
      <c r="BG245" s="200" t="str">
        <f>IFERROR(VLOOKUP(TableHandbook[[#This Row],[UDC]],TableSTRUPOLB1[],7,FALSE),"")</f>
        <v/>
      </c>
      <c r="BH245" s="200" t="str">
        <f>IFERROR(VLOOKUP(TableHandbook[[#This Row],[UDC]],TableSTRUPSCIM[],7,FALSE),"")</f>
        <v/>
      </c>
      <c r="BI245" s="200" t="str">
        <f>IFERROR(VLOOKUP(TableHandbook[[#This Row],[UDC]],TableSTRUPSYCB[],7,FALSE),"")</f>
        <v/>
      </c>
      <c r="BJ245" s="200" t="str">
        <f>IFERROR(VLOOKUP(TableHandbook[[#This Row],[UDC]],TableSTRUPSYCM[],7,FALSE),"")</f>
        <v/>
      </c>
      <c r="BK245" s="200" t="str">
        <f>IFERROR(VLOOKUP(TableHandbook[[#This Row],[UDC]],TableSTRUSOSCM[],7,FALSE),"")</f>
        <v/>
      </c>
      <c r="BL245" s="200" t="str">
        <f>IFERROR(VLOOKUP(TableHandbook[[#This Row],[UDC]],TableSTRUVARTB[],7,FALSE),"")</f>
        <v/>
      </c>
      <c r="BM245" s="200" t="str">
        <f>IFERROR(VLOOKUP(TableHandbook[[#This Row],[UDC]],TableSTRUVARTM[],7,FALSE),"")</f>
        <v/>
      </c>
    </row>
    <row r="246" spans="1:65" x14ac:dyDescent="0.25">
      <c r="A246" s="262" t="s">
        <v>193</v>
      </c>
      <c r="B246" s="12">
        <v>2</v>
      </c>
      <c r="C246" s="11"/>
      <c r="D246" s="11" t="s">
        <v>243</v>
      </c>
      <c r="E246" s="12">
        <v>150</v>
      </c>
      <c r="F246" s="131" t="s">
        <v>540</v>
      </c>
      <c r="G246" s="126" t="str">
        <f>IFERROR(IF(VLOOKUP(TableHandbook[[#This Row],[UDC]],TableAvailabilities[],2,FALSE)&gt;0,"Y",""),"")</f>
        <v/>
      </c>
      <c r="H246" s="127" t="str">
        <f>IFERROR(IF(VLOOKUP(TableHandbook[[#This Row],[UDC]],TableAvailabilities[],3,FALSE)&gt;0,"Y",""),"")</f>
        <v/>
      </c>
      <c r="I246" s="127" t="str">
        <f>IFERROR(IF(VLOOKUP(TableHandbook[[#This Row],[UDC]],TableAvailabilities[],4,FALSE)&gt;0,"Y",""),"")</f>
        <v/>
      </c>
      <c r="J246" s="128" t="str">
        <f>IFERROR(IF(VLOOKUP(TableHandbook[[#This Row],[UDC]],TableAvailabilities[],5,FALSE)&gt;0,"Y",""),"")</f>
        <v/>
      </c>
      <c r="K246" s="128" t="str">
        <f>IFERROR(IF(VLOOKUP(TableHandbook[[#This Row],[UDC]],TableAvailabilities[],6,FALSE)&gt;0,"Y",""),"")</f>
        <v/>
      </c>
      <c r="L246" s="127" t="str">
        <f>IFERROR(IF(VLOOKUP(TableHandbook[[#This Row],[UDC]],TableAvailabilities[],7,FALSE)&gt;0,"Y",""),"")</f>
        <v/>
      </c>
      <c r="M246" s="251"/>
      <c r="N246" s="200" t="str">
        <f>IFERROR(VLOOKUP(TableHandbook[[#This Row],[UDC]],TableBEDUC[],7,FALSE),"")</f>
        <v/>
      </c>
      <c r="O246" s="200" t="str">
        <f>IFERROR(VLOOKUP(TableHandbook[[#This Row],[UDC]],TableBEDEC[],7,FALSE),"")</f>
        <v/>
      </c>
      <c r="P246" s="200" t="str">
        <f>IFERROR(VLOOKUP(TableHandbook[[#This Row],[UDC]],TableBEDPR[],7,FALSE),"")</f>
        <v/>
      </c>
      <c r="Q246" s="200" t="str">
        <f>IFERROR(VLOOKUP(TableHandbook[[#This Row],[UDC]],TableSTRUCATHL[],7,FALSE),"")</f>
        <v/>
      </c>
      <c r="R246" s="200" t="str">
        <f>IFERROR(VLOOKUP(TableHandbook[[#This Row],[UDC]],TableSTRUENGLL[],7,FALSE),"")</f>
        <v/>
      </c>
      <c r="S246" s="200" t="str">
        <f>IFERROR(VLOOKUP(TableHandbook[[#This Row],[UDC]],TableSTRUINTBC[],7,FALSE),"")</f>
        <v/>
      </c>
      <c r="T246" s="200" t="str">
        <f>IFERROR(VLOOKUP(TableHandbook[[#This Row],[UDC]],TableSTRUISTEM[],7,FALSE),"")</f>
        <v/>
      </c>
      <c r="U246" s="200" t="str">
        <f>IFERROR(VLOOKUP(TableHandbook[[#This Row],[UDC]],TableSTRULITNU[],7,FALSE),"")</f>
        <v/>
      </c>
      <c r="V246" s="200" t="str">
        <f>IFERROR(VLOOKUP(TableHandbook[[#This Row],[UDC]],TableSTRUTECHS[],7,FALSE),"")</f>
        <v/>
      </c>
      <c r="W246" s="200" t="str">
        <f>IFERROR(VLOOKUP(TableHandbook[[#This Row],[UDC]],TableBEDSC[],7,FALSE),"")</f>
        <v/>
      </c>
      <c r="X246" s="200" t="str">
        <f>IFERROR(VLOOKUP(TableHandbook[[#This Row],[UDC]],TableMJRUARTDR[],7,FALSE),"")</f>
        <v>Option</v>
      </c>
      <c r="Y246" s="200" t="str">
        <f>IFERROR(VLOOKUP(TableHandbook[[#This Row],[UDC]],TableMJRUARTME[],7,FALSE),"")</f>
        <v>Option</v>
      </c>
      <c r="Z246" s="200" t="str">
        <f>IFERROR(VLOOKUP(TableHandbook[[#This Row],[UDC]],TableMJRUARTVA[],7,FALSE),"")</f>
        <v>Option</v>
      </c>
      <c r="AA246" s="200" t="str">
        <f>IFERROR(VLOOKUP(TableHandbook[[#This Row],[UDC]],TableMJRUENGLT[],7,FALSE),"")</f>
        <v>Core</v>
      </c>
      <c r="AB246" s="200" t="str">
        <f>IFERROR(VLOOKUP(TableHandbook[[#This Row],[UDC]],TableMJRUHLTPE[],7,FALSE),"")</f>
        <v/>
      </c>
      <c r="AC246" s="200" t="str">
        <f>IFERROR(VLOOKUP(TableHandbook[[#This Row],[UDC]],TableMJRUHUSEC[],7,FALSE),"")</f>
        <v>Option</v>
      </c>
      <c r="AD246" s="200" t="str">
        <f>IFERROR(VLOOKUP(TableHandbook[[#This Row],[UDC]],TableMJRUHUSGE[],7,FALSE),"")</f>
        <v>Option</v>
      </c>
      <c r="AE246" s="200" t="str">
        <f>IFERROR(VLOOKUP(TableHandbook[[#This Row],[UDC]],TableMJRUHUSHI[],7,FALSE),"")</f>
        <v>Option</v>
      </c>
      <c r="AF246" s="200" t="str">
        <f>IFERROR(VLOOKUP(TableHandbook[[#This Row],[UDC]],TableMJRUHUSPL[],7,FALSE),"")</f>
        <v>Option</v>
      </c>
      <c r="AG246" s="200" t="str">
        <f>IFERROR(VLOOKUP(TableHandbook[[#This Row],[UDC]],TableMJRUMATHT[],7,FALSE),"")</f>
        <v>Option</v>
      </c>
      <c r="AH246" s="200" t="str">
        <f>IFERROR(VLOOKUP(TableHandbook[[#This Row],[UDC]],TableMJRUSCIBI[],7,FALSE),"")</f>
        <v/>
      </c>
      <c r="AI246" s="200" t="str">
        <f>IFERROR(VLOOKUP(TableHandbook[[#This Row],[UDC]],TableMJRUSCICH[],7,FALSE),"")</f>
        <v/>
      </c>
      <c r="AJ246" s="200" t="str">
        <f>IFERROR(VLOOKUP(TableHandbook[[#This Row],[UDC]],TableMJRUSCIHB[],7,FALSE),"")</f>
        <v/>
      </c>
      <c r="AK246" s="200" t="str">
        <f>IFERROR(VLOOKUP(TableHandbook[[#This Row],[UDC]],TableMJRUSCIPH[],7,FALSE),"")</f>
        <v/>
      </c>
      <c r="AL246" s="200" t="str">
        <f>IFERROR(VLOOKUP(TableHandbook[[#This Row],[UDC]],TableMJRUSCIPS[],7,FALSE),"")</f>
        <v/>
      </c>
      <c r="AM246" s="202"/>
      <c r="AN246" s="200" t="str">
        <f>IFERROR(VLOOKUP(TableHandbook[[#This Row],[UDC]],TableSTRUBIOLB[],7,FALSE),"")</f>
        <v/>
      </c>
      <c r="AO246" s="200" t="str">
        <f>IFERROR(VLOOKUP(TableHandbook[[#This Row],[UDC]],TableSTRUBSCIM[],7,FALSE),"")</f>
        <v/>
      </c>
      <c r="AP246" s="200" t="str">
        <f>IFERROR(VLOOKUP(TableHandbook[[#This Row],[UDC]],TableSTRUCHEMB[],7,FALSE),"")</f>
        <v/>
      </c>
      <c r="AQ246" s="200" t="str">
        <f>IFERROR(VLOOKUP(TableHandbook[[#This Row],[UDC]],TableSTRUECOB1[],7,FALSE),"")</f>
        <v/>
      </c>
      <c r="AR246" s="200" t="str">
        <f>IFERROR(VLOOKUP(TableHandbook[[#This Row],[UDC]],TableSTRUEDART[],7,FALSE),"")</f>
        <v/>
      </c>
      <c r="AS246" s="200" t="str">
        <f>IFERROR(VLOOKUP(TableHandbook[[#This Row],[UDC]],TableSTRUEDENG[],7,FALSE),"")</f>
        <v/>
      </c>
      <c r="AT246" s="200" t="str">
        <f>IFERROR(VLOOKUP(TableHandbook[[#This Row],[UDC]],TableSTRUEDHAS[],7,FALSE),"")</f>
        <v/>
      </c>
      <c r="AU246" s="200" t="str">
        <f>IFERROR(VLOOKUP(TableHandbook[[#This Row],[UDC]],TableSTRUEDMAT[],7,FALSE),"")</f>
        <v/>
      </c>
      <c r="AV246" s="200" t="str">
        <f>IFERROR(VLOOKUP(TableHandbook[[#This Row],[UDC]],TableSTRUEDSCI[],7,FALSE),"")</f>
        <v/>
      </c>
      <c r="AW246" s="200" t="str">
        <f>IFERROR(VLOOKUP(TableHandbook[[#This Row],[UDC]],TableSTRUENGLB[],7,FALSE),"")</f>
        <v/>
      </c>
      <c r="AX246" s="200" t="str">
        <f>IFERROR(VLOOKUP(TableHandbook[[#This Row],[UDC]],TableSTRUENGLM[],7,FALSE),"")</f>
        <v/>
      </c>
      <c r="AY246" s="200" t="str">
        <f>IFERROR(VLOOKUP(TableHandbook[[#This Row],[UDC]],TableSTRUGEOB1[],7,FALSE),"")</f>
        <v/>
      </c>
      <c r="AZ246" s="200" t="str">
        <f>IFERROR(VLOOKUP(TableHandbook[[#This Row],[UDC]],TableSTRUHISB1[],7,FALSE),"")</f>
        <v/>
      </c>
      <c r="BA246" s="200" t="str">
        <f>IFERROR(VLOOKUP(TableHandbook[[#This Row],[UDC]],TableSTRUHUMAM[],7,FALSE),"")</f>
        <v/>
      </c>
      <c r="BB246" s="200" t="str">
        <f>IFERROR(VLOOKUP(TableHandbook[[#This Row],[UDC]],TableSTRUHUMBB[],7,FALSE),"")</f>
        <v/>
      </c>
      <c r="BC246" s="200" t="str">
        <f>IFERROR(VLOOKUP(TableHandbook[[#This Row],[UDC]],TableSTRUMATHB[],7,FALSE),"")</f>
        <v/>
      </c>
      <c r="BD246" s="200" t="str">
        <f>IFERROR(VLOOKUP(TableHandbook[[#This Row],[UDC]],TableSTRUMATHM[],7,FALSE),"")</f>
        <v/>
      </c>
      <c r="BE246" s="200" t="str">
        <f>IFERROR(VLOOKUP(TableHandbook[[#This Row],[UDC]],TableSTRUPARTB[],7,FALSE),"")</f>
        <v/>
      </c>
      <c r="BF246" s="200" t="str">
        <f>IFERROR(VLOOKUP(TableHandbook[[#This Row],[UDC]],TableSTRUPARTM[],7,FALSE),"")</f>
        <v/>
      </c>
      <c r="BG246" s="200" t="str">
        <f>IFERROR(VLOOKUP(TableHandbook[[#This Row],[UDC]],TableSTRUPOLB1[],7,FALSE),"")</f>
        <v/>
      </c>
      <c r="BH246" s="200" t="str">
        <f>IFERROR(VLOOKUP(TableHandbook[[#This Row],[UDC]],TableSTRUPSCIM[],7,FALSE),"")</f>
        <v/>
      </c>
      <c r="BI246" s="200" t="str">
        <f>IFERROR(VLOOKUP(TableHandbook[[#This Row],[UDC]],TableSTRUPSYCB[],7,FALSE),"")</f>
        <v/>
      </c>
      <c r="BJ246" s="200" t="str">
        <f>IFERROR(VLOOKUP(TableHandbook[[#This Row],[UDC]],TableSTRUPSYCM[],7,FALSE),"")</f>
        <v/>
      </c>
      <c r="BK246" s="200" t="str">
        <f>IFERROR(VLOOKUP(TableHandbook[[#This Row],[UDC]],TableSTRUSOSCM[],7,FALSE),"")</f>
        <v/>
      </c>
      <c r="BL246" s="200" t="str">
        <f>IFERROR(VLOOKUP(TableHandbook[[#This Row],[UDC]],TableSTRUVARTB[],7,FALSE),"")</f>
        <v/>
      </c>
      <c r="BM246" s="200" t="str">
        <f>IFERROR(VLOOKUP(TableHandbook[[#This Row],[UDC]],TableSTRUVARTM[],7,FALSE),"")</f>
        <v/>
      </c>
    </row>
    <row r="247" spans="1:65" x14ac:dyDescent="0.25">
      <c r="A247" s="262" t="s">
        <v>245</v>
      </c>
      <c r="B247" s="12">
        <v>2</v>
      </c>
      <c r="C247" s="11"/>
      <c r="D247" s="11" t="s">
        <v>244</v>
      </c>
      <c r="E247" s="12">
        <v>150</v>
      </c>
      <c r="F247" s="131" t="s">
        <v>540</v>
      </c>
      <c r="G247" s="126" t="str">
        <f>IFERROR(IF(VLOOKUP(TableHandbook[[#This Row],[UDC]],TableAvailabilities[],2,FALSE)&gt;0,"Y",""),"")</f>
        <v/>
      </c>
      <c r="H247" s="127" t="str">
        <f>IFERROR(IF(VLOOKUP(TableHandbook[[#This Row],[UDC]],TableAvailabilities[],3,FALSE)&gt;0,"Y",""),"")</f>
        <v/>
      </c>
      <c r="I247" s="127" t="str">
        <f>IFERROR(IF(VLOOKUP(TableHandbook[[#This Row],[UDC]],TableAvailabilities[],4,FALSE)&gt;0,"Y",""),"")</f>
        <v/>
      </c>
      <c r="J247" s="128" t="str">
        <f>IFERROR(IF(VLOOKUP(TableHandbook[[#This Row],[UDC]],TableAvailabilities[],5,FALSE)&gt;0,"Y",""),"")</f>
        <v/>
      </c>
      <c r="K247" s="128" t="str">
        <f>IFERROR(IF(VLOOKUP(TableHandbook[[#This Row],[UDC]],TableAvailabilities[],6,FALSE)&gt;0,"Y",""),"")</f>
        <v/>
      </c>
      <c r="L247" s="127" t="str">
        <f>IFERROR(IF(VLOOKUP(TableHandbook[[#This Row],[UDC]],TableAvailabilities[],7,FALSE)&gt;0,"Y",""),"")</f>
        <v/>
      </c>
      <c r="M247" s="251"/>
      <c r="N247" s="200" t="str">
        <f>IFERROR(VLOOKUP(TableHandbook[[#This Row],[UDC]],TableBEDUC[],7,FALSE),"")</f>
        <v/>
      </c>
      <c r="O247" s="200" t="str">
        <f>IFERROR(VLOOKUP(TableHandbook[[#This Row],[UDC]],TableBEDEC[],7,FALSE),"")</f>
        <v/>
      </c>
      <c r="P247" s="200" t="str">
        <f>IFERROR(VLOOKUP(TableHandbook[[#This Row],[UDC]],TableBEDPR[],7,FALSE),"")</f>
        <v/>
      </c>
      <c r="Q247" s="200" t="str">
        <f>IFERROR(VLOOKUP(TableHandbook[[#This Row],[UDC]],TableSTRUCATHL[],7,FALSE),"")</f>
        <v/>
      </c>
      <c r="R247" s="200" t="str">
        <f>IFERROR(VLOOKUP(TableHandbook[[#This Row],[UDC]],TableSTRUENGLL[],7,FALSE),"")</f>
        <v/>
      </c>
      <c r="S247" s="200" t="str">
        <f>IFERROR(VLOOKUP(TableHandbook[[#This Row],[UDC]],TableSTRUINTBC[],7,FALSE),"")</f>
        <v/>
      </c>
      <c r="T247" s="200" t="str">
        <f>IFERROR(VLOOKUP(TableHandbook[[#This Row],[UDC]],TableSTRUISTEM[],7,FALSE),"")</f>
        <v/>
      </c>
      <c r="U247" s="200" t="str">
        <f>IFERROR(VLOOKUP(TableHandbook[[#This Row],[UDC]],TableSTRULITNU[],7,FALSE),"")</f>
        <v/>
      </c>
      <c r="V247" s="200" t="str">
        <f>IFERROR(VLOOKUP(TableHandbook[[#This Row],[UDC]],TableSTRUTECHS[],7,FALSE),"")</f>
        <v/>
      </c>
      <c r="W247" s="200" t="str">
        <f>IFERROR(VLOOKUP(TableHandbook[[#This Row],[UDC]],TableBEDSC[],7,FALSE),"")</f>
        <v/>
      </c>
      <c r="X247" s="200" t="str">
        <f>IFERROR(VLOOKUP(TableHandbook[[#This Row],[UDC]],TableMJRUARTDR[],7,FALSE),"")</f>
        <v/>
      </c>
      <c r="Y247" s="200" t="str">
        <f>IFERROR(VLOOKUP(TableHandbook[[#This Row],[UDC]],TableMJRUARTME[],7,FALSE),"")</f>
        <v/>
      </c>
      <c r="Z247" s="200" t="str">
        <f>IFERROR(VLOOKUP(TableHandbook[[#This Row],[UDC]],TableMJRUARTVA[],7,FALSE),"")</f>
        <v/>
      </c>
      <c r="AA247" s="200" t="str">
        <f>IFERROR(VLOOKUP(TableHandbook[[#This Row],[UDC]],TableMJRUENGLT[],7,FALSE),"")</f>
        <v/>
      </c>
      <c r="AB247" s="200" t="str">
        <f>IFERROR(VLOOKUP(TableHandbook[[#This Row],[UDC]],TableMJRUHLTPE[],7,FALSE),"")</f>
        <v/>
      </c>
      <c r="AC247" s="200" t="str">
        <f>IFERROR(VLOOKUP(TableHandbook[[#This Row],[UDC]],TableMJRUHUSEC[],7,FALSE),"")</f>
        <v/>
      </c>
      <c r="AD247" s="200" t="str">
        <f>IFERROR(VLOOKUP(TableHandbook[[#This Row],[UDC]],TableMJRUHUSGE[],7,FALSE),"")</f>
        <v/>
      </c>
      <c r="AE247" s="200" t="str">
        <f>IFERROR(VLOOKUP(TableHandbook[[#This Row],[UDC]],TableMJRUHUSHI[],7,FALSE),"")</f>
        <v/>
      </c>
      <c r="AF247" s="200" t="str">
        <f>IFERROR(VLOOKUP(TableHandbook[[#This Row],[UDC]],TableMJRUHUSPL[],7,FALSE),"")</f>
        <v/>
      </c>
      <c r="AG247" s="200" t="str">
        <f>IFERROR(VLOOKUP(TableHandbook[[#This Row],[UDC]],TableMJRUMATHT[],7,FALSE),"")</f>
        <v/>
      </c>
      <c r="AH247" s="200" t="str">
        <f>IFERROR(VLOOKUP(TableHandbook[[#This Row],[UDC]],TableMJRUSCIBI[],7,FALSE),"")</f>
        <v/>
      </c>
      <c r="AI247" s="200" t="str">
        <f>IFERROR(VLOOKUP(TableHandbook[[#This Row],[UDC]],TableMJRUSCICH[],7,FALSE),"")</f>
        <v>Option</v>
      </c>
      <c r="AJ247" s="200" t="str">
        <f>IFERROR(VLOOKUP(TableHandbook[[#This Row],[UDC]],TableMJRUSCIHB[],7,FALSE),"")</f>
        <v/>
      </c>
      <c r="AK247" s="200" t="str">
        <f>IFERROR(VLOOKUP(TableHandbook[[#This Row],[UDC]],TableMJRUSCIPH[],7,FALSE),"")</f>
        <v/>
      </c>
      <c r="AL247" s="200" t="str">
        <f>IFERROR(VLOOKUP(TableHandbook[[#This Row],[UDC]],TableMJRUSCIPS[],7,FALSE),"")</f>
        <v/>
      </c>
      <c r="AM247" s="202"/>
      <c r="AN247" s="200" t="str">
        <f>IFERROR(VLOOKUP(TableHandbook[[#This Row],[UDC]],TableSTRUBIOLB[],7,FALSE),"")</f>
        <v/>
      </c>
      <c r="AO247" s="200" t="str">
        <f>IFERROR(VLOOKUP(TableHandbook[[#This Row],[UDC]],TableSTRUBSCIM[],7,FALSE),"")</f>
        <v/>
      </c>
      <c r="AP247" s="200" t="str">
        <f>IFERROR(VLOOKUP(TableHandbook[[#This Row],[UDC]],TableSTRUCHEMB[],7,FALSE),"")</f>
        <v/>
      </c>
      <c r="AQ247" s="200" t="str">
        <f>IFERROR(VLOOKUP(TableHandbook[[#This Row],[UDC]],TableSTRUECOB1[],7,FALSE),"")</f>
        <v/>
      </c>
      <c r="AR247" s="200" t="str">
        <f>IFERROR(VLOOKUP(TableHandbook[[#This Row],[UDC]],TableSTRUEDART[],7,FALSE),"")</f>
        <v/>
      </c>
      <c r="AS247" s="200" t="str">
        <f>IFERROR(VLOOKUP(TableHandbook[[#This Row],[UDC]],TableSTRUEDENG[],7,FALSE),"")</f>
        <v/>
      </c>
      <c r="AT247" s="200" t="str">
        <f>IFERROR(VLOOKUP(TableHandbook[[#This Row],[UDC]],TableSTRUEDHAS[],7,FALSE),"")</f>
        <v/>
      </c>
      <c r="AU247" s="200" t="str">
        <f>IFERROR(VLOOKUP(TableHandbook[[#This Row],[UDC]],TableSTRUEDMAT[],7,FALSE),"")</f>
        <v/>
      </c>
      <c r="AV247" s="200" t="str">
        <f>IFERROR(VLOOKUP(TableHandbook[[#This Row],[UDC]],TableSTRUEDSCI[],7,FALSE),"")</f>
        <v/>
      </c>
      <c r="AW247" s="200" t="str">
        <f>IFERROR(VLOOKUP(TableHandbook[[#This Row],[UDC]],TableSTRUENGLB[],7,FALSE),"")</f>
        <v/>
      </c>
      <c r="AX247" s="200" t="str">
        <f>IFERROR(VLOOKUP(TableHandbook[[#This Row],[UDC]],TableSTRUENGLM[],7,FALSE),"")</f>
        <v/>
      </c>
      <c r="AY247" s="200" t="str">
        <f>IFERROR(VLOOKUP(TableHandbook[[#This Row],[UDC]],TableSTRUGEOB1[],7,FALSE),"")</f>
        <v/>
      </c>
      <c r="AZ247" s="200" t="str">
        <f>IFERROR(VLOOKUP(TableHandbook[[#This Row],[UDC]],TableSTRUHISB1[],7,FALSE),"")</f>
        <v/>
      </c>
      <c r="BA247" s="200" t="str">
        <f>IFERROR(VLOOKUP(TableHandbook[[#This Row],[UDC]],TableSTRUHUMAM[],7,FALSE),"")</f>
        <v/>
      </c>
      <c r="BB247" s="200" t="str">
        <f>IFERROR(VLOOKUP(TableHandbook[[#This Row],[UDC]],TableSTRUHUMBB[],7,FALSE),"")</f>
        <v/>
      </c>
      <c r="BC247" s="200" t="str">
        <f>IFERROR(VLOOKUP(TableHandbook[[#This Row],[UDC]],TableSTRUMATHB[],7,FALSE),"")</f>
        <v/>
      </c>
      <c r="BD247" s="200" t="str">
        <f>IFERROR(VLOOKUP(TableHandbook[[#This Row],[UDC]],TableSTRUMATHM[],7,FALSE),"")</f>
        <v/>
      </c>
      <c r="BE247" s="200" t="str">
        <f>IFERROR(VLOOKUP(TableHandbook[[#This Row],[UDC]],TableSTRUPARTB[],7,FALSE),"")</f>
        <v/>
      </c>
      <c r="BF247" s="200" t="str">
        <f>IFERROR(VLOOKUP(TableHandbook[[#This Row],[UDC]],TableSTRUPARTM[],7,FALSE),"")</f>
        <v/>
      </c>
      <c r="BG247" s="200" t="str">
        <f>IFERROR(VLOOKUP(TableHandbook[[#This Row],[UDC]],TableSTRUPOLB1[],7,FALSE),"")</f>
        <v/>
      </c>
      <c r="BH247" s="200" t="str">
        <f>IFERROR(VLOOKUP(TableHandbook[[#This Row],[UDC]],TableSTRUPSCIM[],7,FALSE),"")</f>
        <v/>
      </c>
      <c r="BI247" s="200" t="str">
        <f>IFERROR(VLOOKUP(TableHandbook[[#This Row],[UDC]],TableSTRUPSYCB[],7,FALSE),"")</f>
        <v/>
      </c>
      <c r="BJ247" s="200" t="str">
        <f>IFERROR(VLOOKUP(TableHandbook[[#This Row],[UDC]],TableSTRUPSYCM[],7,FALSE),"")</f>
        <v/>
      </c>
      <c r="BK247" s="200" t="str">
        <f>IFERROR(VLOOKUP(TableHandbook[[#This Row],[UDC]],TableSTRUSOSCM[],7,FALSE),"")</f>
        <v/>
      </c>
      <c r="BL247" s="200" t="str">
        <f>IFERROR(VLOOKUP(TableHandbook[[#This Row],[UDC]],TableSTRUVARTB[],7,FALSE),"")</f>
        <v/>
      </c>
      <c r="BM247" s="200" t="str">
        <f>IFERROR(VLOOKUP(TableHandbook[[#This Row],[UDC]],TableSTRUVARTM[],7,FALSE),"")</f>
        <v/>
      </c>
    </row>
    <row r="248" spans="1:65" x14ac:dyDescent="0.25">
      <c r="A248" s="262" t="s">
        <v>247</v>
      </c>
      <c r="B248" s="12">
        <v>1</v>
      </c>
      <c r="C248" s="11"/>
      <c r="D248" s="11" t="s">
        <v>246</v>
      </c>
      <c r="E248" s="12">
        <v>150</v>
      </c>
      <c r="F248" s="131" t="s">
        <v>540</v>
      </c>
      <c r="G248" s="126" t="str">
        <f>IFERROR(IF(VLOOKUP(TableHandbook[[#This Row],[UDC]],TableAvailabilities[],2,FALSE)&gt;0,"Y",""),"")</f>
        <v/>
      </c>
      <c r="H248" s="127" t="str">
        <f>IFERROR(IF(VLOOKUP(TableHandbook[[#This Row],[UDC]],TableAvailabilities[],3,FALSE)&gt;0,"Y",""),"")</f>
        <v/>
      </c>
      <c r="I248" s="127" t="str">
        <f>IFERROR(IF(VLOOKUP(TableHandbook[[#This Row],[UDC]],TableAvailabilities[],4,FALSE)&gt;0,"Y",""),"")</f>
        <v/>
      </c>
      <c r="J248" s="128" t="str">
        <f>IFERROR(IF(VLOOKUP(TableHandbook[[#This Row],[UDC]],TableAvailabilities[],5,FALSE)&gt;0,"Y",""),"")</f>
        <v/>
      </c>
      <c r="K248" s="128" t="str">
        <f>IFERROR(IF(VLOOKUP(TableHandbook[[#This Row],[UDC]],TableAvailabilities[],6,FALSE)&gt;0,"Y",""),"")</f>
        <v/>
      </c>
      <c r="L248" s="127" t="str">
        <f>IFERROR(IF(VLOOKUP(TableHandbook[[#This Row],[UDC]],TableAvailabilities[],7,FALSE)&gt;0,"Y",""),"")</f>
        <v/>
      </c>
      <c r="M248" s="251"/>
      <c r="N248" s="200" t="str">
        <f>IFERROR(VLOOKUP(TableHandbook[[#This Row],[UDC]],TableBEDUC[],7,FALSE),"")</f>
        <v/>
      </c>
      <c r="O248" s="200" t="str">
        <f>IFERROR(VLOOKUP(TableHandbook[[#This Row],[UDC]],TableBEDEC[],7,FALSE),"")</f>
        <v/>
      </c>
      <c r="P248" s="200" t="str">
        <f>IFERROR(VLOOKUP(TableHandbook[[#This Row],[UDC]],TableBEDPR[],7,FALSE),"")</f>
        <v/>
      </c>
      <c r="Q248" s="200" t="str">
        <f>IFERROR(VLOOKUP(TableHandbook[[#This Row],[UDC]],TableSTRUCATHL[],7,FALSE),"")</f>
        <v/>
      </c>
      <c r="R248" s="200" t="str">
        <f>IFERROR(VLOOKUP(TableHandbook[[#This Row],[UDC]],TableSTRUENGLL[],7,FALSE),"")</f>
        <v/>
      </c>
      <c r="S248" s="200" t="str">
        <f>IFERROR(VLOOKUP(TableHandbook[[#This Row],[UDC]],TableSTRUINTBC[],7,FALSE),"")</f>
        <v/>
      </c>
      <c r="T248" s="200" t="str">
        <f>IFERROR(VLOOKUP(TableHandbook[[#This Row],[UDC]],TableSTRUISTEM[],7,FALSE),"")</f>
        <v/>
      </c>
      <c r="U248" s="200" t="str">
        <f>IFERROR(VLOOKUP(TableHandbook[[#This Row],[UDC]],TableSTRULITNU[],7,FALSE),"")</f>
        <v/>
      </c>
      <c r="V248" s="200" t="str">
        <f>IFERROR(VLOOKUP(TableHandbook[[#This Row],[UDC]],TableSTRUTECHS[],7,FALSE),"")</f>
        <v/>
      </c>
      <c r="W248" s="200" t="str">
        <f>IFERROR(VLOOKUP(TableHandbook[[#This Row],[UDC]],TableBEDSC[],7,FALSE),"")</f>
        <v/>
      </c>
      <c r="X248" s="200" t="str">
        <f>IFERROR(VLOOKUP(TableHandbook[[#This Row],[UDC]],TableMJRUARTDR[],7,FALSE),"")</f>
        <v/>
      </c>
      <c r="Y248" s="200" t="str">
        <f>IFERROR(VLOOKUP(TableHandbook[[#This Row],[UDC]],TableMJRUARTME[],7,FALSE),"")</f>
        <v/>
      </c>
      <c r="Z248" s="200" t="str">
        <f>IFERROR(VLOOKUP(TableHandbook[[#This Row],[UDC]],TableMJRUARTVA[],7,FALSE),"")</f>
        <v/>
      </c>
      <c r="AA248" s="200" t="str">
        <f>IFERROR(VLOOKUP(TableHandbook[[#This Row],[UDC]],TableMJRUENGLT[],7,FALSE),"")</f>
        <v/>
      </c>
      <c r="AB248" s="200" t="str">
        <f>IFERROR(VLOOKUP(TableHandbook[[#This Row],[UDC]],TableMJRUHLTPE[],7,FALSE),"")</f>
        <v/>
      </c>
      <c r="AC248" s="200" t="str">
        <f>IFERROR(VLOOKUP(TableHandbook[[#This Row],[UDC]],TableMJRUHUSEC[],7,FALSE),"")</f>
        <v>Option</v>
      </c>
      <c r="AD248" s="200" t="str">
        <f>IFERROR(VLOOKUP(TableHandbook[[#This Row],[UDC]],TableMJRUHUSGE[],7,FALSE),"")</f>
        <v/>
      </c>
      <c r="AE248" s="200" t="str">
        <f>IFERROR(VLOOKUP(TableHandbook[[#This Row],[UDC]],TableMJRUHUSHI[],7,FALSE),"")</f>
        <v/>
      </c>
      <c r="AF248" s="200" t="str">
        <f>IFERROR(VLOOKUP(TableHandbook[[#This Row],[UDC]],TableMJRUHUSPL[],7,FALSE),"")</f>
        <v/>
      </c>
      <c r="AG248" s="200" t="str">
        <f>IFERROR(VLOOKUP(TableHandbook[[#This Row],[UDC]],TableMJRUMATHT[],7,FALSE),"")</f>
        <v/>
      </c>
      <c r="AH248" s="200" t="str">
        <f>IFERROR(VLOOKUP(TableHandbook[[#This Row],[UDC]],TableMJRUSCIBI[],7,FALSE),"")</f>
        <v/>
      </c>
      <c r="AI248" s="200" t="str">
        <f>IFERROR(VLOOKUP(TableHandbook[[#This Row],[UDC]],TableMJRUSCICH[],7,FALSE),"")</f>
        <v/>
      </c>
      <c r="AJ248" s="200" t="str">
        <f>IFERROR(VLOOKUP(TableHandbook[[#This Row],[UDC]],TableMJRUSCIHB[],7,FALSE),"")</f>
        <v/>
      </c>
      <c r="AK248" s="200" t="str">
        <f>IFERROR(VLOOKUP(TableHandbook[[#This Row],[UDC]],TableMJRUSCIPH[],7,FALSE),"")</f>
        <v/>
      </c>
      <c r="AL248" s="200" t="str">
        <f>IFERROR(VLOOKUP(TableHandbook[[#This Row],[UDC]],TableMJRUSCIPS[],7,FALSE),"")</f>
        <v/>
      </c>
      <c r="AM248" s="202"/>
      <c r="AN248" s="200" t="str">
        <f>IFERROR(VLOOKUP(TableHandbook[[#This Row],[UDC]],TableSTRUBIOLB[],7,FALSE),"")</f>
        <v/>
      </c>
      <c r="AO248" s="200" t="str">
        <f>IFERROR(VLOOKUP(TableHandbook[[#This Row],[UDC]],TableSTRUBSCIM[],7,FALSE),"")</f>
        <v/>
      </c>
      <c r="AP248" s="200" t="str">
        <f>IFERROR(VLOOKUP(TableHandbook[[#This Row],[UDC]],TableSTRUCHEMB[],7,FALSE),"")</f>
        <v/>
      </c>
      <c r="AQ248" s="200" t="str">
        <f>IFERROR(VLOOKUP(TableHandbook[[#This Row],[UDC]],TableSTRUECOB1[],7,FALSE),"")</f>
        <v/>
      </c>
      <c r="AR248" s="200" t="str">
        <f>IFERROR(VLOOKUP(TableHandbook[[#This Row],[UDC]],TableSTRUEDART[],7,FALSE),"")</f>
        <v/>
      </c>
      <c r="AS248" s="200" t="str">
        <f>IFERROR(VLOOKUP(TableHandbook[[#This Row],[UDC]],TableSTRUEDENG[],7,FALSE),"")</f>
        <v/>
      </c>
      <c r="AT248" s="200" t="str">
        <f>IFERROR(VLOOKUP(TableHandbook[[#This Row],[UDC]],TableSTRUEDHAS[],7,FALSE),"")</f>
        <v/>
      </c>
      <c r="AU248" s="200" t="str">
        <f>IFERROR(VLOOKUP(TableHandbook[[#This Row],[UDC]],TableSTRUEDMAT[],7,FALSE),"")</f>
        <v/>
      </c>
      <c r="AV248" s="200" t="str">
        <f>IFERROR(VLOOKUP(TableHandbook[[#This Row],[UDC]],TableSTRUEDSCI[],7,FALSE),"")</f>
        <v/>
      </c>
      <c r="AW248" s="200" t="str">
        <f>IFERROR(VLOOKUP(TableHandbook[[#This Row],[UDC]],TableSTRUENGLB[],7,FALSE),"")</f>
        <v/>
      </c>
      <c r="AX248" s="200" t="str">
        <f>IFERROR(VLOOKUP(TableHandbook[[#This Row],[UDC]],TableSTRUENGLM[],7,FALSE),"")</f>
        <v/>
      </c>
      <c r="AY248" s="200" t="str">
        <f>IFERROR(VLOOKUP(TableHandbook[[#This Row],[UDC]],TableSTRUGEOB1[],7,FALSE),"")</f>
        <v/>
      </c>
      <c r="AZ248" s="200" t="str">
        <f>IFERROR(VLOOKUP(TableHandbook[[#This Row],[UDC]],TableSTRUHISB1[],7,FALSE),"")</f>
        <v/>
      </c>
      <c r="BA248" s="200" t="str">
        <f>IFERROR(VLOOKUP(TableHandbook[[#This Row],[UDC]],TableSTRUHUMAM[],7,FALSE),"")</f>
        <v/>
      </c>
      <c r="BB248" s="200" t="str">
        <f>IFERROR(VLOOKUP(TableHandbook[[#This Row],[UDC]],TableSTRUHUMBB[],7,FALSE),"")</f>
        <v/>
      </c>
      <c r="BC248" s="200" t="str">
        <f>IFERROR(VLOOKUP(TableHandbook[[#This Row],[UDC]],TableSTRUMATHB[],7,FALSE),"")</f>
        <v/>
      </c>
      <c r="BD248" s="200" t="str">
        <f>IFERROR(VLOOKUP(TableHandbook[[#This Row],[UDC]],TableSTRUMATHM[],7,FALSE),"")</f>
        <v/>
      </c>
      <c r="BE248" s="200" t="str">
        <f>IFERROR(VLOOKUP(TableHandbook[[#This Row],[UDC]],TableSTRUPARTB[],7,FALSE),"")</f>
        <v/>
      </c>
      <c r="BF248" s="200" t="str">
        <f>IFERROR(VLOOKUP(TableHandbook[[#This Row],[UDC]],TableSTRUPARTM[],7,FALSE),"")</f>
        <v/>
      </c>
      <c r="BG248" s="200" t="str">
        <f>IFERROR(VLOOKUP(TableHandbook[[#This Row],[UDC]],TableSTRUPOLB1[],7,FALSE),"")</f>
        <v/>
      </c>
      <c r="BH248" s="200" t="str">
        <f>IFERROR(VLOOKUP(TableHandbook[[#This Row],[UDC]],TableSTRUPSCIM[],7,FALSE),"")</f>
        <v/>
      </c>
      <c r="BI248" s="200" t="str">
        <f>IFERROR(VLOOKUP(TableHandbook[[#This Row],[UDC]],TableSTRUPSYCB[],7,FALSE),"")</f>
        <v/>
      </c>
      <c r="BJ248" s="200" t="str">
        <f>IFERROR(VLOOKUP(TableHandbook[[#This Row],[UDC]],TableSTRUPSYCM[],7,FALSE),"")</f>
        <v/>
      </c>
      <c r="BK248" s="200" t="str">
        <f>IFERROR(VLOOKUP(TableHandbook[[#This Row],[UDC]],TableSTRUSOSCM[],7,FALSE),"")</f>
        <v/>
      </c>
      <c r="BL248" s="200" t="str">
        <f>IFERROR(VLOOKUP(TableHandbook[[#This Row],[UDC]],TableSTRUVARTB[],7,FALSE),"")</f>
        <v/>
      </c>
      <c r="BM248" s="200" t="str">
        <f>IFERROR(VLOOKUP(TableHandbook[[#This Row],[UDC]],TableSTRUVARTM[],7,FALSE),"")</f>
        <v/>
      </c>
    </row>
    <row r="249" spans="1:65" x14ac:dyDescent="0.25">
      <c r="A249" s="262" t="s">
        <v>195</v>
      </c>
      <c r="B249" s="12">
        <v>2</v>
      </c>
      <c r="C249" s="11"/>
      <c r="D249" s="11" t="s">
        <v>248</v>
      </c>
      <c r="E249" s="12">
        <v>150</v>
      </c>
      <c r="F249" s="131" t="s">
        <v>540</v>
      </c>
      <c r="G249" s="126" t="str">
        <f>IFERROR(IF(VLOOKUP(TableHandbook[[#This Row],[UDC]],TableAvailabilities[],2,FALSE)&gt;0,"Y",""),"")</f>
        <v/>
      </c>
      <c r="H249" s="127" t="str">
        <f>IFERROR(IF(VLOOKUP(TableHandbook[[#This Row],[UDC]],TableAvailabilities[],3,FALSE)&gt;0,"Y",""),"")</f>
        <v/>
      </c>
      <c r="I249" s="127" t="str">
        <f>IFERROR(IF(VLOOKUP(TableHandbook[[#This Row],[UDC]],TableAvailabilities[],4,FALSE)&gt;0,"Y",""),"")</f>
        <v/>
      </c>
      <c r="J249" s="128" t="str">
        <f>IFERROR(IF(VLOOKUP(TableHandbook[[#This Row],[UDC]],TableAvailabilities[],5,FALSE)&gt;0,"Y",""),"")</f>
        <v/>
      </c>
      <c r="K249" s="128" t="str">
        <f>IFERROR(IF(VLOOKUP(TableHandbook[[#This Row],[UDC]],TableAvailabilities[],6,FALSE)&gt;0,"Y",""),"")</f>
        <v/>
      </c>
      <c r="L249" s="127" t="str">
        <f>IFERROR(IF(VLOOKUP(TableHandbook[[#This Row],[UDC]],TableAvailabilities[],7,FALSE)&gt;0,"Y",""),"")</f>
        <v/>
      </c>
      <c r="M249" s="251"/>
      <c r="N249" s="200" t="str">
        <f>IFERROR(VLOOKUP(TableHandbook[[#This Row],[UDC]],TableBEDUC[],7,FALSE),"")</f>
        <v/>
      </c>
      <c r="O249" s="200" t="str">
        <f>IFERROR(VLOOKUP(TableHandbook[[#This Row],[UDC]],TableBEDEC[],7,FALSE),"")</f>
        <v/>
      </c>
      <c r="P249" s="200" t="str">
        <f>IFERROR(VLOOKUP(TableHandbook[[#This Row],[UDC]],TableBEDPR[],7,FALSE),"")</f>
        <v/>
      </c>
      <c r="Q249" s="200" t="str">
        <f>IFERROR(VLOOKUP(TableHandbook[[#This Row],[UDC]],TableSTRUCATHL[],7,FALSE),"")</f>
        <v/>
      </c>
      <c r="R249" s="200" t="str">
        <f>IFERROR(VLOOKUP(TableHandbook[[#This Row],[UDC]],TableSTRUENGLL[],7,FALSE),"")</f>
        <v/>
      </c>
      <c r="S249" s="200" t="str">
        <f>IFERROR(VLOOKUP(TableHandbook[[#This Row],[UDC]],TableSTRUINTBC[],7,FALSE),"")</f>
        <v/>
      </c>
      <c r="T249" s="200" t="str">
        <f>IFERROR(VLOOKUP(TableHandbook[[#This Row],[UDC]],TableSTRUISTEM[],7,FALSE),"")</f>
        <v/>
      </c>
      <c r="U249" s="200" t="str">
        <f>IFERROR(VLOOKUP(TableHandbook[[#This Row],[UDC]],TableSTRULITNU[],7,FALSE),"")</f>
        <v/>
      </c>
      <c r="V249" s="200" t="str">
        <f>IFERROR(VLOOKUP(TableHandbook[[#This Row],[UDC]],TableSTRUTECHS[],7,FALSE),"")</f>
        <v/>
      </c>
      <c r="W249" s="200" t="str">
        <f>IFERROR(VLOOKUP(TableHandbook[[#This Row],[UDC]],TableBEDSC[],7,FALSE),"")</f>
        <v/>
      </c>
      <c r="X249" s="200" t="str">
        <f>IFERROR(VLOOKUP(TableHandbook[[#This Row],[UDC]],TableMJRUARTDR[],7,FALSE),"")</f>
        <v>Option</v>
      </c>
      <c r="Y249" s="200" t="str">
        <f>IFERROR(VLOOKUP(TableHandbook[[#This Row],[UDC]],TableMJRUARTME[],7,FALSE),"")</f>
        <v>Option</v>
      </c>
      <c r="Z249" s="200" t="str">
        <f>IFERROR(VLOOKUP(TableHandbook[[#This Row],[UDC]],TableMJRUARTVA[],7,FALSE),"")</f>
        <v>Option</v>
      </c>
      <c r="AA249" s="200" t="str">
        <f>IFERROR(VLOOKUP(TableHandbook[[#This Row],[UDC]],TableMJRUENGLT[],7,FALSE),"")</f>
        <v/>
      </c>
      <c r="AB249" s="200" t="str">
        <f>IFERROR(VLOOKUP(TableHandbook[[#This Row],[UDC]],TableMJRUHLTPE[],7,FALSE),"")</f>
        <v/>
      </c>
      <c r="AC249" s="200" t="str">
        <f>IFERROR(VLOOKUP(TableHandbook[[#This Row],[UDC]],TableMJRUHUSEC[],7,FALSE),"")</f>
        <v/>
      </c>
      <c r="AD249" s="200" t="str">
        <f>IFERROR(VLOOKUP(TableHandbook[[#This Row],[UDC]],TableMJRUHUSGE[],7,FALSE),"")</f>
        <v/>
      </c>
      <c r="AE249" s="200" t="str">
        <f>IFERROR(VLOOKUP(TableHandbook[[#This Row],[UDC]],TableMJRUHUSHI[],7,FALSE),"")</f>
        <v/>
      </c>
      <c r="AF249" s="200" t="str">
        <f>IFERROR(VLOOKUP(TableHandbook[[#This Row],[UDC]],TableMJRUHUSPL[],7,FALSE),"")</f>
        <v/>
      </c>
      <c r="AG249" s="200" t="str">
        <f>IFERROR(VLOOKUP(TableHandbook[[#This Row],[UDC]],TableMJRUMATHT[],7,FALSE),"")</f>
        <v/>
      </c>
      <c r="AH249" s="200" t="str">
        <f>IFERROR(VLOOKUP(TableHandbook[[#This Row],[UDC]],TableMJRUSCIBI[],7,FALSE),"")</f>
        <v/>
      </c>
      <c r="AI249" s="200" t="str">
        <f>IFERROR(VLOOKUP(TableHandbook[[#This Row],[UDC]],TableMJRUSCICH[],7,FALSE),"")</f>
        <v/>
      </c>
      <c r="AJ249" s="200" t="str">
        <f>IFERROR(VLOOKUP(TableHandbook[[#This Row],[UDC]],TableMJRUSCIHB[],7,FALSE),"")</f>
        <v/>
      </c>
      <c r="AK249" s="200" t="str">
        <f>IFERROR(VLOOKUP(TableHandbook[[#This Row],[UDC]],TableMJRUSCIPH[],7,FALSE),"")</f>
        <v/>
      </c>
      <c r="AL249" s="200" t="str">
        <f>IFERROR(VLOOKUP(TableHandbook[[#This Row],[UDC]],TableMJRUSCIPS[],7,FALSE),"")</f>
        <v/>
      </c>
      <c r="AM249" s="202"/>
      <c r="AN249" s="200" t="str">
        <f>IFERROR(VLOOKUP(TableHandbook[[#This Row],[UDC]],TableSTRUBIOLB[],7,FALSE),"")</f>
        <v/>
      </c>
      <c r="AO249" s="200" t="str">
        <f>IFERROR(VLOOKUP(TableHandbook[[#This Row],[UDC]],TableSTRUBSCIM[],7,FALSE),"")</f>
        <v/>
      </c>
      <c r="AP249" s="200" t="str">
        <f>IFERROR(VLOOKUP(TableHandbook[[#This Row],[UDC]],TableSTRUCHEMB[],7,FALSE),"")</f>
        <v/>
      </c>
      <c r="AQ249" s="200" t="str">
        <f>IFERROR(VLOOKUP(TableHandbook[[#This Row],[UDC]],TableSTRUECOB1[],7,FALSE),"")</f>
        <v/>
      </c>
      <c r="AR249" s="200" t="str">
        <f>IFERROR(VLOOKUP(TableHandbook[[#This Row],[UDC]],TableSTRUEDART[],7,FALSE),"")</f>
        <v/>
      </c>
      <c r="AS249" s="200" t="str">
        <f>IFERROR(VLOOKUP(TableHandbook[[#This Row],[UDC]],TableSTRUEDENG[],7,FALSE),"")</f>
        <v/>
      </c>
      <c r="AT249" s="200" t="str">
        <f>IFERROR(VLOOKUP(TableHandbook[[#This Row],[UDC]],TableSTRUEDHAS[],7,FALSE),"")</f>
        <v/>
      </c>
      <c r="AU249" s="200" t="str">
        <f>IFERROR(VLOOKUP(TableHandbook[[#This Row],[UDC]],TableSTRUEDMAT[],7,FALSE),"")</f>
        <v/>
      </c>
      <c r="AV249" s="200" t="str">
        <f>IFERROR(VLOOKUP(TableHandbook[[#This Row],[UDC]],TableSTRUEDSCI[],7,FALSE),"")</f>
        <v/>
      </c>
      <c r="AW249" s="200" t="str">
        <f>IFERROR(VLOOKUP(TableHandbook[[#This Row],[UDC]],TableSTRUENGLB[],7,FALSE),"")</f>
        <v/>
      </c>
      <c r="AX249" s="200" t="str">
        <f>IFERROR(VLOOKUP(TableHandbook[[#This Row],[UDC]],TableSTRUENGLM[],7,FALSE),"")</f>
        <v/>
      </c>
      <c r="AY249" s="200" t="str">
        <f>IFERROR(VLOOKUP(TableHandbook[[#This Row],[UDC]],TableSTRUGEOB1[],7,FALSE),"")</f>
        <v/>
      </c>
      <c r="AZ249" s="200" t="str">
        <f>IFERROR(VLOOKUP(TableHandbook[[#This Row],[UDC]],TableSTRUHISB1[],7,FALSE),"")</f>
        <v/>
      </c>
      <c r="BA249" s="200" t="str">
        <f>IFERROR(VLOOKUP(TableHandbook[[#This Row],[UDC]],TableSTRUHUMAM[],7,FALSE),"")</f>
        <v/>
      </c>
      <c r="BB249" s="200" t="str">
        <f>IFERROR(VLOOKUP(TableHandbook[[#This Row],[UDC]],TableSTRUHUMBB[],7,FALSE),"")</f>
        <v/>
      </c>
      <c r="BC249" s="200" t="str">
        <f>IFERROR(VLOOKUP(TableHandbook[[#This Row],[UDC]],TableSTRUMATHB[],7,FALSE),"")</f>
        <v/>
      </c>
      <c r="BD249" s="200" t="str">
        <f>IFERROR(VLOOKUP(TableHandbook[[#This Row],[UDC]],TableSTRUMATHM[],7,FALSE),"")</f>
        <v/>
      </c>
      <c r="BE249" s="200" t="str">
        <f>IFERROR(VLOOKUP(TableHandbook[[#This Row],[UDC]],TableSTRUPARTB[],7,FALSE),"")</f>
        <v/>
      </c>
      <c r="BF249" s="200" t="str">
        <f>IFERROR(VLOOKUP(TableHandbook[[#This Row],[UDC]],TableSTRUPARTM[],7,FALSE),"")</f>
        <v/>
      </c>
      <c r="BG249" s="200" t="str">
        <f>IFERROR(VLOOKUP(TableHandbook[[#This Row],[UDC]],TableSTRUPOLB1[],7,FALSE),"")</f>
        <v/>
      </c>
      <c r="BH249" s="200" t="str">
        <f>IFERROR(VLOOKUP(TableHandbook[[#This Row],[UDC]],TableSTRUPSCIM[],7,FALSE),"")</f>
        <v/>
      </c>
      <c r="BI249" s="200" t="str">
        <f>IFERROR(VLOOKUP(TableHandbook[[#This Row],[UDC]],TableSTRUPSYCB[],7,FALSE),"")</f>
        <v/>
      </c>
      <c r="BJ249" s="200" t="str">
        <f>IFERROR(VLOOKUP(TableHandbook[[#This Row],[UDC]],TableSTRUPSYCM[],7,FALSE),"")</f>
        <v/>
      </c>
      <c r="BK249" s="200" t="str">
        <f>IFERROR(VLOOKUP(TableHandbook[[#This Row],[UDC]],TableSTRUSOSCM[],7,FALSE),"")</f>
        <v/>
      </c>
      <c r="BL249" s="200" t="str">
        <f>IFERROR(VLOOKUP(TableHandbook[[#This Row],[UDC]],TableSTRUVARTB[],7,FALSE),"")</f>
        <v/>
      </c>
      <c r="BM249" s="200" t="str">
        <f>IFERROR(VLOOKUP(TableHandbook[[#This Row],[UDC]],TableSTRUVARTM[],7,FALSE),"")</f>
        <v/>
      </c>
    </row>
    <row r="250" spans="1:65" x14ac:dyDescent="0.25">
      <c r="A250" s="262" t="s">
        <v>251</v>
      </c>
      <c r="B250" s="300">
        <v>3</v>
      </c>
      <c r="C250" s="11"/>
      <c r="D250" s="11" t="s">
        <v>250</v>
      </c>
      <c r="E250" s="12">
        <v>150</v>
      </c>
      <c r="F250" s="131" t="s">
        <v>540</v>
      </c>
      <c r="G250" s="126" t="str">
        <f>IFERROR(IF(VLOOKUP(TableHandbook[[#This Row],[UDC]],TableAvailabilities[],2,FALSE)&gt;0,"Y",""),"")</f>
        <v/>
      </c>
      <c r="H250" s="127" t="str">
        <f>IFERROR(IF(VLOOKUP(TableHandbook[[#This Row],[UDC]],TableAvailabilities[],3,FALSE)&gt;0,"Y",""),"")</f>
        <v/>
      </c>
      <c r="I250" s="127" t="str">
        <f>IFERROR(IF(VLOOKUP(TableHandbook[[#This Row],[UDC]],TableAvailabilities[],4,FALSE)&gt;0,"Y",""),"")</f>
        <v/>
      </c>
      <c r="J250" s="128" t="str">
        <f>IFERROR(IF(VLOOKUP(TableHandbook[[#This Row],[UDC]],TableAvailabilities[],5,FALSE)&gt;0,"Y",""),"")</f>
        <v/>
      </c>
      <c r="K250" s="128" t="str">
        <f>IFERROR(IF(VLOOKUP(TableHandbook[[#This Row],[UDC]],TableAvailabilities[],6,FALSE)&gt;0,"Y",""),"")</f>
        <v/>
      </c>
      <c r="L250" s="127" t="str">
        <f>IFERROR(IF(VLOOKUP(TableHandbook[[#This Row],[UDC]],TableAvailabilities[],7,FALSE)&gt;0,"Y",""),"")</f>
        <v/>
      </c>
      <c r="M250" s="294" t="s">
        <v>586</v>
      </c>
      <c r="N250" s="200" t="str">
        <f>IFERROR(VLOOKUP(TableHandbook[[#This Row],[UDC]],TableBEDUC[],7,FALSE),"")</f>
        <v/>
      </c>
      <c r="O250" s="200" t="str">
        <f>IFERROR(VLOOKUP(TableHandbook[[#This Row],[UDC]],TableBEDEC[],7,FALSE),"")</f>
        <v/>
      </c>
      <c r="P250" s="200" t="str">
        <f>IFERROR(VLOOKUP(TableHandbook[[#This Row],[UDC]],TableBEDPR[],7,FALSE),"")</f>
        <v/>
      </c>
      <c r="Q250" s="200" t="str">
        <f>IFERROR(VLOOKUP(TableHandbook[[#This Row],[UDC]],TableSTRUCATHL[],7,FALSE),"")</f>
        <v/>
      </c>
      <c r="R250" s="200" t="str">
        <f>IFERROR(VLOOKUP(TableHandbook[[#This Row],[UDC]],TableSTRUENGLL[],7,FALSE),"")</f>
        <v/>
      </c>
      <c r="S250" s="200" t="str">
        <f>IFERROR(VLOOKUP(TableHandbook[[#This Row],[UDC]],TableSTRUINTBC[],7,FALSE),"")</f>
        <v/>
      </c>
      <c r="T250" s="200" t="str">
        <f>IFERROR(VLOOKUP(TableHandbook[[#This Row],[UDC]],TableSTRUISTEM[],7,FALSE),"")</f>
        <v/>
      </c>
      <c r="U250" s="200" t="str">
        <f>IFERROR(VLOOKUP(TableHandbook[[#This Row],[UDC]],TableSTRULITNU[],7,FALSE),"")</f>
        <v/>
      </c>
      <c r="V250" s="200" t="str">
        <f>IFERROR(VLOOKUP(TableHandbook[[#This Row],[UDC]],TableSTRUTECHS[],7,FALSE),"")</f>
        <v/>
      </c>
      <c r="W250" s="200" t="str">
        <f>IFERROR(VLOOKUP(TableHandbook[[#This Row],[UDC]],TableBEDSC[],7,FALSE),"")</f>
        <v/>
      </c>
      <c r="X250" s="200" t="str">
        <f>IFERROR(VLOOKUP(TableHandbook[[#This Row],[UDC]],TableMJRUARTDR[],7,FALSE),"")</f>
        <v/>
      </c>
      <c r="Y250" s="200" t="str">
        <f>IFERROR(VLOOKUP(TableHandbook[[#This Row],[UDC]],TableMJRUARTME[],7,FALSE),"")</f>
        <v/>
      </c>
      <c r="Z250" s="200" t="str">
        <f>IFERROR(VLOOKUP(TableHandbook[[#This Row],[UDC]],TableMJRUARTVA[],7,FALSE),"")</f>
        <v/>
      </c>
      <c r="AA250" s="200" t="str">
        <f>IFERROR(VLOOKUP(TableHandbook[[#This Row],[UDC]],TableMJRUENGLT[],7,FALSE),"")</f>
        <v>Core</v>
      </c>
      <c r="AB250" s="200" t="str">
        <f>IFERROR(VLOOKUP(TableHandbook[[#This Row],[UDC]],TableMJRUHLTPE[],7,FALSE),"")</f>
        <v/>
      </c>
      <c r="AC250" s="200" t="str">
        <f>IFERROR(VLOOKUP(TableHandbook[[#This Row],[UDC]],TableMJRUHUSEC[],7,FALSE),"")</f>
        <v/>
      </c>
      <c r="AD250" s="200" t="str">
        <f>IFERROR(VLOOKUP(TableHandbook[[#This Row],[UDC]],TableMJRUHUSGE[],7,FALSE),"")</f>
        <v/>
      </c>
      <c r="AE250" s="200" t="str">
        <f>IFERROR(VLOOKUP(TableHandbook[[#This Row],[UDC]],TableMJRUHUSHI[],7,FALSE),"")</f>
        <v/>
      </c>
      <c r="AF250" s="200" t="str">
        <f>IFERROR(VLOOKUP(TableHandbook[[#This Row],[UDC]],TableMJRUHUSPL[],7,FALSE),"")</f>
        <v/>
      </c>
      <c r="AG250" s="200" t="str">
        <f>IFERROR(VLOOKUP(TableHandbook[[#This Row],[UDC]],TableMJRUMATHT[],7,FALSE),"")</f>
        <v/>
      </c>
      <c r="AH250" s="200" t="str">
        <f>IFERROR(VLOOKUP(TableHandbook[[#This Row],[UDC]],TableMJRUSCIBI[],7,FALSE),"")</f>
        <v/>
      </c>
      <c r="AI250" s="200" t="str">
        <f>IFERROR(VLOOKUP(TableHandbook[[#This Row],[UDC]],TableMJRUSCICH[],7,FALSE),"")</f>
        <v/>
      </c>
      <c r="AJ250" s="200" t="str">
        <f>IFERROR(VLOOKUP(TableHandbook[[#This Row],[UDC]],TableMJRUSCIHB[],7,FALSE),"")</f>
        <v/>
      </c>
      <c r="AK250" s="200" t="str">
        <f>IFERROR(VLOOKUP(TableHandbook[[#This Row],[UDC]],TableMJRUSCIPH[],7,FALSE),"")</f>
        <v/>
      </c>
      <c r="AL250" s="200" t="str">
        <f>IFERROR(VLOOKUP(TableHandbook[[#This Row],[UDC]],TableMJRUSCIPS[],7,FALSE),"")</f>
        <v/>
      </c>
      <c r="AM250" s="202"/>
      <c r="AN250" s="200" t="str">
        <f>IFERROR(VLOOKUP(TableHandbook[[#This Row],[UDC]],TableSTRUBIOLB[],7,FALSE),"")</f>
        <v/>
      </c>
      <c r="AO250" s="200" t="str">
        <f>IFERROR(VLOOKUP(TableHandbook[[#This Row],[UDC]],TableSTRUBSCIM[],7,FALSE),"")</f>
        <v/>
      </c>
      <c r="AP250" s="200" t="str">
        <f>IFERROR(VLOOKUP(TableHandbook[[#This Row],[UDC]],TableSTRUCHEMB[],7,FALSE),"")</f>
        <v/>
      </c>
      <c r="AQ250" s="200" t="str">
        <f>IFERROR(VLOOKUP(TableHandbook[[#This Row],[UDC]],TableSTRUECOB1[],7,FALSE),"")</f>
        <v/>
      </c>
      <c r="AR250" s="200" t="str">
        <f>IFERROR(VLOOKUP(TableHandbook[[#This Row],[UDC]],TableSTRUEDART[],7,FALSE),"")</f>
        <v/>
      </c>
      <c r="AS250" s="200" t="str">
        <f>IFERROR(VLOOKUP(TableHandbook[[#This Row],[UDC]],TableSTRUEDENG[],7,FALSE),"")</f>
        <v/>
      </c>
      <c r="AT250" s="200" t="str">
        <f>IFERROR(VLOOKUP(TableHandbook[[#This Row],[UDC]],TableSTRUEDHAS[],7,FALSE),"")</f>
        <v/>
      </c>
      <c r="AU250" s="200" t="str">
        <f>IFERROR(VLOOKUP(TableHandbook[[#This Row],[UDC]],TableSTRUEDMAT[],7,FALSE),"")</f>
        <v/>
      </c>
      <c r="AV250" s="200" t="str">
        <f>IFERROR(VLOOKUP(TableHandbook[[#This Row],[UDC]],TableSTRUEDSCI[],7,FALSE),"")</f>
        <v/>
      </c>
      <c r="AW250" s="200" t="str">
        <f>IFERROR(VLOOKUP(TableHandbook[[#This Row],[UDC]],TableSTRUENGLB[],7,FALSE),"")</f>
        <v/>
      </c>
      <c r="AX250" s="200" t="str">
        <f>IFERROR(VLOOKUP(TableHandbook[[#This Row],[UDC]],TableSTRUENGLM[],7,FALSE),"")</f>
        <v/>
      </c>
      <c r="AY250" s="200" t="str">
        <f>IFERROR(VLOOKUP(TableHandbook[[#This Row],[UDC]],TableSTRUGEOB1[],7,FALSE),"")</f>
        <v/>
      </c>
      <c r="AZ250" s="200" t="str">
        <f>IFERROR(VLOOKUP(TableHandbook[[#This Row],[UDC]],TableSTRUHISB1[],7,FALSE),"")</f>
        <v/>
      </c>
      <c r="BA250" s="200" t="str">
        <f>IFERROR(VLOOKUP(TableHandbook[[#This Row],[UDC]],TableSTRUHUMAM[],7,FALSE),"")</f>
        <v/>
      </c>
      <c r="BB250" s="200" t="str">
        <f>IFERROR(VLOOKUP(TableHandbook[[#This Row],[UDC]],TableSTRUHUMBB[],7,FALSE),"")</f>
        <v/>
      </c>
      <c r="BC250" s="200" t="str">
        <f>IFERROR(VLOOKUP(TableHandbook[[#This Row],[UDC]],TableSTRUMATHB[],7,FALSE),"")</f>
        <v/>
      </c>
      <c r="BD250" s="200" t="str">
        <f>IFERROR(VLOOKUP(TableHandbook[[#This Row],[UDC]],TableSTRUMATHM[],7,FALSE),"")</f>
        <v/>
      </c>
      <c r="BE250" s="200" t="str">
        <f>IFERROR(VLOOKUP(TableHandbook[[#This Row],[UDC]],TableSTRUPARTB[],7,FALSE),"")</f>
        <v/>
      </c>
      <c r="BF250" s="200" t="str">
        <f>IFERROR(VLOOKUP(TableHandbook[[#This Row],[UDC]],TableSTRUPARTM[],7,FALSE),"")</f>
        <v/>
      </c>
      <c r="BG250" s="200" t="str">
        <f>IFERROR(VLOOKUP(TableHandbook[[#This Row],[UDC]],TableSTRUPOLB1[],7,FALSE),"")</f>
        <v/>
      </c>
      <c r="BH250" s="200" t="str">
        <f>IFERROR(VLOOKUP(TableHandbook[[#This Row],[UDC]],TableSTRUPSCIM[],7,FALSE),"")</f>
        <v/>
      </c>
      <c r="BI250" s="200" t="str">
        <f>IFERROR(VLOOKUP(TableHandbook[[#This Row],[UDC]],TableSTRUPSYCB[],7,FALSE),"")</f>
        <v/>
      </c>
      <c r="BJ250" s="200" t="str">
        <f>IFERROR(VLOOKUP(TableHandbook[[#This Row],[UDC]],TableSTRUPSYCM[],7,FALSE),"")</f>
        <v/>
      </c>
      <c r="BK250" s="200" t="str">
        <f>IFERROR(VLOOKUP(TableHandbook[[#This Row],[UDC]],TableSTRUSOSCM[],7,FALSE),"")</f>
        <v/>
      </c>
      <c r="BL250" s="200" t="str">
        <f>IFERROR(VLOOKUP(TableHandbook[[#This Row],[UDC]],TableSTRUVARTB[],7,FALSE),"")</f>
        <v/>
      </c>
      <c r="BM250" s="200" t="str">
        <f>IFERROR(VLOOKUP(TableHandbook[[#This Row],[UDC]],TableSTRUVARTM[],7,FALSE),"")</f>
        <v/>
      </c>
    </row>
    <row r="251" spans="1:65" x14ac:dyDescent="0.25">
      <c r="A251" s="262" t="s">
        <v>830</v>
      </c>
      <c r="B251" s="12">
        <v>2</v>
      </c>
      <c r="C251" s="11"/>
      <c r="D251" s="11" t="s">
        <v>250</v>
      </c>
      <c r="E251" s="12">
        <v>150</v>
      </c>
      <c r="F251" s="131" t="s">
        <v>540</v>
      </c>
      <c r="G251" s="126" t="str">
        <f>IFERROR(IF(VLOOKUP(TableHandbook[[#This Row],[UDC]],TableAvailabilities[],2,FALSE)&gt;0,"Y",""),"")</f>
        <v/>
      </c>
      <c r="H251" s="127" t="str">
        <f>IFERROR(IF(VLOOKUP(TableHandbook[[#This Row],[UDC]],TableAvailabilities[],3,FALSE)&gt;0,"Y",""),"")</f>
        <v/>
      </c>
      <c r="I251" s="127" t="str">
        <f>IFERROR(IF(VLOOKUP(TableHandbook[[#This Row],[UDC]],TableAvailabilities[],4,FALSE)&gt;0,"Y",""),"")</f>
        <v/>
      </c>
      <c r="J251" s="128" t="str">
        <f>IFERROR(IF(VLOOKUP(TableHandbook[[#This Row],[UDC]],TableAvailabilities[],5,FALSE)&gt;0,"Y",""),"")</f>
        <v/>
      </c>
      <c r="K251" s="128" t="str">
        <f>IFERROR(IF(VLOOKUP(TableHandbook[[#This Row],[UDC]],TableAvailabilities[],6,FALSE)&gt;0,"Y",""),"")</f>
        <v/>
      </c>
      <c r="L251" s="127" t="str">
        <f>IFERROR(IF(VLOOKUP(TableHandbook[[#This Row],[UDC]],TableAvailabilities[],7,FALSE)&gt;0,"Y",""),"")</f>
        <v/>
      </c>
      <c r="M251" s="294" t="s">
        <v>589</v>
      </c>
      <c r="N251" s="200" t="str">
        <f>IFERROR(VLOOKUP(TableHandbook[[#This Row],[UDC]],TableBEDUC[],7,FALSE),"")</f>
        <v/>
      </c>
      <c r="O251" s="200" t="str">
        <f>IFERROR(VLOOKUP(TableHandbook[[#This Row],[UDC]],TableBEDEC[],7,FALSE),"")</f>
        <v/>
      </c>
      <c r="P251" s="200" t="str">
        <f>IFERROR(VLOOKUP(TableHandbook[[#This Row],[UDC]],TableBEDPR[],7,FALSE),"")</f>
        <v/>
      </c>
      <c r="Q251" s="200" t="str">
        <f>IFERROR(VLOOKUP(TableHandbook[[#This Row],[UDC]],TableSTRUCATHL[],7,FALSE),"")</f>
        <v/>
      </c>
      <c r="R251" s="200" t="str">
        <f>IFERROR(VLOOKUP(TableHandbook[[#This Row],[UDC]],TableSTRUENGLL[],7,FALSE),"")</f>
        <v/>
      </c>
      <c r="S251" s="200" t="str">
        <f>IFERROR(VLOOKUP(TableHandbook[[#This Row],[UDC]],TableSTRUINTBC[],7,FALSE),"")</f>
        <v/>
      </c>
      <c r="T251" s="200" t="str">
        <f>IFERROR(VLOOKUP(TableHandbook[[#This Row],[UDC]],TableSTRUISTEM[],7,FALSE),"")</f>
        <v/>
      </c>
      <c r="U251" s="200" t="str">
        <f>IFERROR(VLOOKUP(TableHandbook[[#This Row],[UDC]],TableSTRULITNU[],7,FALSE),"")</f>
        <v/>
      </c>
      <c r="V251" s="200" t="str">
        <f>IFERROR(VLOOKUP(TableHandbook[[#This Row],[UDC]],TableSTRUTECHS[],7,FALSE),"")</f>
        <v/>
      </c>
      <c r="W251" s="200" t="str">
        <f>IFERROR(VLOOKUP(TableHandbook[[#This Row],[UDC]],TableBEDSC[],7,FALSE),"")</f>
        <v/>
      </c>
      <c r="X251" s="200" t="str">
        <f>IFERROR(VLOOKUP(TableHandbook[[#This Row],[UDC]],TableMJRUARTDR[],7,FALSE),"")</f>
        <v/>
      </c>
      <c r="Y251" s="200" t="str">
        <f>IFERROR(VLOOKUP(TableHandbook[[#This Row],[UDC]],TableMJRUARTME[],7,FALSE),"")</f>
        <v/>
      </c>
      <c r="Z251" s="200" t="str">
        <f>IFERROR(VLOOKUP(TableHandbook[[#This Row],[UDC]],TableMJRUARTVA[],7,FALSE),"")</f>
        <v/>
      </c>
      <c r="AA251" s="200" t="str">
        <f>IFERROR(VLOOKUP(TableHandbook[[#This Row],[UDC]],TableMJRUENGLT[],7,FALSE),"")</f>
        <v/>
      </c>
      <c r="AB251" s="200" t="str">
        <f>IFERROR(VLOOKUP(TableHandbook[[#This Row],[UDC]],TableMJRUHLTPE[],7,FALSE),"")</f>
        <v/>
      </c>
      <c r="AC251" s="200" t="str">
        <f>IFERROR(VLOOKUP(TableHandbook[[#This Row],[UDC]],TableMJRUHUSEC[],7,FALSE),"")</f>
        <v/>
      </c>
      <c r="AD251" s="200" t="str">
        <f>IFERROR(VLOOKUP(TableHandbook[[#This Row],[UDC]],TableMJRUHUSGE[],7,FALSE),"")</f>
        <v/>
      </c>
      <c r="AE251" s="200" t="str">
        <f>IFERROR(VLOOKUP(TableHandbook[[#This Row],[UDC]],TableMJRUHUSHI[],7,FALSE),"")</f>
        <v/>
      </c>
      <c r="AF251" s="200" t="str">
        <f>IFERROR(VLOOKUP(TableHandbook[[#This Row],[UDC]],TableMJRUHUSPL[],7,FALSE),"")</f>
        <v/>
      </c>
      <c r="AG251" s="200" t="str">
        <f>IFERROR(VLOOKUP(TableHandbook[[#This Row],[UDC]],TableMJRUMATHT[],7,FALSE),"")</f>
        <v/>
      </c>
      <c r="AH251" s="200" t="str">
        <f>IFERROR(VLOOKUP(TableHandbook[[#This Row],[UDC]],TableMJRUSCIBI[],7,FALSE),"")</f>
        <v/>
      </c>
      <c r="AI251" s="200" t="str">
        <f>IFERROR(VLOOKUP(TableHandbook[[#This Row],[UDC]],TableMJRUSCICH[],7,FALSE),"")</f>
        <v/>
      </c>
      <c r="AJ251" s="200" t="str">
        <f>IFERROR(VLOOKUP(TableHandbook[[#This Row],[UDC]],TableMJRUSCIHB[],7,FALSE),"")</f>
        <v/>
      </c>
      <c r="AK251" s="200" t="str">
        <f>IFERROR(VLOOKUP(TableHandbook[[#This Row],[UDC]],TableMJRUSCIPH[],7,FALSE),"")</f>
        <v/>
      </c>
      <c r="AL251" s="200" t="str">
        <f>IFERROR(VLOOKUP(TableHandbook[[#This Row],[UDC]],TableMJRUSCIPS[],7,FALSE),"")</f>
        <v/>
      </c>
      <c r="AM251" s="202"/>
      <c r="AN251" s="200" t="str">
        <f>IFERROR(VLOOKUP(TableHandbook[[#This Row],[UDC]],TableSTRUBIOLB[],7,FALSE),"")</f>
        <v/>
      </c>
      <c r="AO251" s="200" t="str">
        <f>IFERROR(VLOOKUP(TableHandbook[[#This Row],[UDC]],TableSTRUBSCIM[],7,FALSE),"")</f>
        <v/>
      </c>
      <c r="AP251" s="200" t="str">
        <f>IFERROR(VLOOKUP(TableHandbook[[#This Row],[UDC]],TableSTRUCHEMB[],7,FALSE),"")</f>
        <v/>
      </c>
      <c r="AQ251" s="200" t="str">
        <f>IFERROR(VLOOKUP(TableHandbook[[#This Row],[UDC]],TableSTRUECOB1[],7,FALSE),"")</f>
        <v/>
      </c>
      <c r="AR251" s="200" t="str">
        <f>IFERROR(VLOOKUP(TableHandbook[[#This Row],[UDC]],TableSTRUEDART[],7,FALSE),"")</f>
        <v/>
      </c>
      <c r="AS251" s="200" t="str">
        <f>IFERROR(VLOOKUP(TableHandbook[[#This Row],[UDC]],TableSTRUEDENG[],7,FALSE),"")</f>
        <v/>
      </c>
      <c r="AT251" s="200" t="str">
        <f>IFERROR(VLOOKUP(TableHandbook[[#This Row],[UDC]],TableSTRUEDHAS[],7,FALSE),"")</f>
        <v/>
      </c>
      <c r="AU251" s="200" t="str">
        <f>IFERROR(VLOOKUP(TableHandbook[[#This Row],[UDC]],TableSTRUEDMAT[],7,FALSE),"")</f>
        <v/>
      </c>
      <c r="AV251" s="200" t="str">
        <f>IFERROR(VLOOKUP(TableHandbook[[#This Row],[UDC]],TableSTRUEDSCI[],7,FALSE),"")</f>
        <v/>
      </c>
      <c r="AW251" s="200" t="str">
        <f>IFERROR(VLOOKUP(TableHandbook[[#This Row],[UDC]],TableSTRUENGLB[],7,FALSE),"")</f>
        <v/>
      </c>
      <c r="AX251" s="200" t="str">
        <f>IFERROR(VLOOKUP(TableHandbook[[#This Row],[UDC]],TableSTRUENGLM[],7,FALSE),"")</f>
        <v/>
      </c>
      <c r="AY251" s="200" t="str">
        <f>IFERROR(VLOOKUP(TableHandbook[[#This Row],[UDC]],TableSTRUGEOB1[],7,FALSE),"")</f>
        <v/>
      </c>
      <c r="AZ251" s="200" t="str">
        <f>IFERROR(VLOOKUP(TableHandbook[[#This Row],[UDC]],TableSTRUHISB1[],7,FALSE),"")</f>
        <v/>
      </c>
      <c r="BA251" s="200" t="str">
        <f>IFERROR(VLOOKUP(TableHandbook[[#This Row],[UDC]],TableSTRUHUMAM[],7,FALSE),"")</f>
        <v/>
      </c>
      <c r="BB251" s="200" t="str">
        <f>IFERROR(VLOOKUP(TableHandbook[[#This Row],[UDC]],TableSTRUHUMBB[],7,FALSE),"")</f>
        <v/>
      </c>
      <c r="BC251" s="200" t="str">
        <f>IFERROR(VLOOKUP(TableHandbook[[#This Row],[UDC]],TableSTRUMATHB[],7,FALSE),"")</f>
        <v/>
      </c>
      <c r="BD251" s="200" t="str">
        <f>IFERROR(VLOOKUP(TableHandbook[[#This Row],[UDC]],TableSTRUMATHM[],7,FALSE),"")</f>
        <v/>
      </c>
      <c r="BE251" s="200" t="str">
        <f>IFERROR(VLOOKUP(TableHandbook[[#This Row],[UDC]],TableSTRUPARTB[],7,FALSE),"")</f>
        <v/>
      </c>
      <c r="BF251" s="200" t="str">
        <f>IFERROR(VLOOKUP(TableHandbook[[#This Row],[UDC]],TableSTRUPARTM[],7,FALSE),"")</f>
        <v/>
      </c>
      <c r="BG251" s="200" t="str">
        <f>IFERROR(VLOOKUP(TableHandbook[[#This Row],[UDC]],TableSTRUPOLB1[],7,FALSE),"")</f>
        <v/>
      </c>
      <c r="BH251" s="200" t="str">
        <f>IFERROR(VLOOKUP(TableHandbook[[#This Row],[UDC]],TableSTRUPSCIM[],7,FALSE),"")</f>
        <v/>
      </c>
      <c r="BI251" s="200" t="str">
        <f>IFERROR(VLOOKUP(TableHandbook[[#This Row],[UDC]],TableSTRUPSYCB[],7,FALSE),"")</f>
        <v/>
      </c>
      <c r="BJ251" s="200" t="str">
        <f>IFERROR(VLOOKUP(TableHandbook[[#This Row],[UDC]],TableSTRUPSYCM[],7,FALSE),"")</f>
        <v/>
      </c>
      <c r="BK251" s="200" t="str">
        <f>IFERROR(VLOOKUP(TableHandbook[[#This Row],[UDC]],TableSTRUSOSCM[],7,FALSE),"")</f>
        <v/>
      </c>
      <c r="BL251" s="200" t="str">
        <f>IFERROR(VLOOKUP(TableHandbook[[#This Row],[UDC]],TableSTRUVARTB[],7,FALSE),"")</f>
        <v/>
      </c>
      <c r="BM251" s="200" t="str">
        <f>IFERROR(VLOOKUP(TableHandbook[[#This Row],[UDC]],TableSTRUVARTM[],7,FALSE),"")</f>
        <v/>
      </c>
    </row>
    <row r="252" spans="1:65" x14ac:dyDescent="0.25">
      <c r="A252" s="262" t="s">
        <v>253</v>
      </c>
      <c r="B252" s="12">
        <v>2</v>
      </c>
      <c r="C252" s="11"/>
      <c r="D252" s="11" t="s">
        <v>252</v>
      </c>
      <c r="E252" s="12">
        <v>150</v>
      </c>
      <c r="F252" s="131" t="s">
        <v>540</v>
      </c>
      <c r="G252" s="126" t="str">
        <f>IFERROR(IF(VLOOKUP(TableHandbook[[#This Row],[UDC]],TableAvailabilities[],2,FALSE)&gt;0,"Y",""),"")</f>
        <v/>
      </c>
      <c r="H252" s="127" t="str">
        <f>IFERROR(IF(VLOOKUP(TableHandbook[[#This Row],[UDC]],TableAvailabilities[],3,FALSE)&gt;0,"Y",""),"")</f>
        <v/>
      </c>
      <c r="I252" s="127" t="str">
        <f>IFERROR(IF(VLOOKUP(TableHandbook[[#This Row],[UDC]],TableAvailabilities[],4,FALSE)&gt;0,"Y",""),"")</f>
        <v/>
      </c>
      <c r="J252" s="128" t="str">
        <f>IFERROR(IF(VLOOKUP(TableHandbook[[#This Row],[UDC]],TableAvailabilities[],5,FALSE)&gt;0,"Y",""),"")</f>
        <v/>
      </c>
      <c r="K252" s="128" t="str">
        <f>IFERROR(IF(VLOOKUP(TableHandbook[[#This Row],[UDC]],TableAvailabilities[],6,FALSE)&gt;0,"Y",""),"")</f>
        <v/>
      </c>
      <c r="L252" s="127" t="str">
        <f>IFERROR(IF(VLOOKUP(TableHandbook[[#This Row],[UDC]],TableAvailabilities[],7,FALSE)&gt;0,"Y",""),"")</f>
        <v/>
      </c>
      <c r="M252" s="251"/>
      <c r="N252" s="200" t="str">
        <f>IFERROR(VLOOKUP(TableHandbook[[#This Row],[UDC]],TableBEDUC[],7,FALSE),"")</f>
        <v/>
      </c>
      <c r="O252" s="200" t="str">
        <f>IFERROR(VLOOKUP(TableHandbook[[#This Row],[UDC]],TableBEDEC[],7,FALSE),"")</f>
        <v/>
      </c>
      <c r="P252" s="200" t="str">
        <f>IFERROR(VLOOKUP(TableHandbook[[#This Row],[UDC]],TableBEDPR[],7,FALSE),"")</f>
        <v/>
      </c>
      <c r="Q252" s="200" t="str">
        <f>IFERROR(VLOOKUP(TableHandbook[[#This Row],[UDC]],TableSTRUCATHL[],7,FALSE),"")</f>
        <v/>
      </c>
      <c r="R252" s="200" t="str">
        <f>IFERROR(VLOOKUP(TableHandbook[[#This Row],[UDC]],TableSTRUENGLL[],7,FALSE),"")</f>
        <v/>
      </c>
      <c r="S252" s="200" t="str">
        <f>IFERROR(VLOOKUP(TableHandbook[[#This Row],[UDC]],TableSTRUINTBC[],7,FALSE),"")</f>
        <v/>
      </c>
      <c r="T252" s="200" t="str">
        <f>IFERROR(VLOOKUP(TableHandbook[[#This Row],[UDC]],TableSTRUISTEM[],7,FALSE),"")</f>
        <v/>
      </c>
      <c r="U252" s="200" t="str">
        <f>IFERROR(VLOOKUP(TableHandbook[[#This Row],[UDC]],TableSTRULITNU[],7,FALSE),"")</f>
        <v/>
      </c>
      <c r="V252" s="200" t="str">
        <f>IFERROR(VLOOKUP(TableHandbook[[#This Row],[UDC]],TableSTRUTECHS[],7,FALSE),"")</f>
        <v/>
      </c>
      <c r="W252" s="200" t="str">
        <f>IFERROR(VLOOKUP(TableHandbook[[#This Row],[UDC]],TableBEDSC[],7,FALSE),"")</f>
        <v/>
      </c>
      <c r="X252" s="200" t="str">
        <f>IFERROR(VLOOKUP(TableHandbook[[#This Row],[UDC]],TableMJRUARTDR[],7,FALSE),"")</f>
        <v/>
      </c>
      <c r="Y252" s="200" t="str">
        <f>IFERROR(VLOOKUP(TableHandbook[[#This Row],[UDC]],TableMJRUARTME[],7,FALSE),"")</f>
        <v/>
      </c>
      <c r="Z252" s="200" t="str">
        <f>IFERROR(VLOOKUP(TableHandbook[[#This Row],[UDC]],TableMJRUARTVA[],7,FALSE),"")</f>
        <v/>
      </c>
      <c r="AA252" s="200" t="str">
        <f>IFERROR(VLOOKUP(TableHandbook[[#This Row],[UDC]],TableMJRUENGLT[],7,FALSE),"")</f>
        <v/>
      </c>
      <c r="AB252" s="200" t="str">
        <f>IFERROR(VLOOKUP(TableHandbook[[#This Row],[UDC]],TableMJRUHLTPE[],7,FALSE),"")</f>
        <v/>
      </c>
      <c r="AC252" s="200" t="str">
        <f>IFERROR(VLOOKUP(TableHandbook[[#This Row],[UDC]],TableMJRUHUSEC[],7,FALSE),"")</f>
        <v>Option</v>
      </c>
      <c r="AD252" s="200" t="str">
        <f>IFERROR(VLOOKUP(TableHandbook[[#This Row],[UDC]],TableMJRUHUSGE[],7,FALSE),"")</f>
        <v>Option</v>
      </c>
      <c r="AE252" s="200" t="str">
        <f>IFERROR(VLOOKUP(TableHandbook[[#This Row],[UDC]],TableMJRUHUSHI[],7,FALSE),"")</f>
        <v>Option</v>
      </c>
      <c r="AF252" s="200" t="str">
        <f>IFERROR(VLOOKUP(TableHandbook[[#This Row],[UDC]],TableMJRUHUSPL[],7,FALSE),"")</f>
        <v>Option</v>
      </c>
      <c r="AG252" s="200" t="str">
        <f>IFERROR(VLOOKUP(TableHandbook[[#This Row],[UDC]],TableMJRUMATHT[],7,FALSE),"")</f>
        <v/>
      </c>
      <c r="AH252" s="200" t="str">
        <f>IFERROR(VLOOKUP(TableHandbook[[#This Row],[UDC]],TableMJRUSCIBI[],7,FALSE),"")</f>
        <v/>
      </c>
      <c r="AI252" s="200" t="str">
        <f>IFERROR(VLOOKUP(TableHandbook[[#This Row],[UDC]],TableMJRUSCICH[],7,FALSE),"")</f>
        <v/>
      </c>
      <c r="AJ252" s="200" t="str">
        <f>IFERROR(VLOOKUP(TableHandbook[[#This Row],[UDC]],TableMJRUSCIHB[],7,FALSE),"")</f>
        <v/>
      </c>
      <c r="AK252" s="200" t="str">
        <f>IFERROR(VLOOKUP(TableHandbook[[#This Row],[UDC]],TableMJRUSCIPH[],7,FALSE),"")</f>
        <v/>
      </c>
      <c r="AL252" s="200" t="str">
        <f>IFERROR(VLOOKUP(TableHandbook[[#This Row],[UDC]],TableMJRUSCIPS[],7,FALSE),"")</f>
        <v/>
      </c>
      <c r="AM252" s="202"/>
      <c r="AN252" s="200" t="str">
        <f>IFERROR(VLOOKUP(TableHandbook[[#This Row],[UDC]],TableSTRUBIOLB[],7,FALSE),"")</f>
        <v/>
      </c>
      <c r="AO252" s="200" t="str">
        <f>IFERROR(VLOOKUP(TableHandbook[[#This Row],[UDC]],TableSTRUBSCIM[],7,FALSE),"")</f>
        <v/>
      </c>
      <c r="AP252" s="200" t="str">
        <f>IFERROR(VLOOKUP(TableHandbook[[#This Row],[UDC]],TableSTRUCHEMB[],7,FALSE),"")</f>
        <v/>
      </c>
      <c r="AQ252" s="200" t="str">
        <f>IFERROR(VLOOKUP(TableHandbook[[#This Row],[UDC]],TableSTRUECOB1[],7,FALSE),"")</f>
        <v/>
      </c>
      <c r="AR252" s="200" t="str">
        <f>IFERROR(VLOOKUP(TableHandbook[[#This Row],[UDC]],TableSTRUEDART[],7,FALSE),"")</f>
        <v/>
      </c>
      <c r="AS252" s="200" t="str">
        <f>IFERROR(VLOOKUP(TableHandbook[[#This Row],[UDC]],TableSTRUEDENG[],7,FALSE),"")</f>
        <v/>
      </c>
      <c r="AT252" s="200" t="str">
        <f>IFERROR(VLOOKUP(TableHandbook[[#This Row],[UDC]],TableSTRUEDHAS[],7,FALSE),"")</f>
        <v/>
      </c>
      <c r="AU252" s="200" t="str">
        <f>IFERROR(VLOOKUP(TableHandbook[[#This Row],[UDC]],TableSTRUEDMAT[],7,FALSE),"")</f>
        <v/>
      </c>
      <c r="AV252" s="200" t="str">
        <f>IFERROR(VLOOKUP(TableHandbook[[#This Row],[UDC]],TableSTRUEDSCI[],7,FALSE),"")</f>
        <v/>
      </c>
      <c r="AW252" s="200" t="str">
        <f>IFERROR(VLOOKUP(TableHandbook[[#This Row],[UDC]],TableSTRUENGLB[],7,FALSE),"")</f>
        <v/>
      </c>
      <c r="AX252" s="200" t="str">
        <f>IFERROR(VLOOKUP(TableHandbook[[#This Row],[UDC]],TableSTRUENGLM[],7,FALSE),"")</f>
        <v/>
      </c>
      <c r="AY252" s="200" t="str">
        <f>IFERROR(VLOOKUP(TableHandbook[[#This Row],[UDC]],TableSTRUGEOB1[],7,FALSE),"")</f>
        <v/>
      </c>
      <c r="AZ252" s="200" t="str">
        <f>IFERROR(VLOOKUP(TableHandbook[[#This Row],[UDC]],TableSTRUHISB1[],7,FALSE),"")</f>
        <v/>
      </c>
      <c r="BA252" s="200" t="str">
        <f>IFERROR(VLOOKUP(TableHandbook[[#This Row],[UDC]],TableSTRUHUMAM[],7,FALSE),"")</f>
        <v/>
      </c>
      <c r="BB252" s="200" t="str">
        <f>IFERROR(VLOOKUP(TableHandbook[[#This Row],[UDC]],TableSTRUHUMBB[],7,FALSE),"")</f>
        <v/>
      </c>
      <c r="BC252" s="200" t="str">
        <f>IFERROR(VLOOKUP(TableHandbook[[#This Row],[UDC]],TableSTRUMATHB[],7,FALSE),"")</f>
        <v/>
      </c>
      <c r="BD252" s="200" t="str">
        <f>IFERROR(VLOOKUP(TableHandbook[[#This Row],[UDC]],TableSTRUMATHM[],7,FALSE),"")</f>
        <v/>
      </c>
      <c r="BE252" s="200" t="str">
        <f>IFERROR(VLOOKUP(TableHandbook[[#This Row],[UDC]],TableSTRUPARTB[],7,FALSE),"")</f>
        <v/>
      </c>
      <c r="BF252" s="200" t="str">
        <f>IFERROR(VLOOKUP(TableHandbook[[#This Row],[UDC]],TableSTRUPARTM[],7,FALSE),"")</f>
        <v/>
      </c>
      <c r="BG252" s="200" t="str">
        <f>IFERROR(VLOOKUP(TableHandbook[[#This Row],[UDC]],TableSTRUPOLB1[],7,FALSE),"")</f>
        <v/>
      </c>
      <c r="BH252" s="200" t="str">
        <f>IFERROR(VLOOKUP(TableHandbook[[#This Row],[UDC]],TableSTRUPSCIM[],7,FALSE),"")</f>
        <v/>
      </c>
      <c r="BI252" s="200" t="str">
        <f>IFERROR(VLOOKUP(TableHandbook[[#This Row],[UDC]],TableSTRUPSYCB[],7,FALSE),"")</f>
        <v/>
      </c>
      <c r="BJ252" s="200" t="str">
        <f>IFERROR(VLOOKUP(TableHandbook[[#This Row],[UDC]],TableSTRUPSYCM[],7,FALSE),"")</f>
        <v/>
      </c>
      <c r="BK252" s="200" t="str">
        <f>IFERROR(VLOOKUP(TableHandbook[[#This Row],[UDC]],TableSTRUSOSCM[],7,FALSE),"")</f>
        <v/>
      </c>
      <c r="BL252" s="200" t="str">
        <f>IFERROR(VLOOKUP(TableHandbook[[#This Row],[UDC]],TableSTRUVARTB[],7,FALSE),"")</f>
        <v/>
      </c>
      <c r="BM252" s="200" t="str">
        <f>IFERROR(VLOOKUP(TableHandbook[[#This Row],[UDC]],TableSTRUVARTM[],7,FALSE),"")</f>
        <v/>
      </c>
    </row>
    <row r="253" spans="1:65" x14ac:dyDescent="0.25">
      <c r="A253" s="262" t="s">
        <v>255</v>
      </c>
      <c r="B253" s="12">
        <v>2</v>
      </c>
      <c r="C253" s="11"/>
      <c r="D253" s="11" t="s">
        <v>254</v>
      </c>
      <c r="E253" s="12">
        <v>150</v>
      </c>
      <c r="F253" s="131" t="s">
        <v>540</v>
      </c>
      <c r="G253" s="126" t="str">
        <f>IFERROR(IF(VLOOKUP(TableHandbook[[#This Row],[UDC]],TableAvailabilities[],2,FALSE)&gt;0,"Y",""),"")</f>
        <v/>
      </c>
      <c r="H253" s="127" t="str">
        <f>IFERROR(IF(VLOOKUP(TableHandbook[[#This Row],[UDC]],TableAvailabilities[],3,FALSE)&gt;0,"Y",""),"")</f>
        <v/>
      </c>
      <c r="I253" s="127" t="str">
        <f>IFERROR(IF(VLOOKUP(TableHandbook[[#This Row],[UDC]],TableAvailabilities[],4,FALSE)&gt;0,"Y",""),"")</f>
        <v/>
      </c>
      <c r="J253" s="128" t="str">
        <f>IFERROR(IF(VLOOKUP(TableHandbook[[#This Row],[UDC]],TableAvailabilities[],5,FALSE)&gt;0,"Y",""),"")</f>
        <v/>
      </c>
      <c r="K253" s="128" t="str">
        <f>IFERROR(IF(VLOOKUP(TableHandbook[[#This Row],[UDC]],TableAvailabilities[],6,FALSE)&gt;0,"Y",""),"")</f>
        <v/>
      </c>
      <c r="L253" s="127" t="str">
        <f>IFERROR(IF(VLOOKUP(TableHandbook[[#This Row],[UDC]],TableAvailabilities[],7,FALSE)&gt;0,"Y",""),"")</f>
        <v/>
      </c>
      <c r="M253" s="251"/>
      <c r="N253" s="200" t="str">
        <f>IFERROR(VLOOKUP(TableHandbook[[#This Row],[UDC]],TableBEDUC[],7,FALSE),"")</f>
        <v/>
      </c>
      <c r="O253" s="200" t="str">
        <f>IFERROR(VLOOKUP(TableHandbook[[#This Row],[UDC]],TableBEDEC[],7,FALSE),"")</f>
        <v/>
      </c>
      <c r="P253" s="200" t="str">
        <f>IFERROR(VLOOKUP(TableHandbook[[#This Row],[UDC]],TableBEDPR[],7,FALSE),"")</f>
        <v/>
      </c>
      <c r="Q253" s="200" t="str">
        <f>IFERROR(VLOOKUP(TableHandbook[[#This Row],[UDC]],TableSTRUCATHL[],7,FALSE),"")</f>
        <v/>
      </c>
      <c r="R253" s="200" t="str">
        <f>IFERROR(VLOOKUP(TableHandbook[[#This Row],[UDC]],TableSTRUENGLL[],7,FALSE),"")</f>
        <v/>
      </c>
      <c r="S253" s="200" t="str">
        <f>IFERROR(VLOOKUP(TableHandbook[[#This Row],[UDC]],TableSTRUINTBC[],7,FALSE),"")</f>
        <v/>
      </c>
      <c r="T253" s="200" t="str">
        <f>IFERROR(VLOOKUP(TableHandbook[[#This Row],[UDC]],TableSTRUISTEM[],7,FALSE),"")</f>
        <v/>
      </c>
      <c r="U253" s="200" t="str">
        <f>IFERROR(VLOOKUP(TableHandbook[[#This Row],[UDC]],TableSTRULITNU[],7,FALSE),"")</f>
        <v/>
      </c>
      <c r="V253" s="200" t="str">
        <f>IFERROR(VLOOKUP(TableHandbook[[#This Row],[UDC]],TableSTRUTECHS[],7,FALSE),"")</f>
        <v/>
      </c>
      <c r="W253" s="200" t="str">
        <f>IFERROR(VLOOKUP(TableHandbook[[#This Row],[UDC]],TableBEDSC[],7,FALSE),"")</f>
        <v/>
      </c>
      <c r="X253" s="200" t="str">
        <f>IFERROR(VLOOKUP(TableHandbook[[#This Row],[UDC]],TableMJRUARTDR[],7,FALSE),"")</f>
        <v/>
      </c>
      <c r="Y253" s="200" t="str">
        <f>IFERROR(VLOOKUP(TableHandbook[[#This Row],[UDC]],TableMJRUARTME[],7,FALSE),"")</f>
        <v/>
      </c>
      <c r="Z253" s="200" t="str">
        <f>IFERROR(VLOOKUP(TableHandbook[[#This Row],[UDC]],TableMJRUARTVA[],7,FALSE),"")</f>
        <v/>
      </c>
      <c r="AA253" s="200" t="str">
        <f>IFERROR(VLOOKUP(TableHandbook[[#This Row],[UDC]],TableMJRUENGLT[],7,FALSE),"")</f>
        <v/>
      </c>
      <c r="AB253" s="200" t="str">
        <f>IFERROR(VLOOKUP(TableHandbook[[#This Row],[UDC]],TableMJRUHLTPE[],7,FALSE),"")</f>
        <v/>
      </c>
      <c r="AC253" s="200" t="str">
        <f>IFERROR(VLOOKUP(TableHandbook[[#This Row],[UDC]],TableMJRUHUSEC[],7,FALSE),"")</f>
        <v/>
      </c>
      <c r="AD253" s="200" t="str">
        <f>IFERROR(VLOOKUP(TableHandbook[[#This Row],[UDC]],TableMJRUHUSGE[],7,FALSE),"")</f>
        <v/>
      </c>
      <c r="AE253" s="200" t="str">
        <f>IFERROR(VLOOKUP(TableHandbook[[#This Row],[UDC]],TableMJRUHUSHI[],7,FALSE),"")</f>
        <v/>
      </c>
      <c r="AF253" s="200" t="str">
        <f>IFERROR(VLOOKUP(TableHandbook[[#This Row],[UDC]],TableMJRUHUSPL[],7,FALSE),"")</f>
        <v/>
      </c>
      <c r="AG253" s="200" t="str">
        <f>IFERROR(VLOOKUP(TableHandbook[[#This Row],[UDC]],TableMJRUMATHT[],7,FALSE),"")</f>
        <v>Option</v>
      </c>
      <c r="AH253" s="200" t="str">
        <f>IFERROR(VLOOKUP(TableHandbook[[#This Row],[UDC]],TableMJRUSCIBI[],7,FALSE),"")</f>
        <v/>
      </c>
      <c r="AI253" s="200" t="str">
        <f>IFERROR(VLOOKUP(TableHandbook[[#This Row],[UDC]],TableMJRUSCICH[],7,FALSE),"")</f>
        <v/>
      </c>
      <c r="AJ253" s="200" t="str">
        <f>IFERROR(VLOOKUP(TableHandbook[[#This Row],[UDC]],TableMJRUSCIHB[],7,FALSE),"")</f>
        <v/>
      </c>
      <c r="AK253" s="200" t="str">
        <f>IFERROR(VLOOKUP(TableHandbook[[#This Row],[UDC]],TableMJRUSCIPH[],7,FALSE),"")</f>
        <v/>
      </c>
      <c r="AL253" s="200" t="str">
        <f>IFERROR(VLOOKUP(TableHandbook[[#This Row],[UDC]],TableMJRUSCIPS[],7,FALSE),"")</f>
        <v/>
      </c>
      <c r="AM253" s="202"/>
      <c r="AN253" s="200" t="str">
        <f>IFERROR(VLOOKUP(TableHandbook[[#This Row],[UDC]],TableSTRUBIOLB[],7,FALSE),"")</f>
        <v/>
      </c>
      <c r="AO253" s="200" t="str">
        <f>IFERROR(VLOOKUP(TableHandbook[[#This Row],[UDC]],TableSTRUBSCIM[],7,FALSE),"")</f>
        <v/>
      </c>
      <c r="AP253" s="200" t="str">
        <f>IFERROR(VLOOKUP(TableHandbook[[#This Row],[UDC]],TableSTRUCHEMB[],7,FALSE),"")</f>
        <v/>
      </c>
      <c r="AQ253" s="200" t="str">
        <f>IFERROR(VLOOKUP(TableHandbook[[#This Row],[UDC]],TableSTRUECOB1[],7,FALSE),"")</f>
        <v/>
      </c>
      <c r="AR253" s="200" t="str">
        <f>IFERROR(VLOOKUP(TableHandbook[[#This Row],[UDC]],TableSTRUEDART[],7,FALSE),"")</f>
        <v/>
      </c>
      <c r="AS253" s="200" t="str">
        <f>IFERROR(VLOOKUP(TableHandbook[[#This Row],[UDC]],TableSTRUEDENG[],7,FALSE),"")</f>
        <v/>
      </c>
      <c r="AT253" s="200" t="str">
        <f>IFERROR(VLOOKUP(TableHandbook[[#This Row],[UDC]],TableSTRUEDHAS[],7,FALSE),"")</f>
        <v/>
      </c>
      <c r="AU253" s="200" t="str">
        <f>IFERROR(VLOOKUP(TableHandbook[[#This Row],[UDC]],TableSTRUEDMAT[],7,FALSE),"")</f>
        <v/>
      </c>
      <c r="AV253" s="200" t="str">
        <f>IFERROR(VLOOKUP(TableHandbook[[#This Row],[UDC]],TableSTRUEDSCI[],7,FALSE),"")</f>
        <v/>
      </c>
      <c r="AW253" s="200" t="str">
        <f>IFERROR(VLOOKUP(TableHandbook[[#This Row],[UDC]],TableSTRUENGLB[],7,FALSE),"")</f>
        <v/>
      </c>
      <c r="AX253" s="200" t="str">
        <f>IFERROR(VLOOKUP(TableHandbook[[#This Row],[UDC]],TableSTRUENGLM[],7,FALSE),"")</f>
        <v/>
      </c>
      <c r="AY253" s="200" t="str">
        <f>IFERROR(VLOOKUP(TableHandbook[[#This Row],[UDC]],TableSTRUGEOB1[],7,FALSE),"")</f>
        <v/>
      </c>
      <c r="AZ253" s="200" t="str">
        <f>IFERROR(VLOOKUP(TableHandbook[[#This Row],[UDC]],TableSTRUHISB1[],7,FALSE),"")</f>
        <v/>
      </c>
      <c r="BA253" s="200" t="str">
        <f>IFERROR(VLOOKUP(TableHandbook[[#This Row],[UDC]],TableSTRUHUMAM[],7,FALSE),"")</f>
        <v/>
      </c>
      <c r="BB253" s="200" t="str">
        <f>IFERROR(VLOOKUP(TableHandbook[[#This Row],[UDC]],TableSTRUHUMBB[],7,FALSE),"")</f>
        <v/>
      </c>
      <c r="BC253" s="200" t="str">
        <f>IFERROR(VLOOKUP(TableHandbook[[#This Row],[UDC]],TableSTRUMATHB[],7,FALSE),"")</f>
        <v/>
      </c>
      <c r="BD253" s="200" t="str">
        <f>IFERROR(VLOOKUP(TableHandbook[[#This Row],[UDC]],TableSTRUMATHM[],7,FALSE),"")</f>
        <v/>
      </c>
      <c r="BE253" s="200" t="str">
        <f>IFERROR(VLOOKUP(TableHandbook[[#This Row],[UDC]],TableSTRUPARTB[],7,FALSE),"")</f>
        <v/>
      </c>
      <c r="BF253" s="200" t="str">
        <f>IFERROR(VLOOKUP(TableHandbook[[#This Row],[UDC]],TableSTRUPARTM[],7,FALSE),"")</f>
        <v/>
      </c>
      <c r="BG253" s="200" t="str">
        <f>IFERROR(VLOOKUP(TableHandbook[[#This Row],[UDC]],TableSTRUPOLB1[],7,FALSE),"")</f>
        <v/>
      </c>
      <c r="BH253" s="200" t="str">
        <f>IFERROR(VLOOKUP(TableHandbook[[#This Row],[UDC]],TableSTRUPSCIM[],7,FALSE),"")</f>
        <v/>
      </c>
      <c r="BI253" s="200" t="str">
        <f>IFERROR(VLOOKUP(TableHandbook[[#This Row],[UDC]],TableSTRUPSYCB[],7,FALSE),"")</f>
        <v/>
      </c>
      <c r="BJ253" s="200" t="str">
        <f>IFERROR(VLOOKUP(TableHandbook[[#This Row],[UDC]],TableSTRUPSYCM[],7,FALSE),"")</f>
        <v/>
      </c>
      <c r="BK253" s="200" t="str">
        <f>IFERROR(VLOOKUP(TableHandbook[[#This Row],[UDC]],TableSTRUSOSCM[],7,FALSE),"")</f>
        <v/>
      </c>
      <c r="BL253" s="200" t="str">
        <f>IFERROR(VLOOKUP(TableHandbook[[#This Row],[UDC]],TableSTRUVARTB[],7,FALSE),"")</f>
        <v/>
      </c>
      <c r="BM253" s="200" t="str">
        <f>IFERROR(VLOOKUP(TableHandbook[[#This Row],[UDC]],TableSTRUVARTM[],7,FALSE),"")</f>
        <v/>
      </c>
    </row>
    <row r="254" spans="1:65" x14ac:dyDescent="0.25">
      <c r="A254" s="262" t="s">
        <v>258</v>
      </c>
      <c r="B254" s="12">
        <v>2</v>
      </c>
      <c r="C254" s="11"/>
      <c r="D254" s="11" t="s">
        <v>831</v>
      </c>
      <c r="E254" s="12">
        <v>150</v>
      </c>
      <c r="F254" s="131" t="s">
        <v>540</v>
      </c>
      <c r="G254" s="126" t="str">
        <f>IFERROR(IF(VLOOKUP(TableHandbook[[#This Row],[UDC]],TableAvailabilities[],2,FALSE)&gt;0,"Y",""),"")</f>
        <v/>
      </c>
      <c r="H254" s="127" t="str">
        <f>IFERROR(IF(VLOOKUP(TableHandbook[[#This Row],[UDC]],TableAvailabilities[],3,FALSE)&gt;0,"Y",""),"")</f>
        <v/>
      </c>
      <c r="I254" s="127" t="str">
        <f>IFERROR(IF(VLOOKUP(TableHandbook[[#This Row],[UDC]],TableAvailabilities[],4,FALSE)&gt;0,"Y",""),"")</f>
        <v/>
      </c>
      <c r="J254" s="128" t="str">
        <f>IFERROR(IF(VLOOKUP(TableHandbook[[#This Row],[UDC]],TableAvailabilities[],5,FALSE)&gt;0,"Y",""),"")</f>
        <v/>
      </c>
      <c r="K254" s="128" t="str">
        <f>IFERROR(IF(VLOOKUP(TableHandbook[[#This Row],[UDC]],TableAvailabilities[],6,FALSE)&gt;0,"Y",""),"")</f>
        <v/>
      </c>
      <c r="L254" s="127" t="str">
        <f>IFERROR(IF(VLOOKUP(TableHandbook[[#This Row],[UDC]],TableAvailabilities[],7,FALSE)&gt;0,"Y",""),"")</f>
        <v/>
      </c>
      <c r="M254" s="251"/>
      <c r="N254" s="200" t="str">
        <f>IFERROR(VLOOKUP(TableHandbook[[#This Row],[UDC]],TableBEDUC[],7,FALSE),"")</f>
        <v/>
      </c>
      <c r="O254" s="200" t="str">
        <f>IFERROR(VLOOKUP(TableHandbook[[#This Row],[UDC]],TableBEDEC[],7,FALSE),"")</f>
        <v/>
      </c>
      <c r="P254" s="200" t="str">
        <f>IFERROR(VLOOKUP(TableHandbook[[#This Row],[UDC]],TableBEDPR[],7,FALSE),"")</f>
        <v/>
      </c>
      <c r="Q254" s="200" t="str">
        <f>IFERROR(VLOOKUP(TableHandbook[[#This Row],[UDC]],TableSTRUCATHL[],7,FALSE),"")</f>
        <v/>
      </c>
      <c r="R254" s="200" t="str">
        <f>IFERROR(VLOOKUP(TableHandbook[[#This Row],[UDC]],TableSTRUENGLL[],7,FALSE),"")</f>
        <v/>
      </c>
      <c r="S254" s="200" t="str">
        <f>IFERROR(VLOOKUP(TableHandbook[[#This Row],[UDC]],TableSTRUINTBC[],7,FALSE),"")</f>
        <v/>
      </c>
      <c r="T254" s="200" t="str">
        <f>IFERROR(VLOOKUP(TableHandbook[[#This Row],[UDC]],TableSTRUISTEM[],7,FALSE),"")</f>
        <v/>
      </c>
      <c r="U254" s="200" t="str">
        <f>IFERROR(VLOOKUP(TableHandbook[[#This Row],[UDC]],TableSTRULITNU[],7,FALSE),"")</f>
        <v/>
      </c>
      <c r="V254" s="200" t="str">
        <f>IFERROR(VLOOKUP(TableHandbook[[#This Row],[UDC]],TableSTRUTECHS[],7,FALSE),"")</f>
        <v/>
      </c>
      <c r="W254" s="200" t="str">
        <f>IFERROR(VLOOKUP(TableHandbook[[#This Row],[UDC]],TableBEDSC[],7,FALSE),"")</f>
        <v/>
      </c>
      <c r="X254" s="200" t="str">
        <f>IFERROR(VLOOKUP(TableHandbook[[#This Row],[UDC]],TableMJRUARTDR[],7,FALSE),"")</f>
        <v/>
      </c>
      <c r="Y254" s="200" t="str">
        <f>IFERROR(VLOOKUP(TableHandbook[[#This Row],[UDC]],TableMJRUARTME[],7,FALSE),"")</f>
        <v/>
      </c>
      <c r="Z254" s="200" t="str">
        <f>IFERROR(VLOOKUP(TableHandbook[[#This Row],[UDC]],TableMJRUARTVA[],7,FALSE),"")</f>
        <v/>
      </c>
      <c r="AA254" s="200" t="str">
        <f>IFERROR(VLOOKUP(TableHandbook[[#This Row],[UDC]],TableMJRUENGLT[],7,FALSE),"")</f>
        <v/>
      </c>
      <c r="AB254" s="200" t="str">
        <f>IFERROR(VLOOKUP(TableHandbook[[#This Row],[UDC]],TableMJRUHLTPE[],7,FALSE),"")</f>
        <v/>
      </c>
      <c r="AC254" s="200" t="str">
        <f>IFERROR(VLOOKUP(TableHandbook[[#This Row],[UDC]],TableMJRUHUSEC[],7,FALSE),"")</f>
        <v/>
      </c>
      <c r="AD254" s="200" t="str">
        <f>IFERROR(VLOOKUP(TableHandbook[[#This Row],[UDC]],TableMJRUHUSGE[],7,FALSE),"")</f>
        <v/>
      </c>
      <c r="AE254" s="200" t="str">
        <f>IFERROR(VLOOKUP(TableHandbook[[#This Row],[UDC]],TableMJRUHUSHI[],7,FALSE),"")</f>
        <v/>
      </c>
      <c r="AF254" s="200" t="str">
        <f>IFERROR(VLOOKUP(TableHandbook[[#This Row],[UDC]],TableMJRUHUSPL[],7,FALSE),"")</f>
        <v/>
      </c>
      <c r="AG254" s="200" t="str">
        <f>IFERROR(VLOOKUP(TableHandbook[[#This Row],[UDC]],TableMJRUMATHT[],7,FALSE),"")</f>
        <v/>
      </c>
      <c r="AH254" s="200" t="str">
        <f>IFERROR(VLOOKUP(TableHandbook[[#This Row],[UDC]],TableMJRUSCIBI[],7,FALSE),"")</f>
        <v>Option</v>
      </c>
      <c r="AI254" s="200" t="str">
        <f>IFERROR(VLOOKUP(TableHandbook[[#This Row],[UDC]],TableMJRUSCICH[],7,FALSE),"")</f>
        <v>Option</v>
      </c>
      <c r="AJ254" s="200" t="str">
        <f>IFERROR(VLOOKUP(TableHandbook[[#This Row],[UDC]],TableMJRUSCIHB[],7,FALSE),"")</f>
        <v>Option</v>
      </c>
      <c r="AK254" s="200" t="str">
        <f>IFERROR(VLOOKUP(TableHandbook[[#This Row],[UDC]],TableMJRUSCIPH[],7,FALSE),"")</f>
        <v/>
      </c>
      <c r="AL254" s="200" t="str">
        <f>IFERROR(VLOOKUP(TableHandbook[[#This Row],[UDC]],TableMJRUSCIPS[],7,FALSE),"")</f>
        <v>Option</v>
      </c>
      <c r="AM254" s="202"/>
      <c r="AN254" s="200" t="str">
        <f>IFERROR(VLOOKUP(TableHandbook[[#This Row],[UDC]],TableSTRUBIOLB[],7,FALSE),"")</f>
        <v/>
      </c>
      <c r="AO254" s="200" t="str">
        <f>IFERROR(VLOOKUP(TableHandbook[[#This Row],[UDC]],TableSTRUBSCIM[],7,FALSE),"")</f>
        <v/>
      </c>
      <c r="AP254" s="200" t="str">
        <f>IFERROR(VLOOKUP(TableHandbook[[#This Row],[UDC]],TableSTRUCHEMB[],7,FALSE),"")</f>
        <v/>
      </c>
      <c r="AQ254" s="200" t="str">
        <f>IFERROR(VLOOKUP(TableHandbook[[#This Row],[UDC]],TableSTRUECOB1[],7,FALSE),"")</f>
        <v/>
      </c>
      <c r="AR254" s="200" t="str">
        <f>IFERROR(VLOOKUP(TableHandbook[[#This Row],[UDC]],TableSTRUEDART[],7,FALSE),"")</f>
        <v/>
      </c>
      <c r="AS254" s="200" t="str">
        <f>IFERROR(VLOOKUP(TableHandbook[[#This Row],[UDC]],TableSTRUEDENG[],7,FALSE),"")</f>
        <v/>
      </c>
      <c r="AT254" s="200" t="str">
        <f>IFERROR(VLOOKUP(TableHandbook[[#This Row],[UDC]],TableSTRUEDHAS[],7,FALSE),"")</f>
        <v/>
      </c>
      <c r="AU254" s="200" t="str">
        <f>IFERROR(VLOOKUP(TableHandbook[[#This Row],[UDC]],TableSTRUEDMAT[],7,FALSE),"")</f>
        <v/>
      </c>
      <c r="AV254" s="200" t="str">
        <f>IFERROR(VLOOKUP(TableHandbook[[#This Row],[UDC]],TableSTRUEDSCI[],7,FALSE),"")</f>
        <v/>
      </c>
      <c r="AW254" s="200" t="str">
        <f>IFERROR(VLOOKUP(TableHandbook[[#This Row],[UDC]],TableSTRUENGLB[],7,FALSE),"")</f>
        <v/>
      </c>
      <c r="AX254" s="200" t="str">
        <f>IFERROR(VLOOKUP(TableHandbook[[#This Row],[UDC]],TableSTRUENGLM[],7,FALSE),"")</f>
        <v/>
      </c>
      <c r="AY254" s="200" t="str">
        <f>IFERROR(VLOOKUP(TableHandbook[[#This Row],[UDC]],TableSTRUGEOB1[],7,FALSE),"")</f>
        <v/>
      </c>
      <c r="AZ254" s="200" t="str">
        <f>IFERROR(VLOOKUP(TableHandbook[[#This Row],[UDC]],TableSTRUHISB1[],7,FALSE),"")</f>
        <v/>
      </c>
      <c r="BA254" s="200" t="str">
        <f>IFERROR(VLOOKUP(TableHandbook[[#This Row],[UDC]],TableSTRUHUMAM[],7,FALSE),"")</f>
        <v/>
      </c>
      <c r="BB254" s="200" t="str">
        <f>IFERROR(VLOOKUP(TableHandbook[[#This Row],[UDC]],TableSTRUHUMBB[],7,FALSE),"")</f>
        <v/>
      </c>
      <c r="BC254" s="200" t="str">
        <f>IFERROR(VLOOKUP(TableHandbook[[#This Row],[UDC]],TableSTRUMATHB[],7,FALSE),"")</f>
        <v/>
      </c>
      <c r="BD254" s="200" t="str">
        <f>IFERROR(VLOOKUP(TableHandbook[[#This Row],[UDC]],TableSTRUMATHM[],7,FALSE),"")</f>
        <v/>
      </c>
      <c r="BE254" s="200" t="str">
        <f>IFERROR(VLOOKUP(TableHandbook[[#This Row],[UDC]],TableSTRUPARTB[],7,FALSE),"")</f>
        <v/>
      </c>
      <c r="BF254" s="200" t="str">
        <f>IFERROR(VLOOKUP(TableHandbook[[#This Row],[UDC]],TableSTRUPARTM[],7,FALSE),"")</f>
        <v/>
      </c>
      <c r="BG254" s="200" t="str">
        <f>IFERROR(VLOOKUP(TableHandbook[[#This Row],[UDC]],TableSTRUPOLB1[],7,FALSE),"")</f>
        <v/>
      </c>
      <c r="BH254" s="200" t="str">
        <f>IFERROR(VLOOKUP(TableHandbook[[#This Row],[UDC]],TableSTRUPSCIM[],7,FALSE),"")</f>
        <v/>
      </c>
      <c r="BI254" s="200" t="str">
        <f>IFERROR(VLOOKUP(TableHandbook[[#This Row],[UDC]],TableSTRUPSYCB[],7,FALSE),"")</f>
        <v/>
      </c>
      <c r="BJ254" s="200" t="str">
        <f>IFERROR(VLOOKUP(TableHandbook[[#This Row],[UDC]],TableSTRUPSYCM[],7,FALSE),"")</f>
        <v/>
      </c>
      <c r="BK254" s="200" t="str">
        <f>IFERROR(VLOOKUP(TableHandbook[[#This Row],[UDC]],TableSTRUSOSCM[],7,FALSE),"")</f>
        <v/>
      </c>
      <c r="BL254" s="200" t="str">
        <f>IFERROR(VLOOKUP(TableHandbook[[#This Row],[UDC]],TableSTRUVARTB[],7,FALSE),"")</f>
        <v/>
      </c>
      <c r="BM254" s="200" t="str">
        <f>IFERROR(VLOOKUP(TableHandbook[[#This Row],[UDC]],TableSTRUVARTM[],7,FALSE),"")</f>
        <v/>
      </c>
    </row>
    <row r="255" spans="1:65" x14ac:dyDescent="0.25">
      <c r="A255" s="262" t="s">
        <v>256</v>
      </c>
      <c r="B255" s="12">
        <v>3</v>
      </c>
      <c r="C255" s="11"/>
      <c r="D255" s="11" t="s">
        <v>259</v>
      </c>
      <c r="E255" s="12">
        <v>150</v>
      </c>
      <c r="F255" s="131" t="s">
        <v>540</v>
      </c>
      <c r="G255" s="126" t="str">
        <f>IFERROR(IF(VLOOKUP(TableHandbook[[#This Row],[UDC]],TableAvailabilities[],2,FALSE)&gt;0,"Y",""),"")</f>
        <v/>
      </c>
      <c r="H255" s="127" t="str">
        <f>IFERROR(IF(VLOOKUP(TableHandbook[[#This Row],[UDC]],TableAvailabilities[],3,FALSE)&gt;0,"Y",""),"")</f>
        <v/>
      </c>
      <c r="I255" s="127" t="str">
        <f>IFERROR(IF(VLOOKUP(TableHandbook[[#This Row],[UDC]],TableAvailabilities[],4,FALSE)&gt;0,"Y",""),"")</f>
        <v/>
      </c>
      <c r="J255" s="128" t="str">
        <f>IFERROR(IF(VLOOKUP(TableHandbook[[#This Row],[UDC]],TableAvailabilities[],5,FALSE)&gt;0,"Y",""),"")</f>
        <v/>
      </c>
      <c r="K255" s="128" t="str">
        <f>IFERROR(IF(VLOOKUP(TableHandbook[[#This Row],[UDC]],TableAvailabilities[],6,FALSE)&gt;0,"Y",""),"")</f>
        <v/>
      </c>
      <c r="L255" s="127" t="str">
        <f>IFERROR(IF(VLOOKUP(TableHandbook[[#This Row],[UDC]],TableAvailabilities[],7,FALSE)&gt;0,"Y",""),"")</f>
        <v/>
      </c>
      <c r="M255" s="251"/>
      <c r="N255" s="200" t="str">
        <f>IFERROR(VLOOKUP(TableHandbook[[#This Row],[UDC]],TableBEDUC[],7,FALSE),"")</f>
        <v/>
      </c>
      <c r="O255" s="200" t="str">
        <f>IFERROR(VLOOKUP(TableHandbook[[#This Row],[UDC]],TableBEDEC[],7,FALSE),"")</f>
        <v/>
      </c>
      <c r="P255" s="200" t="str">
        <f>IFERROR(VLOOKUP(TableHandbook[[#This Row],[UDC]],TableBEDPR[],7,FALSE),"")</f>
        <v/>
      </c>
      <c r="Q255" s="200" t="str">
        <f>IFERROR(VLOOKUP(TableHandbook[[#This Row],[UDC]],TableSTRUCATHL[],7,FALSE),"")</f>
        <v/>
      </c>
      <c r="R255" s="200" t="str">
        <f>IFERROR(VLOOKUP(TableHandbook[[#This Row],[UDC]],TableSTRUENGLL[],7,FALSE),"")</f>
        <v/>
      </c>
      <c r="S255" s="200" t="str">
        <f>IFERROR(VLOOKUP(TableHandbook[[#This Row],[UDC]],TableSTRUINTBC[],7,FALSE),"")</f>
        <v/>
      </c>
      <c r="T255" s="200" t="str">
        <f>IFERROR(VLOOKUP(TableHandbook[[#This Row],[UDC]],TableSTRUISTEM[],7,FALSE),"")</f>
        <v/>
      </c>
      <c r="U255" s="200" t="str">
        <f>IFERROR(VLOOKUP(TableHandbook[[#This Row],[UDC]],TableSTRULITNU[],7,FALSE),"")</f>
        <v/>
      </c>
      <c r="V255" s="200" t="str">
        <f>IFERROR(VLOOKUP(TableHandbook[[#This Row],[UDC]],TableSTRUTECHS[],7,FALSE),"")</f>
        <v/>
      </c>
      <c r="W255" s="200" t="str">
        <f>IFERROR(VLOOKUP(TableHandbook[[#This Row],[UDC]],TableBEDSC[],7,FALSE),"")</f>
        <v/>
      </c>
      <c r="X255" s="200" t="str">
        <f>IFERROR(VLOOKUP(TableHandbook[[#This Row],[UDC]],TableMJRUARTDR[],7,FALSE),"")</f>
        <v/>
      </c>
      <c r="Y255" s="200" t="str">
        <f>IFERROR(VLOOKUP(TableHandbook[[#This Row],[UDC]],TableMJRUARTME[],7,FALSE),"")</f>
        <v/>
      </c>
      <c r="Z255" s="200" t="str">
        <f>IFERROR(VLOOKUP(TableHandbook[[#This Row],[UDC]],TableMJRUARTVA[],7,FALSE),"")</f>
        <v/>
      </c>
      <c r="AA255" s="200" t="str">
        <f>IFERROR(VLOOKUP(TableHandbook[[#This Row],[UDC]],TableMJRUENGLT[],7,FALSE),"")</f>
        <v>Core</v>
      </c>
      <c r="AB255" s="200" t="str">
        <f>IFERROR(VLOOKUP(TableHandbook[[#This Row],[UDC]],TableMJRUHLTPE[],7,FALSE),"")</f>
        <v/>
      </c>
      <c r="AC255" s="200" t="str">
        <f>IFERROR(VLOOKUP(TableHandbook[[#This Row],[UDC]],TableMJRUHUSEC[],7,FALSE),"")</f>
        <v/>
      </c>
      <c r="AD255" s="200" t="str">
        <f>IFERROR(VLOOKUP(TableHandbook[[#This Row],[UDC]],TableMJRUHUSGE[],7,FALSE),"")</f>
        <v/>
      </c>
      <c r="AE255" s="200" t="str">
        <f>IFERROR(VLOOKUP(TableHandbook[[#This Row],[UDC]],TableMJRUHUSHI[],7,FALSE),"")</f>
        <v/>
      </c>
      <c r="AF255" s="200" t="str">
        <f>IFERROR(VLOOKUP(TableHandbook[[#This Row],[UDC]],TableMJRUHUSPL[],7,FALSE),"")</f>
        <v/>
      </c>
      <c r="AG255" s="200" t="str">
        <f>IFERROR(VLOOKUP(TableHandbook[[#This Row],[UDC]],TableMJRUMATHT[],7,FALSE),"")</f>
        <v/>
      </c>
      <c r="AH255" s="200" t="str">
        <f>IFERROR(VLOOKUP(TableHandbook[[#This Row],[UDC]],TableMJRUSCIBI[],7,FALSE),"")</f>
        <v/>
      </c>
      <c r="AI255" s="200" t="str">
        <f>IFERROR(VLOOKUP(TableHandbook[[#This Row],[UDC]],TableMJRUSCICH[],7,FALSE),"")</f>
        <v/>
      </c>
      <c r="AJ255" s="200" t="str">
        <f>IFERROR(VLOOKUP(TableHandbook[[#This Row],[UDC]],TableMJRUSCIHB[],7,FALSE),"")</f>
        <v/>
      </c>
      <c r="AK255" s="200" t="str">
        <f>IFERROR(VLOOKUP(TableHandbook[[#This Row],[UDC]],TableMJRUSCIPH[],7,FALSE),"")</f>
        <v/>
      </c>
      <c r="AL255" s="200" t="str">
        <f>IFERROR(VLOOKUP(TableHandbook[[#This Row],[UDC]],TableMJRUSCIPS[],7,FALSE),"")</f>
        <v/>
      </c>
      <c r="AM255" s="202"/>
      <c r="AN255" s="200" t="str">
        <f>IFERROR(VLOOKUP(TableHandbook[[#This Row],[UDC]],TableSTRUBIOLB[],7,FALSE),"")</f>
        <v/>
      </c>
      <c r="AO255" s="200" t="str">
        <f>IFERROR(VLOOKUP(TableHandbook[[#This Row],[UDC]],TableSTRUBSCIM[],7,FALSE),"")</f>
        <v/>
      </c>
      <c r="AP255" s="200" t="str">
        <f>IFERROR(VLOOKUP(TableHandbook[[#This Row],[UDC]],TableSTRUCHEMB[],7,FALSE),"")</f>
        <v/>
      </c>
      <c r="AQ255" s="200" t="str">
        <f>IFERROR(VLOOKUP(TableHandbook[[#This Row],[UDC]],TableSTRUECOB1[],7,FALSE),"")</f>
        <v/>
      </c>
      <c r="AR255" s="200" t="str">
        <f>IFERROR(VLOOKUP(TableHandbook[[#This Row],[UDC]],TableSTRUEDART[],7,FALSE),"")</f>
        <v/>
      </c>
      <c r="AS255" s="200" t="str">
        <f>IFERROR(VLOOKUP(TableHandbook[[#This Row],[UDC]],TableSTRUEDENG[],7,FALSE),"")</f>
        <v/>
      </c>
      <c r="AT255" s="200" t="str">
        <f>IFERROR(VLOOKUP(TableHandbook[[#This Row],[UDC]],TableSTRUEDHAS[],7,FALSE),"")</f>
        <v/>
      </c>
      <c r="AU255" s="200" t="str">
        <f>IFERROR(VLOOKUP(TableHandbook[[#This Row],[UDC]],TableSTRUEDMAT[],7,FALSE),"")</f>
        <v/>
      </c>
      <c r="AV255" s="200" t="str">
        <f>IFERROR(VLOOKUP(TableHandbook[[#This Row],[UDC]],TableSTRUEDSCI[],7,FALSE),"")</f>
        <v/>
      </c>
      <c r="AW255" s="200" t="str">
        <f>IFERROR(VLOOKUP(TableHandbook[[#This Row],[UDC]],TableSTRUENGLB[],7,FALSE),"")</f>
        <v/>
      </c>
      <c r="AX255" s="200" t="str">
        <f>IFERROR(VLOOKUP(TableHandbook[[#This Row],[UDC]],TableSTRUENGLM[],7,FALSE),"")</f>
        <v/>
      </c>
      <c r="AY255" s="200" t="str">
        <f>IFERROR(VLOOKUP(TableHandbook[[#This Row],[UDC]],TableSTRUGEOB1[],7,FALSE),"")</f>
        <v/>
      </c>
      <c r="AZ255" s="200" t="str">
        <f>IFERROR(VLOOKUP(TableHandbook[[#This Row],[UDC]],TableSTRUHISB1[],7,FALSE),"")</f>
        <v/>
      </c>
      <c r="BA255" s="200" t="str">
        <f>IFERROR(VLOOKUP(TableHandbook[[#This Row],[UDC]],TableSTRUHUMAM[],7,FALSE),"")</f>
        <v/>
      </c>
      <c r="BB255" s="200" t="str">
        <f>IFERROR(VLOOKUP(TableHandbook[[#This Row],[UDC]],TableSTRUHUMBB[],7,FALSE),"")</f>
        <v/>
      </c>
      <c r="BC255" s="200" t="str">
        <f>IFERROR(VLOOKUP(TableHandbook[[#This Row],[UDC]],TableSTRUMATHB[],7,FALSE),"")</f>
        <v/>
      </c>
      <c r="BD255" s="200" t="str">
        <f>IFERROR(VLOOKUP(TableHandbook[[#This Row],[UDC]],TableSTRUMATHM[],7,FALSE),"")</f>
        <v/>
      </c>
      <c r="BE255" s="200" t="str">
        <f>IFERROR(VLOOKUP(TableHandbook[[#This Row],[UDC]],TableSTRUPARTB[],7,FALSE),"")</f>
        <v/>
      </c>
      <c r="BF255" s="200" t="str">
        <f>IFERROR(VLOOKUP(TableHandbook[[#This Row],[UDC]],TableSTRUPARTM[],7,FALSE),"")</f>
        <v/>
      </c>
      <c r="BG255" s="200" t="str">
        <f>IFERROR(VLOOKUP(TableHandbook[[#This Row],[UDC]],TableSTRUPOLB1[],7,FALSE),"")</f>
        <v/>
      </c>
      <c r="BH255" s="200" t="str">
        <f>IFERROR(VLOOKUP(TableHandbook[[#This Row],[UDC]],TableSTRUPSCIM[],7,FALSE),"")</f>
        <v/>
      </c>
      <c r="BI255" s="200" t="str">
        <f>IFERROR(VLOOKUP(TableHandbook[[#This Row],[UDC]],TableSTRUPSYCB[],7,FALSE),"")</f>
        <v/>
      </c>
      <c r="BJ255" s="200" t="str">
        <f>IFERROR(VLOOKUP(TableHandbook[[#This Row],[UDC]],TableSTRUPSYCM[],7,FALSE),"")</f>
        <v/>
      </c>
      <c r="BK255" s="200" t="str">
        <f>IFERROR(VLOOKUP(TableHandbook[[#This Row],[UDC]],TableSTRUSOSCM[],7,FALSE),"")</f>
        <v/>
      </c>
      <c r="BL255" s="200" t="str">
        <f>IFERROR(VLOOKUP(TableHandbook[[#This Row],[UDC]],TableSTRUVARTB[],7,FALSE),"")</f>
        <v/>
      </c>
      <c r="BM255" s="200" t="str">
        <f>IFERROR(VLOOKUP(TableHandbook[[#This Row],[UDC]],TableSTRUVARTM[],7,FALSE),"")</f>
        <v/>
      </c>
    </row>
    <row r="256" spans="1:65" x14ac:dyDescent="0.25">
      <c r="A256" s="262" t="s">
        <v>197</v>
      </c>
      <c r="B256" s="12">
        <v>3</v>
      </c>
      <c r="C256" s="11"/>
      <c r="D256" s="11" t="s">
        <v>260</v>
      </c>
      <c r="E256" s="12">
        <v>150</v>
      </c>
      <c r="F256" s="131" t="s">
        <v>540</v>
      </c>
      <c r="G256" s="126" t="str">
        <f>IFERROR(IF(VLOOKUP(TableHandbook[[#This Row],[UDC]],TableAvailabilities[],2,FALSE)&gt;0,"Y",""),"")</f>
        <v/>
      </c>
      <c r="H256" s="127" t="str">
        <f>IFERROR(IF(VLOOKUP(TableHandbook[[#This Row],[UDC]],TableAvailabilities[],3,FALSE)&gt;0,"Y",""),"")</f>
        <v/>
      </c>
      <c r="I256" s="127" t="str">
        <f>IFERROR(IF(VLOOKUP(TableHandbook[[#This Row],[UDC]],TableAvailabilities[],4,FALSE)&gt;0,"Y",""),"")</f>
        <v/>
      </c>
      <c r="J256" s="128" t="str">
        <f>IFERROR(IF(VLOOKUP(TableHandbook[[#This Row],[UDC]],TableAvailabilities[],5,FALSE)&gt;0,"Y",""),"")</f>
        <v/>
      </c>
      <c r="K256" s="128" t="str">
        <f>IFERROR(IF(VLOOKUP(TableHandbook[[#This Row],[UDC]],TableAvailabilities[],6,FALSE)&gt;0,"Y",""),"")</f>
        <v/>
      </c>
      <c r="L256" s="127" t="str">
        <f>IFERROR(IF(VLOOKUP(TableHandbook[[#This Row],[UDC]],TableAvailabilities[],7,FALSE)&gt;0,"Y",""),"")</f>
        <v/>
      </c>
      <c r="M256" s="251"/>
      <c r="N256" s="200" t="str">
        <f>IFERROR(VLOOKUP(TableHandbook[[#This Row],[UDC]],TableBEDUC[],7,FALSE),"")</f>
        <v/>
      </c>
      <c r="O256" s="200" t="str">
        <f>IFERROR(VLOOKUP(TableHandbook[[#This Row],[UDC]],TableBEDEC[],7,FALSE),"")</f>
        <v/>
      </c>
      <c r="P256" s="200" t="str">
        <f>IFERROR(VLOOKUP(TableHandbook[[#This Row],[UDC]],TableBEDPR[],7,FALSE),"")</f>
        <v/>
      </c>
      <c r="Q256" s="200" t="str">
        <f>IFERROR(VLOOKUP(TableHandbook[[#This Row],[UDC]],TableSTRUCATHL[],7,FALSE),"")</f>
        <v/>
      </c>
      <c r="R256" s="200" t="str">
        <f>IFERROR(VLOOKUP(TableHandbook[[#This Row],[UDC]],TableSTRUENGLL[],7,FALSE),"")</f>
        <v/>
      </c>
      <c r="S256" s="200" t="str">
        <f>IFERROR(VLOOKUP(TableHandbook[[#This Row],[UDC]],TableSTRUINTBC[],7,FALSE),"")</f>
        <v/>
      </c>
      <c r="T256" s="200" t="str">
        <f>IFERROR(VLOOKUP(TableHandbook[[#This Row],[UDC]],TableSTRUISTEM[],7,FALSE),"")</f>
        <v/>
      </c>
      <c r="U256" s="200" t="str">
        <f>IFERROR(VLOOKUP(TableHandbook[[#This Row],[UDC]],TableSTRULITNU[],7,FALSE),"")</f>
        <v/>
      </c>
      <c r="V256" s="200" t="str">
        <f>IFERROR(VLOOKUP(TableHandbook[[#This Row],[UDC]],TableSTRUTECHS[],7,FALSE),"")</f>
        <v/>
      </c>
      <c r="W256" s="200" t="str">
        <f>IFERROR(VLOOKUP(TableHandbook[[#This Row],[UDC]],TableBEDSC[],7,FALSE),"")</f>
        <v/>
      </c>
      <c r="X256" s="200" t="str">
        <f>IFERROR(VLOOKUP(TableHandbook[[#This Row],[UDC]],TableMJRUARTDR[],7,FALSE),"")</f>
        <v>Option</v>
      </c>
      <c r="Y256" s="200" t="str">
        <f>IFERROR(VLOOKUP(TableHandbook[[#This Row],[UDC]],TableMJRUARTME[],7,FALSE),"")</f>
        <v>Option</v>
      </c>
      <c r="Z256" s="200" t="str">
        <f>IFERROR(VLOOKUP(TableHandbook[[#This Row],[UDC]],TableMJRUARTVA[],7,FALSE),"")</f>
        <v>Option</v>
      </c>
      <c r="AA256" s="200" t="str">
        <f>IFERROR(VLOOKUP(TableHandbook[[#This Row],[UDC]],TableMJRUENGLT[],7,FALSE),"")</f>
        <v/>
      </c>
      <c r="AB256" s="200" t="str">
        <f>IFERROR(VLOOKUP(TableHandbook[[#This Row],[UDC]],TableMJRUHLTPE[],7,FALSE),"")</f>
        <v/>
      </c>
      <c r="AC256" s="200" t="str">
        <f>IFERROR(VLOOKUP(TableHandbook[[#This Row],[UDC]],TableMJRUHUSEC[],7,FALSE),"")</f>
        <v>Option</v>
      </c>
      <c r="AD256" s="200" t="str">
        <f>IFERROR(VLOOKUP(TableHandbook[[#This Row],[UDC]],TableMJRUHUSGE[],7,FALSE),"")</f>
        <v>Option</v>
      </c>
      <c r="AE256" s="200" t="str">
        <f>IFERROR(VLOOKUP(TableHandbook[[#This Row],[UDC]],TableMJRUHUSHI[],7,FALSE),"")</f>
        <v>Option</v>
      </c>
      <c r="AF256" s="200" t="str">
        <f>IFERROR(VLOOKUP(TableHandbook[[#This Row],[UDC]],TableMJRUHUSPL[],7,FALSE),"")</f>
        <v>Option</v>
      </c>
      <c r="AG256" s="200" t="str">
        <f>IFERROR(VLOOKUP(TableHandbook[[#This Row],[UDC]],TableMJRUMATHT[],7,FALSE),"")</f>
        <v>Option</v>
      </c>
      <c r="AH256" s="200" t="str">
        <f>IFERROR(VLOOKUP(TableHandbook[[#This Row],[UDC]],TableMJRUSCIBI[],7,FALSE),"")</f>
        <v>Option</v>
      </c>
      <c r="AI256" s="200" t="str">
        <f>IFERROR(VLOOKUP(TableHandbook[[#This Row],[UDC]],TableMJRUSCICH[],7,FALSE),"")</f>
        <v>Option</v>
      </c>
      <c r="AJ256" s="200" t="str">
        <f>IFERROR(VLOOKUP(TableHandbook[[#This Row],[UDC]],TableMJRUSCIHB[],7,FALSE),"")</f>
        <v>Option</v>
      </c>
      <c r="AK256" s="200" t="str">
        <f>IFERROR(VLOOKUP(TableHandbook[[#This Row],[UDC]],TableMJRUSCIPH[],7,FALSE),"")</f>
        <v/>
      </c>
      <c r="AL256" s="200" t="str">
        <f>IFERROR(VLOOKUP(TableHandbook[[#This Row],[UDC]],TableMJRUSCIPS[],7,FALSE),"")</f>
        <v>Option</v>
      </c>
      <c r="AM256" s="202"/>
      <c r="AN256" s="200" t="str">
        <f>IFERROR(VLOOKUP(TableHandbook[[#This Row],[UDC]],TableSTRUBIOLB[],7,FALSE),"")</f>
        <v/>
      </c>
      <c r="AO256" s="200" t="str">
        <f>IFERROR(VLOOKUP(TableHandbook[[#This Row],[UDC]],TableSTRUBSCIM[],7,FALSE),"")</f>
        <v/>
      </c>
      <c r="AP256" s="200" t="str">
        <f>IFERROR(VLOOKUP(TableHandbook[[#This Row],[UDC]],TableSTRUCHEMB[],7,FALSE),"")</f>
        <v/>
      </c>
      <c r="AQ256" s="200" t="str">
        <f>IFERROR(VLOOKUP(TableHandbook[[#This Row],[UDC]],TableSTRUECOB1[],7,FALSE),"")</f>
        <v/>
      </c>
      <c r="AR256" s="200" t="str">
        <f>IFERROR(VLOOKUP(TableHandbook[[#This Row],[UDC]],TableSTRUEDART[],7,FALSE),"")</f>
        <v/>
      </c>
      <c r="AS256" s="200" t="str">
        <f>IFERROR(VLOOKUP(TableHandbook[[#This Row],[UDC]],TableSTRUEDENG[],7,FALSE),"")</f>
        <v/>
      </c>
      <c r="AT256" s="200" t="str">
        <f>IFERROR(VLOOKUP(TableHandbook[[#This Row],[UDC]],TableSTRUEDHAS[],7,FALSE),"")</f>
        <v/>
      </c>
      <c r="AU256" s="200" t="str">
        <f>IFERROR(VLOOKUP(TableHandbook[[#This Row],[UDC]],TableSTRUEDMAT[],7,FALSE),"")</f>
        <v/>
      </c>
      <c r="AV256" s="200" t="str">
        <f>IFERROR(VLOOKUP(TableHandbook[[#This Row],[UDC]],TableSTRUEDSCI[],7,FALSE),"")</f>
        <v/>
      </c>
      <c r="AW256" s="200" t="str">
        <f>IFERROR(VLOOKUP(TableHandbook[[#This Row],[UDC]],TableSTRUENGLB[],7,FALSE),"")</f>
        <v/>
      </c>
      <c r="AX256" s="200" t="str">
        <f>IFERROR(VLOOKUP(TableHandbook[[#This Row],[UDC]],TableSTRUENGLM[],7,FALSE),"")</f>
        <v/>
      </c>
      <c r="AY256" s="200" t="str">
        <f>IFERROR(VLOOKUP(TableHandbook[[#This Row],[UDC]],TableSTRUGEOB1[],7,FALSE),"")</f>
        <v/>
      </c>
      <c r="AZ256" s="200" t="str">
        <f>IFERROR(VLOOKUP(TableHandbook[[#This Row],[UDC]],TableSTRUHISB1[],7,FALSE),"")</f>
        <v/>
      </c>
      <c r="BA256" s="200" t="str">
        <f>IFERROR(VLOOKUP(TableHandbook[[#This Row],[UDC]],TableSTRUHUMAM[],7,FALSE),"")</f>
        <v/>
      </c>
      <c r="BB256" s="200" t="str">
        <f>IFERROR(VLOOKUP(TableHandbook[[#This Row],[UDC]],TableSTRUHUMBB[],7,FALSE),"")</f>
        <v/>
      </c>
      <c r="BC256" s="200" t="str">
        <f>IFERROR(VLOOKUP(TableHandbook[[#This Row],[UDC]],TableSTRUMATHB[],7,FALSE),"")</f>
        <v/>
      </c>
      <c r="BD256" s="200" t="str">
        <f>IFERROR(VLOOKUP(TableHandbook[[#This Row],[UDC]],TableSTRUMATHM[],7,FALSE),"")</f>
        <v/>
      </c>
      <c r="BE256" s="200" t="str">
        <f>IFERROR(VLOOKUP(TableHandbook[[#This Row],[UDC]],TableSTRUPARTB[],7,FALSE),"")</f>
        <v/>
      </c>
      <c r="BF256" s="200" t="str">
        <f>IFERROR(VLOOKUP(TableHandbook[[#This Row],[UDC]],TableSTRUPARTM[],7,FALSE),"")</f>
        <v/>
      </c>
      <c r="BG256" s="200" t="str">
        <f>IFERROR(VLOOKUP(TableHandbook[[#This Row],[UDC]],TableSTRUPOLB1[],7,FALSE),"")</f>
        <v/>
      </c>
      <c r="BH256" s="200" t="str">
        <f>IFERROR(VLOOKUP(TableHandbook[[#This Row],[UDC]],TableSTRUPSCIM[],7,FALSE),"")</f>
        <v/>
      </c>
      <c r="BI256" s="200" t="str">
        <f>IFERROR(VLOOKUP(TableHandbook[[#This Row],[UDC]],TableSTRUPSYCB[],7,FALSE),"")</f>
        <v/>
      </c>
      <c r="BJ256" s="200" t="str">
        <f>IFERROR(VLOOKUP(TableHandbook[[#This Row],[UDC]],TableSTRUPSYCM[],7,FALSE),"")</f>
        <v/>
      </c>
      <c r="BK256" s="200" t="str">
        <f>IFERROR(VLOOKUP(TableHandbook[[#This Row],[UDC]],TableSTRUSOSCM[],7,FALSE),"")</f>
        <v/>
      </c>
      <c r="BL256" s="200" t="str">
        <f>IFERROR(VLOOKUP(TableHandbook[[#This Row],[UDC]],TableSTRUVARTB[],7,FALSE),"")</f>
        <v/>
      </c>
      <c r="BM256" s="200" t="str">
        <f>IFERROR(VLOOKUP(TableHandbook[[#This Row],[UDC]],TableSTRUVARTM[],7,FALSE),"")</f>
        <v/>
      </c>
    </row>
    <row r="257" spans="1:65" x14ac:dyDescent="0.25">
      <c r="A257" s="262" t="s">
        <v>263</v>
      </c>
      <c r="B257" s="12">
        <v>1</v>
      </c>
      <c r="C257" s="11"/>
      <c r="D257" s="11" t="s">
        <v>262</v>
      </c>
      <c r="E257" s="12">
        <v>150</v>
      </c>
      <c r="F257" s="131" t="s">
        <v>540</v>
      </c>
      <c r="G257" s="126" t="str">
        <f>IFERROR(IF(VLOOKUP(TableHandbook[[#This Row],[UDC]],TableAvailabilities[],2,FALSE)&gt;0,"Y",""),"")</f>
        <v/>
      </c>
      <c r="H257" s="127" t="str">
        <f>IFERROR(IF(VLOOKUP(TableHandbook[[#This Row],[UDC]],TableAvailabilities[],3,FALSE)&gt;0,"Y",""),"")</f>
        <v/>
      </c>
      <c r="I257" s="127" t="str">
        <f>IFERROR(IF(VLOOKUP(TableHandbook[[#This Row],[UDC]],TableAvailabilities[],4,FALSE)&gt;0,"Y",""),"")</f>
        <v/>
      </c>
      <c r="J257" s="128" t="str">
        <f>IFERROR(IF(VLOOKUP(TableHandbook[[#This Row],[UDC]],TableAvailabilities[],5,FALSE)&gt;0,"Y",""),"")</f>
        <v/>
      </c>
      <c r="K257" s="128" t="str">
        <f>IFERROR(IF(VLOOKUP(TableHandbook[[#This Row],[UDC]],TableAvailabilities[],6,FALSE)&gt;0,"Y",""),"")</f>
        <v/>
      </c>
      <c r="L257" s="127" t="str">
        <f>IFERROR(IF(VLOOKUP(TableHandbook[[#This Row],[UDC]],TableAvailabilities[],7,FALSE)&gt;0,"Y",""),"")</f>
        <v/>
      </c>
      <c r="M257" s="251"/>
      <c r="N257" s="200" t="str">
        <f>IFERROR(VLOOKUP(TableHandbook[[#This Row],[UDC]],TableBEDUC[],7,FALSE),"")</f>
        <v/>
      </c>
      <c r="O257" s="200" t="str">
        <f>IFERROR(VLOOKUP(TableHandbook[[#This Row],[UDC]],TableBEDEC[],7,FALSE),"")</f>
        <v/>
      </c>
      <c r="P257" s="200" t="str">
        <f>IFERROR(VLOOKUP(TableHandbook[[#This Row],[UDC]],TableBEDPR[],7,FALSE),"")</f>
        <v/>
      </c>
      <c r="Q257" s="200" t="str">
        <f>IFERROR(VLOOKUP(TableHandbook[[#This Row],[UDC]],TableSTRUCATHL[],7,FALSE),"")</f>
        <v/>
      </c>
      <c r="R257" s="200" t="str">
        <f>IFERROR(VLOOKUP(TableHandbook[[#This Row],[UDC]],TableSTRUENGLL[],7,FALSE),"")</f>
        <v/>
      </c>
      <c r="S257" s="200" t="str">
        <f>IFERROR(VLOOKUP(TableHandbook[[#This Row],[UDC]],TableSTRUINTBC[],7,FALSE),"")</f>
        <v/>
      </c>
      <c r="T257" s="200" t="str">
        <f>IFERROR(VLOOKUP(TableHandbook[[#This Row],[UDC]],TableSTRUISTEM[],7,FALSE),"")</f>
        <v/>
      </c>
      <c r="U257" s="200" t="str">
        <f>IFERROR(VLOOKUP(TableHandbook[[#This Row],[UDC]],TableSTRULITNU[],7,FALSE),"")</f>
        <v/>
      </c>
      <c r="V257" s="200" t="str">
        <f>IFERROR(VLOOKUP(TableHandbook[[#This Row],[UDC]],TableSTRUTECHS[],7,FALSE),"")</f>
        <v/>
      </c>
      <c r="W257" s="200" t="str">
        <f>IFERROR(VLOOKUP(TableHandbook[[#This Row],[UDC]],TableBEDSC[],7,FALSE),"")</f>
        <v/>
      </c>
      <c r="X257" s="200" t="str">
        <f>IFERROR(VLOOKUP(TableHandbook[[#This Row],[UDC]],TableMJRUARTDR[],7,FALSE),"")</f>
        <v/>
      </c>
      <c r="Y257" s="200" t="str">
        <f>IFERROR(VLOOKUP(TableHandbook[[#This Row],[UDC]],TableMJRUARTME[],7,FALSE),"")</f>
        <v/>
      </c>
      <c r="Z257" s="200" t="str">
        <f>IFERROR(VLOOKUP(TableHandbook[[#This Row],[UDC]],TableMJRUARTVA[],7,FALSE),"")</f>
        <v/>
      </c>
      <c r="AA257" s="200" t="str">
        <f>IFERROR(VLOOKUP(TableHandbook[[#This Row],[UDC]],TableMJRUENGLT[],7,FALSE),"")</f>
        <v/>
      </c>
      <c r="AB257" s="200" t="str">
        <f>IFERROR(VLOOKUP(TableHandbook[[#This Row],[UDC]],TableMJRUHLTPE[],7,FALSE),"")</f>
        <v/>
      </c>
      <c r="AC257" s="200" t="str">
        <f>IFERROR(VLOOKUP(TableHandbook[[#This Row],[UDC]],TableMJRUHUSEC[],7,FALSE),"")</f>
        <v/>
      </c>
      <c r="AD257" s="200" t="str">
        <f>IFERROR(VLOOKUP(TableHandbook[[#This Row],[UDC]],TableMJRUHUSGE[],7,FALSE),"")</f>
        <v>Option</v>
      </c>
      <c r="AE257" s="200" t="str">
        <f>IFERROR(VLOOKUP(TableHandbook[[#This Row],[UDC]],TableMJRUHUSHI[],7,FALSE),"")</f>
        <v/>
      </c>
      <c r="AF257" s="200" t="str">
        <f>IFERROR(VLOOKUP(TableHandbook[[#This Row],[UDC]],TableMJRUHUSPL[],7,FALSE),"")</f>
        <v/>
      </c>
      <c r="AG257" s="200" t="str">
        <f>IFERROR(VLOOKUP(TableHandbook[[#This Row],[UDC]],TableMJRUMATHT[],7,FALSE),"")</f>
        <v/>
      </c>
      <c r="AH257" s="200" t="str">
        <f>IFERROR(VLOOKUP(TableHandbook[[#This Row],[UDC]],TableMJRUSCIBI[],7,FALSE),"")</f>
        <v/>
      </c>
      <c r="AI257" s="200" t="str">
        <f>IFERROR(VLOOKUP(TableHandbook[[#This Row],[UDC]],TableMJRUSCICH[],7,FALSE),"")</f>
        <v/>
      </c>
      <c r="AJ257" s="200" t="str">
        <f>IFERROR(VLOOKUP(TableHandbook[[#This Row],[UDC]],TableMJRUSCIHB[],7,FALSE),"")</f>
        <v/>
      </c>
      <c r="AK257" s="200" t="str">
        <f>IFERROR(VLOOKUP(TableHandbook[[#This Row],[UDC]],TableMJRUSCIPH[],7,FALSE),"")</f>
        <v/>
      </c>
      <c r="AL257" s="200" t="str">
        <f>IFERROR(VLOOKUP(TableHandbook[[#This Row],[UDC]],TableMJRUSCIPS[],7,FALSE),"")</f>
        <v/>
      </c>
      <c r="AM257" s="202"/>
      <c r="AN257" s="200" t="str">
        <f>IFERROR(VLOOKUP(TableHandbook[[#This Row],[UDC]],TableSTRUBIOLB[],7,FALSE),"")</f>
        <v/>
      </c>
      <c r="AO257" s="200" t="str">
        <f>IFERROR(VLOOKUP(TableHandbook[[#This Row],[UDC]],TableSTRUBSCIM[],7,FALSE),"")</f>
        <v/>
      </c>
      <c r="AP257" s="200" t="str">
        <f>IFERROR(VLOOKUP(TableHandbook[[#This Row],[UDC]],TableSTRUCHEMB[],7,FALSE),"")</f>
        <v/>
      </c>
      <c r="AQ257" s="200" t="str">
        <f>IFERROR(VLOOKUP(TableHandbook[[#This Row],[UDC]],TableSTRUECOB1[],7,FALSE),"")</f>
        <v/>
      </c>
      <c r="AR257" s="200" t="str">
        <f>IFERROR(VLOOKUP(TableHandbook[[#This Row],[UDC]],TableSTRUEDART[],7,FALSE),"")</f>
        <v/>
      </c>
      <c r="AS257" s="200" t="str">
        <f>IFERROR(VLOOKUP(TableHandbook[[#This Row],[UDC]],TableSTRUEDENG[],7,FALSE),"")</f>
        <v/>
      </c>
      <c r="AT257" s="200" t="str">
        <f>IFERROR(VLOOKUP(TableHandbook[[#This Row],[UDC]],TableSTRUEDHAS[],7,FALSE),"")</f>
        <v/>
      </c>
      <c r="AU257" s="200" t="str">
        <f>IFERROR(VLOOKUP(TableHandbook[[#This Row],[UDC]],TableSTRUEDMAT[],7,FALSE),"")</f>
        <v/>
      </c>
      <c r="AV257" s="200" t="str">
        <f>IFERROR(VLOOKUP(TableHandbook[[#This Row],[UDC]],TableSTRUEDSCI[],7,FALSE),"")</f>
        <v/>
      </c>
      <c r="AW257" s="200" t="str">
        <f>IFERROR(VLOOKUP(TableHandbook[[#This Row],[UDC]],TableSTRUENGLB[],7,FALSE),"")</f>
        <v/>
      </c>
      <c r="AX257" s="200" t="str">
        <f>IFERROR(VLOOKUP(TableHandbook[[#This Row],[UDC]],TableSTRUENGLM[],7,FALSE),"")</f>
        <v/>
      </c>
      <c r="AY257" s="200" t="str">
        <f>IFERROR(VLOOKUP(TableHandbook[[#This Row],[UDC]],TableSTRUGEOB1[],7,FALSE),"")</f>
        <v/>
      </c>
      <c r="AZ257" s="200" t="str">
        <f>IFERROR(VLOOKUP(TableHandbook[[#This Row],[UDC]],TableSTRUHISB1[],7,FALSE),"")</f>
        <v/>
      </c>
      <c r="BA257" s="200" t="str">
        <f>IFERROR(VLOOKUP(TableHandbook[[#This Row],[UDC]],TableSTRUHUMAM[],7,FALSE),"")</f>
        <v/>
      </c>
      <c r="BB257" s="200" t="str">
        <f>IFERROR(VLOOKUP(TableHandbook[[#This Row],[UDC]],TableSTRUHUMBB[],7,FALSE),"")</f>
        <v/>
      </c>
      <c r="BC257" s="200" t="str">
        <f>IFERROR(VLOOKUP(TableHandbook[[#This Row],[UDC]],TableSTRUMATHB[],7,FALSE),"")</f>
        <v/>
      </c>
      <c r="BD257" s="200" t="str">
        <f>IFERROR(VLOOKUP(TableHandbook[[#This Row],[UDC]],TableSTRUMATHM[],7,FALSE),"")</f>
        <v/>
      </c>
      <c r="BE257" s="200" t="str">
        <f>IFERROR(VLOOKUP(TableHandbook[[#This Row],[UDC]],TableSTRUPARTB[],7,FALSE),"")</f>
        <v/>
      </c>
      <c r="BF257" s="200" t="str">
        <f>IFERROR(VLOOKUP(TableHandbook[[#This Row],[UDC]],TableSTRUPARTM[],7,FALSE),"")</f>
        <v/>
      </c>
      <c r="BG257" s="200" t="str">
        <f>IFERROR(VLOOKUP(TableHandbook[[#This Row],[UDC]],TableSTRUPOLB1[],7,FALSE),"")</f>
        <v/>
      </c>
      <c r="BH257" s="200" t="str">
        <f>IFERROR(VLOOKUP(TableHandbook[[#This Row],[UDC]],TableSTRUPSCIM[],7,FALSE),"")</f>
        <v/>
      </c>
      <c r="BI257" s="200" t="str">
        <f>IFERROR(VLOOKUP(TableHandbook[[#This Row],[UDC]],TableSTRUPSYCB[],7,FALSE),"")</f>
        <v/>
      </c>
      <c r="BJ257" s="200" t="str">
        <f>IFERROR(VLOOKUP(TableHandbook[[#This Row],[UDC]],TableSTRUPSYCM[],7,FALSE),"")</f>
        <v/>
      </c>
      <c r="BK257" s="200" t="str">
        <f>IFERROR(VLOOKUP(TableHandbook[[#This Row],[UDC]],TableSTRUSOSCM[],7,FALSE),"")</f>
        <v/>
      </c>
      <c r="BL257" s="200" t="str">
        <f>IFERROR(VLOOKUP(TableHandbook[[#This Row],[UDC]],TableSTRUVARTB[],7,FALSE),"")</f>
        <v/>
      </c>
      <c r="BM257" s="200" t="str">
        <f>IFERROR(VLOOKUP(TableHandbook[[#This Row],[UDC]],TableSTRUVARTM[],7,FALSE),"")</f>
        <v/>
      </c>
    </row>
    <row r="258" spans="1:65" x14ac:dyDescent="0.25">
      <c r="A258" s="262" t="s">
        <v>265</v>
      </c>
      <c r="B258" s="12">
        <v>1</v>
      </c>
      <c r="C258" s="11"/>
      <c r="D258" s="11" t="s">
        <v>264</v>
      </c>
      <c r="E258" s="12">
        <v>150</v>
      </c>
      <c r="F258" s="131" t="s">
        <v>540</v>
      </c>
      <c r="G258" s="126" t="str">
        <f>IFERROR(IF(VLOOKUP(TableHandbook[[#This Row],[UDC]],TableAvailabilities[],2,FALSE)&gt;0,"Y",""),"")</f>
        <v/>
      </c>
      <c r="H258" s="127" t="str">
        <f>IFERROR(IF(VLOOKUP(TableHandbook[[#This Row],[UDC]],TableAvailabilities[],3,FALSE)&gt;0,"Y",""),"")</f>
        <v/>
      </c>
      <c r="I258" s="127" t="str">
        <f>IFERROR(IF(VLOOKUP(TableHandbook[[#This Row],[UDC]],TableAvailabilities[],4,FALSE)&gt;0,"Y",""),"")</f>
        <v/>
      </c>
      <c r="J258" s="128" t="str">
        <f>IFERROR(IF(VLOOKUP(TableHandbook[[#This Row],[UDC]],TableAvailabilities[],5,FALSE)&gt;0,"Y",""),"")</f>
        <v/>
      </c>
      <c r="K258" s="128" t="str">
        <f>IFERROR(IF(VLOOKUP(TableHandbook[[#This Row],[UDC]],TableAvailabilities[],6,FALSE)&gt;0,"Y",""),"")</f>
        <v/>
      </c>
      <c r="L258" s="127" t="str">
        <f>IFERROR(IF(VLOOKUP(TableHandbook[[#This Row],[UDC]],TableAvailabilities[],7,FALSE)&gt;0,"Y",""),"")</f>
        <v/>
      </c>
      <c r="M258" s="251"/>
      <c r="N258" s="200" t="str">
        <f>IFERROR(VLOOKUP(TableHandbook[[#This Row],[UDC]],TableBEDUC[],7,FALSE),"")</f>
        <v/>
      </c>
      <c r="O258" s="200" t="str">
        <f>IFERROR(VLOOKUP(TableHandbook[[#This Row],[UDC]],TableBEDEC[],7,FALSE),"")</f>
        <v/>
      </c>
      <c r="P258" s="200" t="str">
        <f>IFERROR(VLOOKUP(TableHandbook[[#This Row],[UDC]],TableBEDPR[],7,FALSE),"")</f>
        <v/>
      </c>
      <c r="Q258" s="200" t="str">
        <f>IFERROR(VLOOKUP(TableHandbook[[#This Row],[UDC]],TableSTRUCATHL[],7,FALSE),"")</f>
        <v/>
      </c>
      <c r="R258" s="200" t="str">
        <f>IFERROR(VLOOKUP(TableHandbook[[#This Row],[UDC]],TableSTRUENGLL[],7,FALSE),"")</f>
        <v/>
      </c>
      <c r="S258" s="200" t="str">
        <f>IFERROR(VLOOKUP(TableHandbook[[#This Row],[UDC]],TableSTRUINTBC[],7,FALSE),"")</f>
        <v/>
      </c>
      <c r="T258" s="200" t="str">
        <f>IFERROR(VLOOKUP(TableHandbook[[#This Row],[UDC]],TableSTRUISTEM[],7,FALSE),"")</f>
        <v/>
      </c>
      <c r="U258" s="200" t="str">
        <f>IFERROR(VLOOKUP(TableHandbook[[#This Row],[UDC]],TableSTRULITNU[],7,FALSE),"")</f>
        <v/>
      </c>
      <c r="V258" s="200" t="str">
        <f>IFERROR(VLOOKUP(TableHandbook[[#This Row],[UDC]],TableSTRUTECHS[],7,FALSE),"")</f>
        <v/>
      </c>
      <c r="W258" s="200" t="str">
        <f>IFERROR(VLOOKUP(TableHandbook[[#This Row],[UDC]],TableBEDSC[],7,FALSE),"")</f>
        <v/>
      </c>
      <c r="X258" s="200" t="str">
        <f>IFERROR(VLOOKUP(TableHandbook[[#This Row],[UDC]],TableMJRUARTDR[],7,FALSE),"")</f>
        <v/>
      </c>
      <c r="Y258" s="200" t="str">
        <f>IFERROR(VLOOKUP(TableHandbook[[#This Row],[UDC]],TableMJRUARTME[],7,FALSE),"")</f>
        <v/>
      </c>
      <c r="Z258" s="200" t="str">
        <f>IFERROR(VLOOKUP(TableHandbook[[#This Row],[UDC]],TableMJRUARTVA[],7,FALSE),"")</f>
        <v/>
      </c>
      <c r="AA258" s="200" t="str">
        <f>IFERROR(VLOOKUP(TableHandbook[[#This Row],[UDC]],TableMJRUENGLT[],7,FALSE),"")</f>
        <v/>
      </c>
      <c r="AB258" s="200" t="str">
        <f>IFERROR(VLOOKUP(TableHandbook[[#This Row],[UDC]],TableMJRUHLTPE[],7,FALSE),"")</f>
        <v/>
      </c>
      <c r="AC258" s="200" t="str">
        <f>IFERROR(VLOOKUP(TableHandbook[[#This Row],[UDC]],TableMJRUHUSEC[],7,FALSE),"")</f>
        <v/>
      </c>
      <c r="AD258" s="200" t="str">
        <f>IFERROR(VLOOKUP(TableHandbook[[#This Row],[UDC]],TableMJRUHUSGE[],7,FALSE),"")</f>
        <v/>
      </c>
      <c r="AE258" s="200" t="str">
        <f>IFERROR(VLOOKUP(TableHandbook[[#This Row],[UDC]],TableMJRUHUSHI[],7,FALSE),"")</f>
        <v>Option</v>
      </c>
      <c r="AF258" s="200" t="str">
        <f>IFERROR(VLOOKUP(TableHandbook[[#This Row],[UDC]],TableMJRUHUSPL[],7,FALSE),"")</f>
        <v/>
      </c>
      <c r="AG258" s="200" t="str">
        <f>IFERROR(VLOOKUP(TableHandbook[[#This Row],[UDC]],TableMJRUMATHT[],7,FALSE),"")</f>
        <v/>
      </c>
      <c r="AH258" s="200" t="str">
        <f>IFERROR(VLOOKUP(TableHandbook[[#This Row],[UDC]],TableMJRUSCIBI[],7,FALSE),"")</f>
        <v/>
      </c>
      <c r="AI258" s="200" t="str">
        <f>IFERROR(VLOOKUP(TableHandbook[[#This Row],[UDC]],TableMJRUSCICH[],7,FALSE),"")</f>
        <v/>
      </c>
      <c r="AJ258" s="200" t="str">
        <f>IFERROR(VLOOKUP(TableHandbook[[#This Row],[UDC]],TableMJRUSCIHB[],7,FALSE),"")</f>
        <v/>
      </c>
      <c r="AK258" s="200" t="str">
        <f>IFERROR(VLOOKUP(TableHandbook[[#This Row],[UDC]],TableMJRUSCIPH[],7,FALSE),"")</f>
        <v/>
      </c>
      <c r="AL258" s="200" t="str">
        <f>IFERROR(VLOOKUP(TableHandbook[[#This Row],[UDC]],TableMJRUSCIPS[],7,FALSE),"")</f>
        <v/>
      </c>
      <c r="AM258" s="202"/>
      <c r="AN258" s="200" t="str">
        <f>IFERROR(VLOOKUP(TableHandbook[[#This Row],[UDC]],TableSTRUBIOLB[],7,FALSE),"")</f>
        <v/>
      </c>
      <c r="AO258" s="200" t="str">
        <f>IFERROR(VLOOKUP(TableHandbook[[#This Row],[UDC]],TableSTRUBSCIM[],7,FALSE),"")</f>
        <v/>
      </c>
      <c r="AP258" s="200" t="str">
        <f>IFERROR(VLOOKUP(TableHandbook[[#This Row],[UDC]],TableSTRUCHEMB[],7,FALSE),"")</f>
        <v/>
      </c>
      <c r="AQ258" s="200" t="str">
        <f>IFERROR(VLOOKUP(TableHandbook[[#This Row],[UDC]],TableSTRUECOB1[],7,FALSE),"")</f>
        <v/>
      </c>
      <c r="AR258" s="200" t="str">
        <f>IFERROR(VLOOKUP(TableHandbook[[#This Row],[UDC]],TableSTRUEDART[],7,FALSE),"")</f>
        <v/>
      </c>
      <c r="AS258" s="200" t="str">
        <f>IFERROR(VLOOKUP(TableHandbook[[#This Row],[UDC]],TableSTRUEDENG[],7,FALSE),"")</f>
        <v/>
      </c>
      <c r="AT258" s="200" t="str">
        <f>IFERROR(VLOOKUP(TableHandbook[[#This Row],[UDC]],TableSTRUEDHAS[],7,FALSE),"")</f>
        <v/>
      </c>
      <c r="AU258" s="200" t="str">
        <f>IFERROR(VLOOKUP(TableHandbook[[#This Row],[UDC]],TableSTRUEDMAT[],7,FALSE),"")</f>
        <v/>
      </c>
      <c r="AV258" s="200" t="str">
        <f>IFERROR(VLOOKUP(TableHandbook[[#This Row],[UDC]],TableSTRUEDSCI[],7,FALSE),"")</f>
        <v/>
      </c>
      <c r="AW258" s="200" t="str">
        <f>IFERROR(VLOOKUP(TableHandbook[[#This Row],[UDC]],TableSTRUENGLB[],7,FALSE),"")</f>
        <v/>
      </c>
      <c r="AX258" s="200" t="str">
        <f>IFERROR(VLOOKUP(TableHandbook[[#This Row],[UDC]],TableSTRUENGLM[],7,FALSE),"")</f>
        <v/>
      </c>
      <c r="AY258" s="200" t="str">
        <f>IFERROR(VLOOKUP(TableHandbook[[#This Row],[UDC]],TableSTRUGEOB1[],7,FALSE),"")</f>
        <v/>
      </c>
      <c r="AZ258" s="200" t="str">
        <f>IFERROR(VLOOKUP(TableHandbook[[#This Row],[UDC]],TableSTRUHISB1[],7,FALSE),"")</f>
        <v/>
      </c>
      <c r="BA258" s="200" t="str">
        <f>IFERROR(VLOOKUP(TableHandbook[[#This Row],[UDC]],TableSTRUHUMAM[],7,FALSE),"")</f>
        <v/>
      </c>
      <c r="BB258" s="200" t="str">
        <f>IFERROR(VLOOKUP(TableHandbook[[#This Row],[UDC]],TableSTRUHUMBB[],7,FALSE),"")</f>
        <v/>
      </c>
      <c r="BC258" s="200" t="str">
        <f>IFERROR(VLOOKUP(TableHandbook[[#This Row],[UDC]],TableSTRUMATHB[],7,FALSE),"")</f>
        <v/>
      </c>
      <c r="BD258" s="200" t="str">
        <f>IFERROR(VLOOKUP(TableHandbook[[#This Row],[UDC]],TableSTRUMATHM[],7,FALSE),"")</f>
        <v/>
      </c>
      <c r="BE258" s="200" t="str">
        <f>IFERROR(VLOOKUP(TableHandbook[[#This Row],[UDC]],TableSTRUPARTB[],7,FALSE),"")</f>
        <v/>
      </c>
      <c r="BF258" s="200" t="str">
        <f>IFERROR(VLOOKUP(TableHandbook[[#This Row],[UDC]],TableSTRUPARTM[],7,FALSE),"")</f>
        <v/>
      </c>
      <c r="BG258" s="200" t="str">
        <f>IFERROR(VLOOKUP(TableHandbook[[#This Row],[UDC]],TableSTRUPOLB1[],7,FALSE),"")</f>
        <v/>
      </c>
      <c r="BH258" s="200" t="str">
        <f>IFERROR(VLOOKUP(TableHandbook[[#This Row],[UDC]],TableSTRUPSCIM[],7,FALSE),"")</f>
        <v/>
      </c>
      <c r="BI258" s="200" t="str">
        <f>IFERROR(VLOOKUP(TableHandbook[[#This Row],[UDC]],TableSTRUPSYCB[],7,FALSE),"")</f>
        <v/>
      </c>
      <c r="BJ258" s="200" t="str">
        <f>IFERROR(VLOOKUP(TableHandbook[[#This Row],[UDC]],TableSTRUPSYCM[],7,FALSE),"")</f>
        <v/>
      </c>
      <c r="BK258" s="200" t="str">
        <f>IFERROR(VLOOKUP(TableHandbook[[#This Row],[UDC]],TableSTRUSOSCM[],7,FALSE),"")</f>
        <v/>
      </c>
      <c r="BL258" s="200" t="str">
        <f>IFERROR(VLOOKUP(TableHandbook[[#This Row],[UDC]],TableSTRUVARTB[],7,FALSE),"")</f>
        <v/>
      </c>
      <c r="BM258" s="200" t="str">
        <f>IFERROR(VLOOKUP(TableHandbook[[#This Row],[UDC]],TableSTRUVARTM[],7,FALSE),"")</f>
        <v/>
      </c>
    </row>
    <row r="259" spans="1:65" x14ac:dyDescent="0.25">
      <c r="A259" s="262" t="s">
        <v>198</v>
      </c>
      <c r="B259" s="12">
        <v>2</v>
      </c>
      <c r="C259" s="11"/>
      <c r="D259" s="11" t="s">
        <v>297</v>
      </c>
      <c r="E259" s="12">
        <v>150</v>
      </c>
      <c r="F259" s="131" t="s">
        <v>540</v>
      </c>
      <c r="G259" s="126" t="str">
        <f>IFERROR(IF(VLOOKUP(TableHandbook[[#This Row],[UDC]],TableAvailabilities[],2,FALSE)&gt;0,"Y",""),"")</f>
        <v/>
      </c>
      <c r="H259" s="127" t="str">
        <f>IFERROR(IF(VLOOKUP(TableHandbook[[#This Row],[UDC]],TableAvailabilities[],3,FALSE)&gt;0,"Y",""),"")</f>
        <v/>
      </c>
      <c r="I259" s="127" t="str">
        <f>IFERROR(IF(VLOOKUP(TableHandbook[[#This Row],[UDC]],TableAvailabilities[],4,FALSE)&gt;0,"Y",""),"")</f>
        <v/>
      </c>
      <c r="J259" s="128" t="str">
        <f>IFERROR(IF(VLOOKUP(TableHandbook[[#This Row],[UDC]],TableAvailabilities[],5,FALSE)&gt;0,"Y",""),"")</f>
        <v/>
      </c>
      <c r="K259" s="128" t="str">
        <f>IFERROR(IF(VLOOKUP(TableHandbook[[#This Row],[UDC]],TableAvailabilities[],6,FALSE)&gt;0,"Y",""),"")</f>
        <v/>
      </c>
      <c r="L259" s="127" t="str">
        <f>IFERROR(IF(VLOOKUP(TableHandbook[[#This Row],[UDC]],TableAvailabilities[],7,FALSE)&gt;0,"Y",""),"")</f>
        <v/>
      </c>
      <c r="M259" s="251"/>
      <c r="N259" s="200" t="str">
        <f>IFERROR(VLOOKUP(TableHandbook[[#This Row],[UDC]],TableBEDUC[],7,FALSE),"")</f>
        <v/>
      </c>
      <c r="O259" s="200" t="str">
        <f>IFERROR(VLOOKUP(TableHandbook[[#This Row],[UDC]],TableBEDEC[],7,FALSE),"")</f>
        <v/>
      </c>
      <c r="P259" s="200" t="str">
        <f>IFERROR(VLOOKUP(TableHandbook[[#This Row],[UDC]],TableBEDPR[],7,FALSE),"")</f>
        <v/>
      </c>
      <c r="Q259" s="200" t="str">
        <f>IFERROR(VLOOKUP(TableHandbook[[#This Row],[UDC]],TableSTRUCATHL[],7,FALSE),"")</f>
        <v/>
      </c>
      <c r="R259" s="200" t="str">
        <f>IFERROR(VLOOKUP(TableHandbook[[#This Row],[UDC]],TableSTRUENGLL[],7,FALSE),"")</f>
        <v/>
      </c>
      <c r="S259" s="200" t="str">
        <f>IFERROR(VLOOKUP(TableHandbook[[#This Row],[UDC]],TableSTRUINTBC[],7,FALSE),"")</f>
        <v/>
      </c>
      <c r="T259" s="200" t="str">
        <f>IFERROR(VLOOKUP(TableHandbook[[#This Row],[UDC]],TableSTRUISTEM[],7,FALSE),"")</f>
        <v/>
      </c>
      <c r="U259" s="200" t="str">
        <f>IFERROR(VLOOKUP(TableHandbook[[#This Row],[UDC]],TableSTRULITNU[],7,FALSE),"")</f>
        <v/>
      </c>
      <c r="V259" s="200" t="str">
        <f>IFERROR(VLOOKUP(TableHandbook[[#This Row],[UDC]],TableSTRUTECHS[],7,FALSE),"")</f>
        <v/>
      </c>
      <c r="W259" s="200" t="str">
        <f>IFERROR(VLOOKUP(TableHandbook[[#This Row],[UDC]],TableBEDSC[],7,FALSE),"")</f>
        <v/>
      </c>
      <c r="X259" s="200" t="str">
        <f>IFERROR(VLOOKUP(TableHandbook[[#This Row],[UDC]],TableMJRUARTDR[],7,FALSE),"")</f>
        <v>Option</v>
      </c>
      <c r="Y259" s="200" t="str">
        <f>IFERROR(VLOOKUP(TableHandbook[[#This Row],[UDC]],TableMJRUARTME[],7,FALSE),"")</f>
        <v>Option</v>
      </c>
      <c r="Z259" s="200" t="str">
        <f>IFERROR(VLOOKUP(TableHandbook[[#This Row],[UDC]],TableMJRUARTVA[],7,FALSE),"")</f>
        <v>Option</v>
      </c>
      <c r="AA259" s="200" t="str">
        <f>IFERROR(VLOOKUP(TableHandbook[[#This Row],[UDC]],TableMJRUENGLT[],7,FALSE),"")</f>
        <v>Core</v>
      </c>
      <c r="AB259" s="200" t="str">
        <f>IFERROR(VLOOKUP(TableHandbook[[#This Row],[UDC]],TableMJRUHLTPE[],7,FALSE),"")</f>
        <v/>
      </c>
      <c r="AC259" s="200" t="str">
        <f>IFERROR(VLOOKUP(TableHandbook[[#This Row],[UDC]],TableMJRUHUSEC[],7,FALSE),"")</f>
        <v/>
      </c>
      <c r="AD259" s="200" t="str">
        <f>IFERROR(VLOOKUP(TableHandbook[[#This Row],[UDC]],TableMJRUHUSGE[],7,FALSE),"")</f>
        <v/>
      </c>
      <c r="AE259" s="200" t="str">
        <f>IFERROR(VLOOKUP(TableHandbook[[#This Row],[UDC]],TableMJRUHUSHI[],7,FALSE),"")</f>
        <v/>
      </c>
      <c r="AF259" s="200" t="str">
        <f>IFERROR(VLOOKUP(TableHandbook[[#This Row],[UDC]],TableMJRUHUSPL[],7,FALSE),"")</f>
        <v/>
      </c>
      <c r="AG259" s="200" t="str">
        <f>IFERROR(VLOOKUP(TableHandbook[[#This Row],[UDC]],TableMJRUMATHT[],7,FALSE),"")</f>
        <v>Option</v>
      </c>
      <c r="AH259" s="200" t="str">
        <f>IFERROR(VLOOKUP(TableHandbook[[#This Row],[UDC]],TableMJRUSCIBI[],7,FALSE),"")</f>
        <v>Option</v>
      </c>
      <c r="AI259" s="200" t="str">
        <f>IFERROR(VLOOKUP(TableHandbook[[#This Row],[UDC]],TableMJRUSCICH[],7,FALSE),"")</f>
        <v>Option</v>
      </c>
      <c r="AJ259" s="200" t="str">
        <f>IFERROR(VLOOKUP(TableHandbook[[#This Row],[UDC]],TableMJRUSCIHB[],7,FALSE),"")</f>
        <v>Option</v>
      </c>
      <c r="AK259" s="200" t="str">
        <f>IFERROR(VLOOKUP(TableHandbook[[#This Row],[UDC]],TableMJRUSCIPH[],7,FALSE),"")</f>
        <v/>
      </c>
      <c r="AL259" s="200" t="str">
        <f>IFERROR(VLOOKUP(TableHandbook[[#This Row],[UDC]],TableMJRUSCIPS[],7,FALSE),"")</f>
        <v>Option</v>
      </c>
      <c r="AM259" s="202"/>
      <c r="AN259" s="200" t="str">
        <f>IFERROR(VLOOKUP(TableHandbook[[#This Row],[UDC]],TableSTRUBIOLB[],7,FALSE),"")</f>
        <v/>
      </c>
      <c r="AO259" s="200" t="str">
        <f>IFERROR(VLOOKUP(TableHandbook[[#This Row],[UDC]],TableSTRUBSCIM[],7,FALSE),"")</f>
        <v/>
      </c>
      <c r="AP259" s="200" t="str">
        <f>IFERROR(VLOOKUP(TableHandbook[[#This Row],[UDC]],TableSTRUCHEMB[],7,FALSE),"")</f>
        <v/>
      </c>
      <c r="AQ259" s="200" t="str">
        <f>IFERROR(VLOOKUP(TableHandbook[[#This Row],[UDC]],TableSTRUECOB1[],7,FALSE),"")</f>
        <v/>
      </c>
      <c r="AR259" s="200" t="str">
        <f>IFERROR(VLOOKUP(TableHandbook[[#This Row],[UDC]],TableSTRUEDART[],7,FALSE),"")</f>
        <v/>
      </c>
      <c r="AS259" s="200" t="str">
        <f>IFERROR(VLOOKUP(TableHandbook[[#This Row],[UDC]],TableSTRUEDENG[],7,FALSE),"")</f>
        <v/>
      </c>
      <c r="AT259" s="200" t="str">
        <f>IFERROR(VLOOKUP(TableHandbook[[#This Row],[UDC]],TableSTRUEDHAS[],7,FALSE),"")</f>
        <v/>
      </c>
      <c r="AU259" s="200" t="str">
        <f>IFERROR(VLOOKUP(TableHandbook[[#This Row],[UDC]],TableSTRUEDMAT[],7,FALSE),"")</f>
        <v/>
      </c>
      <c r="AV259" s="200" t="str">
        <f>IFERROR(VLOOKUP(TableHandbook[[#This Row],[UDC]],TableSTRUEDSCI[],7,FALSE),"")</f>
        <v/>
      </c>
      <c r="AW259" s="200" t="str">
        <f>IFERROR(VLOOKUP(TableHandbook[[#This Row],[UDC]],TableSTRUENGLB[],7,FALSE),"")</f>
        <v/>
      </c>
      <c r="AX259" s="200" t="str">
        <f>IFERROR(VLOOKUP(TableHandbook[[#This Row],[UDC]],TableSTRUENGLM[],7,FALSE),"")</f>
        <v/>
      </c>
      <c r="AY259" s="200" t="str">
        <f>IFERROR(VLOOKUP(TableHandbook[[#This Row],[UDC]],TableSTRUGEOB1[],7,FALSE),"")</f>
        <v/>
      </c>
      <c r="AZ259" s="200" t="str">
        <f>IFERROR(VLOOKUP(TableHandbook[[#This Row],[UDC]],TableSTRUHISB1[],7,FALSE),"")</f>
        <v/>
      </c>
      <c r="BA259" s="200" t="str">
        <f>IFERROR(VLOOKUP(TableHandbook[[#This Row],[UDC]],TableSTRUHUMAM[],7,FALSE),"")</f>
        <v/>
      </c>
      <c r="BB259" s="200" t="str">
        <f>IFERROR(VLOOKUP(TableHandbook[[#This Row],[UDC]],TableSTRUHUMBB[],7,FALSE),"")</f>
        <v/>
      </c>
      <c r="BC259" s="200" t="str">
        <f>IFERROR(VLOOKUP(TableHandbook[[#This Row],[UDC]],TableSTRUMATHB[],7,FALSE),"")</f>
        <v/>
      </c>
      <c r="BD259" s="200" t="str">
        <f>IFERROR(VLOOKUP(TableHandbook[[#This Row],[UDC]],TableSTRUMATHM[],7,FALSE),"")</f>
        <v/>
      </c>
      <c r="BE259" s="200" t="str">
        <f>IFERROR(VLOOKUP(TableHandbook[[#This Row],[UDC]],TableSTRUPARTB[],7,FALSE),"")</f>
        <v/>
      </c>
      <c r="BF259" s="200" t="str">
        <f>IFERROR(VLOOKUP(TableHandbook[[#This Row],[UDC]],TableSTRUPARTM[],7,FALSE),"")</f>
        <v/>
      </c>
      <c r="BG259" s="200" t="str">
        <f>IFERROR(VLOOKUP(TableHandbook[[#This Row],[UDC]],TableSTRUPOLB1[],7,FALSE),"")</f>
        <v/>
      </c>
      <c r="BH259" s="200" t="str">
        <f>IFERROR(VLOOKUP(TableHandbook[[#This Row],[UDC]],TableSTRUPSCIM[],7,FALSE),"")</f>
        <v/>
      </c>
      <c r="BI259" s="200" t="str">
        <f>IFERROR(VLOOKUP(TableHandbook[[#This Row],[UDC]],TableSTRUPSYCB[],7,FALSE),"")</f>
        <v/>
      </c>
      <c r="BJ259" s="200" t="str">
        <f>IFERROR(VLOOKUP(TableHandbook[[#This Row],[UDC]],TableSTRUPSYCM[],7,FALSE),"")</f>
        <v/>
      </c>
      <c r="BK259" s="200" t="str">
        <f>IFERROR(VLOOKUP(TableHandbook[[#This Row],[UDC]],TableSTRUSOSCM[],7,FALSE),"")</f>
        <v/>
      </c>
      <c r="BL259" s="200" t="str">
        <f>IFERROR(VLOOKUP(TableHandbook[[#This Row],[UDC]],TableSTRUVARTB[],7,FALSE),"")</f>
        <v/>
      </c>
      <c r="BM259" s="200" t="str">
        <f>IFERROR(VLOOKUP(TableHandbook[[#This Row],[UDC]],TableSTRUVARTM[],7,FALSE),"")</f>
        <v/>
      </c>
    </row>
    <row r="260" spans="1:65" x14ac:dyDescent="0.25">
      <c r="A260" s="262" t="s">
        <v>314</v>
      </c>
      <c r="B260" s="12">
        <v>2</v>
      </c>
      <c r="C260" s="11"/>
      <c r="D260" s="11" t="s">
        <v>313</v>
      </c>
      <c r="E260" s="12">
        <v>150</v>
      </c>
      <c r="F260" s="131" t="s">
        <v>540</v>
      </c>
      <c r="G260" s="126" t="str">
        <f>IFERROR(IF(VLOOKUP(TableHandbook[[#This Row],[UDC]],TableAvailabilities[],2,FALSE)&gt;0,"Y",""),"")</f>
        <v/>
      </c>
      <c r="H260" s="127" t="str">
        <f>IFERROR(IF(VLOOKUP(TableHandbook[[#This Row],[UDC]],TableAvailabilities[],3,FALSE)&gt;0,"Y",""),"")</f>
        <v/>
      </c>
      <c r="I260" s="127" t="str">
        <f>IFERROR(IF(VLOOKUP(TableHandbook[[#This Row],[UDC]],TableAvailabilities[],4,FALSE)&gt;0,"Y",""),"")</f>
        <v/>
      </c>
      <c r="J260" s="128" t="str">
        <f>IFERROR(IF(VLOOKUP(TableHandbook[[#This Row],[UDC]],TableAvailabilities[],5,FALSE)&gt;0,"Y",""),"")</f>
        <v/>
      </c>
      <c r="K260" s="128" t="str">
        <f>IFERROR(IF(VLOOKUP(TableHandbook[[#This Row],[UDC]],TableAvailabilities[],6,FALSE)&gt;0,"Y",""),"")</f>
        <v/>
      </c>
      <c r="L260" s="127" t="str">
        <f>IFERROR(IF(VLOOKUP(TableHandbook[[#This Row],[UDC]],TableAvailabilities[],7,FALSE)&gt;0,"Y",""),"")</f>
        <v/>
      </c>
      <c r="M260" s="251"/>
      <c r="N260" s="200" t="str">
        <f>IFERROR(VLOOKUP(TableHandbook[[#This Row],[UDC]],TableBEDUC[],7,FALSE),"")</f>
        <v/>
      </c>
      <c r="O260" s="200" t="str">
        <f>IFERROR(VLOOKUP(TableHandbook[[#This Row],[UDC]],TableBEDEC[],7,FALSE),"")</f>
        <v/>
      </c>
      <c r="P260" s="200" t="str">
        <f>IFERROR(VLOOKUP(TableHandbook[[#This Row],[UDC]],TableBEDPR[],7,FALSE),"")</f>
        <v/>
      </c>
      <c r="Q260" s="200" t="str">
        <f>IFERROR(VLOOKUP(TableHandbook[[#This Row],[UDC]],TableSTRUCATHL[],7,FALSE),"")</f>
        <v/>
      </c>
      <c r="R260" s="200" t="str">
        <f>IFERROR(VLOOKUP(TableHandbook[[#This Row],[UDC]],TableSTRUENGLL[],7,FALSE),"")</f>
        <v/>
      </c>
      <c r="S260" s="200" t="str">
        <f>IFERROR(VLOOKUP(TableHandbook[[#This Row],[UDC]],TableSTRUINTBC[],7,FALSE),"")</f>
        <v/>
      </c>
      <c r="T260" s="200" t="str">
        <f>IFERROR(VLOOKUP(TableHandbook[[#This Row],[UDC]],TableSTRUISTEM[],7,FALSE),"")</f>
        <v/>
      </c>
      <c r="U260" s="200" t="str">
        <f>IFERROR(VLOOKUP(TableHandbook[[#This Row],[UDC]],TableSTRULITNU[],7,FALSE),"")</f>
        <v/>
      </c>
      <c r="V260" s="200" t="str">
        <f>IFERROR(VLOOKUP(TableHandbook[[#This Row],[UDC]],TableSTRUTECHS[],7,FALSE),"")</f>
        <v/>
      </c>
      <c r="W260" s="200" t="str">
        <f>IFERROR(VLOOKUP(TableHandbook[[#This Row],[UDC]],TableBEDSC[],7,FALSE),"")</f>
        <v/>
      </c>
      <c r="X260" s="200" t="str">
        <f>IFERROR(VLOOKUP(TableHandbook[[#This Row],[UDC]],TableMJRUARTDR[],7,FALSE),"")</f>
        <v/>
      </c>
      <c r="Y260" s="200" t="str">
        <f>IFERROR(VLOOKUP(TableHandbook[[#This Row],[UDC]],TableMJRUARTME[],7,FALSE),"")</f>
        <v/>
      </c>
      <c r="Z260" s="200" t="str">
        <f>IFERROR(VLOOKUP(TableHandbook[[#This Row],[UDC]],TableMJRUARTVA[],7,FALSE),"")</f>
        <v/>
      </c>
      <c r="AA260" s="200" t="str">
        <f>IFERROR(VLOOKUP(TableHandbook[[#This Row],[UDC]],TableMJRUENGLT[],7,FALSE),"")</f>
        <v/>
      </c>
      <c r="AB260" s="200" t="str">
        <f>IFERROR(VLOOKUP(TableHandbook[[#This Row],[UDC]],TableMJRUHLTPE[],7,FALSE),"")</f>
        <v/>
      </c>
      <c r="AC260" s="200" t="str">
        <f>IFERROR(VLOOKUP(TableHandbook[[#This Row],[UDC]],TableMJRUHUSEC[],7,FALSE),"")</f>
        <v/>
      </c>
      <c r="AD260" s="200" t="str">
        <f>IFERROR(VLOOKUP(TableHandbook[[#This Row],[UDC]],TableMJRUHUSGE[],7,FALSE),"")</f>
        <v/>
      </c>
      <c r="AE260" s="200" t="str">
        <f>IFERROR(VLOOKUP(TableHandbook[[#This Row],[UDC]],TableMJRUHUSHI[],7,FALSE),"")</f>
        <v/>
      </c>
      <c r="AF260" s="200" t="str">
        <f>IFERROR(VLOOKUP(TableHandbook[[#This Row],[UDC]],TableMJRUHUSPL[],7,FALSE),"")</f>
        <v/>
      </c>
      <c r="AG260" s="200" t="str">
        <f>IFERROR(VLOOKUP(TableHandbook[[#This Row],[UDC]],TableMJRUMATHT[],7,FALSE),"")</f>
        <v/>
      </c>
      <c r="AH260" s="200" t="str">
        <f>IFERROR(VLOOKUP(TableHandbook[[#This Row],[UDC]],TableMJRUSCIBI[],7,FALSE),"")</f>
        <v/>
      </c>
      <c r="AI260" s="200" t="str">
        <f>IFERROR(VLOOKUP(TableHandbook[[#This Row],[UDC]],TableMJRUSCICH[],7,FALSE),"")</f>
        <v/>
      </c>
      <c r="AJ260" s="200" t="str">
        <f>IFERROR(VLOOKUP(TableHandbook[[#This Row],[UDC]],TableMJRUSCIHB[],7,FALSE),"")</f>
        <v>Option</v>
      </c>
      <c r="AK260" s="200" t="str">
        <f>IFERROR(VLOOKUP(TableHandbook[[#This Row],[UDC]],TableMJRUSCIPH[],7,FALSE),"")</f>
        <v/>
      </c>
      <c r="AL260" s="200" t="str">
        <f>IFERROR(VLOOKUP(TableHandbook[[#This Row],[UDC]],TableMJRUSCIPS[],7,FALSE),"")</f>
        <v/>
      </c>
      <c r="AM260" s="202"/>
      <c r="AN260" s="200" t="str">
        <f>IFERROR(VLOOKUP(TableHandbook[[#This Row],[UDC]],TableSTRUBIOLB[],7,FALSE),"")</f>
        <v/>
      </c>
      <c r="AO260" s="200" t="str">
        <f>IFERROR(VLOOKUP(TableHandbook[[#This Row],[UDC]],TableSTRUBSCIM[],7,FALSE),"")</f>
        <v/>
      </c>
      <c r="AP260" s="200" t="str">
        <f>IFERROR(VLOOKUP(TableHandbook[[#This Row],[UDC]],TableSTRUCHEMB[],7,FALSE),"")</f>
        <v/>
      </c>
      <c r="AQ260" s="200" t="str">
        <f>IFERROR(VLOOKUP(TableHandbook[[#This Row],[UDC]],TableSTRUECOB1[],7,FALSE),"")</f>
        <v/>
      </c>
      <c r="AR260" s="200" t="str">
        <f>IFERROR(VLOOKUP(TableHandbook[[#This Row],[UDC]],TableSTRUEDART[],7,FALSE),"")</f>
        <v/>
      </c>
      <c r="AS260" s="200" t="str">
        <f>IFERROR(VLOOKUP(TableHandbook[[#This Row],[UDC]],TableSTRUEDENG[],7,FALSE),"")</f>
        <v/>
      </c>
      <c r="AT260" s="200" t="str">
        <f>IFERROR(VLOOKUP(TableHandbook[[#This Row],[UDC]],TableSTRUEDHAS[],7,FALSE),"")</f>
        <v/>
      </c>
      <c r="AU260" s="200" t="str">
        <f>IFERROR(VLOOKUP(TableHandbook[[#This Row],[UDC]],TableSTRUEDMAT[],7,FALSE),"")</f>
        <v/>
      </c>
      <c r="AV260" s="200" t="str">
        <f>IFERROR(VLOOKUP(TableHandbook[[#This Row],[UDC]],TableSTRUEDSCI[],7,FALSE),"")</f>
        <v/>
      </c>
      <c r="AW260" s="200" t="str">
        <f>IFERROR(VLOOKUP(TableHandbook[[#This Row],[UDC]],TableSTRUENGLB[],7,FALSE),"")</f>
        <v/>
      </c>
      <c r="AX260" s="200" t="str">
        <f>IFERROR(VLOOKUP(TableHandbook[[#This Row],[UDC]],TableSTRUENGLM[],7,FALSE),"")</f>
        <v/>
      </c>
      <c r="AY260" s="200" t="str">
        <f>IFERROR(VLOOKUP(TableHandbook[[#This Row],[UDC]],TableSTRUGEOB1[],7,FALSE),"")</f>
        <v/>
      </c>
      <c r="AZ260" s="200" t="str">
        <f>IFERROR(VLOOKUP(TableHandbook[[#This Row],[UDC]],TableSTRUHISB1[],7,FALSE),"")</f>
        <v/>
      </c>
      <c r="BA260" s="200" t="str">
        <f>IFERROR(VLOOKUP(TableHandbook[[#This Row],[UDC]],TableSTRUHUMAM[],7,FALSE),"")</f>
        <v/>
      </c>
      <c r="BB260" s="200" t="str">
        <f>IFERROR(VLOOKUP(TableHandbook[[#This Row],[UDC]],TableSTRUHUMBB[],7,FALSE),"")</f>
        <v/>
      </c>
      <c r="BC260" s="200" t="str">
        <f>IFERROR(VLOOKUP(TableHandbook[[#This Row],[UDC]],TableSTRUMATHB[],7,FALSE),"")</f>
        <v/>
      </c>
      <c r="BD260" s="200" t="str">
        <f>IFERROR(VLOOKUP(TableHandbook[[#This Row],[UDC]],TableSTRUMATHM[],7,FALSE),"")</f>
        <v/>
      </c>
      <c r="BE260" s="200" t="str">
        <f>IFERROR(VLOOKUP(TableHandbook[[#This Row],[UDC]],TableSTRUPARTB[],7,FALSE),"")</f>
        <v/>
      </c>
      <c r="BF260" s="200" t="str">
        <f>IFERROR(VLOOKUP(TableHandbook[[#This Row],[UDC]],TableSTRUPARTM[],7,FALSE),"")</f>
        <v/>
      </c>
      <c r="BG260" s="200" t="str">
        <f>IFERROR(VLOOKUP(TableHandbook[[#This Row],[UDC]],TableSTRUPOLB1[],7,FALSE),"")</f>
        <v/>
      </c>
      <c r="BH260" s="200" t="str">
        <f>IFERROR(VLOOKUP(TableHandbook[[#This Row],[UDC]],TableSTRUPSCIM[],7,FALSE),"")</f>
        <v/>
      </c>
      <c r="BI260" s="200" t="str">
        <f>IFERROR(VLOOKUP(TableHandbook[[#This Row],[UDC]],TableSTRUPSYCB[],7,FALSE),"")</f>
        <v/>
      </c>
      <c r="BJ260" s="200" t="str">
        <f>IFERROR(VLOOKUP(TableHandbook[[#This Row],[UDC]],TableSTRUPSYCM[],7,FALSE),"")</f>
        <v/>
      </c>
      <c r="BK260" s="200" t="str">
        <f>IFERROR(VLOOKUP(TableHandbook[[#This Row],[UDC]],TableSTRUSOSCM[],7,FALSE),"")</f>
        <v/>
      </c>
      <c r="BL260" s="200" t="str">
        <f>IFERROR(VLOOKUP(TableHandbook[[#This Row],[UDC]],TableSTRUVARTB[],7,FALSE),"")</f>
        <v/>
      </c>
      <c r="BM260" s="200" t="str">
        <f>IFERROR(VLOOKUP(TableHandbook[[#This Row],[UDC]],TableSTRUVARTM[],7,FALSE),"")</f>
        <v/>
      </c>
    </row>
    <row r="261" spans="1:65" x14ac:dyDescent="0.25">
      <c r="A261" s="262" t="s">
        <v>323</v>
      </c>
      <c r="B261" s="300">
        <v>3</v>
      </c>
      <c r="C261" s="11"/>
      <c r="D261" s="11" t="s">
        <v>322</v>
      </c>
      <c r="E261" s="12">
        <v>150</v>
      </c>
      <c r="F261" s="131"/>
      <c r="G261" s="126" t="str">
        <f>IFERROR(IF(VLOOKUP(TableHandbook[[#This Row],[UDC]],TableAvailabilities[],2,FALSE)&gt;0,"Y",""),"")</f>
        <v/>
      </c>
      <c r="H261" s="127" t="str">
        <f>IFERROR(IF(VLOOKUP(TableHandbook[[#This Row],[UDC]],TableAvailabilities[],3,FALSE)&gt;0,"Y",""),"")</f>
        <v/>
      </c>
      <c r="I261" s="127" t="str">
        <f>IFERROR(IF(VLOOKUP(TableHandbook[[#This Row],[UDC]],TableAvailabilities[],4,FALSE)&gt;0,"Y",""),"")</f>
        <v/>
      </c>
      <c r="J261" s="128" t="str">
        <f>IFERROR(IF(VLOOKUP(TableHandbook[[#This Row],[UDC]],TableAvailabilities[],5,FALSE)&gt;0,"Y",""),"")</f>
        <v/>
      </c>
      <c r="K261" s="128" t="str">
        <f>IFERROR(IF(VLOOKUP(TableHandbook[[#This Row],[UDC]],TableAvailabilities[],6,FALSE)&gt;0,"Y",""),"")</f>
        <v/>
      </c>
      <c r="L261" s="127" t="str">
        <f>IFERROR(IF(VLOOKUP(TableHandbook[[#This Row],[UDC]],TableAvailabilities[],7,FALSE)&gt;0,"Y",""),"")</f>
        <v/>
      </c>
      <c r="M261" s="294" t="s">
        <v>586</v>
      </c>
      <c r="N261" s="200" t="str">
        <f>IFERROR(VLOOKUP(TableHandbook[[#This Row],[UDC]],TableBEDUC[],7,FALSE),"")</f>
        <v/>
      </c>
      <c r="O261" s="200" t="str">
        <f>IFERROR(VLOOKUP(TableHandbook[[#This Row],[UDC]],TableBEDEC[],7,FALSE),"")</f>
        <v/>
      </c>
      <c r="P261" s="200" t="str">
        <f>IFERROR(VLOOKUP(TableHandbook[[#This Row],[UDC]],TableBEDPR[],7,FALSE),"")</f>
        <v/>
      </c>
      <c r="Q261" s="200" t="str">
        <f>IFERROR(VLOOKUP(TableHandbook[[#This Row],[UDC]],TableSTRUCATHL[],7,FALSE),"")</f>
        <v/>
      </c>
      <c r="R261" s="200" t="str">
        <f>IFERROR(VLOOKUP(TableHandbook[[#This Row],[UDC]],TableSTRUENGLL[],7,FALSE),"")</f>
        <v/>
      </c>
      <c r="S261" s="200" t="str">
        <f>IFERROR(VLOOKUP(TableHandbook[[#This Row],[UDC]],TableSTRUINTBC[],7,FALSE),"")</f>
        <v/>
      </c>
      <c r="T261" s="200" t="str">
        <f>IFERROR(VLOOKUP(TableHandbook[[#This Row],[UDC]],TableSTRUISTEM[],7,FALSE),"")</f>
        <v/>
      </c>
      <c r="U261" s="200" t="str">
        <f>IFERROR(VLOOKUP(TableHandbook[[#This Row],[UDC]],TableSTRULITNU[],7,FALSE),"")</f>
        <v/>
      </c>
      <c r="V261" s="200" t="str">
        <f>IFERROR(VLOOKUP(TableHandbook[[#This Row],[UDC]],TableSTRUTECHS[],7,FALSE),"")</f>
        <v/>
      </c>
      <c r="W261" s="200" t="str">
        <f>IFERROR(VLOOKUP(TableHandbook[[#This Row],[UDC]],TableBEDSC[],7,FALSE),"")</f>
        <v/>
      </c>
      <c r="X261" s="200" t="str">
        <f>IFERROR(VLOOKUP(TableHandbook[[#This Row],[UDC]],TableMJRUARTDR[],7,FALSE),"")</f>
        <v/>
      </c>
      <c r="Y261" s="200" t="str">
        <f>IFERROR(VLOOKUP(TableHandbook[[#This Row],[UDC]],TableMJRUARTME[],7,FALSE),"")</f>
        <v/>
      </c>
      <c r="Z261" s="200" t="str">
        <f>IFERROR(VLOOKUP(TableHandbook[[#This Row],[UDC]],TableMJRUARTVA[],7,FALSE),"")</f>
        <v/>
      </c>
      <c r="AA261" s="200" t="str">
        <f>IFERROR(VLOOKUP(TableHandbook[[#This Row],[UDC]],TableMJRUENGLT[],7,FALSE),"")</f>
        <v/>
      </c>
      <c r="AB261" s="200" t="str">
        <f>IFERROR(VLOOKUP(TableHandbook[[#This Row],[UDC]],TableMJRUHLTPE[],7,FALSE),"")</f>
        <v/>
      </c>
      <c r="AC261" s="200" t="str">
        <f>IFERROR(VLOOKUP(TableHandbook[[#This Row],[UDC]],TableMJRUHUSEC[],7,FALSE),"")</f>
        <v/>
      </c>
      <c r="AD261" s="200" t="str">
        <f>IFERROR(VLOOKUP(TableHandbook[[#This Row],[UDC]],TableMJRUHUSGE[],7,FALSE),"")</f>
        <v/>
      </c>
      <c r="AE261" s="200" t="str">
        <f>IFERROR(VLOOKUP(TableHandbook[[#This Row],[UDC]],TableMJRUHUSHI[],7,FALSE),"")</f>
        <v/>
      </c>
      <c r="AF261" s="200" t="str">
        <f>IFERROR(VLOOKUP(TableHandbook[[#This Row],[UDC]],TableMJRUHUSPL[],7,FALSE),"")</f>
        <v/>
      </c>
      <c r="AG261" s="200" t="str">
        <f>IFERROR(VLOOKUP(TableHandbook[[#This Row],[UDC]],TableMJRUMATHT[],7,FALSE),"")</f>
        <v>Option</v>
      </c>
      <c r="AH261" s="200" t="str">
        <f>IFERROR(VLOOKUP(TableHandbook[[#This Row],[UDC]],TableMJRUSCIBI[],7,FALSE),"")</f>
        <v/>
      </c>
      <c r="AI261" s="200" t="str">
        <f>IFERROR(VLOOKUP(TableHandbook[[#This Row],[UDC]],TableMJRUSCICH[],7,FALSE),"")</f>
        <v/>
      </c>
      <c r="AJ261" s="200" t="str">
        <f>IFERROR(VLOOKUP(TableHandbook[[#This Row],[UDC]],TableMJRUSCIHB[],7,FALSE),"")</f>
        <v/>
      </c>
      <c r="AK261" s="200" t="str">
        <f>IFERROR(VLOOKUP(TableHandbook[[#This Row],[UDC]],TableMJRUSCIPH[],7,FALSE),"")</f>
        <v/>
      </c>
      <c r="AL261" s="200" t="str">
        <f>IFERROR(VLOOKUP(TableHandbook[[#This Row],[UDC]],TableMJRUSCIPS[],7,FALSE),"")</f>
        <v/>
      </c>
      <c r="AM261" s="202"/>
      <c r="AN261" s="200" t="str">
        <f>IFERROR(VLOOKUP(TableHandbook[[#This Row],[UDC]],TableSTRUBIOLB[],7,FALSE),"")</f>
        <v/>
      </c>
      <c r="AO261" s="200" t="str">
        <f>IFERROR(VLOOKUP(TableHandbook[[#This Row],[UDC]],TableSTRUBSCIM[],7,FALSE),"")</f>
        <v/>
      </c>
      <c r="AP261" s="200" t="str">
        <f>IFERROR(VLOOKUP(TableHandbook[[#This Row],[UDC]],TableSTRUCHEMB[],7,FALSE),"")</f>
        <v/>
      </c>
      <c r="AQ261" s="200" t="str">
        <f>IFERROR(VLOOKUP(TableHandbook[[#This Row],[UDC]],TableSTRUECOB1[],7,FALSE),"")</f>
        <v/>
      </c>
      <c r="AR261" s="200" t="str">
        <f>IFERROR(VLOOKUP(TableHandbook[[#This Row],[UDC]],TableSTRUEDART[],7,FALSE),"")</f>
        <v/>
      </c>
      <c r="AS261" s="200" t="str">
        <f>IFERROR(VLOOKUP(TableHandbook[[#This Row],[UDC]],TableSTRUEDENG[],7,FALSE),"")</f>
        <v/>
      </c>
      <c r="AT261" s="200" t="str">
        <f>IFERROR(VLOOKUP(TableHandbook[[#This Row],[UDC]],TableSTRUEDHAS[],7,FALSE),"")</f>
        <v/>
      </c>
      <c r="AU261" s="200" t="str">
        <f>IFERROR(VLOOKUP(TableHandbook[[#This Row],[UDC]],TableSTRUEDMAT[],7,FALSE),"")</f>
        <v/>
      </c>
      <c r="AV261" s="200" t="str">
        <f>IFERROR(VLOOKUP(TableHandbook[[#This Row],[UDC]],TableSTRUEDSCI[],7,FALSE),"")</f>
        <v/>
      </c>
      <c r="AW261" s="200" t="str">
        <f>IFERROR(VLOOKUP(TableHandbook[[#This Row],[UDC]],TableSTRUENGLB[],7,FALSE),"")</f>
        <v/>
      </c>
      <c r="AX261" s="200" t="str">
        <f>IFERROR(VLOOKUP(TableHandbook[[#This Row],[UDC]],TableSTRUENGLM[],7,FALSE),"")</f>
        <v/>
      </c>
      <c r="AY261" s="200" t="str">
        <f>IFERROR(VLOOKUP(TableHandbook[[#This Row],[UDC]],TableSTRUGEOB1[],7,FALSE),"")</f>
        <v/>
      </c>
      <c r="AZ261" s="200" t="str">
        <f>IFERROR(VLOOKUP(TableHandbook[[#This Row],[UDC]],TableSTRUHISB1[],7,FALSE),"")</f>
        <v/>
      </c>
      <c r="BA261" s="200" t="str">
        <f>IFERROR(VLOOKUP(TableHandbook[[#This Row],[UDC]],TableSTRUHUMAM[],7,FALSE),"")</f>
        <v/>
      </c>
      <c r="BB261" s="200" t="str">
        <f>IFERROR(VLOOKUP(TableHandbook[[#This Row],[UDC]],TableSTRUHUMBB[],7,FALSE),"")</f>
        <v/>
      </c>
      <c r="BC261" s="200" t="str">
        <f>IFERROR(VLOOKUP(TableHandbook[[#This Row],[UDC]],TableSTRUMATHB[],7,FALSE),"")</f>
        <v/>
      </c>
      <c r="BD261" s="200" t="str">
        <f>IFERROR(VLOOKUP(TableHandbook[[#This Row],[UDC]],TableSTRUMATHM[],7,FALSE),"")</f>
        <v/>
      </c>
      <c r="BE261" s="200" t="str">
        <f>IFERROR(VLOOKUP(TableHandbook[[#This Row],[UDC]],TableSTRUPARTB[],7,FALSE),"")</f>
        <v/>
      </c>
      <c r="BF261" s="200" t="str">
        <f>IFERROR(VLOOKUP(TableHandbook[[#This Row],[UDC]],TableSTRUPARTM[],7,FALSE),"")</f>
        <v/>
      </c>
      <c r="BG261" s="200" t="str">
        <f>IFERROR(VLOOKUP(TableHandbook[[#This Row],[UDC]],TableSTRUPOLB1[],7,FALSE),"")</f>
        <v/>
      </c>
      <c r="BH261" s="200" t="str">
        <f>IFERROR(VLOOKUP(TableHandbook[[#This Row],[UDC]],TableSTRUPSCIM[],7,FALSE),"")</f>
        <v/>
      </c>
      <c r="BI261" s="200" t="str">
        <f>IFERROR(VLOOKUP(TableHandbook[[#This Row],[UDC]],TableSTRUPSYCB[],7,FALSE),"")</f>
        <v/>
      </c>
      <c r="BJ261" s="200" t="str">
        <f>IFERROR(VLOOKUP(TableHandbook[[#This Row],[UDC]],TableSTRUPSYCM[],7,FALSE),"")</f>
        <v/>
      </c>
      <c r="BK261" s="200" t="str">
        <f>IFERROR(VLOOKUP(TableHandbook[[#This Row],[UDC]],TableSTRUSOSCM[],7,FALSE),"")</f>
        <v/>
      </c>
      <c r="BL261" s="200" t="str">
        <f>IFERROR(VLOOKUP(TableHandbook[[#This Row],[UDC]],TableSTRUVARTB[],7,FALSE),"")</f>
        <v/>
      </c>
      <c r="BM261" s="200" t="str">
        <f>IFERROR(VLOOKUP(TableHandbook[[#This Row],[UDC]],TableSTRUVARTM[],7,FALSE),"")</f>
        <v/>
      </c>
    </row>
    <row r="262" spans="1:65" x14ac:dyDescent="0.25">
      <c r="A262" s="262" t="s">
        <v>832</v>
      </c>
      <c r="B262" s="12">
        <v>2</v>
      </c>
      <c r="C262" s="11"/>
      <c r="D262" s="11" t="s">
        <v>322</v>
      </c>
      <c r="E262" s="12">
        <v>150</v>
      </c>
      <c r="F262" s="131" t="s">
        <v>540</v>
      </c>
      <c r="G262" s="126" t="str">
        <f>IFERROR(IF(VLOOKUP(TableHandbook[[#This Row],[UDC]],TableAvailabilities[],2,FALSE)&gt;0,"Y",""),"")</f>
        <v/>
      </c>
      <c r="H262" s="127" t="str">
        <f>IFERROR(IF(VLOOKUP(TableHandbook[[#This Row],[UDC]],TableAvailabilities[],3,FALSE)&gt;0,"Y",""),"")</f>
        <v/>
      </c>
      <c r="I262" s="127" t="str">
        <f>IFERROR(IF(VLOOKUP(TableHandbook[[#This Row],[UDC]],TableAvailabilities[],4,FALSE)&gt;0,"Y",""),"")</f>
        <v/>
      </c>
      <c r="J262" s="128" t="str">
        <f>IFERROR(IF(VLOOKUP(TableHandbook[[#This Row],[UDC]],TableAvailabilities[],5,FALSE)&gt;0,"Y",""),"")</f>
        <v/>
      </c>
      <c r="K262" s="128" t="str">
        <f>IFERROR(IF(VLOOKUP(TableHandbook[[#This Row],[UDC]],TableAvailabilities[],6,FALSE)&gt;0,"Y",""),"")</f>
        <v/>
      </c>
      <c r="L262" s="127" t="str">
        <f>IFERROR(IF(VLOOKUP(TableHandbook[[#This Row],[UDC]],TableAvailabilities[],7,FALSE)&gt;0,"Y",""),"")</f>
        <v/>
      </c>
      <c r="M262" s="294" t="s">
        <v>589</v>
      </c>
      <c r="N262" s="200" t="str">
        <f>IFERROR(VLOOKUP(TableHandbook[[#This Row],[UDC]],TableBEDUC[],7,FALSE),"")</f>
        <v/>
      </c>
      <c r="O262" s="200" t="str">
        <f>IFERROR(VLOOKUP(TableHandbook[[#This Row],[UDC]],TableBEDEC[],7,FALSE),"")</f>
        <v/>
      </c>
      <c r="P262" s="200" t="str">
        <f>IFERROR(VLOOKUP(TableHandbook[[#This Row],[UDC]],TableBEDPR[],7,FALSE),"")</f>
        <v/>
      </c>
      <c r="Q262" s="200" t="str">
        <f>IFERROR(VLOOKUP(TableHandbook[[#This Row],[UDC]],TableSTRUCATHL[],7,FALSE),"")</f>
        <v/>
      </c>
      <c r="R262" s="200" t="str">
        <f>IFERROR(VLOOKUP(TableHandbook[[#This Row],[UDC]],TableSTRUENGLL[],7,FALSE),"")</f>
        <v/>
      </c>
      <c r="S262" s="200" t="str">
        <f>IFERROR(VLOOKUP(TableHandbook[[#This Row],[UDC]],TableSTRUINTBC[],7,FALSE),"")</f>
        <v/>
      </c>
      <c r="T262" s="200" t="str">
        <f>IFERROR(VLOOKUP(TableHandbook[[#This Row],[UDC]],TableSTRUISTEM[],7,FALSE),"")</f>
        <v/>
      </c>
      <c r="U262" s="200" t="str">
        <f>IFERROR(VLOOKUP(TableHandbook[[#This Row],[UDC]],TableSTRULITNU[],7,FALSE),"")</f>
        <v/>
      </c>
      <c r="V262" s="200" t="str">
        <f>IFERROR(VLOOKUP(TableHandbook[[#This Row],[UDC]],TableSTRUTECHS[],7,FALSE),"")</f>
        <v/>
      </c>
      <c r="W262" s="200" t="str">
        <f>IFERROR(VLOOKUP(TableHandbook[[#This Row],[UDC]],TableBEDSC[],7,FALSE),"")</f>
        <v/>
      </c>
      <c r="X262" s="200" t="str">
        <f>IFERROR(VLOOKUP(TableHandbook[[#This Row],[UDC]],TableMJRUARTDR[],7,FALSE),"")</f>
        <v/>
      </c>
      <c r="Y262" s="200" t="str">
        <f>IFERROR(VLOOKUP(TableHandbook[[#This Row],[UDC]],TableMJRUARTME[],7,FALSE),"")</f>
        <v/>
      </c>
      <c r="Z262" s="200" t="str">
        <f>IFERROR(VLOOKUP(TableHandbook[[#This Row],[UDC]],TableMJRUARTVA[],7,FALSE),"")</f>
        <v/>
      </c>
      <c r="AA262" s="200" t="str">
        <f>IFERROR(VLOOKUP(TableHandbook[[#This Row],[UDC]],TableMJRUENGLT[],7,FALSE),"")</f>
        <v/>
      </c>
      <c r="AB262" s="200" t="str">
        <f>IFERROR(VLOOKUP(TableHandbook[[#This Row],[UDC]],TableMJRUHLTPE[],7,FALSE),"")</f>
        <v/>
      </c>
      <c r="AC262" s="200" t="str">
        <f>IFERROR(VLOOKUP(TableHandbook[[#This Row],[UDC]],TableMJRUHUSEC[],7,FALSE),"")</f>
        <v/>
      </c>
      <c r="AD262" s="200" t="str">
        <f>IFERROR(VLOOKUP(TableHandbook[[#This Row],[UDC]],TableMJRUHUSGE[],7,FALSE),"")</f>
        <v/>
      </c>
      <c r="AE262" s="200" t="str">
        <f>IFERROR(VLOOKUP(TableHandbook[[#This Row],[UDC]],TableMJRUHUSHI[],7,FALSE),"")</f>
        <v/>
      </c>
      <c r="AF262" s="200" t="str">
        <f>IFERROR(VLOOKUP(TableHandbook[[#This Row],[UDC]],TableMJRUHUSPL[],7,FALSE),"")</f>
        <v/>
      </c>
      <c r="AG262" s="200" t="str">
        <f>IFERROR(VLOOKUP(TableHandbook[[#This Row],[UDC]],TableMJRUMATHT[],7,FALSE),"")</f>
        <v/>
      </c>
      <c r="AH262" s="200" t="str">
        <f>IFERROR(VLOOKUP(TableHandbook[[#This Row],[UDC]],TableMJRUSCIBI[],7,FALSE),"")</f>
        <v/>
      </c>
      <c r="AI262" s="200" t="str">
        <f>IFERROR(VLOOKUP(TableHandbook[[#This Row],[UDC]],TableMJRUSCICH[],7,FALSE),"")</f>
        <v/>
      </c>
      <c r="AJ262" s="200" t="str">
        <f>IFERROR(VLOOKUP(TableHandbook[[#This Row],[UDC]],TableMJRUSCIHB[],7,FALSE),"")</f>
        <v/>
      </c>
      <c r="AK262" s="200" t="str">
        <f>IFERROR(VLOOKUP(TableHandbook[[#This Row],[UDC]],TableMJRUSCIPH[],7,FALSE),"")</f>
        <v/>
      </c>
      <c r="AL262" s="200" t="str">
        <f>IFERROR(VLOOKUP(TableHandbook[[#This Row],[UDC]],TableMJRUSCIPS[],7,FALSE),"")</f>
        <v/>
      </c>
      <c r="AM262" s="202"/>
      <c r="AN262" s="200" t="str">
        <f>IFERROR(VLOOKUP(TableHandbook[[#This Row],[UDC]],TableSTRUBIOLB[],7,FALSE),"")</f>
        <v/>
      </c>
      <c r="AO262" s="200" t="str">
        <f>IFERROR(VLOOKUP(TableHandbook[[#This Row],[UDC]],TableSTRUBSCIM[],7,FALSE),"")</f>
        <v/>
      </c>
      <c r="AP262" s="200" t="str">
        <f>IFERROR(VLOOKUP(TableHandbook[[#This Row],[UDC]],TableSTRUCHEMB[],7,FALSE),"")</f>
        <v/>
      </c>
      <c r="AQ262" s="200" t="str">
        <f>IFERROR(VLOOKUP(TableHandbook[[#This Row],[UDC]],TableSTRUECOB1[],7,FALSE),"")</f>
        <v/>
      </c>
      <c r="AR262" s="200" t="str">
        <f>IFERROR(VLOOKUP(TableHandbook[[#This Row],[UDC]],TableSTRUEDART[],7,FALSE),"")</f>
        <v/>
      </c>
      <c r="AS262" s="200" t="str">
        <f>IFERROR(VLOOKUP(TableHandbook[[#This Row],[UDC]],TableSTRUEDENG[],7,FALSE),"")</f>
        <v/>
      </c>
      <c r="AT262" s="200" t="str">
        <f>IFERROR(VLOOKUP(TableHandbook[[#This Row],[UDC]],TableSTRUEDHAS[],7,FALSE),"")</f>
        <v/>
      </c>
      <c r="AU262" s="200" t="str">
        <f>IFERROR(VLOOKUP(TableHandbook[[#This Row],[UDC]],TableSTRUEDMAT[],7,FALSE),"")</f>
        <v/>
      </c>
      <c r="AV262" s="200" t="str">
        <f>IFERROR(VLOOKUP(TableHandbook[[#This Row],[UDC]],TableSTRUEDSCI[],7,FALSE),"")</f>
        <v/>
      </c>
      <c r="AW262" s="200" t="str">
        <f>IFERROR(VLOOKUP(TableHandbook[[#This Row],[UDC]],TableSTRUENGLB[],7,FALSE),"")</f>
        <v/>
      </c>
      <c r="AX262" s="200" t="str">
        <f>IFERROR(VLOOKUP(TableHandbook[[#This Row],[UDC]],TableSTRUENGLM[],7,FALSE),"")</f>
        <v/>
      </c>
      <c r="AY262" s="200" t="str">
        <f>IFERROR(VLOOKUP(TableHandbook[[#This Row],[UDC]],TableSTRUGEOB1[],7,FALSE),"")</f>
        <v/>
      </c>
      <c r="AZ262" s="200" t="str">
        <f>IFERROR(VLOOKUP(TableHandbook[[#This Row],[UDC]],TableSTRUHISB1[],7,FALSE),"")</f>
        <v/>
      </c>
      <c r="BA262" s="200" t="str">
        <f>IFERROR(VLOOKUP(TableHandbook[[#This Row],[UDC]],TableSTRUHUMAM[],7,FALSE),"")</f>
        <v/>
      </c>
      <c r="BB262" s="200" t="str">
        <f>IFERROR(VLOOKUP(TableHandbook[[#This Row],[UDC]],TableSTRUHUMBB[],7,FALSE),"")</f>
        <v/>
      </c>
      <c r="BC262" s="200" t="str">
        <f>IFERROR(VLOOKUP(TableHandbook[[#This Row],[UDC]],TableSTRUMATHB[],7,FALSE),"")</f>
        <v/>
      </c>
      <c r="BD262" s="200" t="str">
        <f>IFERROR(VLOOKUP(TableHandbook[[#This Row],[UDC]],TableSTRUMATHM[],7,FALSE),"")</f>
        <v/>
      </c>
      <c r="BE262" s="200" t="str">
        <f>IFERROR(VLOOKUP(TableHandbook[[#This Row],[UDC]],TableSTRUPARTB[],7,FALSE),"")</f>
        <v/>
      </c>
      <c r="BF262" s="200" t="str">
        <f>IFERROR(VLOOKUP(TableHandbook[[#This Row],[UDC]],TableSTRUPARTM[],7,FALSE),"")</f>
        <v/>
      </c>
      <c r="BG262" s="200" t="str">
        <f>IFERROR(VLOOKUP(TableHandbook[[#This Row],[UDC]],TableSTRUPOLB1[],7,FALSE),"")</f>
        <v/>
      </c>
      <c r="BH262" s="200" t="str">
        <f>IFERROR(VLOOKUP(TableHandbook[[#This Row],[UDC]],TableSTRUPSCIM[],7,FALSE),"")</f>
        <v/>
      </c>
      <c r="BI262" s="200" t="str">
        <f>IFERROR(VLOOKUP(TableHandbook[[#This Row],[UDC]],TableSTRUPSYCB[],7,FALSE),"")</f>
        <v/>
      </c>
      <c r="BJ262" s="200" t="str">
        <f>IFERROR(VLOOKUP(TableHandbook[[#This Row],[UDC]],TableSTRUPSYCM[],7,FALSE),"")</f>
        <v/>
      </c>
      <c r="BK262" s="200" t="str">
        <f>IFERROR(VLOOKUP(TableHandbook[[#This Row],[UDC]],TableSTRUSOSCM[],7,FALSE),"")</f>
        <v/>
      </c>
      <c r="BL262" s="200" t="str">
        <f>IFERROR(VLOOKUP(TableHandbook[[#This Row],[UDC]],TableSTRUVARTB[],7,FALSE),"")</f>
        <v/>
      </c>
      <c r="BM262" s="200" t="str">
        <f>IFERROR(VLOOKUP(TableHandbook[[#This Row],[UDC]],TableSTRUVARTM[],7,FALSE),"")</f>
        <v/>
      </c>
    </row>
    <row r="263" spans="1:65" x14ac:dyDescent="0.25">
      <c r="A263" s="262" t="s">
        <v>202</v>
      </c>
      <c r="B263" s="12">
        <v>2</v>
      </c>
      <c r="C263" s="11"/>
      <c r="D263" s="11" t="s">
        <v>184</v>
      </c>
      <c r="E263" s="12">
        <v>150</v>
      </c>
      <c r="F263" s="131" t="s">
        <v>540</v>
      </c>
      <c r="G263" s="126" t="str">
        <f>IFERROR(IF(VLOOKUP(TableHandbook[[#This Row],[UDC]],TableAvailabilities[],2,FALSE)&gt;0,"Y",""),"")</f>
        <v/>
      </c>
      <c r="H263" s="127" t="str">
        <f>IFERROR(IF(VLOOKUP(TableHandbook[[#This Row],[UDC]],TableAvailabilities[],3,FALSE)&gt;0,"Y",""),"")</f>
        <v/>
      </c>
      <c r="I263" s="127" t="str">
        <f>IFERROR(IF(VLOOKUP(TableHandbook[[#This Row],[UDC]],TableAvailabilities[],4,FALSE)&gt;0,"Y",""),"")</f>
        <v/>
      </c>
      <c r="J263" s="128" t="str">
        <f>IFERROR(IF(VLOOKUP(TableHandbook[[#This Row],[UDC]],TableAvailabilities[],5,FALSE)&gt;0,"Y",""),"")</f>
        <v/>
      </c>
      <c r="K263" s="128" t="str">
        <f>IFERROR(IF(VLOOKUP(TableHandbook[[#This Row],[UDC]],TableAvailabilities[],6,FALSE)&gt;0,"Y",""),"")</f>
        <v/>
      </c>
      <c r="L263" s="127" t="str">
        <f>IFERROR(IF(VLOOKUP(TableHandbook[[#This Row],[UDC]],TableAvailabilities[],7,FALSE)&gt;0,"Y",""),"")</f>
        <v/>
      </c>
      <c r="M263" s="251"/>
      <c r="N263" s="200" t="str">
        <f>IFERROR(VLOOKUP(TableHandbook[[#This Row],[UDC]],TableBEDUC[],7,FALSE),"")</f>
        <v/>
      </c>
      <c r="O263" s="200" t="str">
        <f>IFERROR(VLOOKUP(TableHandbook[[#This Row],[UDC]],TableBEDEC[],7,FALSE),"")</f>
        <v/>
      </c>
      <c r="P263" s="200" t="str">
        <f>IFERROR(VLOOKUP(TableHandbook[[#This Row],[UDC]],TableBEDPR[],7,FALSE),"")</f>
        <v/>
      </c>
      <c r="Q263" s="200" t="str">
        <f>IFERROR(VLOOKUP(TableHandbook[[#This Row],[UDC]],TableSTRUCATHL[],7,FALSE),"")</f>
        <v/>
      </c>
      <c r="R263" s="200" t="str">
        <f>IFERROR(VLOOKUP(TableHandbook[[#This Row],[UDC]],TableSTRUENGLL[],7,FALSE),"")</f>
        <v/>
      </c>
      <c r="S263" s="200" t="str">
        <f>IFERROR(VLOOKUP(TableHandbook[[#This Row],[UDC]],TableSTRUINTBC[],7,FALSE),"")</f>
        <v/>
      </c>
      <c r="T263" s="200" t="str">
        <f>IFERROR(VLOOKUP(TableHandbook[[#This Row],[UDC]],TableSTRUISTEM[],7,FALSE),"")</f>
        <v/>
      </c>
      <c r="U263" s="200" t="str">
        <f>IFERROR(VLOOKUP(TableHandbook[[#This Row],[UDC]],TableSTRULITNU[],7,FALSE),"")</f>
        <v/>
      </c>
      <c r="V263" s="200" t="str">
        <f>IFERROR(VLOOKUP(TableHandbook[[#This Row],[UDC]],TableSTRUTECHS[],7,FALSE),"")</f>
        <v/>
      </c>
      <c r="W263" s="200" t="str">
        <f>IFERROR(VLOOKUP(TableHandbook[[#This Row],[UDC]],TableBEDSC[],7,FALSE),"")</f>
        <v/>
      </c>
      <c r="X263" s="200" t="str">
        <f>IFERROR(VLOOKUP(TableHandbook[[#This Row],[UDC]],TableMJRUARTDR[],7,FALSE),"")</f>
        <v>Option</v>
      </c>
      <c r="Y263" s="200" t="str">
        <f>IFERROR(VLOOKUP(TableHandbook[[#This Row],[UDC]],TableMJRUARTME[],7,FALSE),"")</f>
        <v>Option</v>
      </c>
      <c r="Z263" s="200" t="str">
        <f>IFERROR(VLOOKUP(TableHandbook[[#This Row],[UDC]],TableMJRUARTVA[],7,FALSE),"")</f>
        <v>Option</v>
      </c>
      <c r="AA263" s="200" t="str">
        <f>IFERROR(VLOOKUP(TableHandbook[[#This Row],[UDC]],TableMJRUENGLT[],7,FALSE),"")</f>
        <v>Core</v>
      </c>
      <c r="AB263" s="200" t="str">
        <f>IFERROR(VLOOKUP(TableHandbook[[#This Row],[UDC]],TableMJRUHLTPE[],7,FALSE),"")</f>
        <v/>
      </c>
      <c r="AC263" s="200" t="str">
        <f>IFERROR(VLOOKUP(TableHandbook[[#This Row],[UDC]],TableMJRUHUSEC[],7,FALSE),"")</f>
        <v>Option</v>
      </c>
      <c r="AD263" s="200" t="str">
        <f>IFERROR(VLOOKUP(TableHandbook[[#This Row],[UDC]],TableMJRUHUSGE[],7,FALSE),"")</f>
        <v>Option</v>
      </c>
      <c r="AE263" s="200" t="str">
        <f>IFERROR(VLOOKUP(TableHandbook[[#This Row],[UDC]],TableMJRUHUSHI[],7,FALSE),"")</f>
        <v>Option</v>
      </c>
      <c r="AF263" s="200" t="str">
        <f>IFERROR(VLOOKUP(TableHandbook[[#This Row],[UDC]],TableMJRUHUSPL[],7,FALSE),"")</f>
        <v>Option</v>
      </c>
      <c r="AG263" s="200" t="str">
        <f>IFERROR(VLOOKUP(TableHandbook[[#This Row],[UDC]],TableMJRUMATHT[],7,FALSE),"")</f>
        <v/>
      </c>
      <c r="AH263" s="200" t="str">
        <f>IFERROR(VLOOKUP(TableHandbook[[#This Row],[UDC]],TableMJRUSCIBI[],7,FALSE),"")</f>
        <v>Option</v>
      </c>
      <c r="AI263" s="200" t="str">
        <f>IFERROR(VLOOKUP(TableHandbook[[#This Row],[UDC]],TableMJRUSCICH[],7,FALSE),"")</f>
        <v>Option</v>
      </c>
      <c r="AJ263" s="200" t="str">
        <f>IFERROR(VLOOKUP(TableHandbook[[#This Row],[UDC]],TableMJRUSCIHB[],7,FALSE),"")</f>
        <v>Option</v>
      </c>
      <c r="AK263" s="200" t="str">
        <f>IFERROR(VLOOKUP(TableHandbook[[#This Row],[UDC]],TableMJRUSCIPH[],7,FALSE),"")</f>
        <v/>
      </c>
      <c r="AL263" s="200" t="str">
        <f>IFERROR(VLOOKUP(TableHandbook[[#This Row],[UDC]],TableMJRUSCIPS[],7,FALSE),"")</f>
        <v>Option</v>
      </c>
      <c r="AM263" s="202"/>
      <c r="AN263" s="200" t="str">
        <f>IFERROR(VLOOKUP(TableHandbook[[#This Row],[UDC]],TableSTRUBIOLB[],7,FALSE),"")</f>
        <v/>
      </c>
      <c r="AO263" s="200" t="str">
        <f>IFERROR(VLOOKUP(TableHandbook[[#This Row],[UDC]],TableSTRUBSCIM[],7,FALSE),"")</f>
        <v/>
      </c>
      <c r="AP263" s="200" t="str">
        <f>IFERROR(VLOOKUP(TableHandbook[[#This Row],[UDC]],TableSTRUCHEMB[],7,FALSE),"")</f>
        <v/>
      </c>
      <c r="AQ263" s="200" t="str">
        <f>IFERROR(VLOOKUP(TableHandbook[[#This Row],[UDC]],TableSTRUECOB1[],7,FALSE),"")</f>
        <v/>
      </c>
      <c r="AR263" s="200" t="str">
        <f>IFERROR(VLOOKUP(TableHandbook[[#This Row],[UDC]],TableSTRUEDART[],7,FALSE),"")</f>
        <v/>
      </c>
      <c r="AS263" s="200" t="str">
        <f>IFERROR(VLOOKUP(TableHandbook[[#This Row],[UDC]],TableSTRUEDENG[],7,FALSE),"")</f>
        <v/>
      </c>
      <c r="AT263" s="200" t="str">
        <f>IFERROR(VLOOKUP(TableHandbook[[#This Row],[UDC]],TableSTRUEDHAS[],7,FALSE),"")</f>
        <v/>
      </c>
      <c r="AU263" s="200" t="str">
        <f>IFERROR(VLOOKUP(TableHandbook[[#This Row],[UDC]],TableSTRUEDMAT[],7,FALSE),"")</f>
        <v/>
      </c>
      <c r="AV263" s="200" t="str">
        <f>IFERROR(VLOOKUP(TableHandbook[[#This Row],[UDC]],TableSTRUEDSCI[],7,FALSE),"")</f>
        <v/>
      </c>
      <c r="AW263" s="200" t="str">
        <f>IFERROR(VLOOKUP(TableHandbook[[#This Row],[UDC]],TableSTRUENGLB[],7,FALSE),"")</f>
        <v/>
      </c>
      <c r="AX263" s="200" t="str">
        <f>IFERROR(VLOOKUP(TableHandbook[[#This Row],[UDC]],TableSTRUENGLM[],7,FALSE),"")</f>
        <v/>
      </c>
      <c r="AY263" s="200" t="str">
        <f>IFERROR(VLOOKUP(TableHandbook[[#This Row],[UDC]],TableSTRUGEOB1[],7,FALSE),"")</f>
        <v/>
      </c>
      <c r="AZ263" s="200" t="str">
        <f>IFERROR(VLOOKUP(TableHandbook[[#This Row],[UDC]],TableSTRUHISB1[],7,FALSE),"")</f>
        <v/>
      </c>
      <c r="BA263" s="200" t="str">
        <f>IFERROR(VLOOKUP(TableHandbook[[#This Row],[UDC]],TableSTRUHUMAM[],7,FALSE),"")</f>
        <v/>
      </c>
      <c r="BB263" s="200" t="str">
        <f>IFERROR(VLOOKUP(TableHandbook[[#This Row],[UDC]],TableSTRUHUMBB[],7,FALSE),"")</f>
        <v/>
      </c>
      <c r="BC263" s="200" t="str">
        <f>IFERROR(VLOOKUP(TableHandbook[[#This Row],[UDC]],TableSTRUMATHB[],7,FALSE),"")</f>
        <v/>
      </c>
      <c r="BD263" s="200" t="str">
        <f>IFERROR(VLOOKUP(TableHandbook[[#This Row],[UDC]],TableSTRUMATHM[],7,FALSE),"")</f>
        <v/>
      </c>
      <c r="BE263" s="200" t="str">
        <f>IFERROR(VLOOKUP(TableHandbook[[#This Row],[UDC]],TableSTRUPARTB[],7,FALSE),"")</f>
        <v/>
      </c>
      <c r="BF263" s="200" t="str">
        <f>IFERROR(VLOOKUP(TableHandbook[[#This Row],[UDC]],TableSTRUPARTM[],7,FALSE),"")</f>
        <v/>
      </c>
      <c r="BG263" s="200" t="str">
        <f>IFERROR(VLOOKUP(TableHandbook[[#This Row],[UDC]],TableSTRUPOLB1[],7,FALSE),"")</f>
        <v/>
      </c>
      <c r="BH263" s="200" t="str">
        <f>IFERROR(VLOOKUP(TableHandbook[[#This Row],[UDC]],TableSTRUPSCIM[],7,FALSE),"")</f>
        <v/>
      </c>
      <c r="BI263" s="200" t="str">
        <f>IFERROR(VLOOKUP(TableHandbook[[#This Row],[UDC]],TableSTRUPSYCB[],7,FALSE),"")</f>
        <v/>
      </c>
      <c r="BJ263" s="200" t="str">
        <f>IFERROR(VLOOKUP(TableHandbook[[#This Row],[UDC]],TableSTRUPSYCM[],7,FALSE),"")</f>
        <v/>
      </c>
      <c r="BK263" s="200" t="str">
        <f>IFERROR(VLOOKUP(TableHandbook[[#This Row],[UDC]],TableSTRUSOSCM[],7,FALSE),"")</f>
        <v/>
      </c>
      <c r="BL263" s="200" t="str">
        <f>IFERROR(VLOOKUP(TableHandbook[[#This Row],[UDC]],TableSTRUVARTB[],7,FALSE),"")</f>
        <v/>
      </c>
      <c r="BM263" s="200" t="str">
        <f>IFERROR(VLOOKUP(TableHandbook[[#This Row],[UDC]],TableSTRUVARTM[],7,FALSE),"")</f>
        <v/>
      </c>
    </row>
    <row r="264" spans="1:65" x14ac:dyDescent="0.25">
      <c r="A264" s="262" t="s">
        <v>205</v>
      </c>
      <c r="B264" s="12">
        <v>2</v>
      </c>
      <c r="C264" s="11"/>
      <c r="D264" s="11" t="s">
        <v>345</v>
      </c>
      <c r="E264" s="12">
        <v>150</v>
      </c>
      <c r="F264" s="131" t="s">
        <v>540</v>
      </c>
      <c r="G264" s="126" t="str">
        <f>IFERROR(IF(VLOOKUP(TableHandbook[[#This Row],[UDC]],TableAvailabilities[],2,FALSE)&gt;0,"Y",""),"")</f>
        <v/>
      </c>
      <c r="H264" s="127" t="str">
        <f>IFERROR(IF(VLOOKUP(TableHandbook[[#This Row],[UDC]],TableAvailabilities[],3,FALSE)&gt;0,"Y",""),"")</f>
        <v/>
      </c>
      <c r="I264" s="127" t="str">
        <f>IFERROR(IF(VLOOKUP(TableHandbook[[#This Row],[UDC]],TableAvailabilities[],4,FALSE)&gt;0,"Y",""),"")</f>
        <v/>
      </c>
      <c r="J264" s="128" t="str">
        <f>IFERROR(IF(VLOOKUP(TableHandbook[[#This Row],[UDC]],TableAvailabilities[],5,FALSE)&gt;0,"Y",""),"")</f>
        <v/>
      </c>
      <c r="K264" s="128" t="str">
        <f>IFERROR(IF(VLOOKUP(TableHandbook[[#This Row],[UDC]],TableAvailabilities[],6,FALSE)&gt;0,"Y",""),"")</f>
        <v/>
      </c>
      <c r="L264" s="127" t="str">
        <f>IFERROR(IF(VLOOKUP(TableHandbook[[#This Row],[UDC]],TableAvailabilities[],7,FALSE)&gt;0,"Y",""),"")</f>
        <v/>
      </c>
      <c r="M264" s="251"/>
      <c r="N264" s="200" t="str">
        <f>IFERROR(VLOOKUP(TableHandbook[[#This Row],[UDC]],TableBEDUC[],7,FALSE),"")</f>
        <v/>
      </c>
      <c r="O264" s="200" t="str">
        <f>IFERROR(VLOOKUP(TableHandbook[[#This Row],[UDC]],TableBEDEC[],7,FALSE),"")</f>
        <v/>
      </c>
      <c r="P264" s="200" t="str">
        <f>IFERROR(VLOOKUP(TableHandbook[[#This Row],[UDC]],TableBEDPR[],7,FALSE),"")</f>
        <v/>
      </c>
      <c r="Q264" s="200" t="str">
        <f>IFERROR(VLOOKUP(TableHandbook[[#This Row],[UDC]],TableSTRUCATHL[],7,FALSE),"")</f>
        <v/>
      </c>
      <c r="R264" s="200" t="str">
        <f>IFERROR(VLOOKUP(TableHandbook[[#This Row],[UDC]],TableSTRUENGLL[],7,FALSE),"")</f>
        <v/>
      </c>
      <c r="S264" s="200" t="str">
        <f>IFERROR(VLOOKUP(TableHandbook[[#This Row],[UDC]],TableSTRUINTBC[],7,FALSE),"")</f>
        <v/>
      </c>
      <c r="T264" s="200" t="str">
        <f>IFERROR(VLOOKUP(TableHandbook[[#This Row],[UDC]],TableSTRUISTEM[],7,FALSE),"")</f>
        <v/>
      </c>
      <c r="U264" s="200" t="str">
        <f>IFERROR(VLOOKUP(TableHandbook[[#This Row],[UDC]],TableSTRULITNU[],7,FALSE),"")</f>
        <v/>
      </c>
      <c r="V264" s="200" t="str">
        <f>IFERROR(VLOOKUP(TableHandbook[[#This Row],[UDC]],TableSTRUTECHS[],7,FALSE),"")</f>
        <v/>
      </c>
      <c r="W264" s="200" t="str">
        <f>IFERROR(VLOOKUP(TableHandbook[[#This Row],[UDC]],TableBEDSC[],7,FALSE),"")</f>
        <v/>
      </c>
      <c r="X264" s="200" t="str">
        <f>IFERROR(VLOOKUP(TableHandbook[[#This Row],[UDC]],TableMJRUARTDR[],7,FALSE),"")</f>
        <v>Option</v>
      </c>
      <c r="Y264" s="200" t="str">
        <f>IFERROR(VLOOKUP(TableHandbook[[#This Row],[UDC]],TableMJRUARTME[],7,FALSE),"")</f>
        <v>Option</v>
      </c>
      <c r="Z264" s="200" t="str">
        <f>IFERROR(VLOOKUP(TableHandbook[[#This Row],[UDC]],TableMJRUARTVA[],7,FALSE),"")</f>
        <v/>
      </c>
      <c r="AA264" s="200" t="str">
        <f>IFERROR(VLOOKUP(TableHandbook[[#This Row],[UDC]],TableMJRUENGLT[],7,FALSE),"")</f>
        <v/>
      </c>
      <c r="AB264" s="200" t="str">
        <f>IFERROR(VLOOKUP(TableHandbook[[#This Row],[UDC]],TableMJRUHLTPE[],7,FALSE),"")</f>
        <v/>
      </c>
      <c r="AC264" s="200" t="str">
        <f>IFERROR(VLOOKUP(TableHandbook[[#This Row],[UDC]],TableMJRUHUSEC[],7,FALSE),"")</f>
        <v/>
      </c>
      <c r="AD264" s="200" t="str">
        <f>IFERROR(VLOOKUP(TableHandbook[[#This Row],[UDC]],TableMJRUHUSGE[],7,FALSE),"")</f>
        <v/>
      </c>
      <c r="AE264" s="200" t="str">
        <f>IFERROR(VLOOKUP(TableHandbook[[#This Row],[UDC]],TableMJRUHUSHI[],7,FALSE),"")</f>
        <v/>
      </c>
      <c r="AF264" s="200" t="str">
        <f>IFERROR(VLOOKUP(TableHandbook[[#This Row],[UDC]],TableMJRUHUSPL[],7,FALSE),"")</f>
        <v/>
      </c>
      <c r="AG264" s="200" t="str">
        <f>IFERROR(VLOOKUP(TableHandbook[[#This Row],[UDC]],TableMJRUMATHT[],7,FALSE),"")</f>
        <v/>
      </c>
      <c r="AH264" s="200" t="str">
        <f>IFERROR(VLOOKUP(TableHandbook[[#This Row],[UDC]],TableMJRUSCIBI[],7,FALSE),"")</f>
        <v/>
      </c>
      <c r="AI264" s="200" t="str">
        <f>IFERROR(VLOOKUP(TableHandbook[[#This Row],[UDC]],TableMJRUSCICH[],7,FALSE),"")</f>
        <v/>
      </c>
      <c r="AJ264" s="200" t="str">
        <f>IFERROR(VLOOKUP(TableHandbook[[#This Row],[UDC]],TableMJRUSCIHB[],7,FALSE),"")</f>
        <v/>
      </c>
      <c r="AK264" s="200" t="str">
        <f>IFERROR(VLOOKUP(TableHandbook[[#This Row],[UDC]],TableMJRUSCIPH[],7,FALSE),"")</f>
        <v/>
      </c>
      <c r="AL264" s="200" t="str">
        <f>IFERROR(VLOOKUP(TableHandbook[[#This Row],[UDC]],TableMJRUSCIPS[],7,FALSE),"")</f>
        <v/>
      </c>
      <c r="AM264" s="202"/>
      <c r="AN264" s="200" t="str">
        <f>IFERROR(VLOOKUP(TableHandbook[[#This Row],[UDC]],TableSTRUBIOLB[],7,FALSE),"")</f>
        <v/>
      </c>
      <c r="AO264" s="200" t="str">
        <f>IFERROR(VLOOKUP(TableHandbook[[#This Row],[UDC]],TableSTRUBSCIM[],7,FALSE),"")</f>
        <v/>
      </c>
      <c r="AP264" s="200" t="str">
        <f>IFERROR(VLOOKUP(TableHandbook[[#This Row],[UDC]],TableSTRUCHEMB[],7,FALSE),"")</f>
        <v/>
      </c>
      <c r="AQ264" s="200" t="str">
        <f>IFERROR(VLOOKUP(TableHandbook[[#This Row],[UDC]],TableSTRUECOB1[],7,FALSE),"")</f>
        <v/>
      </c>
      <c r="AR264" s="200" t="str">
        <f>IFERROR(VLOOKUP(TableHandbook[[#This Row],[UDC]],TableSTRUEDART[],7,FALSE),"")</f>
        <v/>
      </c>
      <c r="AS264" s="200" t="str">
        <f>IFERROR(VLOOKUP(TableHandbook[[#This Row],[UDC]],TableSTRUEDENG[],7,FALSE),"")</f>
        <v/>
      </c>
      <c r="AT264" s="200" t="str">
        <f>IFERROR(VLOOKUP(TableHandbook[[#This Row],[UDC]],TableSTRUEDHAS[],7,FALSE),"")</f>
        <v/>
      </c>
      <c r="AU264" s="200" t="str">
        <f>IFERROR(VLOOKUP(TableHandbook[[#This Row],[UDC]],TableSTRUEDMAT[],7,FALSE),"")</f>
        <v/>
      </c>
      <c r="AV264" s="200" t="str">
        <f>IFERROR(VLOOKUP(TableHandbook[[#This Row],[UDC]],TableSTRUEDSCI[],7,FALSE),"")</f>
        <v/>
      </c>
      <c r="AW264" s="200" t="str">
        <f>IFERROR(VLOOKUP(TableHandbook[[#This Row],[UDC]],TableSTRUENGLB[],7,FALSE),"")</f>
        <v/>
      </c>
      <c r="AX264" s="200" t="str">
        <f>IFERROR(VLOOKUP(TableHandbook[[#This Row],[UDC]],TableSTRUENGLM[],7,FALSE),"")</f>
        <v/>
      </c>
      <c r="AY264" s="200" t="str">
        <f>IFERROR(VLOOKUP(TableHandbook[[#This Row],[UDC]],TableSTRUGEOB1[],7,FALSE),"")</f>
        <v/>
      </c>
      <c r="AZ264" s="200" t="str">
        <f>IFERROR(VLOOKUP(TableHandbook[[#This Row],[UDC]],TableSTRUHISB1[],7,FALSE),"")</f>
        <v/>
      </c>
      <c r="BA264" s="200" t="str">
        <f>IFERROR(VLOOKUP(TableHandbook[[#This Row],[UDC]],TableSTRUHUMAM[],7,FALSE),"")</f>
        <v/>
      </c>
      <c r="BB264" s="200" t="str">
        <f>IFERROR(VLOOKUP(TableHandbook[[#This Row],[UDC]],TableSTRUHUMBB[],7,FALSE),"")</f>
        <v/>
      </c>
      <c r="BC264" s="200" t="str">
        <f>IFERROR(VLOOKUP(TableHandbook[[#This Row],[UDC]],TableSTRUMATHB[],7,FALSE),"")</f>
        <v/>
      </c>
      <c r="BD264" s="200" t="str">
        <f>IFERROR(VLOOKUP(TableHandbook[[#This Row],[UDC]],TableSTRUMATHM[],7,FALSE),"")</f>
        <v/>
      </c>
      <c r="BE264" s="200" t="str">
        <f>IFERROR(VLOOKUP(TableHandbook[[#This Row],[UDC]],TableSTRUPARTB[],7,FALSE),"")</f>
        <v/>
      </c>
      <c r="BF264" s="200" t="str">
        <f>IFERROR(VLOOKUP(TableHandbook[[#This Row],[UDC]],TableSTRUPARTM[],7,FALSE),"")</f>
        <v/>
      </c>
      <c r="BG264" s="200" t="str">
        <f>IFERROR(VLOOKUP(TableHandbook[[#This Row],[UDC]],TableSTRUPOLB1[],7,FALSE),"")</f>
        <v/>
      </c>
      <c r="BH264" s="200" t="str">
        <f>IFERROR(VLOOKUP(TableHandbook[[#This Row],[UDC]],TableSTRUPSCIM[],7,FALSE),"")</f>
        <v/>
      </c>
      <c r="BI264" s="200" t="str">
        <f>IFERROR(VLOOKUP(TableHandbook[[#This Row],[UDC]],TableSTRUPSYCB[],7,FALSE),"")</f>
        <v/>
      </c>
      <c r="BJ264" s="200" t="str">
        <f>IFERROR(VLOOKUP(TableHandbook[[#This Row],[UDC]],TableSTRUPSYCM[],7,FALSE),"")</f>
        <v/>
      </c>
      <c r="BK264" s="200" t="str">
        <f>IFERROR(VLOOKUP(TableHandbook[[#This Row],[UDC]],TableSTRUSOSCM[],7,FALSE),"")</f>
        <v/>
      </c>
      <c r="BL264" s="200" t="str">
        <f>IFERROR(VLOOKUP(TableHandbook[[#This Row],[UDC]],TableSTRUVARTB[],7,FALSE),"")</f>
        <v/>
      </c>
      <c r="BM264" s="200" t="str">
        <f>IFERROR(VLOOKUP(TableHandbook[[#This Row],[UDC]],TableSTRUVARTM[],7,FALSE),"")</f>
        <v/>
      </c>
    </row>
    <row r="265" spans="1:65" x14ac:dyDescent="0.25">
      <c r="A265" s="262" t="s">
        <v>261</v>
      </c>
      <c r="B265" s="12">
        <v>2</v>
      </c>
      <c r="C265" s="11"/>
      <c r="D265" s="11" t="s">
        <v>359</v>
      </c>
      <c r="E265" s="12">
        <v>150</v>
      </c>
      <c r="F265" s="131" t="s">
        <v>540</v>
      </c>
      <c r="G265" s="126" t="str">
        <f>IFERROR(IF(VLOOKUP(TableHandbook[[#This Row],[UDC]],TableAvailabilities[],2,FALSE)&gt;0,"Y",""),"")</f>
        <v/>
      </c>
      <c r="H265" s="127" t="str">
        <f>IFERROR(IF(VLOOKUP(TableHandbook[[#This Row],[UDC]],TableAvailabilities[],3,FALSE)&gt;0,"Y",""),"")</f>
        <v/>
      </c>
      <c r="I265" s="127" t="str">
        <f>IFERROR(IF(VLOOKUP(TableHandbook[[#This Row],[UDC]],TableAvailabilities[],4,FALSE)&gt;0,"Y",""),"")</f>
        <v/>
      </c>
      <c r="J265" s="128" t="str">
        <f>IFERROR(IF(VLOOKUP(TableHandbook[[#This Row],[UDC]],TableAvailabilities[],5,FALSE)&gt;0,"Y",""),"")</f>
        <v/>
      </c>
      <c r="K265" s="128" t="str">
        <f>IFERROR(IF(VLOOKUP(TableHandbook[[#This Row],[UDC]],TableAvailabilities[],6,FALSE)&gt;0,"Y",""),"")</f>
        <v/>
      </c>
      <c r="L265" s="127" t="str">
        <f>IFERROR(IF(VLOOKUP(TableHandbook[[#This Row],[UDC]],TableAvailabilities[],7,FALSE)&gt;0,"Y",""),"")</f>
        <v/>
      </c>
      <c r="M265" s="251"/>
      <c r="N265" s="200" t="str">
        <f>IFERROR(VLOOKUP(TableHandbook[[#This Row],[UDC]],TableBEDUC[],7,FALSE),"")</f>
        <v/>
      </c>
      <c r="O265" s="200" t="str">
        <f>IFERROR(VLOOKUP(TableHandbook[[#This Row],[UDC]],TableBEDEC[],7,FALSE),"")</f>
        <v/>
      </c>
      <c r="P265" s="200" t="str">
        <f>IFERROR(VLOOKUP(TableHandbook[[#This Row],[UDC]],TableBEDPR[],7,FALSE),"")</f>
        <v/>
      </c>
      <c r="Q265" s="200" t="str">
        <f>IFERROR(VLOOKUP(TableHandbook[[#This Row],[UDC]],TableSTRUCATHL[],7,FALSE),"")</f>
        <v/>
      </c>
      <c r="R265" s="200" t="str">
        <f>IFERROR(VLOOKUP(TableHandbook[[#This Row],[UDC]],TableSTRUENGLL[],7,FALSE),"")</f>
        <v/>
      </c>
      <c r="S265" s="200" t="str">
        <f>IFERROR(VLOOKUP(TableHandbook[[#This Row],[UDC]],TableSTRUINTBC[],7,FALSE),"")</f>
        <v/>
      </c>
      <c r="T265" s="200" t="str">
        <f>IFERROR(VLOOKUP(TableHandbook[[#This Row],[UDC]],TableSTRUISTEM[],7,FALSE),"")</f>
        <v/>
      </c>
      <c r="U265" s="200" t="str">
        <f>IFERROR(VLOOKUP(TableHandbook[[#This Row],[UDC]],TableSTRULITNU[],7,FALSE),"")</f>
        <v/>
      </c>
      <c r="V265" s="200" t="str">
        <f>IFERROR(VLOOKUP(TableHandbook[[#This Row],[UDC]],TableSTRUTECHS[],7,FALSE),"")</f>
        <v/>
      </c>
      <c r="W265" s="200" t="str">
        <f>IFERROR(VLOOKUP(TableHandbook[[#This Row],[UDC]],TableBEDSC[],7,FALSE),"")</f>
        <v/>
      </c>
      <c r="X265" s="200" t="str">
        <f>IFERROR(VLOOKUP(TableHandbook[[#This Row],[UDC]],TableMJRUARTDR[],7,FALSE),"")</f>
        <v/>
      </c>
      <c r="Y265" s="200" t="str">
        <f>IFERROR(VLOOKUP(TableHandbook[[#This Row],[UDC]],TableMJRUARTME[],7,FALSE),"")</f>
        <v/>
      </c>
      <c r="Z265" s="200" t="str">
        <f>IFERROR(VLOOKUP(TableHandbook[[#This Row],[UDC]],TableMJRUARTVA[],7,FALSE),"")</f>
        <v/>
      </c>
      <c r="AA265" s="200" t="str">
        <f>IFERROR(VLOOKUP(TableHandbook[[#This Row],[UDC]],TableMJRUENGLT[],7,FALSE),"")</f>
        <v>Core</v>
      </c>
      <c r="AB265" s="200" t="str">
        <f>IFERROR(VLOOKUP(TableHandbook[[#This Row],[UDC]],TableMJRUHLTPE[],7,FALSE),"")</f>
        <v/>
      </c>
      <c r="AC265" s="200" t="str">
        <f>IFERROR(VLOOKUP(TableHandbook[[#This Row],[UDC]],TableMJRUHUSEC[],7,FALSE),"")</f>
        <v>Option</v>
      </c>
      <c r="AD265" s="200" t="str">
        <f>IFERROR(VLOOKUP(TableHandbook[[#This Row],[UDC]],TableMJRUHUSGE[],7,FALSE),"")</f>
        <v>Option</v>
      </c>
      <c r="AE265" s="200" t="str">
        <f>IFERROR(VLOOKUP(TableHandbook[[#This Row],[UDC]],TableMJRUHUSHI[],7,FALSE),"")</f>
        <v>Option</v>
      </c>
      <c r="AF265" s="200" t="str">
        <f>IFERROR(VLOOKUP(TableHandbook[[#This Row],[UDC]],TableMJRUHUSPL[],7,FALSE),"")</f>
        <v>Option</v>
      </c>
      <c r="AG265" s="200" t="str">
        <f>IFERROR(VLOOKUP(TableHandbook[[#This Row],[UDC]],TableMJRUMATHT[],7,FALSE),"")</f>
        <v>Option</v>
      </c>
      <c r="AH265" s="200" t="str">
        <f>IFERROR(VLOOKUP(TableHandbook[[#This Row],[UDC]],TableMJRUSCIBI[],7,FALSE),"")</f>
        <v>Option</v>
      </c>
      <c r="AI265" s="200" t="str">
        <f>IFERROR(VLOOKUP(TableHandbook[[#This Row],[UDC]],TableMJRUSCICH[],7,FALSE),"")</f>
        <v>Option</v>
      </c>
      <c r="AJ265" s="200" t="str">
        <f>IFERROR(VLOOKUP(TableHandbook[[#This Row],[UDC]],TableMJRUSCIHB[],7,FALSE),"")</f>
        <v>Option</v>
      </c>
      <c r="AK265" s="200" t="str">
        <f>IFERROR(VLOOKUP(TableHandbook[[#This Row],[UDC]],TableMJRUSCIPH[],7,FALSE),"")</f>
        <v/>
      </c>
      <c r="AL265" s="200" t="str">
        <f>IFERROR(VLOOKUP(TableHandbook[[#This Row],[UDC]],TableMJRUSCIPS[],7,FALSE),"")</f>
        <v>Option</v>
      </c>
      <c r="AM265" s="202"/>
      <c r="AN265" s="200" t="str">
        <f>IFERROR(VLOOKUP(TableHandbook[[#This Row],[UDC]],TableSTRUBIOLB[],7,FALSE),"")</f>
        <v/>
      </c>
      <c r="AO265" s="200" t="str">
        <f>IFERROR(VLOOKUP(TableHandbook[[#This Row],[UDC]],TableSTRUBSCIM[],7,FALSE),"")</f>
        <v/>
      </c>
      <c r="AP265" s="200" t="str">
        <f>IFERROR(VLOOKUP(TableHandbook[[#This Row],[UDC]],TableSTRUCHEMB[],7,FALSE),"")</f>
        <v/>
      </c>
      <c r="AQ265" s="200" t="str">
        <f>IFERROR(VLOOKUP(TableHandbook[[#This Row],[UDC]],TableSTRUECOB1[],7,FALSE),"")</f>
        <v/>
      </c>
      <c r="AR265" s="200" t="str">
        <f>IFERROR(VLOOKUP(TableHandbook[[#This Row],[UDC]],TableSTRUEDART[],7,FALSE),"")</f>
        <v/>
      </c>
      <c r="AS265" s="200" t="str">
        <f>IFERROR(VLOOKUP(TableHandbook[[#This Row],[UDC]],TableSTRUEDENG[],7,FALSE),"")</f>
        <v/>
      </c>
      <c r="AT265" s="200" t="str">
        <f>IFERROR(VLOOKUP(TableHandbook[[#This Row],[UDC]],TableSTRUEDHAS[],7,FALSE),"")</f>
        <v/>
      </c>
      <c r="AU265" s="200" t="str">
        <f>IFERROR(VLOOKUP(TableHandbook[[#This Row],[UDC]],TableSTRUEDMAT[],7,FALSE),"")</f>
        <v/>
      </c>
      <c r="AV265" s="200" t="str">
        <f>IFERROR(VLOOKUP(TableHandbook[[#This Row],[UDC]],TableSTRUEDSCI[],7,FALSE),"")</f>
        <v/>
      </c>
      <c r="AW265" s="200" t="str">
        <f>IFERROR(VLOOKUP(TableHandbook[[#This Row],[UDC]],TableSTRUENGLB[],7,FALSE),"")</f>
        <v/>
      </c>
      <c r="AX265" s="200" t="str">
        <f>IFERROR(VLOOKUP(TableHandbook[[#This Row],[UDC]],TableSTRUENGLM[],7,FALSE),"")</f>
        <v/>
      </c>
      <c r="AY265" s="200" t="str">
        <f>IFERROR(VLOOKUP(TableHandbook[[#This Row],[UDC]],TableSTRUGEOB1[],7,FALSE),"")</f>
        <v/>
      </c>
      <c r="AZ265" s="200" t="str">
        <f>IFERROR(VLOOKUP(TableHandbook[[#This Row],[UDC]],TableSTRUHISB1[],7,FALSE),"")</f>
        <v/>
      </c>
      <c r="BA265" s="200" t="str">
        <f>IFERROR(VLOOKUP(TableHandbook[[#This Row],[UDC]],TableSTRUHUMAM[],7,FALSE),"")</f>
        <v/>
      </c>
      <c r="BB265" s="200" t="str">
        <f>IFERROR(VLOOKUP(TableHandbook[[#This Row],[UDC]],TableSTRUHUMBB[],7,FALSE),"")</f>
        <v/>
      </c>
      <c r="BC265" s="200" t="str">
        <f>IFERROR(VLOOKUP(TableHandbook[[#This Row],[UDC]],TableSTRUMATHB[],7,FALSE),"")</f>
        <v/>
      </c>
      <c r="BD265" s="200" t="str">
        <f>IFERROR(VLOOKUP(TableHandbook[[#This Row],[UDC]],TableSTRUMATHM[],7,FALSE),"")</f>
        <v/>
      </c>
      <c r="BE265" s="200" t="str">
        <f>IFERROR(VLOOKUP(TableHandbook[[#This Row],[UDC]],TableSTRUPARTB[],7,FALSE),"")</f>
        <v/>
      </c>
      <c r="BF265" s="200" t="str">
        <f>IFERROR(VLOOKUP(TableHandbook[[#This Row],[UDC]],TableSTRUPARTM[],7,FALSE),"")</f>
        <v/>
      </c>
      <c r="BG265" s="200" t="str">
        <f>IFERROR(VLOOKUP(TableHandbook[[#This Row],[UDC]],TableSTRUPOLB1[],7,FALSE),"")</f>
        <v/>
      </c>
      <c r="BH265" s="200" t="str">
        <f>IFERROR(VLOOKUP(TableHandbook[[#This Row],[UDC]],TableSTRUPSCIM[],7,FALSE),"")</f>
        <v/>
      </c>
      <c r="BI265" s="200" t="str">
        <f>IFERROR(VLOOKUP(TableHandbook[[#This Row],[UDC]],TableSTRUPSYCB[],7,FALSE),"")</f>
        <v/>
      </c>
      <c r="BJ265" s="200" t="str">
        <f>IFERROR(VLOOKUP(TableHandbook[[#This Row],[UDC]],TableSTRUPSYCM[],7,FALSE),"")</f>
        <v/>
      </c>
      <c r="BK265" s="200" t="str">
        <f>IFERROR(VLOOKUP(TableHandbook[[#This Row],[UDC]],TableSTRUSOSCM[],7,FALSE),"")</f>
        <v/>
      </c>
      <c r="BL265" s="200" t="str">
        <f>IFERROR(VLOOKUP(TableHandbook[[#This Row],[UDC]],TableSTRUVARTB[],7,FALSE),"")</f>
        <v/>
      </c>
      <c r="BM265" s="200" t="str">
        <f>IFERROR(VLOOKUP(TableHandbook[[#This Row],[UDC]],TableSTRUVARTM[],7,FALSE),"")</f>
        <v/>
      </c>
    </row>
    <row r="266" spans="1:65" x14ac:dyDescent="0.25">
      <c r="A266" s="262" t="s">
        <v>362</v>
      </c>
      <c r="B266" s="12">
        <v>1</v>
      </c>
      <c r="C266" s="11"/>
      <c r="D266" s="11" t="s">
        <v>361</v>
      </c>
      <c r="E266" s="12">
        <v>150</v>
      </c>
      <c r="F266" s="131" t="s">
        <v>540</v>
      </c>
      <c r="G266" s="126" t="str">
        <f>IFERROR(IF(VLOOKUP(TableHandbook[[#This Row],[UDC]],TableAvailabilities[],2,FALSE)&gt;0,"Y",""),"")</f>
        <v/>
      </c>
      <c r="H266" s="127" t="str">
        <f>IFERROR(IF(VLOOKUP(TableHandbook[[#This Row],[UDC]],TableAvailabilities[],3,FALSE)&gt;0,"Y",""),"")</f>
        <v/>
      </c>
      <c r="I266" s="127" t="str">
        <f>IFERROR(IF(VLOOKUP(TableHandbook[[#This Row],[UDC]],TableAvailabilities[],4,FALSE)&gt;0,"Y",""),"")</f>
        <v/>
      </c>
      <c r="J266" s="128" t="str">
        <f>IFERROR(IF(VLOOKUP(TableHandbook[[#This Row],[UDC]],TableAvailabilities[],5,FALSE)&gt;0,"Y",""),"")</f>
        <v/>
      </c>
      <c r="K266" s="128" t="str">
        <f>IFERROR(IF(VLOOKUP(TableHandbook[[#This Row],[UDC]],TableAvailabilities[],6,FALSE)&gt;0,"Y",""),"")</f>
        <v/>
      </c>
      <c r="L266" s="127" t="str">
        <f>IFERROR(IF(VLOOKUP(TableHandbook[[#This Row],[UDC]],TableAvailabilities[],7,FALSE)&gt;0,"Y",""),"")</f>
        <v/>
      </c>
      <c r="M266" s="251"/>
      <c r="N266" s="200" t="str">
        <f>IFERROR(VLOOKUP(TableHandbook[[#This Row],[UDC]],TableBEDUC[],7,FALSE),"")</f>
        <v/>
      </c>
      <c r="O266" s="200" t="str">
        <f>IFERROR(VLOOKUP(TableHandbook[[#This Row],[UDC]],TableBEDEC[],7,FALSE),"")</f>
        <v/>
      </c>
      <c r="P266" s="200" t="str">
        <f>IFERROR(VLOOKUP(TableHandbook[[#This Row],[UDC]],TableBEDPR[],7,FALSE),"")</f>
        <v/>
      </c>
      <c r="Q266" s="200" t="str">
        <f>IFERROR(VLOOKUP(TableHandbook[[#This Row],[UDC]],TableSTRUCATHL[],7,FALSE),"")</f>
        <v/>
      </c>
      <c r="R266" s="200" t="str">
        <f>IFERROR(VLOOKUP(TableHandbook[[#This Row],[UDC]],TableSTRUENGLL[],7,FALSE),"")</f>
        <v/>
      </c>
      <c r="S266" s="200" t="str">
        <f>IFERROR(VLOOKUP(TableHandbook[[#This Row],[UDC]],TableSTRUINTBC[],7,FALSE),"")</f>
        <v/>
      </c>
      <c r="T266" s="200" t="str">
        <f>IFERROR(VLOOKUP(TableHandbook[[#This Row],[UDC]],TableSTRUISTEM[],7,FALSE),"")</f>
        <v/>
      </c>
      <c r="U266" s="200" t="str">
        <f>IFERROR(VLOOKUP(TableHandbook[[#This Row],[UDC]],TableSTRULITNU[],7,FALSE),"")</f>
        <v/>
      </c>
      <c r="V266" s="200" t="str">
        <f>IFERROR(VLOOKUP(TableHandbook[[#This Row],[UDC]],TableSTRUTECHS[],7,FALSE),"")</f>
        <v/>
      </c>
      <c r="W266" s="200" t="str">
        <f>IFERROR(VLOOKUP(TableHandbook[[#This Row],[UDC]],TableBEDSC[],7,FALSE),"")</f>
        <v/>
      </c>
      <c r="X266" s="200" t="str">
        <f>IFERROR(VLOOKUP(TableHandbook[[#This Row],[UDC]],TableMJRUARTDR[],7,FALSE),"")</f>
        <v/>
      </c>
      <c r="Y266" s="200" t="str">
        <f>IFERROR(VLOOKUP(TableHandbook[[#This Row],[UDC]],TableMJRUARTME[],7,FALSE),"")</f>
        <v/>
      </c>
      <c r="Z266" s="200" t="str">
        <f>IFERROR(VLOOKUP(TableHandbook[[#This Row],[UDC]],TableMJRUARTVA[],7,FALSE),"")</f>
        <v/>
      </c>
      <c r="AA266" s="200" t="str">
        <f>IFERROR(VLOOKUP(TableHandbook[[#This Row],[UDC]],TableMJRUENGLT[],7,FALSE),"")</f>
        <v/>
      </c>
      <c r="AB266" s="200" t="str">
        <f>IFERROR(VLOOKUP(TableHandbook[[#This Row],[UDC]],TableMJRUHLTPE[],7,FALSE),"")</f>
        <v/>
      </c>
      <c r="AC266" s="200" t="str">
        <f>IFERROR(VLOOKUP(TableHandbook[[#This Row],[UDC]],TableMJRUHUSEC[],7,FALSE),"")</f>
        <v/>
      </c>
      <c r="AD266" s="200" t="str">
        <f>IFERROR(VLOOKUP(TableHandbook[[#This Row],[UDC]],TableMJRUHUSGE[],7,FALSE),"")</f>
        <v/>
      </c>
      <c r="AE266" s="200" t="str">
        <f>IFERROR(VLOOKUP(TableHandbook[[#This Row],[UDC]],TableMJRUHUSHI[],7,FALSE),"")</f>
        <v/>
      </c>
      <c r="AF266" s="200" t="str">
        <f>IFERROR(VLOOKUP(TableHandbook[[#This Row],[UDC]],TableMJRUHUSPL[],7,FALSE),"")</f>
        <v>Option</v>
      </c>
      <c r="AG266" s="200" t="str">
        <f>IFERROR(VLOOKUP(TableHandbook[[#This Row],[UDC]],TableMJRUMATHT[],7,FALSE),"")</f>
        <v/>
      </c>
      <c r="AH266" s="200" t="str">
        <f>IFERROR(VLOOKUP(TableHandbook[[#This Row],[UDC]],TableMJRUSCIBI[],7,FALSE),"")</f>
        <v/>
      </c>
      <c r="AI266" s="200" t="str">
        <f>IFERROR(VLOOKUP(TableHandbook[[#This Row],[UDC]],TableMJRUSCICH[],7,FALSE),"")</f>
        <v/>
      </c>
      <c r="AJ266" s="200" t="str">
        <f>IFERROR(VLOOKUP(TableHandbook[[#This Row],[UDC]],TableMJRUSCIHB[],7,FALSE),"")</f>
        <v/>
      </c>
      <c r="AK266" s="200" t="str">
        <f>IFERROR(VLOOKUP(TableHandbook[[#This Row],[UDC]],TableMJRUSCIPH[],7,FALSE),"")</f>
        <v/>
      </c>
      <c r="AL266" s="200" t="str">
        <f>IFERROR(VLOOKUP(TableHandbook[[#This Row],[UDC]],TableMJRUSCIPS[],7,FALSE),"")</f>
        <v/>
      </c>
      <c r="AM266" s="202"/>
      <c r="AN266" s="200" t="str">
        <f>IFERROR(VLOOKUP(TableHandbook[[#This Row],[UDC]],TableSTRUBIOLB[],7,FALSE),"")</f>
        <v/>
      </c>
      <c r="AO266" s="200" t="str">
        <f>IFERROR(VLOOKUP(TableHandbook[[#This Row],[UDC]],TableSTRUBSCIM[],7,FALSE),"")</f>
        <v/>
      </c>
      <c r="AP266" s="200" t="str">
        <f>IFERROR(VLOOKUP(TableHandbook[[#This Row],[UDC]],TableSTRUCHEMB[],7,FALSE),"")</f>
        <v/>
      </c>
      <c r="AQ266" s="200" t="str">
        <f>IFERROR(VLOOKUP(TableHandbook[[#This Row],[UDC]],TableSTRUECOB1[],7,FALSE),"")</f>
        <v/>
      </c>
      <c r="AR266" s="200" t="str">
        <f>IFERROR(VLOOKUP(TableHandbook[[#This Row],[UDC]],TableSTRUEDART[],7,FALSE),"")</f>
        <v/>
      </c>
      <c r="AS266" s="200" t="str">
        <f>IFERROR(VLOOKUP(TableHandbook[[#This Row],[UDC]],TableSTRUEDENG[],7,FALSE),"")</f>
        <v/>
      </c>
      <c r="AT266" s="200" t="str">
        <f>IFERROR(VLOOKUP(TableHandbook[[#This Row],[UDC]],TableSTRUEDHAS[],7,FALSE),"")</f>
        <v/>
      </c>
      <c r="AU266" s="200" t="str">
        <f>IFERROR(VLOOKUP(TableHandbook[[#This Row],[UDC]],TableSTRUEDMAT[],7,FALSE),"")</f>
        <v/>
      </c>
      <c r="AV266" s="200" t="str">
        <f>IFERROR(VLOOKUP(TableHandbook[[#This Row],[UDC]],TableSTRUEDSCI[],7,FALSE),"")</f>
        <v/>
      </c>
      <c r="AW266" s="200" t="str">
        <f>IFERROR(VLOOKUP(TableHandbook[[#This Row],[UDC]],TableSTRUENGLB[],7,FALSE),"")</f>
        <v/>
      </c>
      <c r="AX266" s="200" t="str">
        <f>IFERROR(VLOOKUP(TableHandbook[[#This Row],[UDC]],TableSTRUENGLM[],7,FALSE),"")</f>
        <v/>
      </c>
      <c r="AY266" s="200" t="str">
        <f>IFERROR(VLOOKUP(TableHandbook[[#This Row],[UDC]],TableSTRUGEOB1[],7,FALSE),"")</f>
        <v/>
      </c>
      <c r="AZ266" s="200" t="str">
        <f>IFERROR(VLOOKUP(TableHandbook[[#This Row],[UDC]],TableSTRUHISB1[],7,FALSE),"")</f>
        <v/>
      </c>
      <c r="BA266" s="200" t="str">
        <f>IFERROR(VLOOKUP(TableHandbook[[#This Row],[UDC]],TableSTRUHUMAM[],7,FALSE),"")</f>
        <v/>
      </c>
      <c r="BB266" s="200" t="str">
        <f>IFERROR(VLOOKUP(TableHandbook[[#This Row],[UDC]],TableSTRUHUMBB[],7,FALSE),"")</f>
        <v/>
      </c>
      <c r="BC266" s="200" t="str">
        <f>IFERROR(VLOOKUP(TableHandbook[[#This Row],[UDC]],TableSTRUMATHB[],7,FALSE),"")</f>
        <v/>
      </c>
      <c r="BD266" s="200" t="str">
        <f>IFERROR(VLOOKUP(TableHandbook[[#This Row],[UDC]],TableSTRUMATHM[],7,FALSE),"")</f>
        <v/>
      </c>
      <c r="BE266" s="200" t="str">
        <f>IFERROR(VLOOKUP(TableHandbook[[#This Row],[UDC]],TableSTRUPARTB[],7,FALSE),"")</f>
        <v/>
      </c>
      <c r="BF266" s="200" t="str">
        <f>IFERROR(VLOOKUP(TableHandbook[[#This Row],[UDC]],TableSTRUPARTM[],7,FALSE),"")</f>
        <v/>
      </c>
      <c r="BG266" s="200" t="str">
        <f>IFERROR(VLOOKUP(TableHandbook[[#This Row],[UDC]],TableSTRUPOLB1[],7,FALSE),"")</f>
        <v/>
      </c>
      <c r="BH266" s="200" t="str">
        <f>IFERROR(VLOOKUP(TableHandbook[[#This Row],[UDC]],TableSTRUPSCIM[],7,FALSE),"")</f>
        <v/>
      </c>
      <c r="BI266" s="200" t="str">
        <f>IFERROR(VLOOKUP(TableHandbook[[#This Row],[UDC]],TableSTRUPSYCB[],7,FALSE),"")</f>
        <v/>
      </c>
      <c r="BJ266" s="200" t="str">
        <f>IFERROR(VLOOKUP(TableHandbook[[#This Row],[UDC]],TableSTRUPSYCM[],7,FALSE),"")</f>
        <v/>
      </c>
      <c r="BK266" s="200" t="str">
        <f>IFERROR(VLOOKUP(TableHandbook[[#This Row],[UDC]],TableSTRUSOSCM[],7,FALSE),"")</f>
        <v/>
      </c>
      <c r="BL266" s="200" t="str">
        <f>IFERROR(VLOOKUP(TableHandbook[[#This Row],[UDC]],TableSTRUVARTB[],7,FALSE),"")</f>
        <v/>
      </c>
      <c r="BM266" s="200" t="str">
        <f>IFERROR(VLOOKUP(TableHandbook[[#This Row],[UDC]],TableSTRUVARTM[],7,FALSE),"")</f>
        <v/>
      </c>
    </row>
    <row r="267" spans="1:65" x14ac:dyDescent="0.25">
      <c r="A267" s="262" t="s">
        <v>208</v>
      </c>
      <c r="B267" s="12">
        <v>2</v>
      </c>
      <c r="C267" s="11"/>
      <c r="D267" s="11" t="s">
        <v>376</v>
      </c>
      <c r="E267" s="12">
        <v>150</v>
      </c>
      <c r="F267" s="131" t="s">
        <v>540</v>
      </c>
      <c r="G267" s="126" t="str">
        <f>IFERROR(IF(VLOOKUP(TableHandbook[[#This Row],[UDC]],TableAvailabilities[],2,FALSE)&gt;0,"Y",""),"")</f>
        <v/>
      </c>
      <c r="H267" s="127" t="str">
        <f>IFERROR(IF(VLOOKUP(TableHandbook[[#This Row],[UDC]],TableAvailabilities[],3,FALSE)&gt;0,"Y",""),"")</f>
        <v/>
      </c>
      <c r="I267" s="127" t="str">
        <f>IFERROR(IF(VLOOKUP(TableHandbook[[#This Row],[UDC]],TableAvailabilities[],4,FALSE)&gt;0,"Y",""),"")</f>
        <v/>
      </c>
      <c r="J267" s="128" t="str">
        <f>IFERROR(IF(VLOOKUP(TableHandbook[[#This Row],[UDC]],TableAvailabilities[],5,FALSE)&gt;0,"Y",""),"")</f>
        <v/>
      </c>
      <c r="K267" s="128" t="str">
        <f>IFERROR(IF(VLOOKUP(TableHandbook[[#This Row],[UDC]],TableAvailabilities[],6,FALSE)&gt;0,"Y",""),"")</f>
        <v/>
      </c>
      <c r="L267" s="127" t="str">
        <f>IFERROR(IF(VLOOKUP(TableHandbook[[#This Row],[UDC]],TableAvailabilities[],7,FALSE)&gt;0,"Y",""),"")</f>
        <v/>
      </c>
      <c r="M267" s="251"/>
      <c r="N267" s="200" t="str">
        <f>IFERROR(VLOOKUP(TableHandbook[[#This Row],[UDC]],TableBEDUC[],7,FALSE),"")</f>
        <v/>
      </c>
      <c r="O267" s="200" t="str">
        <f>IFERROR(VLOOKUP(TableHandbook[[#This Row],[UDC]],TableBEDEC[],7,FALSE),"")</f>
        <v/>
      </c>
      <c r="P267" s="200" t="str">
        <f>IFERROR(VLOOKUP(TableHandbook[[#This Row],[UDC]],TableBEDPR[],7,FALSE),"")</f>
        <v/>
      </c>
      <c r="Q267" s="200" t="str">
        <f>IFERROR(VLOOKUP(TableHandbook[[#This Row],[UDC]],TableSTRUCATHL[],7,FALSE),"")</f>
        <v/>
      </c>
      <c r="R267" s="200" t="str">
        <f>IFERROR(VLOOKUP(TableHandbook[[#This Row],[UDC]],TableSTRUENGLL[],7,FALSE),"")</f>
        <v/>
      </c>
      <c r="S267" s="200" t="str">
        <f>IFERROR(VLOOKUP(TableHandbook[[#This Row],[UDC]],TableSTRUINTBC[],7,FALSE),"")</f>
        <v/>
      </c>
      <c r="T267" s="200" t="str">
        <f>IFERROR(VLOOKUP(TableHandbook[[#This Row],[UDC]],TableSTRUISTEM[],7,FALSE),"")</f>
        <v/>
      </c>
      <c r="U267" s="200" t="str">
        <f>IFERROR(VLOOKUP(TableHandbook[[#This Row],[UDC]],TableSTRULITNU[],7,FALSE),"")</f>
        <v/>
      </c>
      <c r="V267" s="200" t="str">
        <f>IFERROR(VLOOKUP(TableHandbook[[#This Row],[UDC]],TableSTRUTECHS[],7,FALSE),"")</f>
        <v/>
      </c>
      <c r="W267" s="200" t="str">
        <f>IFERROR(VLOOKUP(TableHandbook[[#This Row],[UDC]],TableBEDSC[],7,FALSE),"")</f>
        <v/>
      </c>
      <c r="X267" s="200" t="str">
        <f>IFERROR(VLOOKUP(TableHandbook[[#This Row],[UDC]],TableMJRUARTDR[],7,FALSE),"")</f>
        <v>Option</v>
      </c>
      <c r="Y267" s="200" t="str">
        <f>IFERROR(VLOOKUP(TableHandbook[[#This Row],[UDC]],TableMJRUARTME[],7,FALSE),"")</f>
        <v>Option</v>
      </c>
      <c r="Z267" s="200" t="str">
        <f>IFERROR(VLOOKUP(TableHandbook[[#This Row],[UDC]],TableMJRUARTVA[],7,FALSE),"")</f>
        <v>Option</v>
      </c>
      <c r="AA267" s="200" t="str">
        <f>IFERROR(VLOOKUP(TableHandbook[[#This Row],[UDC]],TableMJRUENGLT[],7,FALSE),"")</f>
        <v>Core</v>
      </c>
      <c r="AB267" s="200" t="str">
        <f>IFERROR(VLOOKUP(TableHandbook[[#This Row],[UDC]],TableMJRUHLTPE[],7,FALSE),"")</f>
        <v/>
      </c>
      <c r="AC267" s="200" t="str">
        <f>IFERROR(VLOOKUP(TableHandbook[[#This Row],[UDC]],TableMJRUHUSEC[],7,FALSE),"")</f>
        <v>Option</v>
      </c>
      <c r="AD267" s="200" t="str">
        <f>IFERROR(VLOOKUP(TableHandbook[[#This Row],[UDC]],TableMJRUHUSGE[],7,FALSE),"")</f>
        <v>Option</v>
      </c>
      <c r="AE267" s="200" t="str">
        <f>IFERROR(VLOOKUP(TableHandbook[[#This Row],[UDC]],TableMJRUHUSHI[],7,FALSE),"")</f>
        <v>Option</v>
      </c>
      <c r="AF267" s="200" t="str">
        <f>IFERROR(VLOOKUP(TableHandbook[[#This Row],[UDC]],TableMJRUHUSPL[],7,FALSE),"")</f>
        <v>Option</v>
      </c>
      <c r="AG267" s="200" t="str">
        <f>IFERROR(VLOOKUP(TableHandbook[[#This Row],[UDC]],TableMJRUMATHT[],7,FALSE),"")</f>
        <v>Option</v>
      </c>
      <c r="AH267" s="200" t="str">
        <f>IFERROR(VLOOKUP(TableHandbook[[#This Row],[UDC]],TableMJRUSCIBI[],7,FALSE),"")</f>
        <v/>
      </c>
      <c r="AI267" s="200" t="str">
        <f>IFERROR(VLOOKUP(TableHandbook[[#This Row],[UDC]],TableMJRUSCICH[],7,FALSE),"")</f>
        <v/>
      </c>
      <c r="AJ267" s="200" t="str">
        <f>IFERROR(VLOOKUP(TableHandbook[[#This Row],[UDC]],TableMJRUSCIHB[],7,FALSE),"")</f>
        <v/>
      </c>
      <c r="AK267" s="200" t="str">
        <f>IFERROR(VLOOKUP(TableHandbook[[#This Row],[UDC]],TableMJRUSCIPH[],7,FALSE),"")</f>
        <v/>
      </c>
      <c r="AL267" s="200" t="str">
        <f>IFERROR(VLOOKUP(TableHandbook[[#This Row],[UDC]],TableMJRUSCIPS[],7,FALSE),"")</f>
        <v/>
      </c>
      <c r="AM267" s="202"/>
      <c r="AN267" s="200" t="str">
        <f>IFERROR(VLOOKUP(TableHandbook[[#This Row],[UDC]],TableSTRUBIOLB[],7,FALSE),"")</f>
        <v/>
      </c>
      <c r="AO267" s="200" t="str">
        <f>IFERROR(VLOOKUP(TableHandbook[[#This Row],[UDC]],TableSTRUBSCIM[],7,FALSE),"")</f>
        <v/>
      </c>
      <c r="AP267" s="200" t="str">
        <f>IFERROR(VLOOKUP(TableHandbook[[#This Row],[UDC]],TableSTRUCHEMB[],7,FALSE),"")</f>
        <v/>
      </c>
      <c r="AQ267" s="200" t="str">
        <f>IFERROR(VLOOKUP(TableHandbook[[#This Row],[UDC]],TableSTRUECOB1[],7,FALSE),"")</f>
        <v/>
      </c>
      <c r="AR267" s="200" t="str">
        <f>IFERROR(VLOOKUP(TableHandbook[[#This Row],[UDC]],TableSTRUEDART[],7,FALSE),"")</f>
        <v/>
      </c>
      <c r="AS267" s="200" t="str">
        <f>IFERROR(VLOOKUP(TableHandbook[[#This Row],[UDC]],TableSTRUEDENG[],7,FALSE),"")</f>
        <v/>
      </c>
      <c r="AT267" s="200" t="str">
        <f>IFERROR(VLOOKUP(TableHandbook[[#This Row],[UDC]],TableSTRUEDHAS[],7,FALSE),"")</f>
        <v/>
      </c>
      <c r="AU267" s="200" t="str">
        <f>IFERROR(VLOOKUP(TableHandbook[[#This Row],[UDC]],TableSTRUEDMAT[],7,FALSE),"")</f>
        <v/>
      </c>
      <c r="AV267" s="200" t="str">
        <f>IFERROR(VLOOKUP(TableHandbook[[#This Row],[UDC]],TableSTRUEDSCI[],7,FALSE),"")</f>
        <v/>
      </c>
      <c r="AW267" s="200" t="str">
        <f>IFERROR(VLOOKUP(TableHandbook[[#This Row],[UDC]],TableSTRUENGLB[],7,FALSE),"")</f>
        <v/>
      </c>
      <c r="AX267" s="200" t="str">
        <f>IFERROR(VLOOKUP(TableHandbook[[#This Row],[UDC]],TableSTRUENGLM[],7,FALSE),"")</f>
        <v/>
      </c>
      <c r="AY267" s="200" t="str">
        <f>IFERROR(VLOOKUP(TableHandbook[[#This Row],[UDC]],TableSTRUGEOB1[],7,FALSE),"")</f>
        <v/>
      </c>
      <c r="AZ267" s="200" t="str">
        <f>IFERROR(VLOOKUP(TableHandbook[[#This Row],[UDC]],TableSTRUHISB1[],7,FALSE),"")</f>
        <v/>
      </c>
      <c r="BA267" s="200" t="str">
        <f>IFERROR(VLOOKUP(TableHandbook[[#This Row],[UDC]],TableSTRUHUMAM[],7,FALSE),"")</f>
        <v/>
      </c>
      <c r="BB267" s="200" t="str">
        <f>IFERROR(VLOOKUP(TableHandbook[[#This Row],[UDC]],TableSTRUHUMBB[],7,FALSE),"")</f>
        <v/>
      </c>
      <c r="BC267" s="200" t="str">
        <f>IFERROR(VLOOKUP(TableHandbook[[#This Row],[UDC]],TableSTRUMATHB[],7,FALSE),"")</f>
        <v/>
      </c>
      <c r="BD267" s="200" t="str">
        <f>IFERROR(VLOOKUP(TableHandbook[[#This Row],[UDC]],TableSTRUMATHM[],7,FALSE),"")</f>
        <v/>
      </c>
      <c r="BE267" s="200" t="str">
        <f>IFERROR(VLOOKUP(TableHandbook[[#This Row],[UDC]],TableSTRUPARTB[],7,FALSE),"")</f>
        <v/>
      </c>
      <c r="BF267" s="200" t="str">
        <f>IFERROR(VLOOKUP(TableHandbook[[#This Row],[UDC]],TableSTRUPARTM[],7,FALSE),"")</f>
        <v/>
      </c>
      <c r="BG267" s="200" t="str">
        <f>IFERROR(VLOOKUP(TableHandbook[[#This Row],[UDC]],TableSTRUPOLB1[],7,FALSE),"")</f>
        <v/>
      </c>
      <c r="BH267" s="200" t="str">
        <f>IFERROR(VLOOKUP(TableHandbook[[#This Row],[UDC]],TableSTRUPSCIM[],7,FALSE),"")</f>
        <v/>
      </c>
      <c r="BI267" s="200" t="str">
        <f>IFERROR(VLOOKUP(TableHandbook[[#This Row],[UDC]],TableSTRUPSYCB[],7,FALSE),"")</f>
        <v/>
      </c>
      <c r="BJ267" s="200" t="str">
        <f>IFERROR(VLOOKUP(TableHandbook[[#This Row],[UDC]],TableSTRUPSYCM[],7,FALSE),"")</f>
        <v/>
      </c>
      <c r="BK267" s="200" t="str">
        <f>IFERROR(VLOOKUP(TableHandbook[[#This Row],[UDC]],TableSTRUSOSCM[],7,FALSE),"")</f>
        <v/>
      </c>
      <c r="BL267" s="200" t="str">
        <f>IFERROR(VLOOKUP(TableHandbook[[#This Row],[UDC]],TableSTRUVARTB[],7,FALSE),"")</f>
        <v/>
      </c>
      <c r="BM267" s="200" t="str">
        <f>IFERROR(VLOOKUP(TableHandbook[[#This Row],[UDC]],TableSTRUVARTM[],7,FALSE),"")</f>
        <v/>
      </c>
    </row>
    <row r="268" spans="1:65" x14ac:dyDescent="0.25">
      <c r="A268" s="262" t="s">
        <v>391</v>
      </c>
      <c r="B268" s="12">
        <v>2</v>
      </c>
      <c r="C268" s="11"/>
      <c r="D268" s="11" t="s">
        <v>390</v>
      </c>
      <c r="E268" s="12">
        <v>150</v>
      </c>
      <c r="F268" s="131" t="s">
        <v>540</v>
      </c>
      <c r="G268" s="126" t="str">
        <f>IFERROR(IF(VLOOKUP(TableHandbook[[#This Row],[UDC]],TableAvailabilities[],2,FALSE)&gt;0,"Y",""),"")</f>
        <v/>
      </c>
      <c r="H268" s="127" t="str">
        <f>IFERROR(IF(VLOOKUP(TableHandbook[[#This Row],[UDC]],TableAvailabilities[],3,FALSE)&gt;0,"Y",""),"")</f>
        <v/>
      </c>
      <c r="I268" s="127" t="str">
        <f>IFERROR(IF(VLOOKUP(TableHandbook[[#This Row],[UDC]],TableAvailabilities[],4,FALSE)&gt;0,"Y",""),"")</f>
        <v/>
      </c>
      <c r="J268" s="128" t="str">
        <f>IFERROR(IF(VLOOKUP(TableHandbook[[#This Row],[UDC]],TableAvailabilities[],5,FALSE)&gt;0,"Y",""),"")</f>
        <v/>
      </c>
      <c r="K268" s="128" t="str">
        <f>IFERROR(IF(VLOOKUP(TableHandbook[[#This Row],[UDC]],TableAvailabilities[],6,FALSE)&gt;0,"Y",""),"")</f>
        <v/>
      </c>
      <c r="L268" s="127" t="str">
        <f>IFERROR(IF(VLOOKUP(TableHandbook[[#This Row],[UDC]],TableAvailabilities[],7,FALSE)&gt;0,"Y",""),"")</f>
        <v/>
      </c>
      <c r="M268" s="251"/>
      <c r="N268" s="200" t="str">
        <f>IFERROR(VLOOKUP(TableHandbook[[#This Row],[UDC]],TableBEDUC[],7,FALSE),"")</f>
        <v/>
      </c>
      <c r="O268" s="200" t="str">
        <f>IFERROR(VLOOKUP(TableHandbook[[#This Row],[UDC]],TableBEDEC[],7,FALSE),"")</f>
        <v/>
      </c>
      <c r="P268" s="200" t="str">
        <f>IFERROR(VLOOKUP(TableHandbook[[#This Row],[UDC]],TableBEDPR[],7,FALSE),"")</f>
        <v/>
      </c>
      <c r="Q268" s="200" t="str">
        <f>IFERROR(VLOOKUP(TableHandbook[[#This Row],[UDC]],TableSTRUCATHL[],7,FALSE),"")</f>
        <v/>
      </c>
      <c r="R268" s="200" t="str">
        <f>IFERROR(VLOOKUP(TableHandbook[[#This Row],[UDC]],TableSTRUENGLL[],7,FALSE),"")</f>
        <v/>
      </c>
      <c r="S268" s="200" t="str">
        <f>IFERROR(VLOOKUP(TableHandbook[[#This Row],[UDC]],TableSTRUINTBC[],7,FALSE),"")</f>
        <v/>
      </c>
      <c r="T268" s="200" t="str">
        <f>IFERROR(VLOOKUP(TableHandbook[[#This Row],[UDC]],TableSTRUISTEM[],7,FALSE),"")</f>
        <v/>
      </c>
      <c r="U268" s="200" t="str">
        <f>IFERROR(VLOOKUP(TableHandbook[[#This Row],[UDC]],TableSTRULITNU[],7,FALSE),"")</f>
        <v/>
      </c>
      <c r="V268" s="200" t="str">
        <f>IFERROR(VLOOKUP(TableHandbook[[#This Row],[UDC]],TableSTRUTECHS[],7,FALSE),"")</f>
        <v/>
      </c>
      <c r="W268" s="200" t="str">
        <f>IFERROR(VLOOKUP(TableHandbook[[#This Row],[UDC]],TableBEDSC[],7,FALSE),"")</f>
        <v/>
      </c>
      <c r="X268" s="200" t="str">
        <f>IFERROR(VLOOKUP(TableHandbook[[#This Row],[UDC]],TableMJRUARTDR[],7,FALSE),"")</f>
        <v/>
      </c>
      <c r="Y268" s="200" t="str">
        <f>IFERROR(VLOOKUP(TableHandbook[[#This Row],[UDC]],TableMJRUARTME[],7,FALSE),"")</f>
        <v/>
      </c>
      <c r="Z268" s="200" t="str">
        <f>IFERROR(VLOOKUP(TableHandbook[[#This Row],[UDC]],TableMJRUARTVA[],7,FALSE),"")</f>
        <v/>
      </c>
      <c r="AA268" s="200" t="str">
        <f>IFERROR(VLOOKUP(TableHandbook[[#This Row],[UDC]],TableMJRUENGLT[],7,FALSE),"")</f>
        <v/>
      </c>
      <c r="AB268" s="200" t="str">
        <f>IFERROR(VLOOKUP(TableHandbook[[#This Row],[UDC]],TableMJRUHLTPE[],7,FALSE),"")</f>
        <v/>
      </c>
      <c r="AC268" s="200" t="str">
        <f>IFERROR(VLOOKUP(TableHandbook[[#This Row],[UDC]],TableMJRUHUSEC[],7,FALSE),"")</f>
        <v/>
      </c>
      <c r="AD268" s="200" t="str">
        <f>IFERROR(VLOOKUP(TableHandbook[[#This Row],[UDC]],TableMJRUHUSGE[],7,FALSE),"")</f>
        <v/>
      </c>
      <c r="AE268" s="200" t="str">
        <f>IFERROR(VLOOKUP(TableHandbook[[#This Row],[UDC]],TableMJRUHUSHI[],7,FALSE),"")</f>
        <v/>
      </c>
      <c r="AF268" s="200" t="str">
        <f>IFERROR(VLOOKUP(TableHandbook[[#This Row],[UDC]],TableMJRUHUSPL[],7,FALSE),"")</f>
        <v/>
      </c>
      <c r="AG268" s="200" t="str">
        <f>IFERROR(VLOOKUP(TableHandbook[[#This Row],[UDC]],TableMJRUMATHT[],7,FALSE),"")</f>
        <v/>
      </c>
      <c r="AH268" s="200" t="str">
        <f>IFERROR(VLOOKUP(TableHandbook[[#This Row],[UDC]],TableMJRUSCIBI[],7,FALSE),"")</f>
        <v/>
      </c>
      <c r="AI268" s="200" t="str">
        <f>IFERROR(VLOOKUP(TableHandbook[[#This Row],[UDC]],TableMJRUSCICH[],7,FALSE),"")</f>
        <v/>
      </c>
      <c r="AJ268" s="200" t="str">
        <f>IFERROR(VLOOKUP(TableHandbook[[#This Row],[UDC]],TableMJRUSCIHB[],7,FALSE),"")</f>
        <v/>
      </c>
      <c r="AK268" s="200" t="str">
        <f>IFERROR(VLOOKUP(TableHandbook[[#This Row],[UDC]],TableMJRUSCIPH[],7,FALSE),"")</f>
        <v/>
      </c>
      <c r="AL268" s="200" t="str">
        <f>IFERROR(VLOOKUP(TableHandbook[[#This Row],[UDC]],TableMJRUSCIPS[],7,FALSE),"")</f>
        <v>Option</v>
      </c>
      <c r="AM268" s="202"/>
      <c r="AN268" s="200" t="str">
        <f>IFERROR(VLOOKUP(TableHandbook[[#This Row],[UDC]],TableSTRUBIOLB[],7,FALSE),"")</f>
        <v/>
      </c>
      <c r="AO268" s="200" t="str">
        <f>IFERROR(VLOOKUP(TableHandbook[[#This Row],[UDC]],TableSTRUBSCIM[],7,FALSE),"")</f>
        <v/>
      </c>
      <c r="AP268" s="200" t="str">
        <f>IFERROR(VLOOKUP(TableHandbook[[#This Row],[UDC]],TableSTRUCHEMB[],7,FALSE),"")</f>
        <v/>
      </c>
      <c r="AQ268" s="200" t="str">
        <f>IFERROR(VLOOKUP(TableHandbook[[#This Row],[UDC]],TableSTRUECOB1[],7,FALSE),"")</f>
        <v/>
      </c>
      <c r="AR268" s="200" t="str">
        <f>IFERROR(VLOOKUP(TableHandbook[[#This Row],[UDC]],TableSTRUEDART[],7,FALSE),"")</f>
        <v/>
      </c>
      <c r="AS268" s="200" t="str">
        <f>IFERROR(VLOOKUP(TableHandbook[[#This Row],[UDC]],TableSTRUEDENG[],7,FALSE),"")</f>
        <v/>
      </c>
      <c r="AT268" s="200" t="str">
        <f>IFERROR(VLOOKUP(TableHandbook[[#This Row],[UDC]],TableSTRUEDHAS[],7,FALSE),"")</f>
        <v/>
      </c>
      <c r="AU268" s="200" t="str">
        <f>IFERROR(VLOOKUP(TableHandbook[[#This Row],[UDC]],TableSTRUEDMAT[],7,FALSE),"")</f>
        <v/>
      </c>
      <c r="AV268" s="200" t="str">
        <f>IFERROR(VLOOKUP(TableHandbook[[#This Row],[UDC]],TableSTRUEDSCI[],7,FALSE),"")</f>
        <v/>
      </c>
      <c r="AW268" s="200" t="str">
        <f>IFERROR(VLOOKUP(TableHandbook[[#This Row],[UDC]],TableSTRUENGLB[],7,FALSE),"")</f>
        <v/>
      </c>
      <c r="AX268" s="200" t="str">
        <f>IFERROR(VLOOKUP(TableHandbook[[#This Row],[UDC]],TableSTRUENGLM[],7,FALSE),"")</f>
        <v/>
      </c>
      <c r="AY268" s="200" t="str">
        <f>IFERROR(VLOOKUP(TableHandbook[[#This Row],[UDC]],TableSTRUGEOB1[],7,FALSE),"")</f>
        <v/>
      </c>
      <c r="AZ268" s="200" t="str">
        <f>IFERROR(VLOOKUP(TableHandbook[[#This Row],[UDC]],TableSTRUHISB1[],7,FALSE),"")</f>
        <v/>
      </c>
      <c r="BA268" s="200" t="str">
        <f>IFERROR(VLOOKUP(TableHandbook[[#This Row],[UDC]],TableSTRUHUMAM[],7,FALSE),"")</f>
        <v/>
      </c>
      <c r="BB268" s="200" t="str">
        <f>IFERROR(VLOOKUP(TableHandbook[[#This Row],[UDC]],TableSTRUHUMBB[],7,FALSE),"")</f>
        <v/>
      </c>
      <c r="BC268" s="200" t="str">
        <f>IFERROR(VLOOKUP(TableHandbook[[#This Row],[UDC]],TableSTRUMATHB[],7,FALSE),"")</f>
        <v/>
      </c>
      <c r="BD268" s="200" t="str">
        <f>IFERROR(VLOOKUP(TableHandbook[[#This Row],[UDC]],TableSTRUMATHM[],7,FALSE),"")</f>
        <v/>
      </c>
      <c r="BE268" s="200" t="str">
        <f>IFERROR(VLOOKUP(TableHandbook[[#This Row],[UDC]],TableSTRUPARTB[],7,FALSE),"")</f>
        <v/>
      </c>
      <c r="BF268" s="200" t="str">
        <f>IFERROR(VLOOKUP(TableHandbook[[#This Row],[UDC]],TableSTRUPARTM[],7,FALSE),"")</f>
        <v/>
      </c>
      <c r="BG268" s="200" t="str">
        <f>IFERROR(VLOOKUP(TableHandbook[[#This Row],[UDC]],TableSTRUPOLB1[],7,FALSE),"")</f>
        <v/>
      </c>
      <c r="BH268" s="200" t="str">
        <f>IFERROR(VLOOKUP(TableHandbook[[#This Row],[UDC]],TableSTRUPSCIM[],7,FALSE),"")</f>
        <v/>
      </c>
      <c r="BI268" s="200" t="str">
        <f>IFERROR(VLOOKUP(TableHandbook[[#This Row],[UDC]],TableSTRUPSYCB[],7,FALSE),"")</f>
        <v/>
      </c>
      <c r="BJ268" s="200" t="str">
        <f>IFERROR(VLOOKUP(TableHandbook[[#This Row],[UDC]],TableSTRUPSYCM[],7,FALSE),"")</f>
        <v/>
      </c>
      <c r="BK268" s="200" t="str">
        <f>IFERROR(VLOOKUP(TableHandbook[[#This Row],[UDC]],TableSTRUSOSCM[],7,FALSE),"")</f>
        <v/>
      </c>
      <c r="BL268" s="200" t="str">
        <f>IFERROR(VLOOKUP(TableHandbook[[#This Row],[UDC]],TableSTRUVARTB[],7,FALSE),"")</f>
        <v/>
      </c>
      <c r="BM268" s="200" t="str">
        <f>IFERROR(VLOOKUP(TableHandbook[[#This Row],[UDC]],TableSTRUVARTM[],7,FALSE),"")</f>
        <v/>
      </c>
    </row>
    <row r="269" spans="1:65" x14ac:dyDescent="0.25">
      <c r="A269" s="262" t="s">
        <v>212</v>
      </c>
      <c r="B269" s="12">
        <v>2</v>
      </c>
      <c r="C269" s="11"/>
      <c r="D269" s="11" t="s">
        <v>407</v>
      </c>
      <c r="E269" s="12">
        <v>150</v>
      </c>
      <c r="F269" s="131" t="s">
        <v>540</v>
      </c>
      <c r="G269" s="126" t="str">
        <f>IFERROR(IF(VLOOKUP(TableHandbook[[#This Row],[UDC]],TableAvailabilities[],2,FALSE)&gt;0,"Y",""),"")</f>
        <v/>
      </c>
      <c r="H269" s="127" t="str">
        <f>IFERROR(IF(VLOOKUP(TableHandbook[[#This Row],[UDC]],TableAvailabilities[],3,FALSE)&gt;0,"Y",""),"")</f>
        <v/>
      </c>
      <c r="I269" s="127" t="str">
        <f>IFERROR(IF(VLOOKUP(TableHandbook[[#This Row],[UDC]],TableAvailabilities[],4,FALSE)&gt;0,"Y",""),"")</f>
        <v/>
      </c>
      <c r="J269" s="128" t="str">
        <f>IFERROR(IF(VLOOKUP(TableHandbook[[#This Row],[UDC]],TableAvailabilities[],5,FALSE)&gt;0,"Y",""),"")</f>
        <v/>
      </c>
      <c r="K269" s="128" t="str">
        <f>IFERROR(IF(VLOOKUP(TableHandbook[[#This Row],[UDC]],TableAvailabilities[],6,FALSE)&gt;0,"Y",""),"")</f>
        <v/>
      </c>
      <c r="L269" s="127" t="str">
        <f>IFERROR(IF(VLOOKUP(TableHandbook[[#This Row],[UDC]],TableAvailabilities[],7,FALSE)&gt;0,"Y",""),"")</f>
        <v/>
      </c>
      <c r="M269" s="251"/>
      <c r="N269" s="200" t="str">
        <f>IFERROR(VLOOKUP(TableHandbook[[#This Row],[UDC]],TableBEDUC[],7,FALSE),"")</f>
        <v/>
      </c>
      <c r="O269" s="200" t="str">
        <f>IFERROR(VLOOKUP(TableHandbook[[#This Row],[UDC]],TableBEDEC[],7,FALSE),"")</f>
        <v/>
      </c>
      <c r="P269" s="200" t="str">
        <f>IFERROR(VLOOKUP(TableHandbook[[#This Row],[UDC]],TableBEDPR[],7,FALSE),"")</f>
        <v/>
      </c>
      <c r="Q269" s="200" t="str">
        <f>IFERROR(VLOOKUP(TableHandbook[[#This Row],[UDC]],TableSTRUCATHL[],7,FALSE),"")</f>
        <v/>
      </c>
      <c r="R269" s="200" t="str">
        <f>IFERROR(VLOOKUP(TableHandbook[[#This Row],[UDC]],TableSTRUENGLL[],7,FALSE),"")</f>
        <v/>
      </c>
      <c r="S269" s="200" t="str">
        <f>IFERROR(VLOOKUP(TableHandbook[[#This Row],[UDC]],TableSTRUINTBC[],7,FALSE),"")</f>
        <v/>
      </c>
      <c r="T269" s="200" t="str">
        <f>IFERROR(VLOOKUP(TableHandbook[[#This Row],[UDC]],TableSTRUISTEM[],7,FALSE),"")</f>
        <v/>
      </c>
      <c r="U269" s="200" t="str">
        <f>IFERROR(VLOOKUP(TableHandbook[[#This Row],[UDC]],TableSTRULITNU[],7,FALSE),"")</f>
        <v/>
      </c>
      <c r="V269" s="200" t="str">
        <f>IFERROR(VLOOKUP(TableHandbook[[#This Row],[UDC]],TableSTRUTECHS[],7,FALSE),"")</f>
        <v/>
      </c>
      <c r="W269" s="200" t="str">
        <f>IFERROR(VLOOKUP(TableHandbook[[#This Row],[UDC]],TableBEDSC[],7,FALSE),"")</f>
        <v/>
      </c>
      <c r="X269" s="200" t="str">
        <f>IFERROR(VLOOKUP(TableHandbook[[#This Row],[UDC]],TableMJRUARTDR[],7,FALSE),"")</f>
        <v>Option</v>
      </c>
      <c r="Y269" s="200" t="str">
        <f>IFERROR(VLOOKUP(TableHandbook[[#This Row],[UDC]],TableMJRUARTME[],7,FALSE),"")</f>
        <v>Option</v>
      </c>
      <c r="Z269" s="200" t="str">
        <f>IFERROR(VLOOKUP(TableHandbook[[#This Row],[UDC]],TableMJRUARTVA[],7,FALSE),"")</f>
        <v>Option</v>
      </c>
      <c r="AA269" s="200" t="str">
        <f>IFERROR(VLOOKUP(TableHandbook[[#This Row],[UDC]],TableMJRUENGLT[],7,FALSE),"")</f>
        <v>Core</v>
      </c>
      <c r="AB269" s="200" t="str">
        <f>IFERROR(VLOOKUP(TableHandbook[[#This Row],[UDC]],TableMJRUHLTPE[],7,FALSE),"")</f>
        <v/>
      </c>
      <c r="AC269" s="200" t="str">
        <f>IFERROR(VLOOKUP(TableHandbook[[#This Row],[UDC]],TableMJRUHUSEC[],7,FALSE),"")</f>
        <v>Option</v>
      </c>
      <c r="AD269" s="200" t="str">
        <f>IFERROR(VLOOKUP(TableHandbook[[#This Row],[UDC]],TableMJRUHUSGE[],7,FALSE),"")</f>
        <v>Option</v>
      </c>
      <c r="AE269" s="200" t="str">
        <f>IFERROR(VLOOKUP(TableHandbook[[#This Row],[UDC]],TableMJRUHUSHI[],7,FALSE),"")</f>
        <v>Option</v>
      </c>
      <c r="AF269" s="200" t="str">
        <f>IFERROR(VLOOKUP(TableHandbook[[#This Row],[UDC]],TableMJRUHUSPL[],7,FALSE),"")</f>
        <v>Option</v>
      </c>
      <c r="AG269" s="200" t="str">
        <f>IFERROR(VLOOKUP(TableHandbook[[#This Row],[UDC]],TableMJRUMATHT[],7,FALSE),"")</f>
        <v>Option</v>
      </c>
      <c r="AH269" s="200" t="str">
        <f>IFERROR(VLOOKUP(TableHandbook[[#This Row],[UDC]],TableMJRUSCIBI[],7,FALSE),"")</f>
        <v/>
      </c>
      <c r="AI269" s="200" t="str">
        <f>IFERROR(VLOOKUP(TableHandbook[[#This Row],[UDC]],TableMJRUSCICH[],7,FALSE),"")</f>
        <v/>
      </c>
      <c r="AJ269" s="200" t="str">
        <f>IFERROR(VLOOKUP(TableHandbook[[#This Row],[UDC]],TableMJRUSCIHB[],7,FALSE),"")</f>
        <v/>
      </c>
      <c r="AK269" s="200" t="str">
        <f>IFERROR(VLOOKUP(TableHandbook[[#This Row],[UDC]],TableMJRUSCIPH[],7,FALSE),"")</f>
        <v/>
      </c>
      <c r="AL269" s="200" t="str">
        <f>IFERROR(VLOOKUP(TableHandbook[[#This Row],[UDC]],TableMJRUSCIPS[],7,FALSE),"")</f>
        <v/>
      </c>
      <c r="AM269" s="202"/>
      <c r="AN269" s="200" t="str">
        <f>IFERROR(VLOOKUP(TableHandbook[[#This Row],[UDC]],TableSTRUBIOLB[],7,FALSE),"")</f>
        <v/>
      </c>
      <c r="AO269" s="200" t="str">
        <f>IFERROR(VLOOKUP(TableHandbook[[#This Row],[UDC]],TableSTRUBSCIM[],7,FALSE),"")</f>
        <v/>
      </c>
      <c r="AP269" s="200" t="str">
        <f>IFERROR(VLOOKUP(TableHandbook[[#This Row],[UDC]],TableSTRUCHEMB[],7,FALSE),"")</f>
        <v/>
      </c>
      <c r="AQ269" s="200" t="str">
        <f>IFERROR(VLOOKUP(TableHandbook[[#This Row],[UDC]],TableSTRUECOB1[],7,FALSE),"")</f>
        <v/>
      </c>
      <c r="AR269" s="200" t="str">
        <f>IFERROR(VLOOKUP(TableHandbook[[#This Row],[UDC]],TableSTRUEDART[],7,FALSE),"")</f>
        <v/>
      </c>
      <c r="AS269" s="200" t="str">
        <f>IFERROR(VLOOKUP(TableHandbook[[#This Row],[UDC]],TableSTRUEDENG[],7,FALSE),"")</f>
        <v/>
      </c>
      <c r="AT269" s="200" t="str">
        <f>IFERROR(VLOOKUP(TableHandbook[[#This Row],[UDC]],TableSTRUEDHAS[],7,FALSE),"")</f>
        <v/>
      </c>
      <c r="AU269" s="200" t="str">
        <f>IFERROR(VLOOKUP(TableHandbook[[#This Row],[UDC]],TableSTRUEDMAT[],7,FALSE),"")</f>
        <v/>
      </c>
      <c r="AV269" s="200" t="str">
        <f>IFERROR(VLOOKUP(TableHandbook[[#This Row],[UDC]],TableSTRUEDSCI[],7,FALSE),"")</f>
        <v/>
      </c>
      <c r="AW269" s="200" t="str">
        <f>IFERROR(VLOOKUP(TableHandbook[[#This Row],[UDC]],TableSTRUENGLB[],7,FALSE),"")</f>
        <v/>
      </c>
      <c r="AX269" s="200" t="str">
        <f>IFERROR(VLOOKUP(TableHandbook[[#This Row],[UDC]],TableSTRUENGLM[],7,FALSE),"")</f>
        <v/>
      </c>
      <c r="AY269" s="200" t="str">
        <f>IFERROR(VLOOKUP(TableHandbook[[#This Row],[UDC]],TableSTRUGEOB1[],7,FALSE),"")</f>
        <v/>
      </c>
      <c r="AZ269" s="200" t="str">
        <f>IFERROR(VLOOKUP(TableHandbook[[#This Row],[UDC]],TableSTRUHISB1[],7,FALSE),"")</f>
        <v/>
      </c>
      <c r="BA269" s="200" t="str">
        <f>IFERROR(VLOOKUP(TableHandbook[[#This Row],[UDC]],TableSTRUHUMAM[],7,FALSE),"")</f>
        <v/>
      </c>
      <c r="BB269" s="200" t="str">
        <f>IFERROR(VLOOKUP(TableHandbook[[#This Row],[UDC]],TableSTRUHUMBB[],7,FALSE),"")</f>
        <v/>
      </c>
      <c r="BC269" s="200" t="str">
        <f>IFERROR(VLOOKUP(TableHandbook[[#This Row],[UDC]],TableSTRUMATHB[],7,FALSE),"")</f>
        <v/>
      </c>
      <c r="BD269" s="200" t="str">
        <f>IFERROR(VLOOKUP(TableHandbook[[#This Row],[UDC]],TableSTRUMATHM[],7,FALSE),"")</f>
        <v/>
      </c>
      <c r="BE269" s="200" t="str">
        <f>IFERROR(VLOOKUP(TableHandbook[[#This Row],[UDC]],TableSTRUPARTB[],7,FALSE),"")</f>
        <v/>
      </c>
      <c r="BF269" s="200" t="str">
        <f>IFERROR(VLOOKUP(TableHandbook[[#This Row],[UDC]],TableSTRUPARTM[],7,FALSE),"")</f>
        <v/>
      </c>
      <c r="BG269" s="200" t="str">
        <f>IFERROR(VLOOKUP(TableHandbook[[#This Row],[UDC]],TableSTRUPOLB1[],7,FALSE),"")</f>
        <v/>
      </c>
      <c r="BH269" s="200" t="str">
        <f>IFERROR(VLOOKUP(TableHandbook[[#This Row],[UDC]],TableSTRUPSCIM[],7,FALSE),"")</f>
        <v/>
      </c>
      <c r="BI269" s="200" t="str">
        <f>IFERROR(VLOOKUP(TableHandbook[[#This Row],[UDC]],TableSTRUPSYCB[],7,FALSE),"")</f>
        <v/>
      </c>
      <c r="BJ269" s="200" t="str">
        <f>IFERROR(VLOOKUP(TableHandbook[[#This Row],[UDC]],TableSTRUPSYCM[],7,FALSE),"")</f>
        <v/>
      </c>
      <c r="BK269" s="200" t="str">
        <f>IFERROR(VLOOKUP(TableHandbook[[#This Row],[UDC]],TableSTRUSOSCM[],7,FALSE),"")</f>
        <v/>
      </c>
      <c r="BL269" s="200" t="str">
        <f>IFERROR(VLOOKUP(TableHandbook[[#This Row],[UDC]],TableSTRUVARTB[],7,FALSE),"")</f>
        <v/>
      </c>
      <c r="BM269" s="200" t="str">
        <f>IFERROR(VLOOKUP(TableHandbook[[#This Row],[UDC]],TableSTRUVARTM[],7,FALSE),"")</f>
        <v/>
      </c>
    </row>
    <row r="270" spans="1:65" x14ac:dyDescent="0.25">
      <c r="A270" s="262" t="s">
        <v>216</v>
      </c>
      <c r="B270" s="12">
        <v>2</v>
      </c>
      <c r="C270" s="11"/>
      <c r="D270" s="11" t="s">
        <v>410</v>
      </c>
      <c r="E270" s="12">
        <v>150</v>
      </c>
      <c r="F270" s="131" t="s">
        <v>540</v>
      </c>
      <c r="G270" s="126" t="str">
        <f>IFERROR(IF(VLOOKUP(TableHandbook[[#This Row],[UDC]],TableAvailabilities[],2,FALSE)&gt;0,"Y",""),"")</f>
        <v/>
      </c>
      <c r="H270" s="127" t="str">
        <f>IFERROR(IF(VLOOKUP(TableHandbook[[#This Row],[UDC]],TableAvailabilities[],3,FALSE)&gt;0,"Y",""),"")</f>
        <v/>
      </c>
      <c r="I270" s="127" t="str">
        <f>IFERROR(IF(VLOOKUP(TableHandbook[[#This Row],[UDC]],TableAvailabilities[],4,FALSE)&gt;0,"Y",""),"")</f>
        <v/>
      </c>
      <c r="J270" s="128" t="str">
        <f>IFERROR(IF(VLOOKUP(TableHandbook[[#This Row],[UDC]],TableAvailabilities[],5,FALSE)&gt;0,"Y",""),"")</f>
        <v/>
      </c>
      <c r="K270" s="128" t="str">
        <f>IFERROR(IF(VLOOKUP(TableHandbook[[#This Row],[UDC]],TableAvailabilities[],6,FALSE)&gt;0,"Y",""),"")</f>
        <v/>
      </c>
      <c r="L270" s="127" t="str">
        <f>IFERROR(IF(VLOOKUP(TableHandbook[[#This Row],[UDC]],TableAvailabilities[],7,FALSE)&gt;0,"Y",""),"")</f>
        <v/>
      </c>
      <c r="M270" s="251"/>
      <c r="N270" s="200" t="str">
        <f>IFERROR(VLOOKUP(TableHandbook[[#This Row],[UDC]],TableBEDUC[],7,FALSE),"")</f>
        <v/>
      </c>
      <c r="O270" s="200" t="str">
        <f>IFERROR(VLOOKUP(TableHandbook[[#This Row],[UDC]],TableBEDEC[],7,FALSE),"")</f>
        <v/>
      </c>
      <c r="P270" s="200" t="str">
        <f>IFERROR(VLOOKUP(TableHandbook[[#This Row],[UDC]],TableBEDPR[],7,FALSE),"")</f>
        <v/>
      </c>
      <c r="Q270" s="200" t="str">
        <f>IFERROR(VLOOKUP(TableHandbook[[#This Row],[UDC]],TableSTRUCATHL[],7,FALSE),"")</f>
        <v/>
      </c>
      <c r="R270" s="200" t="str">
        <f>IFERROR(VLOOKUP(TableHandbook[[#This Row],[UDC]],TableSTRUENGLL[],7,FALSE),"")</f>
        <v/>
      </c>
      <c r="S270" s="200" t="str">
        <f>IFERROR(VLOOKUP(TableHandbook[[#This Row],[UDC]],TableSTRUINTBC[],7,FALSE),"")</f>
        <v/>
      </c>
      <c r="T270" s="200" t="str">
        <f>IFERROR(VLOOKUP(TableHandbook[[#This Row],[UDC]],TableSTRUISTEM[],7,FALSE),"")</f>
        <v/>
      </c>
      <c r="U270" s="200" t="str">
        <f>IFERROR(VLOOKUP(TableHandbook[[#This Row],[UDC]],TableSTRULITNU[],7,FALSE),"")</f>
        <v/>
      </c>
      <c r="V270" s="200" t="str">
        <f>IFERROR(VLOOKUP(TableHandbook[[#This Row],[UDC]],TableSTRUTECHS[],7,FALSE),"")</f>
        <v/>
      </c>
      <c r="W270" s="200" t="str">
        <f>IFERROR(VLOOKUP(TableHandbook[[#This Row],[UDC]],TableBEDSC[],7,FALSE),"")</f>
        <v/>
      </c>
      <c r="X270" s="200" t="str">
        <f>IFERROR(VLOOKUP(TableHandbook[[#This Row],[UDC]],TableMJRUARTDR[],7,FALSE),"")</f>
        <v>Option</v>
      </c>
      <c r="Y270" s="200" t="str">
        <f>IFERROR(VLOOKUP(TableHandbook[[#This Row],[UDC]],TableMJRUARTME[],7,FALSE),"")</f>
        <v>Option</v>
      </c>
      <c r="Z270" s="200" t="str">
        <f>IFERROR(VLOOKUP(TableHandbook[[#This Row],[UDC]],TableMJRUARTVA[],7,FALSE),"")</f>
        <v>Option</v>
      </c>
      <c r="AA270" s="200" t="str">
        <f>IFERROR(VLOOKUP(TableHandbook[[#This Row],[UDC]],TableMJRUENGLT[],7,FALSE),"")</f>
        <v>Core</v>
      </c>
      <c r="AB270" s="200" t="str">
        <f>IFERROR(VLOOKUP(TableHandbook[[#This Row],[UDC]],TableMJRUHLTPE[],7,FALSE),"")</f>
        <v/>
      </c>
      <c r="AC270" s="200" t="str">
        <f>IFERROR(VLOOKUP(TableHandbook[[#This Row],[UDC]],TableMJRUHUSEC[],7,FALSE),"")</f>
        <v/>
      </c>
      <c r="AD270" s="200" t="str">
        <f>IFERROR(VLOOKUP(TableHandbook[[#This Row],[UDC]],TableMJRUHUSGE[],7,FALSE),"")</f>
        <v/>
      </c>
      <c r="AE270" s="200" t="str">
        <f>IFERROR(VLOOKUP(TableHandbook[[#This Row],[UDC]],TableMJRUHUSHI[],7,FALSE),"")</f>
        <v/>
      </c>
      <c r="AF270" s="200" t="str">
        <f>IFERROR(VLOOKUP(TableHandbook[[#This Row],[UDC]],TableMJRUHUSPL[],7,FALSE),"")</f>
        <v/>
      </c>
      <c r="AG270" s="200" t="str">
        <f>IFERROR(VLOOKUP(TableHandbook[[#This Row],[UDC]],TableMJRUMATHT[],7,FALSE),"")</f>
        <v>Option</v>
      </c>
      <c r="AH270" s="200" t="str">
        <f>IFERROR(VLOOKUP(TableHandbook[[#This Row],[UDC]],TableMJRUSCIBI[],7,FALSE),"")</f>
        <v>Option</v>
      </c>
      <c r="AI270" s="200" t="str">
        <f>IFERROR(VLOOKUP(TableHandbook[[#This Row],[UDC]],TableMJRUSCICH[],7,FALSE),"")</f>
        <v>Option</v>
      </c>
      <c r="AJ270" s="200" t="str">
        <f>IFERROR(VLOOKUP(TableHandbook[[#This Row],[UDC]],TableMJRUSCIHB[],7,FALSE),"")</f>
        <v>Option</v>
      </c>
      <c r="AK270" s="200" t="str">
        <f>IFERROR(VLOOKUP(TableHandbook[[#This Row],[UDC]],TableMJRUSCIPH[],7,FALSE),"")</f>
        <v/>
      </c>
      <c r="AL270" s="200" t="str">
        <f>IFERROR(VLOOKUP(TableHandbook[[#This Row],[UDC]],TableMJRUSCIPS[],7,FALSE),"")</f>
        <v/>
      </c>
      <c r="AM270" s="202"/>
      <c r="AN270" s="200" t="str">
        <f>IFERROR(VLOOKUP(TableHandbook[[#This Row],[UDC]],TableSTRUBIOLB[],7,FALSE),"")</f>
        <v/>
      </c>
      <c r="AO270" s="200" t="str">
        <f>IFERROR(VLOOKUP(TableHandbook[[#This Row],[UDC]],TableSTRUBSCIM[],7,FALSE),"")</f>
        <v/>
      </c>
      <c r="AP270" s="200" t="str">
        <f>IFERROR(VLOOKUP(TableHandbook[[#This Row],[UDC]],TableSTRUCHEMB[],7,FALSE),"")</f>
        <v/>
      </c>
      <c r="AQ270" s="200" t="str">
        <f>IFERROR(VLOOKUP(TableHandbook[[#This Row],[UDC]],TableSTRUECOB1[],7,FALSE),"")</f>
        <v/>
      </c>
      <c r="AR270" s="200" t="str">
        <f>IFERROR(VLOOKUP(TableHandbook[[#This Row],[UDC]],TableSTRUEDART[],7,FALSE),"")</f>
        <v/>
      </c>
      <c r="AS270" s="200" t="str">
        <f>IFERROR(VLOOKUP(TableHandbook[[#This Row],[UDC]],TableSTRUEDENG[],7,FALSE),"")</f>
        <v/>
      </c>
      <c r="AT270" s="200" t="str">
        <f>IFERROR(VLOOKUP(TableHandbook[[#This Row],[UDC]],TableSTRUEDHAS[],7,FALSE),"")</f>
        <v/>
      </c>
      <c r="AU270" s="200" t="str">
        <f>IFERROR(VLOOKUP(TableHandbook[[#This Row],[UDC]],TableSTRUEDMAT[],7,FALSE),"")</f>
        <v/>
      </c>
      <c r="AV270" s="200" t="str">
        <f>IFERROR(VLOOKUP(TableHandbook[[#This Row],[UDC]],TableSTRUEDSCI[],7,FALSE),"")</f>
        <v/>
      </c>
      <c r="AW270" s="200" t="str">
        <f>IFERROR(VLOOKUP(TableHandbook[[#This Row],[UDC]],TableSTRUENGLB[],7,FALSE),"")</f>
        <v/>
      </c>
      <c r="AX270" s="200" t="str">
        <f>IFERROR(VLOOKUP(TableHandbook[[#This Row],[UDC]],TableSTRUENGLM[],7,FALSE),"")</f>
        <v/>
      </c>
      <c r="AY270" s="200" t="str">
        <f>IFERROR(VLOOKUP(TableHandbook[[#This Row],[UDC]],TableSTRUGEOB1[],7,FALSE),"")</f>
        <v/>
      </c>
      <c r="AZ270" s="200" t="str">
        <f>IFERROR(VLOOKUP(TableHandbook[[#This Row],[UDC]],TableSTRUHISB1[],7,FALSE),"")</f>
        <v/>
      </c>
      <c r="BA270" s="200" t="str">
        <f>IFERROR(VLOOKUP(TableHandbook[[#This Row],[UDC]],TableSTRUHUMAM[],7,FALSE),"")</f>
        <v/>
      </c>
      <c r="BB270" s="200" t="str">
        <f>IFERROR(VLOOKUP(TableHandbook[[#This Row],[UDC]],TableSTRUHUMBB[],7,FALSE),"")</f>
        <v/>
      </c>
      <c r="BC270" s="200" t="str">
        <f>IFERROR(VLOOKUP(TableHandbook[[#This Row],[UDC]],TableSTRUMATHB[],7,FALSE),"")</f>
        <v/>
      </c>
      <c r="BD270" s="200" t="str">
        <f>IFERROR(VLOOKUP(TableHandbook[[#This Row],[UDC]],TableSTRUMATHM[],7,FALSE),"")</f>
        <v/>
      </c>
      <c r="BE270" s="200" t="str">
        <f>IFERROR(VLOOKUP(TableHandbook[[#This Row],[UDC]],TableSTRUPARTB[],7,FALSE),"")</f>
        <v/>
      </c>
      <c r="BF270" s="200" t="str">
        <f>IFERROR(VLOOKUP(TableHandbook[[#This Row],[UDC]],TableSTRUPARTM[],7,FALSE),"")</f>
        <v/>
      </c>
      <c r="BG270" s="200" t="str">
        <f>IFERROR(VLOOKUP(TableHandbook[[#This Row],[UDC]],TableSTRUPOLB1[],7,FALSE),"")</f>
        <v/>
      </c>
      <c r="BH270" s="200" t="str">
        <f>IFERROR(VLOOKUP(TableHandbook[[#This Row],[UDC]],TableSTRUPSCIM[],7,FALSE),"")</f>
        <v/>
      </c>
      <c r="BI270" s="200" t="str">
        <f>IFERROR(VLOOKUP(TableHandbook[[#This Row],[UDC]],TableSTRUPSYCB[],7,FALSE),"")</f>
        <v/>
      </c>
      <c r="BJ270" s="200" t="str">
        <f>IFERROR(VLOOKUP(TableHandbook[[#This Row],[UDC]],TableSTRUPSYCM[],7,FALSE),"")</f>
        <v/>
      </c>
      <c r="BK270" s="200" t="str">
        <f>IFERROR(VLOOKUP(TableHandbook[[#This Row],[UDC]],TableSTRUSOSCM[],7,FALSE),"")</f>
        <v/>
      </c>
      <c r="BL270" s="200" t="str">
        <f>IFERROR(VLOOKUP(TableHandbook[[#This Row],[UDC]],TableSTRUVARTB[],7,FALSE),"")</f>
        <v/>
      </c>
      <c r="BM270" s="200" t="str">
        <f>IFERROR(VLOOKUP(TableHandbook[[#This Row],[UDC]],TableSTRUVARTM[],7,FALSE),"")</f>
        <v/>
      </c>
    </row>
    <row r="271" spans="1:65" x14ac:dyDescent="0.25">
      <c r="A271" s="262" t="s">
        <v>249</v>
      </c>
      <c r="B271" s="12">
        <v>2</v>
      </c>
      <c r="C271" s="11"/>
      <c r="D271" s="11" t="s">
        <v>411</v>
      </c>
      <c r="E271" s="12">
        <v>150</v>
      </c>
      <c r="F271" s="131" t="s">
        <v>540</v>
      </c>
      <c r="G271" s="126" t="str">
        <f>IFERROR(IF(VLOOKUP(TableHandbook[[#This Row],[UDC]],TableAvailabilities[],2,FALSE)&gt;0,"Y",""),"")</f>
        <v/>
      </c>
      <c r="H271" s="127" t="str">
        <f>IFERROR(IF(VLOOKUP(TableHandbook[[#This Row],[UDC]],TableAvailabilities[],3,FALSE)&gt;0,"Y",""),"")</f>
        <v/>
      </c>
      <c r="I271" s="127" t="str">
        <f>IFERROR(IF(VLOOKUP(TableHandbook[[#This Row],[UDC]],TableAvailabilities[],4,FALSE)&gt;0,"Y",""),"")</f>
        <v/>
      </c>
      <c r="J271" s="128" t="str">
        <f>IFERROR(IF(VLOOKUP(TableHandbook[[#This Row],[UDC]],TableAvailabilities[],5,FALSE)&gt;0,"Y",""),"")</f>
        <v/>
      </c>
      <c r="K271" s="128" t="str">
        <f>IFERROR(IF(VLOOKUP(TableHandbook[[#This Row],[UDC]],TableAvailabilities[],6,FALSE)&gt;0,"Y",""),"")</f>
        <v/>
      </c>
      <c r="L271" s="127" t="str">
        <f>IFERROR(IF(VLOOKUP(TableHandbook[[#This Row],[UDC]],TableAvailabilities[],7,FALSE)&gt;0,"Y",""),"")</f>
        <v/>
      </c>
      <c r="M271" s="251"/>
      <c r="N271" s="200" t="str">
        <f>IFERROR(VLOOKUP(TableHandbook[[#This Row],[UDC]],TableBEDUC[],7,FALSE),"")</f>
        <v/>
      </c>
      <c r="O271" s="200" t="str">
        <f>IFERROR(VLOOKUP(TableHandbook[[#This Row],[UDC]],TableBEDEC[],7,FALSE),"")</f>
        <v/>
      </c>
      <c r="P271" s="200" t="str">
        <f>IFERROR(VLOOKUP(TableHandbook[[#This Row],[UDC]],TableBEDPR[],7,FALSE),"")</f>
        <v/>
      </c>
      <c r="Q271" s="200" t="str">
        <f>IFERROR(VLOOKUP(TableHandbook[[#This Row],[UDC]],TableSTRUCATHL[],7,FALSE),"")</f>
        <v/>
      </c>
      <c r="R271" s="200" t="str">
        <f>IFERROR(VLOOKUP(TableHandbook[[#This Row],[UDC]],TableSTRUENGLL[],7,FALSE),"")</f>
        <v/>
      </c>
      <c r="S271" s="200" t="str">
        <f>IFERROR(VLOOKUP(TableHandbook[[#This Row],[UDC]],TableSTRUINTBC[],7,FALSE),"")</f>
        <v/>
      </c>
      <c r="T271" s="200" t="str">
        <f>IFERROR(VLOOKUP(TableHandbook[[#This Row],[UDC]],TableSTRUISTEM[],7,FALSE),"")</f>
        <v/>
      </c>
      <c r="U271" s="200" t="str">
        <f>IFERROR(VLOOKUP(TableHandbook[[#This Row],[UDC]],TableSTRULITNU[],7,FALSE),"")</f>
        <v/>
      </c>
      <c r="V271" s="200" t="str">
        <f>IFERROR(VLOOKUP(TableHandbook[[#This Row],[UDC]],TableSTRUTECHS[],7,FALSE),"")</f>
        <v/>
      </c>
      <c r="W271" s="200" t="str">
        <f>IFERROR(VLOOKUP(TableHandbook[[#This Row],[UDC]],TableBEDSC[],7,FALSE),"")</f>
        <v/>
      </c>
      <c r="X271" s="200" t="str">
        <f>IFERROR(VLOOKUP(TableHandbook[[#This Row],[UDC]],TableMJRUARTDR[],7,FALSE),"")</f>
        <v/>
      </c>
      <c r="Y271" s="200" t="str">
        <f>IFERROR(VLOOKUP(TableHandbook[[#This Row],[UDC]],TableMJRUARTME[],7,FALSE),"")</f>
        <v/>
      </c>
      <c r="Z271" s="200" t="str">
        <f>IFERROR(VLOOKUP(TableHandbook[[#This Row],[UDC]],TableMJRUARTVA[],7,FALSE),"")</f>
        <v>Option</v>
      </c>
      <c r="AA271" s="200" t="str">
        <f>IFERROR(VLOOKUP(TableHandbook[[#This Row],[UDC]],TableMJRUENGLT[],7,FALSE),"")</f>
        <v/>
      </c>
      <c r="AB271" s="200" t="str">
        <f>IFERROR(VLOOKUP(TableHandbook[[#This Row],[UDC]],TableMJRUHLTPE[],7,FALSE),"")</f>
        <v/>
      </c>
      <c r="AC271" s="200" t="str">
        <f>IFERROR(VLOOKUP(TableHandbook[[#This Row],[UDC]],TableMJRUHUSEC[],7,FALSE),"")</f>
        <v/>
      </c>
      <c r="AD271" s="200" t="str">
        <f>IFERROR(VLOOKUP(TableHandbook[[#This Row],[UDC]],TableMJRUHUSGE[],7,FALSE),"")</f>
        <v/>
      </c>
      <c r="AE271" s="200" t="str">
        <f>IFERROR(VLOOKUP(TableHandbook[[#This Row],[UDC]],TableMJRUHUSHI[],7,FALSE),"")</f>
        <v/>
      </c>
      <c r="AF271" s="200" t="str">
        <f>IFERROR(VLOOKUP(TableHandbook[[#This Row],[UDC]],TableMJRUHUSPL[],7,FALSE),"")</f>
        <v/>
      </c>
      <c r="AG271" s="200" t="str">
        <f>IFERROR(VLOOKUP(TableHandbook[[#This Row],[UDC]],TableMJRUMATHT[],7,FALSE),"")</f>
        <v/>
      </c>
      <c r="AH271" s="200" t="str">
        <f>IFERROR(VLOOKUP(TableHandbook[[#This Row],[UDC]],TableMJRUSCIBI[],7,FALSE),"")</f>
        <v/>
      </c>
      <c r="AI271" s="200" t="str">
        <f>IFERROR(VLOOKUP(TableHandbook[[#This Row],[UDC]],TableMJRUSCICH[],7,FALSE),"")</f>
        <v/>
      </c>
      <c r="AJ271" s="200" t="str">
        <f>IFERROR(VLOOKUP(TableHandbook[[#This Row],[UDC]],TableMJRUSCIHB[],7,FALSE),"")</f>
        <v/>
      </c>
      <c r="AK271" s="200" t="str">
        <f>IFERROR(VLOOKUP(TableHandbook[[#This Row],[UDC]],TableMJRUSCIPH[],7,FALSE),"")</f>
        <v/>
      </c>
      <c r="AL271" s="200" t="str">
        <f>IFERROR(VLOOKUP(TableHandbook[[#This Row],[UDC]],TableMJRUSCIPS[],7,FALSE),"")</f>
        <v/>
      </c>
      <c r="AM271" s="202"/>
      <c r="AN271" s="200" t="str">
        <f>IFERROR(VLOOKUP(TableHandbook[[#This Row],[UDC]],TableSTRUBIOLB[],7,FALSE),"")</f>
        <v/>
      </c>
      <c r="AO271" s="200" t="str">
        <f>IFERROR(VLOOKUP(TableHandbook[[#This Row],[UDC]],TableSTRUBSCIM[],7,FALSE),"")</f>
        <v/>
      </c>
      <c r="AP271" s="200" t="str">
        <f>IFERROR(VLOOKUP(TableHandbook[[#This Row],[UDC]],TableSTRUCHEMB[],7,FALSE),"")</f>
        <v/>
      </c>
      <c r="AQ271" s="200" t="str">
        <f>IFERROR(VLOOKUP(TableHandbook[[#This Row],[UDC]],TableSTRUECOB1[],7,FALSE),"")</f>
        <v/>
      </c>
      <c r="AR271" s="200" t="str">
        <f>IFERROR(VLOOKUP(TableHandbook[[#This Row],[UDC]],TableSTRUEDART[],7,FALSE),"")</f>
        <v/>
      </c>
      <c r="AS271" s="200" t="str">
        <f>IFERROR(VLOOKUP(TableHandbook[[#This Row],[UDC]],TableSTRUEDENG[],7,FALSE),"")</f>
        <v/>
      </c>
      <c r="AT271" s="200" t="str">
        <f>IFERROR(VLOOKUP(TableHandbook[[#This Row],[UDC]],TableSTRUEDHAS[],7,FALSE),"")</f>
        <v/>
      </c>
      <c r="AU271" s="200" t="str">
        <f>IFERROR(VLOOKUP(TableHandbook[[#This Row],[UDC]],TableSTRUEDMAT[],7,FALSE),"")</f>
        <v/>
      </c>
      <c r="AV271" s="200" t="str">
        <f>IFERROR(VLOOKUP(TableHandbook[[#This Row],[UDC]],TableSTRUEDSCI[],7,FALSE),"")</f>
        <v/>
      </c>
      <c r="AW271" s="200" t="str">
        <f>IFERROR(VLOOKUP(TableHandbook[[#This Row],[UDC]],TableSTRUENGLB[],7,FALSE),"")</f>
        <v/>
      </c>
      <c r="AX271" s="200" t="str">
        <f>IFERROR(VLOOKUP(TableHandbook[[#This Row],[UDC]],TableSTRUENGLM[],7,FALSE),"")</f>
        <v/>
      </c>
      <c r="AY271" s="200" t="str">
        <f>IFERROR(VLOOKUP(TableHandbook[[#This Row],[UDC]],TableSTRUGEOB1[],7,FALSE),"")</f>
        <v/>
      </c>
      <c r="AZ271" s="200" t="str">
        <f>IFERROR(VLOOKUP(TableHandbook[[#This Row],[UDC]],TableSTRUHISB1[],7,FALSE),"")</f>
        <v/>
      </c>
      <c r="BA271" s="200" t="str">
        <f>IFERROR(VLOOKUP(TableHandbook[[#This Row],[UDC]],TableSTRUHUMAM[],7,FALSE),"")</f>
        <v/>
      </c>
      <c r="BB271" s="200" t="str">
        <f>IFERROR(VLOOKUP(TableHandbook[[#This Row],[UDC]],TableSTRUHUMBB[],7,FALSE),"")</f>
        <v/>
      </c>
      <c r="BC271" s="200" t="str">
        <f>IFERROR(VLOOKUP(TableHandbook[[#This Row],[UDC]],TableSTRUMATHB[],7,FALSE),"")</f>
        <v/>
      </c>
      <c r="BD271" s="200" t="str">
        <f>IFERROR(VLOOKUP(TableHandbook[[#This Row],[UDC]],TableSTRUMATHM[],7,FALSE),"")</f>
        <v/>
      </c>
      <c r="BE271" s="200" t="str">
        <f>IFERROR(VLOOKUP(TableHandbook[[#This Row],[UDC]],TableSTRUPARTB[],7,FALSE),"")</f>
        <v/>
      </c>
      <c r="BF271" s="200" t="str">
        <f>IFERROR(VLOOKUP(TableHandbook[[#This Row],[UDC]],TableSTRUPARTM[],7,FALSE),"")</f>
        <v/>
      </c>
      <c r="BG271" s="200" t="str">
        <f>IFERROR(VLOOKUP(TableHandbook[[#This Row],[UDC]],TableSTRUPOLB1[],7,FALSE),"")</f>
        <v/>
      </c>
      <c r="BH271" s="200" t="str">
        <f>IFERROR(VLOOKUP(TableHandbook[[#This Row],[UDC]],TableSTRUPSCIM[],7,FALSE),"")</f>
        <v/>
      </c>
      <c r="BI271" s="200" t="str">
        <f>IFERROR(VLOOKUP(TableHandbook[[#This Row],[UDC]],TableSTRUPSYCB[],7,FALSE),"")</f>
        <v/>
      </c>
      <c r="BJ271" s="200" t="str">
        <f>IFERROR(VLOOKUP(TableHandbook[[#This Row],[UDC]],TableSTRUPSYCM[],7,FALSE),"")</f>
        <v/>
      </c>
      <c r="BK271" s="200" t="str">
        <f>IFERROR(VLOOKUP(TableHandbook[[#This Row],[UDC]],TableSTRUSOSCM[],7,FALSE),"")</f>
        <v/>
      </c>
      <c r="BL271" s="200" t="str">
        <f>IFERROR(VLOOKUP(TableHandbook[[#This Row],[UDC]],TableSTRUVARTB[],7,FALSE),"")</f>
        <v/>
      </c>
      <c r="BM271" s="200" t="str">
        <f>IFERROR(VLOOKUP(TableHandbook[[#This Row],[UDC]],TableSTRUVARTM[],7,FALSE),"")</f>
        <v/>
      </c>
    </row>
    <row r="272" spans="1:65" x14ac:dyDescent="0.25">
      <c r="A272" s="262" t="s">
        <v>315</v>
      </c>
      <c r="B272" s="12">
        <v>2</v>
      </c>
      <c r="C272" s="11"/>
      <c r="D272" s="11" t="s">
        <v>413</v>
      </c>
      <c r="E272" s="12">
        <v>150</v>
      </c>
      <c r="F272" s="131" t="s">
        <v>540</v>
      </c>
      <c r="G272" s="126" t="str">
        <f>IFERROR(IF(VLOOKUP(TableHandbook[[#This Row],[UDC]],TableAvailabilities[],2,FALSE)&gt;0,"Y",""),"")</f>
        <v/>
      </c>
      <c r="H272" s="127" t="str">
        <f>IFERROR(IF(VLOOKUP(TableHandbook[[#This Row],[UDC]],TableAvailabilities[],3,FALSE)&gt;0,"Y",""),"")</f>
        <v/>
      </c>
      <c r="I272" s="127" t="str">
        <f>IFERROR(IF(VLOOKUP(TableHandbook[[#This Row],[UDC]],TableAvailabilities[],4,FALSE)&gt;0,"Y",""),"")</f>
        <v/>
      </c>
      <c r="J272" s="128" t="str">
        <f>IFERROR(IF(VLOOKUP(TableHandbook[[#This Row],[UDC]],TableAvailabilities[],5,FALSE)&gt;0,"Y",""),"")</f>
        <v/>
      </c>
      <c r="K272" s="128" t="str">
        <f>IFERROR(IF(VLOOKUP(TableHandbook[[#This Row],[UDC]],TableAvailabilities[],6,FALSE)&gt;0,"Y",""),"")</f>
        <v/>
      </c>
      <c r="L272" s="127" t="str">
        <f>IFERROR(IF(VLOOKUP(TableHandbook[[#This Row],[UDC]],TableAvailabilities[],7,FALSE)&gt;0,"Y",""),"")</f>
        <v/>
      </c>
      <c r="M272" s="251"/>
      <c r="N272" s="200" t="str">
        <f>IFERROR(VLOOKUP(TableHandbook[[#This Row],[UDC]],TableBEDUC[],7,FALSE),"")</f>
        <v/>
      </c>
      <c r="O272" s="200" t="str">
        <f>IFERROR(VLOOKUP(TableHandbook[[#This Row],[UDC]],TableBEDEC[],7,FALSE),"")</f>
        <v/>
      </c>
      <c r="P272" s="200" t="str">
        <f>IFERROR(VLOOKUP(TableHandbook[[#This Row],[UDC]],TableBEDPR[],7,FALSE),"")</f>
        <v/>
      </c>
      <c r="Q272" s="200" t="str">
        <f>IFERROR(VLOOKUP(TableHandbook[[#This Row],[UDC]],TableSTRUCATHL[],7,FALSE),"")</f>
        <v/>
      </c>
      <c r="R272" s="200" t="str">
        <f>IFERROR(VLOOKUP(TableHandbook[[#This Row],[UDC]],TableSTRUENGLL[],7,FALSE),"")</f>
        <v/>
      </c>
      <c r="S272" s="200" t="str">
        <f>IFERROR(VLOOKUP(TableHandbook[[#This Row],[UDC]],TableSTRUINTBC[],7,FALSE),"")</f>
        <v/>
      </c>
      <c r="T272" s="200" t="str">
        <f>IFERROR(VLOOKUP(TableHandbook[[#This Row],[UDC]],TableSTRUISTEM[],7,FALSE),"")</f>
        <v/>
      </c>
      <c r="U272" s="200" t="str">
        <f>IFERROR(VLOOKUP(TableHandbook[[#This Row],[UDC]],TableSTRULITNU[],7,FALSE),"")</f>
        <v/>
      </c>
      <c r="V272" s="200" t="str">
        <f>IFERROR(VLOOKUP(TableHandbook[[#This Row],[UDC]],TableSTRUTECHS[],7,FALSE),"")</f>
        <v/>
      </c>
      <c r="W272" s="200" t="str">
        <f>IFERROR(VLOOKUP(TableHandbook[[#This Row],[UDC]],TableBEDSC[],7,FALSE),"")</f>
        <v/>
      </c>
      <c r="X272" s="200" t="str">
        <f>IFERROR(VLOOKUP(TableHandbook[[#This Row],[UDC]],TableMJRUARTDR[],7,FALSE),"")</f>
        <v/>
      </c>
      <c r="Y272" s="200" t="str">
        <f>IFERROR(VLOOKUP(TableHandbook[[#This Row],[UDC]],TableMJRUARTME[],7,FALSE),"")</f>
        <v/>
      </c>
      <c r="Z272" s="200" t="str">
        <f>IFERROR(VLOOKUP(TableHandbook[[#This Row],[UDC]],TableMJRUARTVA[],7,FALSE),"")</f>
        <v/>
      </c>
      <c r="AA272" s="200" t="str">
        <f>IFERROR(VLOOKUP(TableHandbook[[#This Row],[UDC]],TableMJRUENGLT[],7,FALSE),"")</f>
        <v>Core</v>
      </c>
      <c r="AB272" s="200" t="str">
        <f>IFERROR(VLOOKUP(TableHandbook[[#This Row],[UDC]],TableMJRUHLTPE[],7,FALSE),"")</f>
        <v/>
      </c>
      <c r="AC272" s="200" t="str">
        <f>IFERROR(VLOOKUP(TableHandbook[[#This Row],[UDC]],TableMJRUHUSEC[],7,FALSE),"")</f>
        <v>Option</v>
      </c>
      <c r="AD272" s="200" t="str">
        <f>IFERROR(VLOOKUP(TableHandbook[[#This Row],[UDC]],TableMJRUHUSGE[],7,FALSE),"")</f>
        <v>Option</v>
      </c>
      <c r="AE272" s="200" t="str">
        <f>IFERROR(VLOOKUP(TableHandbook[[#This Row],[UDC]],TableMJRUHUSHI[],7,FALSE),"")</f>
        <v>Option</v>
      </c>
      <c r="AF272" s="200" t="str">
        <f>IFERROR(VLOOKUP(TableHandbook[[#This Row],[UDC]],TableMJRUHUSPL[],7,FALSE),"")</f>
        <v>Option</v>
      </c>
      <c r="AG272" s="200" t="str">
        <f>IFERROR(VLOOKUP(TableHandbook[[#This Row],[UDC]],TableMJRUMATHT[],7,FALSE),"")</f>
        <v>Option</v>
      </c>
      <c r="AH272" s="200" t="str">
        <f>IFERROR(VLOOKUP(TableHandbook[[#This Row],[UDC]],TableMJRUSCIBI[],7,FALSE),"")</f>
        <v>Option</v>
      </c>
      <c r="AI272" s="200" t="str">
        <f>IFERROR(VLOOKUP(TableHandbook[[#This Row],[UDC]],TableMJRUSCICH[],7,FALSE),"")</f>
        <v>Option</v>
      </c>
      <c r="AJ272" s="200" t="str">
        <f>IFERROR(VLOOKUP(TableHandbook[[#This Row],[UDC]],TableMJRUSCIHB[],7,FALSE),"")</f>
        <v>Option</v>
      </c>
      <c r="AK272" s="200" t="str">
        <f>IFERROR(VLOOKUP(TableHandbook[[#This Row],[UDC]],TableMJRUSCIPH[],7,FALSE),"")</f>
        <v/>
      </c>
      <c r="AL272" s="200" t="str">
        <f>IFERROR(VLOOKUP(TableHandbook[[#This Row],[UDC]],TableMJRUSCIPS[],7,FALSE),"")</f>
        <v>Option</v>
      </c>
      <c r="AM272" s="202"/>
      <c r="AN272" s="200" t="str">
        <f>IFERROR(VLOOKUP(TableHandbook[[#This Row],[UDC]],TableSTRUBIOLB[],7,FALSE),"")</f>
        <v/>
      </c>
      <c r="AO272" s="200" t="str">
        <f>IFERROR(VLOOKUP(TableHandbook[[#This Row],[UDC]],TableSTRUBSCIM[],7,FALSE),"")</f>
        <v/>
      </c>
      <c r="AP272" s="200" t="str">
        <f>IFERROR(VLOOKUP(TableHandbook[[#This Row],[UDC]],TableSTRUCHEMB[],7,FALSE),"")</f>
        <v/>
      </c>
      <c r="AQ272" s="200" t="str">
        <f>IFERROR(VLOOKUP(TableHandbook[[#This Row],[UDC]],TableSTRUECOB1[],7,FALSE),"")</f>
        <v/>
      </c>
      <c r="AR272" s="200" t="str">
        <f>IFERROR(VLOOKUP(TableHandbook[[#This Row],[UDC]],TableSTRUEDART[],7,FALSE),"")</f>
        <v/>
      </c>
      <c r="AS272" s="200" t="str">
        <f>IFERROR(VLOOKUP(TableHandbook[[#This Row],[UDC]],TableSTRUEDENG[],7,FALSE),"")</f>
        <v/>
      </c>
      <c r="AT272" s="200" t="str">
        <f>IFERROR(VLOOKUP(TableHandbook[[#This Row],[UDC]],TableSTRUEDHAS[],7,FALSE),"")</f>
        <v/>
      </c>
      <c r="AU272" s="200" t="str">
        <f>IFERROR(VLOOKUP(TableHandbook[[#This Row],[UDC]],TableSTRUEDMAT[],7,FALSE),"")</f>
        <v/>
      </c>
      <c r="AV272" s="200" t="str">
        <f>IFERROR(VLOOKUP(TableHandbook[[#This Row],[UDC]],TableSTRUEDSCI[],7,FALSE),"")</f>
        <v/>
      </c>
      <c r="AW272" s="200" t="str">
        <f>IFERROR(VLOOKUP(TableHandbook[[#This Row],[UDC]],TableSTRUENGLB[],7,FALSE),"")</f>
        <v/>
      </c>
      <c r="AX272" s="200" t="str">
        <f>IFERROR(VLOOKUP(TableHandbook[[#This Row],[UDC]],TableSTRUENGLM[],7,FALSE),"")</f>
        <v/>
      </c>
      <c r="AY272" s="200" t="str">
        <f>IFERROR(VLOOKUP(TableHandbook[[#This Row],[UDC]],TableSTRUGEOB1[],7,FALSE),"")</f>
        <v/>
      </c>
      <c r="AZ272" s="200" t="str">
        <f>IFERROR(VLOOKUP(TableHandbook[[#This Row],[UDC]],TableSTRUHISB1[],7,FALSE),"")</f>
        <v/>
      </c>
      <c r="BA272" s="200" t="str">
        <f>IFERROR(VLOOKUP(TableHandbook[[#This Row],[UDC]],TableSTRUHUMAM[],7,FALSE),"")</f>
        <v/>
      </c>
      <c r="BB272" s="200" t="str">
        <f>IFERROR(VLOOKUP(TableHandbook[[#This Row],[UDC]],TableSTRUHUMBB[],7,FALSE),"")</f>
        <v/>
      </c>
      <c r="BC272" s="200" t="str">
        <f>IFERROR(VLOOKUP(TableHandbook[[#This Row],[UDC]],TableSTRUMATHB[],7,FALSE),"")</f>
        <v/>
      </c>
      <c r="BD272" s="200" t="str">
        <f>IFERROR(VLOOKUP(TableHandbook[[#This Row],[UDC]],TableSTRUMATHM[],7,FALSE),"")</f>
        <v/>
      </c>
      <c r="BE272" s="200" t="str">
        <f>IFERROR(VLOOKUP(TableHandbook[[#This Row],[UDC]],TableSTRUPARTB[],7,FALSE),"")</f>
        <v/>
      </c>
      <c r="BF272" s="200" t="str">
        <f>IFERROR(VLOOKUP(TableHandbook[[#This Row],[UDC]],TableSTRUPARTM[],7,FALSE),"")</f>
        <v/>
      </c>
      <c r="BG272" s="200" t="str">
        <f>IFERROR(VLOOKUP(TableHandbook[[#This Row],[UDC]],TableSTRUPOLB1[],7,FALSE),"")</f>
        <v/>
      </c>
      <c r="BH272" s="200" t="str">
        <f>IFERROR(VLOOKUP(TableHandbook[[#This Row],[UDC]],TableSTRUPSCIM[],7,FALSE),"")</f>
        <v/>
      </c>
      <c r="BI272" s="200" t="str">
        <f>IFERROR(VLOOKUP(TableHandbook[[#This Row],[UDC]],TableSTRUPSYCB[],7,FALSE),"")</f>
        <v/>
      </c>
      <c r="BJ272" s="200" t="str">
        <f>IFERROR(VLOOKUP(TableHandbook[[#This Row],[UDC]],TableSTRUPSYCM[],7,FALSE),"")</f>
        <v/>
      </c>
      <c r="BK272" s="200" t="str">
        <f>IFERROR(VLOOKUP(TableHandbook[[#This Row],[UDC]],TableSTRUSOSCM[],7,FALSE),"")</f>
        <v/>
      </c>
      <c r="BL272" s="200" t="str">
        <f>IFERROR(VLOOKUP(TableHandbook[[#This Row],[UDC]],TableSTRUVARTB[],7,FALSE),"")</f>
        <v/>
      </c>
      <c r="BM272" s="200" t="str">
        <f>IFERROR(VLOOKUP(TableHandbook[[#This Row],[UDC]],TableSTRUVARTM[],7,FALSE),"")</f>
        <v/>
      </c>
    </row>
    <row r="273" spans="1:65" x14ac:dyDescent="0.25">
      <c r="A273" s="262" t="s">
        <v>326</v>
      </c>
      <c r="B273" s="12">
        <v>1</v>
      </c>
      <c r="C273" s="11"/>
      <c r="D273" s="11" t="s">
        <v>833</v>
      </c>
      <c r="E273" s="12">
        <v>25</v>
      </c>
      <c r="F273" s="131" t="s">
        <v>544</v>
      </c>
      <c r="G273" s="126" t="str">
        <f>IFERROR(IF(VLOOKUP(TableHandbook[[#This Row],[UDC]],TableAvailabilities[],2,FALSE)&gt;0,"Y",""),"")</f>
        <v>Y</v>
      </c>
      <c r="H273" s="127" t="str">
        <f>IFERROR(IF(VLOOKUP(TableHandbook[[#This Row],[UDC]],TableAvailabilities[],3,FALSE)&gt;0,"Y",""),"")</f>
        <v/>
      </c>
      <c r="I273" s="127" t="str">
        <f>IFERROR(IF(VLOOKUP(TableHandbook[[#This Row],[UDC]],TableAvailabilities[],4,FALSE)&gt;0,"Y",""),"")</f>
        <v/>
      </c>
      <c r="J273" s="128" t="str">
        <f>IFERROR(IF(VLOOKUP(TableHandbook[[#This Row],[UDC]],TableAvailabilities[],5,FALSE)&gt;0,"Y",""),"")</f>
        <v/>
      </c>
      <c r="K273" s="128" t="str">
        <f>IFERROR(IF(VLOOKUP(TableHandbook[[#This Row],[UDC]],TableAvailabilities[],6,FALSE)&gt;0,"Y",""),"")</f>
        <v/>
      </c>
      <c r="L273" s="127" t="str">
        <f>IFERROR(IF(VLOOKUP(TableHandbook[[#This Row],[UDC]],TableAvailabilities[],7,FALSE)&gt;0,"Y",""),"")</f>
        <v/>
      </c>
      <c r="M273" s="251"/>
      <c r="N273" s="200" t="str">
        <f>IFERROR(VLOOKUP(TableHandbook[[#This Row],[UDC]],TableBEDUC[],7,FALSE),"")</f>
        <v/>
      </c>
      <c r="O273" s="200" t="str">
        <f>IFERROR(VLOOKUP(TableHandbook[[#This Row],[UDC]],TableBEDEC[],7,FALSE),"")</f>
        <v/>
      </c>
      <c r="P273" s="200" t="str">
        <f>IFERROR(VLOOKUP(TableHandbook[[#This Row],[UDC]],TableBEDPR[],7,FALSE),"")</f>
        <v/>
      </c>
      <c r="Q273" s="200" t="str">
        <f>IFERROR(VLOOKUP(TableHandbook[[#This Row],[UDC]],TableSTRUCATHL[],7,FALSE),"")</f>
        <v/>
      </c>
      <c r="R273" s="200" t="str">
        <f>IFERROR(VLOOKUP(TableHandbook[[#This Row],[UDC]],TableSTRUENGLL[],7,FALSE),"")</f>
        <v/>
      </c>
      <c r="S273" s="200" t="str">
        <f>IFERROR(VLOOKUP(TableHandbook[[#This Row],[UDC]],TableSTRUINTBC[],7,FALSE),"")</f>
        <v/>
      </c>
      <c r="T273" s="200" t="str">
        <f>IFERROR(VLOOKUP(TableHandbook[[#This Row],[UDC]],TableSTRUISTEM[],7,FALSE),"")</f>
        <v/>
      </c>
      <c r="U273" s="200" t="str">
        <f>IFERROR(VLOOKUP(TableHandbook[[#This Row],[UDC]],TableSTRULITNU[],7,FALSE),"")</f>
        <v/>
      </c>
      <c r="V273" s="200" t="str">
        <f>IFERROR(VLOOKUP(TableHandbook[[#This Row],[UDC]],TableSTRUTECHS[],7,FALSE),"")</f>
        <v/>
      </c>
      <c r="W273" s="200" t="str">
        <f>IFERROR(VLOOKUP(TableHandbook[[#This Row],[UDC]],TableBEDSC[],7,FALSE),"")</f>
        <v/>
      </c>
      <c r="X273" s="200" t="str">
        <f>IFERROR(VLOOKUP(TableHandbook[[#This Row],[UDC]],TableMJRUARTDR[],7,FALSE),"")</f>
        <v>Core</v>
      </c>
      <c r="Y273" s="200" t="str">
        <f>IFERROR(VLOOKUP(TableHandbook[[#This Row],[UDC]],TableMJRUARTME[],7,FALSE),"")</f>
        <v/>
      </c>
      <c r="Z273" s="200" t="str">
        <f>IFERROR(VLOOKUP(TableHandbook[[#This Row],[UDC]],TableMJRUARTVA[],7,FALSE),"")</f>
        <v/>
      </c>
      <c r="AA273" s="200" t="str">
        <f>IFERROR(VLOOKUP(TableHandbook[[#This Row],[UDC]],TableMJRUENGLT[],7,FALSE),"")</f>
        <v/>
      </c>
      <c r="AB273" s="200" t="str">
        <f>IFERROR(VLOOKUP(TableHandbook[[#This Row],[UDC]],TableMJRUHLTPE[],7,FALSE),"")</f>
        <v/>
      </c>
      <c r="AC273" s="200" t="str">
        <f>IFERROR(VLOOKUP(TableHandbook[[#This Row],[UDC]],TableMJRUHUSEC[],7,FALSE),"")</f>
        <v/>
      </c>
      <c r="AD273" s="200" t="str">
        <f>IFERROR(VLOOKUP(TableHandbook[[#This Row],[UDC]],TableMJRUHUSGE[],7,FALSE),"")</f>
        <v/>
      </c>
      <c r="AE273" s="200" t="str">
        <f>IFERROR(VLOOKUP(TableHandbook[[#This Row],[UDC]],TableMJRUHUSHI[],7,FALSE),"")</f>
        <v/>
      </c>
      <c r="AF273" s="200" t="str">
        <f>IFERROR(VLOOKUP(TableHandbook[[#This Row],[UDC]],TableMJRUHUSPL[],7,FALSE),"")</f>
        <v/>
      </c>
      <c r="AG273" s="200" t="str">
        <f>IFERROR(VLOOKUP(TableHandbook[[#This Row],[UDC]],TableMJRUMATHT[],7,FALSE),"")</f>
        <v/>
      </c>
      <c r="AH273" s="200" t="str">
        <f>IFERROR(VLOOKUP(TableHandbook[[#This Row],[UDC]],TableMJRUSCIBI[],7,FALSE),"")</f>
        <v/>
      </c>
      <c r="AI273" s="200" t="str">
        <f>IFERROR(VLOOKUP(TableHandbook[[#This Row],[UDC]],TableMJRUSCICH[],7,FALSE),"")</f>
        <v/>
      </c>
      <c r="AJ273" s="200" t="str">
        <f>IFERROR(VLOOKUP(TableHandbook[[#This Row],[UDC]],TableMJRUSCIHB[],7,FALSE),"")</f>
        <v/>
      </c>
      <c r="AK273" s="200" t="str">
        <f>IFERROR(VLOOKUP(TableHandbook[[#This Row],[UDC]],TableMJRUSCIPH[],7,FALSE),"")</f>
        <v/>
      </c>
      <c r="AL273" s="200" t="str">
        <f>IFERROR(VLOOKUP(TableHandbook[[#This Row],[UDC]],TableMJRUSCIPS[],7,FALSE),"")</f>
        <v/>
      </c>
      <c r="AM273" s="202"/>
      <c r="AN273" s="200" t="str">
        <f>IFERROR(VLOOKUP(TableHandbook[[#This Row],[UDC]],TableSTRUBIOLB[],7,FALSE),"")</f>
        <v/>
      </c>
      <c r="AO273" s="200" t="str">
        <f>IFERROR(VLOOKUP(TableHandbook[[#This Row],[UDC]],TableSTRUBSCIM[],7,FALSE),"")</f>
        <v/>
      </c>
      <c r="AP273" s="200" t="str">
        <f>IFERROR(VLOOKUP(TableHandbook[[#This Row],[UDC]],TableSTRUCHEMB[],7,FALSE),"")</f>
        <v/>
      </c>
      <c r="AQ273" s="200" t="str">
        <f>IFERROR(VLOOKUP(TableHandbook[[#This Row],[UDC]],TableSTRUECOB1[],7,FALSE),"")</f>
        <v/>
      </c>
      <c r="AR273" s="200" t="str">
        <f>IFERROR(VLOOKUP(TableHandbook[[#This Row],[UDC]],TableSTRUEDART[],7,FALSE),"")</f>
        <v/>
      </c>
      <c r="AS273" s="200" t="str">
        <f>IFERROR(VLOOKUP(TableHandbook[[#This Row],[UDC]],TableSTRUEDENG[],7,FALSE),"")</f>
        <v/>
      </c>
      <c r="AT273" s="200" t="str">
        <f>IFERROR(VLOOKUP(TableHandbook[[#This Row],[UDC]],TableSTRUEDHAS[],7,FALSE),"")</f>
        <v/>
      </c>
      <c r="AU273" s="200" t="str">
        <f>IFERROR(VLOOKUP(TableHandbook[[#This Row],[UDC]],TableSTRUEDMAT[],7,FALSE),"")</f>
        <v/>
      </c>
      <c r="AV273" s="200" t="str">
        <f>IFERROR(VLOOKUP(TableHandbook[[#This Row],[UDC]],TableSTRUEDSCI[],7,FALSE),"")</f>
        <v/>
      </c>
      <c r="AW273" s="200" t="str">
        <f>IFERROR(VLOOKUP(TableHandbook[[#This Row],[UDC]],TableSTRUENGLB[],7,FALSE),"")</f>
        <v/>
      </c>
      <c r="AX273" s="200" t="str">
        <f>IFERROR(VLOOKUP(TableHandbook[[#This Row],[UDC]],TableSTRUENGLM[],7,FALSE),"")</f>
        <v/>
      </c>
      <c r="AY273" s="200" t="str">
        <f>IFERROR(VLOOKUP(TableHandbook[[#This Row],[UDC]],TableSTRUGEOB1[],7,FALSE),"")</f>
        <v/>
      </c>
      <c r="AZ273" s="200" t="str">
        <f>IFERROR(VLOOKUP(TableHandbook[[#This Row],[UDC]],TableSTRUHISB1[],7,FALSE),"")</f>
        <v/>
      </c>
      <c r="BA273" s="200" t="str">
        <f>IFERROR(VLOOKUP(TableHandbook[[#This Row],[UDC]],TableSTRUHUMAM[],7,FALSE),"")</f>
        <v/>
      </c>
      <c r="BB273" s="200" t="str">
        <f>IFERROR(VLOOKUP(TableHandbook[[#This Row],[UDC]],TableSTRUHUMBB[],7,FALSE),"")</f>
        <v/>
      </c>
      <c r="BC273" s="200" t="str">
        <f>IFERROR(VLOOKUP(TableHandbook[[#This Row],[UDC]],TableSTRUMATHB[],7,FALSE),"")</f>
        <v/>
      </c>
      <c r="BD273" s="200" t="str">
        <f>IFERROR(VLOOKUP(TableHandbook[[#This Row],[UDC]],TableSTRUMATHM[],7,FALSE),"")</f>
        <v/>
      </c>
      <c r="BE273" s="200" t="str">
        <f>IFERROR(VLOOKUP(TableHandbook[[#This Row],[UDC]],TableSTRUPARTB[],7,FALSE),"")</f>
        <v/>
      </c>
      <c r="BF273" s="200" t="str">
        <f>IFERROR(VLOOKUP(TableHandbook[[#This Row],[UDC]],TableSTRUPARTM[],7,FALSE),"")</f>
        <v>Core</v>
      </c>
      <c r="BG273" s="200" t="str">
        <f>IFERROR(VLOOKUP(TableHandbook[[#This Row],[UDC]],TableSTRUPOLB1[],7,FALSE),"")</f>
        <v/>
      </c>
      <c r="BH273" s="200" t="str">
        <f>IFERROR(VLOOKUP(TableHandbook[[#This Row],[UDC]],TableSTRUPSCIM[],7,FALSE),"")</f>
        <v/>
      </c>
      <c r="BI273" s="200" t="str">
        <f>IFERROR(VLOOKUP(TableHandbook[[#This Row],[UDC]],TableSTRUPSYCB[],7,FALSE),"")</f>
        <v/>
      </c>
      <c r="BJ273" s="200" t="str">
        <f>IFERROR(VLOOKUP(TableHandbook[[#This Row],[UDC]],TableSTRUPSYCM[],7,FALSE),"")</f>
        <v/>
      </c>
      <c r="BK273" s="200" t="str">
        <f>IFERROR(VLOOKUP(TableHandbook[[#This Row],[UDC]],TableSTRUSOSCM[],7,FALSE),"")</f>
        <v/>
      </c>
      <c r="BL273" s="200" t="str">
        <f>IFERROR(VLOOKUP(TableHandbook[[#This Row],[UDC]],TableSTRUVARTB[],7,FALSE),"")</f>
        <v/>
      </c>
      <c r="BM273" s="200" t="str">
        <f>IFERROR(VLOOKUP(TableHandbook[[#This Row],[UDC]],TableSTRUVARTM[],7,FALSE),"")</f>
        <v/>
      </c>
    </row>
    <row r="274" spans="1:65" x14ac:dyDescent="0.25">
      <c r="A274" s="262" t="s">
        <v>300</v>
      </c>
      <c r="B274" s="12">
        <v>1</v>
      </c>
      <c r="C274" s="11"/>
      <c r="D274" s="11" t="s">
        <v>834</v>
      </c>
      <c r="E274" s="12">
        <v>25</v>
      </c>
      <c r="F274" s="131" t="s">
        <v>544</v>
      </c>
      <c r="G274" s="126" t="str">
        <f>IFERROR(IF(VLOOKUP(TableHandbook[[#This Row],[UDC]],TableAvailabilities[],2,FALSE)&gt;0,"Y",""),"")</f>
        <v/>
      </c>
      <c r="H274" s="127" t="str">
        <f>IFERROR(IF(VLOOKUP(TableHandbook[[#This Row],[UDC]],TableAvailabilities[],3,FALSE)&gt;0,"Y",""),"")</f>
        <v/>
      </c>
      <c r="I274" s="127" t="str">
        <f>IFERROR(IF(VLOOKUP(TableHandbook[[#This Row],[UDC]],TableAvailabilities[],4,FALSE)&gt;0,"Y",""),"")</f>
        <v/>
      </c>
      <c r="J274" s="128" t="str">
        <f>IFERROR(IF(VLOOKUP(TableHandbook[[#This Row],[UDC]],TableAvailabilities[],5,FALSE)&gt;0,"Y",""),"")</f>
        <v>Y</v>
      </c>
      <c r="K274" s="128" t="str">
        <f>IFERROR(IF(VLOOKUP(TableHandbook[[#This Row],[UDC]],TableAvailabilities[],6,FALSE)&gt;0,"Y",""),"")</f>
        <v/>
      </c>
      <c r="L274" s="127" t="str">
        <f>IFERROR(IF(VLOOKUP(TableHandbook[[#This Row],[UDC]],TableAvailabilities[],7,FALSE)&gt;0,"Y",""),"")</f>
        <v/>
      </c>
      <c r="M274" s="251"/>
      <c r="N274" s="200" t="str">
        <f>IFERROR(VLOOKUP(TableHandbook[[#This Row],[UDC]],TableBEDUC[],7,FALSE),"")</f>
        <v/>
      </c>
      <c r="O274" s="200" t="str">
        <f>IFERROR(VLOOKUP(TableHandbook[[#This Row],[UDC]],TableBEDEC[],7,FALSE),"")</f>
        <v/>
      </c>
      <c r="P274" s="200" t="str">
        <f>IFERROR(VLOOKUP(TableHandbook[[#This Row],[UDC]],TableBEDPR[],7,FALSE),"")</f>
        <v/>
      </c>
      <c r="Q274" s="200" t="str">
        <f>IFERROR(VLOOKUP(TableHandbook[[#This Row],[UDC]],TableSTRUCATHL[],7,FALSE),"")</f>
        <v/>
      </c>
      <c r="R274" s="200" t="str">
        <f>IFERROR(VLOOKUP(TableHandbook[[#This Row],[UDC]],TableSTRUENGLL[],7,FALSE),"")</f>
        <v/>
      </c>
      <c r="S274" s="200" t="str">
        <f>IFERROR(VLOOKUP(TableHandbook[[#This Row],[UDC]],TableSTRUINTBC[],7,FALSE),"")</f>
        <v/>
      </c>
      <c r="T274" s="200" t="str">
        <f>IFERROR(VLOOKUP(TableHandbook[[#This Row],[UDC]],TableSTRUISTEM[],7,FALSE),"")</f>
        <v/>
      </c>
      <c r="U274" s="200" t="str">
        <f>IFERROR(VLOOKUP(TableHandbook[[#This Row],[UDC]],TableSTRULITNU[],7,FALSE),"")</f>
        <v/>
      </c>
      <c r="V274" s="200" t="str">
        <f>IFERROR(VLOOKUP(TableHandbook[[#This Row],[UDC]],TableSTRUTECHS[],7,FALSE),"")</f>
        <v/>
      </c>
      <c r="W274" s="200" t="str">
        <f>IFERROR(VLOOKUP(TableHandbook[[#This Row],[UDC]],TableBEDSC[],7,FALSE),"")</f>
        <v/>
      </c>
      <c r="X274" s="200" t="str">
        <f>IFERROR(VLOOKUP(TableHandbook[[#This Row],[UDC]],TableMJRUARTDR[],7,FALSE),"")</f>
        <v>Core</v>
      </c>
      <c r="Y274" s="200" t="str">
        <f>IFERROR(VLOOKUP(TableHandbook[[#This Row],[UDC]],TableMJRUARTME[],7,FALSE),"")</f>
        <v/>
      </c>
      <c r="Z274" s="200" t="str">
        <f>IFERROR(VLOOKUP(TableHandbook[[#This Row],[UDC]],TableMJRUARTVA[],7,FALSE),"")</f>
        <v/>
      </c>
      <c r="AA274" s="200" t="str">
        <f>IFERROR(VLOOKUP(TableHandbook[[#This Row],[UDC]],TableMJRUENGLT[],7,FALSE),"")</f>
        <v/>
      </c>
      <c r="AB274" s="200" t="str">
        <f>IFERROR(VLOOKUP(TableHandbook[[#This Row],[UDC]],TableMJRUHLTPE[],7,FALSE),"")</f>
        <v/>
      </c>
      <c r="AC274" s="200" t="str">
        <f>IFERROR(VLOOKUP(TableHandbook[[#This Row],[UDC]],TableMJRUHUSEC[],7,FALSE),"")</f>
        <v/>
      </c>
      <c r="AD274" s="200" t="str">
        <f>IFERROR(VLOOKUP(TableHandbook[[#This Row],[UDC]],TableMJRUHUSGE[],7,FALSE),"")</f>
        <v/>
      </c>
      <c r="AE274" s="200" t="str">
        <f>IFERROR(VLOOKUP(TableHandbook[[#This Row],[UDC]],TableMJRUHUSHI[],7,FALSE),"")</f>
        <v/>
      </c>
      <c r="AF274" s="200" t="str">
        <f>IFERROR(VLOOKUP(TableHandbook[[#This Row],[UDC]],TableMJRUHUSPL[],7,FALSE),"")</f>
        <v/>
      </c>
      <c r="AG274" s="200" t="str">
        <f>IFERROR(VLOOKUP(TableHandbook[[#This Row],[UDC]],TableMJRUMATHT[],7,FALSE),"")</f>
        <v/>
      </c>
      <c r="AH274" s="200" t="str">
        <f>IFERROR(VLOOKUP(TableHandbook[[#This Row],[UDC]],TableMJRUSCIBI[],7,FALSE),"")</f>
        <v/>
      </c>
      <c r="AI274" s="200" t="str">
        <f>IFERROR(VLOOKUP(TableHandbook[[#This Row],[UDC]],TableMJRUSCICH[],7,FALSE),"")</f>
        <v/>
      </c>
      <c r="AJ274" s="200" t="str">
        <f>IFERROR(VLOOKUP(TableHandbook[[#This Row],[UDC]],TableMJRUSCIHB[],7,FALSE),"")</f>
        <v/>
      </c>
      <c r="AK274" s="200" t="str">
        <f>IFERROR(VLOOKUP(TableHandbook[[#This Row],[UDC]],TableMJRUSCIPH[],7,FALSE),"")</f>
        <v/>
      </c>
      <c r="AL274" s="200" t="str">
        <f>IFERROR(VLOOKUP(TableHandbook[[#This Row],[UDC]],TableMJRUSCIPS[],7,FALSE),"")</f>
        <v/>
      </c>
      <c r="AM274" s="202"/>
      <c r="AN274" s="200" t="str">
        <f>IFERROR(VLOOKUP(TableHandbook[[#This Row],[UDC]],TableSTRUBIOLB[],7,FALSE),"")</f>
        <v/>
      </c>
      <c r="AO274" s="200" t="str">
        <f>IFERROR(VLOOKUP(TableHandbook[[#This Row],[UDC]],TableSTRUBSCIM[],7,FALSE),"")</f>
        <v/>
      </c>
      <c r="AP274" s="200" t="str">
        <f>IFERROR(VLOOKUP(TableHandbook[[#This Row],[UDC]],TableSTRUCHEMB[],7,FALSE),"")</f>
        <v/>
      </c>
      <c r="AQ274" s="200" t="str">
        <f>IFERROR(VLOOKUP(TableHandbook[[#This Row],[UDC]],TableSTRUECOB1[],7,FALSE),"")</f>
        <v/>
      </c>
      <c r="AR274" s="200" t="str">
        <f>IFERROR(VLOOKUP(TableHandbook[[#This Row],[UDC]],TableSTRUEDART[],7,FALSE),"")</f>
        <v/>
      </c>
      <c r="AS274" s="200" t="str">
        <f>IFERROR(VLOOKUP(TableHandbook[[#This Row],[UDC]],TableSTRUEDENG[],7,FALSE),"")</f>
        <v/>
      </c>
      <c r="AT274" s="200" t="str">
        <f>IFERROR(VLOOKUP(TableHandbook[[#This Row],[UDC]],TableSTRUEDHAS[],7,FALSE),"")</f>
        <v/>
      </c>
      <c r="AU274" s="200" t="str">
        <f>IFERROR(VLOOKUP(TableHandbook[[#This Row],[UDC]],TableSTRUEDMAT[],7,FALSE),"")</f>
        <v/>
      </c>
      <c r="AV274" s="200" t="str">
        <f>IFERROR(VLOOKUP(TableHandbook[[#This Row],[UDC]],TableSTRUEDSCI[],7,FALSE),"")</f>
        <v/>
      </c>
      <c r="AW274" s="200" t="str">
        <f>IFERROR(VLOOKUP(TableHandbook[[#This Row],[UDC]],TableSTRUENGLB[],7,FALSE),"")</f>
        <v/>
      </c>
      <c r="AX274" s="200" t="str">
        <f>IFERROR(VLOOKUP(TableHandbook[[#This Row],[UDC]],TableSTRUENGLM[],7,FALSE),"")</f>
        <v/>
      </c>
      <c r="AY274" s="200" t="str">
        <f>IFERROR(VLOOKUP(TableHandbook[[#This Row],[UDC]],TableSTRUGEOB1[],7,FALSE),"")</f>
        <v/>
      </c>
      <c r="AZ274" s="200" t="str">
        <f>IFERROR(VLOOKUP(TableHandbook[[#This Row],[UDC]],TableSTRUHISB1[],7,FALSE),"")</f>
        <v/>
      </c>
      <c r="BA274" s="200" t="str">
        <f>IFERROR(VLOOKUP(TableHandbook[[#This Row],[UDC]],TableSTRUHUMAM[],7,FALSE),"")</f>
        <v/>
      </c>
      <c r="BB274" s="200" t="str">
        <f>IFERROR(VLOOKUP(TableHandbook[[#This Row],[UDC]],TableSTRUHUMBB[],7,FALSE),"")</f>
        <v/>
      </c>
      <c r="BC274" s="200" t="str">
        <f>IFERROR(VLOOKUP(TableHandbook[[#This Row],[UDC]],TableSTRUMATHB[],7,FALSE),"")</f>
        <v/>
      </c>
      <c r="BD274" s="200" t="str">
        <f>IFERROR(VLOOKUP(TableHandbook[[#This Row],[UDC]],TableSTRUMATHM[],7,FALSE),"")</f>
        <v/>
      </c>
      <c r="BE274" s="200" t="str">
        <f>IFERROR(VLOOKUP(TableHandbook[[#This Row],[UDC]],TableSTRUPARTB[],7,FALSE),"")</f>
        <v/>
      </c>
      <c r="BF274" s="200" t="str">
        <f>IFERROR(VLOOKUP(TableHandbook[[#This Row],[UDC]],TableSTRUPARTM[],7,FALSE),"")</f>
        <v/>
      </c>
      <c r="BG274" s="200" t="str">
        <f>IFERROR(VLOOKUP(TableHandbook[[#This Row],[UDC]],TableSTRUPOLB1[],7,FALSE),"")</f>
        <v/>
      </c>
      <c r="BH274" s="200" t="str">
        <f>IFERROR(VLOOKUP(TableHandbook[[#This Row],[UDC]],TableSTRUPSCIM[],7,FALSE),"")</f>
        <v/>
      </c>
      <c r="BI274" s="200" t="str">
        <f>IFERROR(VLOOKUP(TableHandbook[[#This Row],[UDC]],TableSTRUPSYCB[],7,FALSE),"")</f>
        <v/>
      </c>
      <c r="BJ274" s="200" t="str">
        <f>IFERROR(VLOOKUP(TableHandbook[[#This Row],[UDC]],TableSTRUPSYCM[],7,FALSE),"")</f>
        <v/>
      </c>
      <c r="BK274" s="200" t="str">
        <f>IFERROR(VLOOKUP(TableHandbook[[#This Row],[UDC]],TableSTRUSOSCM[],7,FALSE),"")</f>
        <v/>
      </c>
      <c r="BL274" s="200" t="str">
        <f>IFERROR(VLOOKUP(TableHandbook[[#This Row],[UDC]],TableSTRUVARTB[],7,FALSE),"")</f>
        <v/>
      </c>
      <c r="BM274" s="200" t="str">
        <f>IFERROR(VLOOKUP(TableHandbook[[#This Row],[UDC]],TableSTRUVARTM[],7,FALSE),"")</f>
        <v/>
      </c>
    </row>
    <row r="275" spans="1:65" x14ac:dyDescent="0.25">
      <c r="A275" s="262" t="s">
        <v>348</v>
      </c>
      <c r="B275" s="12">
        <v>1</v>
      </c>
      <c r="C275" s="11"/>
      <c r="D275" s="11" t="s">
        <v>835</v>
      </c>
      <c r="E275" s="12">
        <v>25</v>
      </c>
      <c r="F275" s="131" t="s">
        <v>544</v>
      </c>
      <c r="G275" s="126" t="str">
        <f>IFERROR(IF(VLOOKUP(TableHandbook[[#This Row],[UDC]],TableAvailabilities[],2,FALSE)&gt;0,"Y",""),"")</f>
        <v/>
      </c>
      <c r="H275" s="127" t="str">
        <f>IFERROR(IF(VLOOKUP(TableHandbook[[#This Row],[UDC]],TableAvailabilities[],3,FALSE)&gt;0,"Y",""),"")</f>
        <v/>
      </c>
      <c r="I275" s="127" t="str">
        <f>IFERROR(IF(VLOOKUP(TableHandbook[[#This Row],[UDC]],TableAvailabilities[],4,FALSE)&gt;0,"Y",""),"")</f>
        <v/>
      </c>
      <c r="J275" s="128" t="str">
        <f>IFERROR(IF(VLOOKUP(TableHandbook[[#This Row],[UDC]],TableAvailabilities[],5,FALSE)&gt;0,"Y",""),"")</f>
        <v>Y</v>
      </c>
      <c r="K275" s="128" t="str">
        <f>IFERROR(IF(VLOOKUP(TableHandbook[[#This Row],[UDC]],TableAvailabilities[],6,FALSE)&gt;0,"Y",""),"")</f>
        <v/>
      </c>
      <c r="L275" s="127" t="str">
        <f>IFERROR(IF(VLOOKUP(TableHandbook[[#This Row],[UDC]],TableAvailabilities[],7,FALSE)&gt;0,"Y",""),"")</f>
        <v/>
      </c>
      <c r="M275" s="251"/>
      <c r="N275" s="200" t="str">
        <f>IFERROR(VLOOKUP(TableHandbook[[#This Row],[UDC]],TableBEDUC[],7,FALSE),"")</f>
        <v/>
      </c>
      <c r="O275" s="200" t="str">
        <f>IFERROR(VLOOKUP(TableHandbook[[#This Row],[UDC]],TableBEDEC[],7,FALSE),"")</f>
        <v/>
      </c>
      <c r="P275" s="200" t="str">
        <f>IFERROR(VLOOKUP(TableHandbook[[#This Row],[UDC]],TableBEDPR[],7,FALSE),"")</f>
        <v/>
      </c>
      <c r="Q275" s="200" t="str">
        <f>IFERROR(VLOOKUP(TableHandbook[[#This Row],[UDC]],TableSTRUCATHL[],7,FALSE),"")</f>
        <v/>
      </c>
      <c r="R275" s="200" t="str">
        <f>IFERROR(VLOOKUP(TableHandbook[[#This Row],[UDC]],TableSTRUENGLL[],7,FALSE),"")</f>
        <v/>
      </c>
      <c r="S275" s="200" t="str">
        <f>IFERROR(VLOOKUP(TableHandbook[[#This Row],[UDC]],TableSTRUINTBC[],7,FALSE),"")</f>
        <v/>
      </c>
      <c r="T275" s="200" t="str">
        <f>IFERROR(VLOOKUP(TableHandbook[[#This Row],[UDC]],TableSTRUISTEM[],7,FALSE),"")</f>
        <v/>
      </c>
      <c r="U275" s="200" t="str">
        <f>IFERROR(VLOOKUP(TableHandbook[[#This Row],[UDC]],TableSTRULITNU[],7,FALSE),"")</f>
        <v/>
      </c>
      <c r="V275" s="200" t="str">
        <f>IFERROR(VLOOKUP(TableHandbook[[#This Row],[UDC]],TableSTRUTECHS[],7,FALSE),"")</f>
        <v/>
      </c>
      <c r="W275" s="200" t="str">
        <f>IFERROR(VLOOKUP(TableHandbook[[#This Row],[UDC]],TableBEDSC[],7,FALSE),"")</f>
        <v/>
      </c>
      <c r="X275" s="200" t="str">
        <f>IFERROR(VLOOKUP(TableHandbook[[#This Row],[UDC]],TableMJRUARTDR[],7,FALSE),"")</f>
        <v>Core</v>
      </c>
      <c r="Y275" s="200" t="str">
        <f>IFERROR(VLOOKUP(TableHandbook[[#This Row],[UDC]],TableMJRUARTME[],7,FALSE),"")</f>
        <v/>
      </c>
      <c r="Z275" s="200" t="str">
        <f>IFERROR(VLOOKUP(TableHandbook[[#This Row],[UDC]],TableMJRUARTVA[],7,FALSE),"")</f>
        <v/>
      </c>
      <c r="AA275" s="200" t="str">
        <f>IFERROR(VLOOKUP(TableHandbook[[#This Row],[UDC]],TableMJRUENGLT[],7,FALSE),"")</f>
        <v/>
      </c>
      <c r="AB275" s="200" t="str">
        <f>IFERROR(VLOOKUP(TableHandbook[[#This Row],[UDC]],TableMJRUHLTPE[],7,FALSE),"")</f>
        <v/>
      </c>
      <c r="AC275" s="200" t="str">
        <f>IFERROR(VLOOKUP(TableHandbook[[#This Row],[UDC]],TableMJRUHUSEC[],7,FALSE),"")</f>
        <v/>
      </c>
      <c r="AD275" s="200" t="str">
        <f>IFERROR(VLOOKUP(TableHandbook[[#This Row],[UDC]],TableMJRUHUSGE[],7,FALSE),"")</f>
        <v/>
      </c>
      <c r="AE275" s="200" t="str">
        <f>IFERROR(VLOOKUP(TableHandbook[[#This Row],[UDC]],TableMJRUHUSHI[],7,FALSE),"")</f>
        <v/>
      </c>
      <c r="AF275" s="200" t="str">
        <f>IFERROR(VLOOKUP(TableHandbook[[#This Row],[UDC]],TableMJRUHUSPL[],7,FALSE),"")</f>
        <v/>
      </c>
      <c r="AG275" s="200" t="str">
        <f>IFERROR(VLOOKUP(TableHandbook[[#This Row],[UDC]],TableMJRUMATHT[],7,FALSE),"")</f>
        <v/>
      </c>
      <c r="AH275" s="200" t="str">
        <f>IFERROR(VLOOKUP(TableHandbook[[#This Row],[UDC]],TableMJRUSCIBI[],7,FALSE),"")</f>
        <v/>
      </c>
      <c r="AI275" s="200" t="str">
        <f>IFERROR(VLOOKUP(TableHandbook[[#This Row],[UDC]],TableMJRUSCICH[],7,FALSE),"")</f>
        <v/>
      </c>
      <c r="AJ275" s="200" t="str">
        <f>IFERROR(VLOOKUP(TableHandbook[[#This Row],[UDC]],TableMJRUSCIHB[],7,FALSE),"")</f>
        <v/>
      </c>
      <c r="AK275" s="200" t="str">
        <f>IFERROR(VLOOKUP(TableHandbook[[#This Row],[UDC]],TableMJRUSCIPH[],7,FALSE),"")</f>
        <v/>
      </c>
      <c r="AL275" s="200" t="str">
        <f>IFERROR(VLOOKUP(TableHandbook[[#This Row],[UDC]],TableMJRUSCIPS[],7,FALSE),"")</f>
        <v/>
      </c>
      <c r="AM275" s="202"/>
      <c r="AN275" s="200" t="str">
        <f>IFERROR(VLOOKUP(TableHandbook[[#This Row],[UDC]],TableSTRUBIOLB[],7,FALSE),"")</f>
        <v/>
      </c>
      <c r="AO275" s="200" t="str">
        <f>IFERROR(VLOOKUP(TableHandbook[[#This Row],[UDC]],TableSTRUBSCIM[],7,FALSE),"")</f>
        <v/>
      </c>
      <c r="AP275" s="200" t="str">
        <f>IFERROR(VLOOKUP(TableHandbook[[#This Row],[UDC]],TableSTRUCHEMB[],7,FALSE),"")</f>
        <v/>
      </c>
      <c r="AQ275" s="200" t="str">
        <f>IFERROR(VLOOKUP(TableHandbook[[#This Row],[UDC]],TableSTRUECOB1[],7,FALSE),"")</f>
        <v/>
      </c>
      <c r="AR275" s="200" t="str">
        <f>IFERROR(VLOOKUP(TableHandbook[[#This Row],[UDC]],TableSTRUEDART[],7,FALSE),"")</f>
        <v/>
      </c>
      <c r="AS275" s="200" t="str">
        <f>IFERROR(VLOOKUP(TableHandbook[[#This Row],[UDC]],TableSTRUEDENG[],7,FALSE),"")</f>
        <v/>
      </c>
      <c r="AT275" s="200" t="str">
        <f>IFERROR(VLOOKUP(TableHandbook[[#This Row],[UDC]],TableSTRUEDHAS[],7,FALSE),"")</f>
        <v/>
      </c>
      <c r="AU275" s="200" t="str">
        <f>IFERROR(VLOOKUP(TableHandbook[[#This Row],[UDC]],TableSTRUEDMAT[],7,FALSE),"")</f>
        <v/>
      </c>
      <c r="AV275" s="200" t="str">
        <f>IFERROR(VLOOKUP(TableHandbook[[#This Row],[UDC]],TableSTRUEDSCI[],7,FALSE),"")</f>
        <v/>
      </c>
      <c r="AW275" s="200" t="str">
        <f>IFERROR(VLOOKUP(TableHandbook[[#This Row],[UDC]],TableSTRUENGLB[],7,FALSE),"")</f>
        <v/>
      </c>
      <c r="AX275" s="200" t="str">
        <f>IFERROR(VLOOKUP(TableHandbook[[#This Row],[UDC]],TableSTRUENGLM[],7,FALSE),"")</f>
        <v/>
      </c>
      <c r="AY275" s="200" t="str">
        <f>IFERROR(VLOOKUP(TableHandbook[[#This Row],[UDC]],TableSTRUGEOB1[],7,FALSE),"")</f>
        <v/>
      </c>
      <c r="AZ275" s="200" t="str">
        <f>IFERROR(VLOOKUP(TableHandbook[[#This Row],[UDC]],TableSTRUHISB1[],7,FALSE),"")</f>
        <v/>
      </c>
      <c r="BA275" s="200" t="str">
        <f>IFERROR(VLOOKUP(TableHandbook[[#This Row],[UDC]],TableSTRUHUMAM[],7,FALSE),"")</f>
        <v/>
      </c>
      <c r="BB275" s="200" t="str">
        <f>IFERROR(VLOOKUP(TableHandbook[[#This Row],[UDC]],TableSTRUHUMBB[],7,FALSE),"")</f>
        <v/>
      </c>
      <c r="BC275" s="200" t="str">
        <f>IFERROR(VLOOKUP(TableHandbook[[#This Row],[UDC]],TableSTRUMATHB[],7,FALSE),"")</f>
        <v/>
      </c>
      <c r="BD275" s="200" t="str">
        <f>IFERROR(VLOOKUP(TableHandbook[[#This Row],[UDC]],TableSTRUMATHM[],7,FALSE),"")</f>
        <v/>
      </c>
      <c r="BE275" s="200" t="str">
        <f>IFERROR(VLOOKUP(TableHandbook[[#This Row],[UDC]],TableSTRUPARTB[],7,FALSE),"")</f>
        <v/>
      </c>
      <c r="BF275" s="200" t="str">
        <f>IFERROR(VLOOKUP(TableHandbook[[#This Row],[UDC]],TableSTRUPARTM[],7,FALSE),"")</f>
        <v/>
      </c>
      <c r="BG275" s="200" t="str">
        <f>IFERROR(VLOOKUP(TableHandbook[[#This Row],[UDC]],TableSTRUPOLB1[],7,FALSE),"")</f>
        <v/>
      </c>
      <c r="BH275" s="200" t="str">
        <f>IFERROR(VLOOKUP(TableHandbook[[#This Row],[UDC]],TableSTRUPSCIM[],7,FALSE),"")</f>
        <v/>
      </c>
      <c r="BI275" s="200" t="str">
        <f>IFERROR(VLOOKUP(TableHandbook[[#This Row],[UDC]],TableSTRUPSYCB[],7,FALSE),"")</f>
        <v/>
      </c>
      <c r="BJ275" s="200" t="str">
        <f>IFERROR(VLOOKUP(TableHandbook[[#This Row],[UDC]],TableSTRUPSYCM[],7,FALSE),"")</f>
        <v/>
      </c>
      <c r="BK275" s="200" t="str">
        <f>IFERROR(VLOOKUP(TableHandbook[[#This Row],[UDC]],TableSTRUSOSCM[],7,FALSE),"")</f>
        <v/>
      </c>
      <c r="BL275" s="200" t="str">
        <f>IFERROR(VLOOKUP(TableHandbook[[#This Row],[UDC]],TableSTRUVARTB[],7,FALSE),"")</f>
        <v/>
      </c>
      <c r="BM275" s="200" t="str">
        <f>IFERROR(VLOOKUP(TableHandbook[[#This Row],[UDC]],TableSTRUVARTM[],7,FALSE),"")</f>
        <v/>
      </c>
    </row>
    <row r="276" spans="1:65" x14ac:dyDescent="0.25">
      <c r="A276" s="262" t="s">
        <v>364</v>
      </c>
      <c r="B276" s="12">
        <v>1</v>
      </c>
      <c r="C276" s="11"/>
      <c r="D276" s="11" t="s">
        <v>836</v>
      </c>
      <c r="E276" s="12">
        <v>25</v>
      </c>
      <c r="F276" s="131" t="s">
        <v>544</v>
      </c>
      <c r="G276" s="126" t="str">
        <f>IFERROR(IF(VLOOKUP(TableHandbook[[#This Row],[UDC]],TableAvailabilities[],2,FALSE)&gt;0,"Y",""),"")</f>
        <v>Y</v>
      </c>
      <c r="H276" s="127" t="str">
        <f>IFERROR(IF(VLOOKUP(TableHandbook[[#This Row],[UDC]],TableAvailabilities[],3,FALSE)&gt;0,"Y",""),"")</f>
        <v/>
      </c>
      <c r="I276" s="127" t="str">
        <f>IFERROR(IF(VLOOKUP(TableHandbook[[#This Row],[UDC]],TableAvailabilities[],4,FALSE)&gt;0,"Y",""),"")</f>
        <v/>
      </c>
      <c r="J276" s="128" t="str">
        <f>IFERROR(IF(VLOOKUP(TableHandbook[[#This Row],[UDC]],TableAvailabilities[],5,FALSE)&gt;0,"Y",""),"")</f>
        <v>Y</v>
      </c>
      <c r="K276" s="128" t="str">
        <f>IFERROR(IF(VLOOKUP(TableHandbook[[#This Row],[UDC]],TableAvailabilities[],6,FALSE)&gt;0,"Y",""),"")</f>
        <v/>
      </c>
      <c r="L276" s="127" t="str">
        <f>IFERROR(IF(VLOOKUP(TableHandbook[[#This Row],[UDC]],TableAvailabilities[],7,FALSE)&gt;0,"Y",""),"")</f>
        <v/>
      </c>
      <c r="M276" s="251"/>
      <c r="N276" s="200" t="str">
        <f>IFERROR(VLOOKUP(TableHandbook[[#This Row],[UDC]],TableBEDUC[],7,FALSE),"")</f>
        <v/>
      </c>
      <c r="O276" s="200" t="str">
        <f>IFERROR(VLOOKUP(TableHandbook[[#This Row],[UDC]],TableBEDEC[],7,FALSE),"")</f>
        <v/>
      </c>
      <c r="P276" s="200" t="str">
        <f>IFERROR(VLOOKUP(TableHandbook[[#This Row],[UDC]],TableBEDPR[],7,FALSE),"")</f>
        <v/>
      </c>
      <c r="Q276" s="200" t="str">
        <f>IFERROR(VLOOKUP(TableHandbook[[#This Row],[UDC]],TableSTRUCATHL[],7,FALSE),"")</f>
        <v/>
      </c>
      <c r="R276" s="200" t="str">
        <f>IFERROR(VLOOKUP(TableHandbook[[#This Row],[UDC]],TableSTRUENGLL[],7,FALSE),"")</f>
        <v/>
      </c>
      <c r="S276" s="200" t="str">
        <f>IFERROR(VLOOKUP(TableHandbook[[#This Row],[UDC]],TableSTRUINTBC[],7,FALSE),"")</f>
        <v/>
      </c>
      <c r="T276" s="200" t="str">
        <f>IFERROR(VLOOKUP(TableHandbook[[#This Row],[UDC]],TableSTRUISTEM[],7,FALSE),"")</f>
        <v/>
      </c>
      <c r="U276" s="200" t="str">
        <f>IFERROR(VLOOKUP(TableHandbook[[#This Row],[UDC]],TableSTRULITNU[],7,FALSE),"")</f>
        <v/>
      </c>
      <c r="V276" s="200" t="str">
        <f>IFERROR(VLOOKUP(TableHandbook[[#This Row],[UDC]],TableSTRUTECHS[],7,FALSE),"")</f>
        <v/>
      </c>
      <c r="W276" s="200" t="str">
        <f>IFERROR(VLOOKUP(TableHandbook[[#This Row],[UDC]],TableBEDSC[],7,FALSE),"")</f>
        <v/>
      </c>
      <c r="X276" s="200" t="str">
        <f>IFERROR(VLOOKUP(TableHandbook[[#This Row],[UDC]],TableMJRUARTDR[],7,FALSE),"")</f>
        <v>Core</v>
      </c>
      <c r="Y276" s="200" t="str">
        <f>IFERROR(VLOOKUP(TableHandbook[[#This Row],[UDC]],TableMJRUARTME[],7,FALSE),"")</f>
        <v/>
      </c>
      <c r="Z276" s="200" t="str">
        <f>IFERROR(VLOOKUP(TableHandbook[[#This Row],[UDC]],TableMJRUARTVA[],7,FALSE),"")</f>
        <v/>
      </c>
      <c r="AA276" s="200" t="str">
        <f>IFERROR(VLOOKUP(TableHandbook[[#This Row],[UDC]],TableMJRUENGLT[],7,FALSE),"")</f>
        <v/>
      </c>
      <c r="AB276" s="200" t="str">
        <f>IFERROR(VLOOKUP(TableHandbook[[#This Row],[UDC]],TableMJRUHLTPE[],7,FALSE),"")</f>
        <v/>
      </c>
      <c r="AC276" s="200" t="str">
        <f>IFERROR(VLOOKUP(TableHandbook[[#This Row],[UDC]],TableMJRUHUSEC[],7,FALSE),"")</f>
        <v/>
      </c>
      <c r="AD276" s="200" t="str">
        <f>IFERROR(VLOOKUP(TableHandbook[[#This Row],[UDC]],TableMJRUHUSGE[],7,FALSE),"")</f>
        <v/>
      </c>
      <c r="AE276" s="200" t="str">
        <f>IFERROR(VLOOKUP(TableHandbook[[#This Row],[UDC]],TableMJRUHUSHI[],7,FALSE),"")</f>
        <v/>
      </c>
      <c r="AF276" s="200" t="str">
        <f>IFERROR(VLOOKUP(TableHandbook[[#This Row],[UDC]],TableMJRUHUSPL[],7,FALSE),"")</f>
        <v/>
      </c>
      <c r="AG276" s="200" t="str">
        <f>IFERROR(VLOOKUP(TableHandbook[[#This Row],[UDC]],TableMJRUMATHT[],7,FALSE),"")</f>
        <v/>
      </c>
      <c r="AH276" s="200" t="str">
        <f>IFERROR(VLOOKUP(TableHandbook[[#This Row],[UDC]],TableMJRUSCIBI[],7,FALSE),"")</f>
        <v/>
      </c>
      <c r="AI276" s="200" t="str">
        <f>IFERROR(VLOOKUP(TableHandbook[[#This Row],[UDC]],TableMJRUSCICH[],7,FALSE),"")</f>
        <v/>
      </c>
      <c r="AJ276" s="200" t="str">
        <f>IFERROR(VLOOKUP(TableHandbook[[#This Row],[UDC]],TableMJRUSCIHB[],7,FALSE),"")</f>
        <v/>
      </c>
      <c r="AK276" s="200" t="str">
        <f>IFERROR(VLOOKUP(TableHandbook[[#This Row],[UDC]],TableMJRUSCIPH[],7,FALSE),"")</f>
        <v/>
      </c>
      <c r="AL276" s="200" t="str">
        <f>IFERROR(VLOOKUP(TableHandbook[[#This Row],[UDC]],TableMJRUSCIPS[],7,FALSE),"")</f>
        <v/>
      </c>
      <c r="AM276" s="202"/>
      <c r="AN276" s="200" t="str">
        <f>IFERROR(VLOOKUP(TableHandbook[[#This Row],[UDC]],TableSTRUBIOLB[],7,FALSE),"")</f>
        <v/>
      </c>
      <c r="AO276" s="200" t="str">
        <f>IFERROR(VLOOKUP(TableHandbook[[#This Row],[UDC]],TableSTRUBSCIM[],7,FALSE),"")</f>
        <v/>
      </c>
      <c r="AP276" s="200" t="str">
        <f>IFERROR(VLOOKUP(TableHandbook[[#This Row],[UDC]],TableSTRUCHEMB[],7,FALSE),"")</f>
        <v/>
      </c>
      <c r="AQ276" s="200" t="str">
        <f>IFERROR(VLOOKUP(TableHandbook[[#This Row],[UDC]],TableSTRUECOB1[],7,FALSE),"")</f>
        <v/>
      </c>
      <c r="AR276" s="200" t="str">
        <f>IFERROR(VLOOKUP(TableHandbook[[#This Row],[UDC]],TableSTRUEDART[],7,FALSE),"")</f>
        <v/>
      </c>
      <c r="AS276" s="200" t="str">
        <f>IFERROR(VLOOKUP(TableHandbook[[#This Row],[UDC]],TableSTRUEDENG[],7,FALSE),"")</f>
        <v/>
      </c>
      <c r="AT276" s="200" t="str">
        <f>IFERROR(VLOOKUP(TableHandbook[[#This Row],[UDC]],TableSTRUEDHAS[],7,FALSE),"")</f>
        <v/>
      </c>
      <c r="AU276" s="200" t="str">
        <f>IFERROR(VLOOKUP(TableHandbook[[#This Row],[UDC]],TableSTRUEDMAT[],7,FALSE),"")</f>
        <v/>
      </c>
      <c r="AV276" s="200" t="str">
        <f>IFERROR(VLOOKUP(TableHandbook[[#This Row],[UDC]],TableSTRUEDSCI[],7,FALSE),"")</f>
        <v/>
      </c>
      <c r="AW276" s="200" t="str">
        <f>IFERROR(VLOOKUP(TableHandbook[[#This Row],[UDC]],TableSTRUENGLB[],7,FALSE),"")</f>
        <v/>
      </c>
      <c r="AX276" s="200" t="str">
        <f>IFERROR(VLOOKUP(TableHandbook[[#This Row],[UDC]],TableSTRUENGLM[],7,FALSE),"")</f>
        <v/>
      </c>
      <c r="AY276" s="200" t="str">
        <f>IFERROR(VLOOKUP(TableHandbook[[#This Row],[UDC]],TableSTRUGEOB1[],7,FALSE),"")</f>
        <v/>
      </c>
      <c r="AZ276" s="200" t="str">
        <f>IFERROR(VLOOKUP(TableHandbook[[#This Row],[UDC]],TableSTRUHISB1[],7,FALSE),"")</f>
        <v/>
      </c>
      <c r="BA276" s="200" t="str">
        <f>IFERROR(VLOOKUP(TableHandbook[[#This Row],[UDC]],TableSTRUHUMAM[],7,FALSE),"")</f>
        <v/>
      </c>
      <c r="BB276" s="200" t="str">
        <f>IFERROR(VLOOKUP(TableHandbook[[#This Row],[UDC]],TableSTRUHUMBB[],7,FALSE),"")</f>
        <v/>
      </c>
      <c r="BC276" s="200" t="str">
        <f>IFERROR(VLOOKUP(TableHandbook[[#This Row],[UDC]],TableSTRUMATHB[],7,FALSE),"")</f>
        <v/>
      </c>
      <c r="BD276" s="200" t="str">
        <f>IFERROR(VLOOKUP(TableHandbook[[#This Row],[UDC]],TableSTRUMATHM[],7,FALSE),"")</f>
        <v/>
      </c>
      <c r="BE276" s="200" t="str">
        <f>IFERROR(VLOOKUP(TableHandbook[[#This Row],[UDC]],TableSTRUPARTB[],7,FALSE),"")</f>
        <v/>
      </c>
      <c r="BF276" s="200" t="str">
        <f>IFERROR(VLOOKUP(TableHandbook[[#This Row],[UDC]],TableSTRUPARTM[],7,FALSE),"")</f>
        <v/>
      </c>
      <c r="BG276" s="200" t="str">
        <f>IFERROR(VLOOKUP(TableHandbook[[#This Row],[UDC]],TableSTRUPOLB1[],7,FALSE),"")</f>
        <v/>
      </c>
      <c r="BH276" s="200" t="str">
        <f>IFERROR(VLOOKUP(TableHandbook[[#This Row],[UDC]],TableSTRUPSCIM[],7,FALSE),"")</f>
        <v/>
      </c>
      <c r="BI276" s="200" t="str">
        <f>IFERROR(VLOOKUP(TableHandbook[[#This Row],[UDC]],TableSTRUPSYCB[],7,FALSE),"")</f>
        <v/>
      </c>
      <c r="BJ276" s="200" t="str">
        <f>IFERROR(VLOOKUP(TableHandbook[[#This Row],[UDC]],TableSTRUPSYCM[],7,FALSE),"")</f>
        <v/>
      </c>
      <c r="BK276" s="200" t="str">
        <f>IFERROR(VLOOKUP(TableHandbook[[#This Row],[UDC]],TableSTRUSOSCM[],7,FALSE),"")</f>
        <v/>
      </c>
      <c r="BL276" s="200" t="str">
        <f>IFERROR(VLOOKUP(TableHandbook[[#This Row],[UDC]],TableSTRUVARTB[],7,FALSE),"")</f>
        <v/>
      </c>
      <c r="BM276" s="200" t="str">
        <f>IFERROR(VLOOKUP(TableHandbook[[#This Row],[UDC]],TableSTRUVARTM[],7,FALSE),"")</f>
        <v/>
      </c>
    </row>
    <row r="277" spans="1:65" x14ac:dyDescent="0.25">
      <c r="A277" s="261" t="s">
        <v>483</v>
      </c>
      <c r="B277" s="12">
        <v>1</v>
      </c>
      <c r="C277" s="11"/>
      <c r="D277" s="11" t="s">
        <v>837</v>
      </c>
      <c r="E277" s="12">
        <v>25</v>
      </c>
      <c r="F277" s="131" t="s">
        <v>544</v>
      </c>
      <c r="G277" s="126" t="str">
        <f>IFERROR(IF(VLOOKUP(TableHandbook[[#This Row],[UDC]],TableAvailabilities[],2,FALSE)&gt;0,"Y",""),"")</f>
        <v>Y</v>
      </c>
      <c r="H277" s="127" t="str">
        <f>IFERROR(IF(VLOOKUP(TableHandbook[[#This Row],[UDC]],TableAvailabilities[],3,FALSE)&gt;0,"Y",""),"")</f>
        <v/>
      </c>
      <c r="I277" s="127" t="str">
        <f>IFERROR(IF(VLOOKUP(TableHandbook[[#This Row],[UDC]],TableAvailabilities[],4,FALSE)&gt;0,"Y",""),"")</f>
        <v/>
      </c>
      <c r="J277" s="128" t="str">
        <f>IFERROR(IF(VLOOKUP(TableHandbook[[#This Row],[UDC]],TableAvailabilities[],5,FALSE)&gt;0,"Y",""),"")</f>
        <v/>
      </c>
      <c r="K277" s="128" t="str">
        <f>IFERROR(IF(VLOOKUP(TableHandbook[[#This Row],[UDC]],TableAvailabilities[],6,FALSE)&gt;0,"Y",""),"")</f>
        <v/>
      </c>
      <c r="L277" s="127" t="str">
        <f>IFERROR(IF(VLOOKUP(TableHandbook[[#This Row],[UDC]],TableAvailabilities[],7,FALSE)&gt;0,"Y",""),"")</f>
        <v/>
      </c>
      <c r="M277" s="251"/>
      <c r="N277" s="200" t="str">
        <f>IFERROR(VLOOKUP(TableHandbook[[#This Row],[UDC]],TableBEDUC[],7,FALSE),"")</f>
        <v/>
      </c>
      <c r="O277" s="200" t="str">
        <f>IFERROR(VLOOKUP(TableHandbook[[#This Row],[UDC]],TableBEDEC[],7,FALSE),"")</f>
        <v/>
      </c>
      <c r="P277" s="200" t="str">
        <f>IFERROR(VLOOKUP(TableHandbook[[#This Row],[UDC]],TableBEDPR[],7,FALSE),"")</f>
        <v/>
      </c>
      <c r="Q277" s="200" t="str">
        <f>IFERROR(VLOOKUP(TableHandbook[[#This Row],[UDC]],TableSTRUCATHL[],7,FALSE),"")</f>
        <v/>
      </c>
      <c r="R277" s="200" t="str">
        <f>IFERROR(VLOOKUP(TableHandbook[[#This Row],[UDC]],TableSTRUENGLL[],7,FALSE),"")</f>
        <v/>
      </c>
      <c r="S277" s="200" t="str">
        <f>IFERROR(VLOOKUP(TableHandbook[[#This Row],[UDC]],TableSTRUINTBC[],7,FALSE),"")</f>
        <v/>
      </c>
      <c r="T277" s="200" t="str">
        <f>IFERROR(VLOOKUP(TableHandbook[[#This Row],[UDC]],TableSTRUISTEM[],7,FALSE),"")</f>
        <v/>
      </c>
      <c r="U277" s="200" t="str">
        <f>IFERROR(VLOOKUP(TableHandbook[[#This Row],[UDC]],TableSTRULITNU[],7,FALSE),"")</f>
        <v/>
      </c>
      <c r="V277" s="200" t="str">
        <f>IFERROR(VLOOKUP(TableHandbook[[#This Row],[UDC]],TableSTRUTECHS[],7,FALSE),"")</f>
        <v/>
      </c>
      <c r="W277" s="200" t="str">
        <f>IFERROR(VLOOKUP(TableHandbook[[#This Row],[UDC]],TableBEDSC[],7,FALSE),"")</f>
        <v/>
      </c>
      <c r="X277" s="200" t="str">
        <f>IFERROR(VLOOKUP(TableHandbook[[#This Row],[UDC]],TableMJRUARTDR[],7,FALSE),"")</f>
        <v/>
      </c>
      <c r="Y277" s="200" t="str">
        <f>IFERROR(VLOOKUP(TableHandbook[[#This Row],[UDC]],TableMJRUARTME[],7,FALSE),"")</f>
        <v/>
      </c>
      <c r="Z277" s="200" t="str">
        <f>IFERROR(VLOOKUP(TableHandbook[[#This Row],[UDC]],TableMJRUARTVA[],7,FALSE),"")</f>
        <v/>
      </c>
      <c r="AA277" s="200" t="str">
        <f>IFERROR(VLOOKUP(TableHandbook[[#This Row],[UDC]],TableMJRUENGLT[],7,FALSE),"")</f>
        <v/>
      </c>
      <c r="AB277" s="200" t="str">
        <f>IFERROR(VLOOKUP(TableHandbook[[#This Row],[UDC]],TableMJRUHLTPE[],7,FALSE),"")</f>
        <v/>
      </c>
      <c r="AC277" s="200" t="str">
        <f>IFERROR(VLOOKUP(TableHandbook[[#This Row],[UDC]],TableMJRUHUSEC[],7,FALSE),"")</f>
        <v/>
      </c>
      <c r="AD277" s="200" t="str">
        <f>IFERROR(VLOOKUP(TableHandbook[[#This Row],[UDC]],TableMJRUHUSGE[],7,FALSE),"")</f>
        <v/>
      </c>
      <c r="AE277" s="200" t="str">
        <f>IFERROR(VLOOKUP(TableHandbook[[#This Row],[UDC]],TableMJRUHUSHI[],7,FALSE),"")</f>
        <v/>
      </c>
      <c r="AF277" s="200" t="str">
        <f>IFERROR(VLOOKUP(TableHandbook[[#This Row],[UDC]],TableMJRUHUSPL[],7,FALSE),"")</f>
        <v/>
      </c>
      <c r="AG277" s="200" t="str">
        <f>IFERROR(VLOOKUP(TableHandbook[[#This Row],[UDC]],TableMJRUMATHT[],7,FALSE),"")</f>
        <v/>
      </c>
      <c r="AH277" s="200" t="str">
        <f>IFERROR(VLOOKUP(TableHandbook[[#This Row],[UDC]],TableMJRUSCIBI[],7,FALSE),"")</f>
        <v/>
      </c>
      <c r="AI277" s="200" t="str">
        <f>IFERROR(VLOOKUP(TableHandbook[[#This Row],[UDC]],TableMJRUSCICH[],7,FALSE),"")</f>
        <v/>
      </c>
      <c r="AJ277" s="200" t="str">
        <f>IFERROR(VLOOKUP(TableHandbook[[#This Row],[UDC]],TableMJRUSCIHB[],7,FALSE),"")</f>
        <v/>
      </c>
      <c r="AK277" s="200" t="str">
        <f>IFERROR(VLOOKUP(TableHandbook[[#This Row],[UDC]],TableMJRUSCIPH[],7,FALSE),"")</f>
        <v/>
      </c>
      <c r="AL277" s="200" t="str">
        <f>IFERROR(VLOOKUP(TableHandbook[[#This Row],[UDC]],TableMJRUSCIPS[],7,FALSE),"")</f>
        <v/>
      </c>
      <c r="AM277" s="202"/>
      <c r="AN277" s="200" t="str">
        <f>IFERROR(VLOOKUP(TableHandbook[[#This Row],[UDC]],TableSTRUBIOLB[],7,FALSE),"")</f>
        <v/>
      </c>
      <c r="AO277" s="200" t="str">
        <f>IFERROR(VLOOKUP(TableHandbook[[#This Row],[UDC]],TableSTRUBSCIM[],7,FALSE),"")</f>
        <v/>
      </c>
      <c r="AP277" s="200" t="str">
        <f>IFERROR(VLOOKUP(TableHandbook[[#This Row],[UDC]],TableSTRUCHEMB[],7,FALSE),"")</f>
        <v/>
      </c>
      <c r="AQ277" s="200" t="str">
        <f>IFERROR(VLOOKUP(TableHandbook[[#This Row],[UDC]],TableSTRUECOB1[],7,FALSE),"")</f>
        <v/>
      </c>
      <c r="AR277" s="200" t="str">
        <f>IFERROR(VLOOKUP(TableHandbook[[#This Row],[UDC]],TableSTRUEDART[],7,FALSE),"")</f>
        <v/>
      </c>
      <c r="AS277" s="200" t="str">
        <f>IFERROR(VLOOKUP(TableHandbook[[#This Row],[UDC]],TableSTRUEDENG[],7,FALSE),"")</f>
        <v/>
      </c>
      <c r="AT277" s="200" t="str">
        <f>IFERROR(VLOOKUP(TableHandbook[[#This Row],[UDC]],TableSTRUEDHAS[],7,FALSE),"")</f>
        <v/>
      </c>
      <c r="AU277" s="200" t="str">
        <f>IFERROR(VLOOKUP(TableHandbook[[#This Row],[UDC]],TableSTRUEDMAT[],7,FALSE),"")</f>
        <v/>
      </c>
      <c r="AV277" s="200" t="str">
        <f>IFERROR(VLOOKUP(TableHandbook[[#This Row],[UDC]],TableSTRUEDSCI[],7,FALSE),"")</f>
        <v/>
      </c>
      <c r="AW277" s="200" t="str">
        <f>IFERROR(VLOOKUP(TableHandbook[[#This Row],[UDC]],TableSTRUENGLB[],7,FALSE),"")</f>
        <v/>
      </c>
      <c r="AX277" s="200" t="str">
        <f>IFERROR(VLOOKUP(TableHandbook[[#This Row],[UDC]],TableSTRUENGLM[],7,FALSE),"")</f>
        <v/>
      </c>
      <c r="AY277" s="200" t="str">
        <f>IFERROR(VLOOKUP(TableHandbook[[#This Row],[UDC]],TableSTRUGEOB1[],7,FALSE),"")</f>
        <v/>
      </c>
      <c r="AZ277" s="200" t="str">
        <f>IFERROR(VLOOKUP(TableHandbook[[#This Row],[UDC]],TableSTRUHISB1[],7,FALSE),"")</f>
        <v/>
      </c>
      <c r="BA277" s="200" t="str">
        <f>IFERROR(VLOOKUP(TableHandbook[[#This Row],[UDC]],TableSTRUHUMAM[],7,FALSE),"")</f>
        <v/>
      </c>
      <c r="BB277" s="200" t="str">
        <f>IFERROR(VLOOKUP(TableHandbook[[#This Row],[UDC]],TableSTRUHUMBB[],7,FALSE),"")</f>
        <v/>
      </c>
      <c r="BC277" s="200" t="str">
        <f>IFERROR(VLOOKUP(TableHandbook[[#This Row],[UDC]],TableSTRUMATHB[],7,FALSE),"")</f>
        <v/>
      </c>
      <c r="BD277" s="200" t="str">
        <f>IFERROR(VLOOKUP(TableHandbook[[#This Row],[UDC]],TableSTRUMATHM[],7,FALSE),"")</f>
        <v/>
      </c>
      <c r="BE277" s="200" t="str">
        <f>IFERROR(VLOOKUP(TableHandbook[[#This Row],[UDC]],TableSTRUPARTB[],7,FALSE),"")</f>
        <v>Core</v>
      </c>
      <c r="BF277" s="200" t="str">
        <f>IFERROR(VLOOKUP(TableHandbook[[#This Row],[UDC]],TableSTRUPARTM[],7,FALSE),"")</f>
        <v>Core</v>
      </c>
      <c r="BG277" s="200" t="str">
        <f>IFERROR(VLOOKUP(TableHandbook[[#This Row],[UDC]],TableSTRUPOLB1[],7,FALSE),"")</f>
        <v/>
      </c>
      <c r="BH277" s="200" t="str">
        <f>IFERROR(VLOOKUP(TableHandbook[[#This Row],[UDC]],TableSTRUPSCIM[],7,FALSE),"")</f>
        <v/>
      </c>
      <c r="BI277" s="200" t="str">
        <f>IFERROR(VLOOKUP(TableHandbook[[#This Row],[UDC]],TableSTRUPSYCB[],7,FALSE),"")</f>
        <v/>
      </c>
      <c r="BJ277" s="200" t="str">
        <f>IFERROR(VLOOKUP(TableHandbook[[#This Row],[UDC]],TableSTRUPSYCM[],7,FALSE),"")</f>
        <v/>
      </c>
      <c r="BK277" s="200" t="str">
        <f>IFERROR(VLOOKUP(TableHandbook[[#This Row],[UDC]],TableSTRUSOSCM[],7,FALSE),"")</f>
        <v/>
      </c>
      <c r="BL277" s="200" t="str">
        <f>IFERROR(VLOOKUP(TableHandbook[[#This Row],[UDC]],TableSTRUVARTB[],7,FALSE),"")</f>
        <v/>
      </c>
      <c r="BM277" s="200" t="str">
        <f>IFERROR(VLOOKUP(TableHandbook[[#This Row],[UDC]],TableSTRUVARTM[],7,FALSE),"")</f>
        <v/>
      </c>
    </row>
    <row r="278" spans="1:65" x14ac:dyDescent="0.25">
      <c r="A278" s="262" t="s">
        <v>394</v>
      </c>
      <c r="B278" s="12">
        <v>1</v>
      </c>
      <c r="C278" s="11"/>
      <c r="D278" s="11" t="s">
        <v>838</v>
      </c>
      <c r="E278" s="12">
        <v>25</v>
      </c>
      <c r="F278" s="131" t="s">
        <v>839</v>
      </c>
      <c r="G278" s="126" t="str">
        <f>IFERROR(IF(VLOOKUP(TableHandbook[[#This Row],[UDC]],TableAvailabilities[],2,FALSE)&gt;0,"Y",""),"")</f>
        <v>Y</v>
      </c>
      <c r="H278" s="127" t="str">
        <f>IFERROR(IF(VLOOKUP(TableHandbook[[#This Row],[UDC]],TableAvailabilities[],3,FALSE)&gt;0,"Y",""),"")</f>
        <v/>
      </c>
      <c r="I278" s="127" t="str">
        <f>IFERROR(IF(VLOOKUP(TableHandbook[[#This Row],[UDC]],TableAvailabilities[],4,FALSE)&gt;0,"Y",""),"")</f>
        <v/>
      </c>
      <c r="J278" s="128" t="str">
        <f>IFERROR(IF(VLOOKUP(TableHandbook[[#This Row],[UDC]],TableAvailabilities[],5,FALSE)&gt;0,"Y",""),"")</f>
        <v/>
      </c>
      <c r="K278" s="128" t="str">
        <f>IFERROR(IF(VLOOKUP(TableHandbook[[#This Row],[UDC]],TableAvailabilities[],6,FALSE)&gt;0,"Y",""),"")</f>
        <v/>
      </c>
      <c r="L278" s="127" t="str">
        <f>IFERROR(IF(VLOOKUP(TableHandbook[[#This Row],[UDC]],TableAvailabilities[],7,FALSE)&gt;0,"Y",""),"")</f>
        <v/>
      </c>
      <c r="M278" s="251"/>
      <c r="N278" s="200" t="str">
        <f>IFERROR(VLOOKUP(TableHandbook[[#This Row],[UDC]],TableBEDUC[],7,FALSE),"")</f>
        <v/>
      </c>
      <c r="O278" s="200" t="str">
        <f>IFERROR(VLOOKUP(TableHandbook[[#This Row],[UDC]],TableBEDEC[],7,FALSE),"")</f>
        <v/>
      </c>
      <c r="P278" s="200" t="str">
        <f>IFERROR(VLOOKUP(TableHandbook[[#This Row],[UDC]],TableBEDPR[],7,FALSE),"")</f>
        <v/>
      </c>
      <c r="Q278" s="200" t="str">
        <f>IFERROR(VLOOKUP(TableHandbook[[#This Row],[UDC]],TableSTRUCATHL[],7,FALSE),"")</f>
        <v/>
      </c>
      <c r="R278" s="200" t="str">
        <f>IFERROR(VLOOKUP(TableHandbook[[#This Row],[UDC]],TableSTRUENGLL[],7,FALSE),"")</f>
        <v/>
      </c>
      <c r="S278" s="200" t="str">
        <f>IFERROR(VLOOKUP(TableHandbook[[#This Row],[UDC]],TableSTRUINTBC[],7,FALSE),"")</f>
        <v/>
      </c>
      <c r="T278" s="200" t="str">
        <f>IFERROR(VLOOKUP(TableHandbook[[#This Row],[UDC]],TableSTRUISTEM[],7,FALSE),"")</f>
        <v/>
      </c>
      <c r="U278" s="200" t="str">
        <f>IFERROR(VLOOKUP(TableHandbook[[#This Row],[UDC]],TableSTRULITNU[],7,FALSE),"")</f>
        <v/>
      </c>
      <c r="V278" s="200" t="str">
        <f>IFERROR(VLOOKUP(TableHandbook[[#This Row],[UDC]],TableSTRUTECHS[],7,FALSE),"")</f>
        <v/>
      </c>
      <c r="W278" s="200" t="str">
        <f>IFERROR(VLOOKUP(TableHandbook[[#This Row],[UDC]],TableBEDSC[],7,FALSE),"")</f>
        <v/>
      </c>
      <c r="X278" s="200" t="str">
        <f>IFERROR(VLOOKUP(TableHandbook[[#This Row],[UDC]],TableMJRUARTDR[],7,FALSE),"")</f>
        <v>Core</v>
      </c>
      <c r="Y278" s="200" t="str">
        <f>IFERROR(VLOOKUP(TableHandbook[[#This Row],[UDC]],TableMJRUARTME[],7,FALSE),"")</f>
        <v/>
      </c>
      <c r="Z278" s="200" t="str">
        <f>IFERROR(VLOOKUP(TableHandbook[[#This Row],[UDC]],TableMJRUARTVA[],7,FALSE),"")</f>
        <v/>
      </c>
      <c r="AA278" s="200" t="str">
        <f>IFERROR(VLOOKUP(TableHandbook[[#This Row],[UDC]],TableMJRUENGLT[],7,FALSE),"")</f>
        <v/>
      </c>
      <c r="AB278" s="200" t="str">
        <f>IFERROR(VLOOKUP(TableHandbook[[#This Row],[UDC]],TableMJRUHLTPE[],7,FALSE),"")</f>
        <v/>
      </c>
      <c r="AC278" s="200" t="str">
        <f>IFERROR(VLOOKUP(TableHandbook[[#This Row],[UDC]],TableMJRUHUSEC[],7,FALSE),"")</f>
        <v/>
      </c>
      <c r="AD278" s="200" t="str">
        <f>IFERROR(VLOOKUP(TableHandbook[[#This Row],[UDC]],TableMJRUHUSGE[],7,FALSE),"")</f>
        <v/>
      </c>
      <c r="AE278" s="200" t="str">
        <f>IFERROR(VLOOKUP(TableHandbook[[#This Row],[UDC]],TableMJRUHUSHI[],7,FALSE),"")</f>
        <v/>
      </c>
      <c r="AF278" s="200" t="str">
        <f>IFERROR(VLOOKUP(TableHandbook[[#This Row],[UDC]],TableMJRUHUSPL[],7,FALSE),"")</f>
        <v/>
      </c>
      <c r="AG278" s="200" t="str">
        <f>IFERROR(VLOOKUP(TableHandbook[[#This Row],[UDC]],TableMJRUMATHT[],7,FALSE),"")</f>
        <v/>
      </c>
      <c r="AH278" s="200" t="str">
        <f>IFERROR(VLOOKUP(TableHandbook[[#This Row],[UDC]],TableMJRUSCIBI[],7,FALSE),"")</f>
        <v/>
      </c>
      <c r="AI278" s="200" t="str">
        <f>IFERROR(VLOOKUP(TableHandbook[[#This Row],[UDC]],TableMJRUSCICH[],7,FALSE),"")</f>
        <v/>
      </c>
      <c r="AJ278" s="200" t="str">
        <f>IFERROR(VLOOKUP(TableHandbook[[#This Row],[UDC]],TableMJRUSCIHB[],7,FALSE),"")</f>
        <v/>
      </c>
      <c r="AK278" s="200" t="str">
        <f>IFERROR(VLOOKUP(TableHandbook[[#This Row],[UDC]],TableMJRUSCIPH[],7,FALSE),"")</f>
        <v/>
      </c>
      <c r="AL278" s="200" t="str">
        <f>IFERROR(VLOOKUP(TableHandbook[[#This Row],[UDC]],TableMJRUSCIPS[],7,FALSE),"")</f>
        <v/>
      </c>
      <c r="AM278" s="202"/>
      <c r="AN278" s="200" t="str">
        <f>IFERROR(VLOOKUP(TableHandbook[[#This Row],[UDC]],TableSTRUBIOLB[],7,FALSE),"")</f>
        <v/>
      </c>
      <c r="AO278" s="200" t="str">
        <f>IFERROR(VLOOKUP(TableHandbook[[#This Row],[UDC]],TableSTRUBSCIM[],7,FALSE),"")</f>
        <v/>
      </c>
      <c r="AP278" s="200" t="str">
        <f>IFERROR(VLOOKUP(TableHandbook[[#This Row],[UDC]],TableSTRUCHEMB[],7,FALSE),"")</f>
        <v/>
      </c>
      <c r="AQ278" s="200" t="str">
        <f>IFERROR(VLOOKUP(TableHandbook[[#This Row],[UDC]],TableSTRUECOB1[],7,FALSE),"")</f>
        <v/>
      </c>
      <c r="AR278" s="200" t="str">
        <f>IFERROR(VLOOKUP(TableHandbook[[#This Row],[UDC]],TableSTRUEDART[],7,FALSE),"")</f>
        <v/>
      </c>
      <c r="AS278" s="200" t="str">
        <f>IFERROR(VLOOKUP(TableHandbook[[#This Row],[UDC]],TableSTRUEDENG[],7,FALSE),"")</f>
        <v/>
      </c>
      <c r="AT278" s="200" t="str">
        <f>IFERROR(VLOOKUP(TableHandbook[[#This Row],[UDC]],TableSTRUEDHAS[],7,FALSE),"")</f>
        <v/>
      </c>
      <c r="AU278" s="200" t="str">
        <f>IFERROR(VLOOKUP(TableHandbook[[#This Row],[UDC]],TableSTRUEDMAT[],7,FALSE),"")</f>
        <v/>
      </c>
      <c r="AV278" s="200" t="str">
        <f>IFERROR(VLOOKUP(TableHandbook[[#This Row],[UDC]],TableSTRUEDSCI[],7,FALSE),"")</f>
        <v/>
      </c>
      <c r="AW278" s="200" t="str">
        <f>IFERROR(VLOOKUP(TableHandbook[[#This Row],[UDC]],TableSTRUENGLB[],7,FALSE),"")</f>
        <v/>
      </c>
      <c r="AX278" s="200" t="str">
        <f>IFERROR(VLOOKUP(TableHandbook[[#This Row],[UDC]],TableSTRUENGLM[],7,FALSE),"")</f>
        <v/>
      </c>
      <c r="AY278" s="200" t="str">
        <f>IFERROR(VLOOKUP(TableHandbook[[#This Row],[UDC]],TableSTRUGEOB1[],7,FALSE),"")</f>
        <v/>
      </c>
      <c r="AZ278" s="200" t="str">
        <f>IFERROR(VLOOKUP(TableHandbook[[#This Row],[UDC]],TableSTRUHISB1[],7,FALSE),"")</f>
        <v/>
      </c>
      <c r="BA278" s="200" t="str">
        <f>IFERROR(VLOOKUP(TableHandbook[[#This Row],[UDC]],TableSTRUHUMAM[],7,FALSE),"")</f>
        <v/>
      </c>
      <c r="BB278" s="200" t="str">
        <f>IFERROR(VLOOKUP(TableHandbook[[#This Row],[UDC]],TableSTRUHUMBB[],7,FALSE),"")</f>
        <v/>
      </c>
      <c r="BC278" s="200" t="str">
        <f>IFERROR(VLOOKUP(TableHandbook[[#This Row],[UDC]],TableSTRUMATHB[],7,FALSE),"")</f>
        <v/>
      </c>
      <c r="BD278" s="200" t="str">
        <f>IFERROR(VLOOKUP(TableHandbook[[#This Row],[UDC]],TableSTRUMATHM[],7,FALSE),"")</f>
        <v/>
      </c>
      <c r="BE278" s="200" t="str">
        <f>IFERROR(VLOOKUP(TableHandbook[[#This Row],[UDC]],TableSTRUPARTB[],7,FALSE),"")</f>
        <v/>
      </c>
      <c r="BF278" s="200" t="str">
        <f>IFERROR(VLOOKUP(TableHandbook[[#This Row],[UDC]],TableSTRUPARTM[],7,FALSE),"")</f>
        <v/>
      </c>
      <c r="BG278" s="200" t="str">
        <f>IFERROR(VLOOKUP(TableHandbook[[#This Row],[UDC]],TableSTRUPOLB1[],7,FALSE),"")</f>
        <v/>
      </c>
      <c r="BH278" s="200" t="str">
        <f>IFERROR(VLOOKUP(TableHandbook[[#This Row],[UDC]],TableSTRUPSCIM[],7,FALSE),"")</f>
        <v/>
      </c>
      <c r="BI278" s="200" t="str">
        <f>IFERROR(VLOOKUP(TableHandbook[[#This Row],[UDC]],TableSTRUPSYCB[],7,FALSE),"")</f>
        <v/>
      </c>
      <c r="BJ278" s="200" t="str">
        <f>IFERROR(VLOOKUP(TableHandbook[[#This Row],[UDC]],TableSTRUPSYCM[],7,FALSE),"")</f>
        <v/>
      </c>
      <c r="BK278" s="200" t="str">
        <f>IFERROR(VLOOKUP(TableHandbook[[#This Row],[UDC]],TableSTRUSOSCM[],7,FALSE),"")</f>
        <v/>
      </c>
      <c r="BL278" s="200" t="str">
        <f>IFERROR(VLOOKUP(TableHandbook[[#This Row],[UDC]],TableSTRUVARTB[],7,FALSE),"")</f>
        <v/>
      </c>
      <c r="BM278" s="200" t="str">
        <f>IFERROR(VLOOKUP(TableHandbook[[#This Row],[UDC]],TableSTRUVARTM[],7,FALSE),"")</f>
        <v/>
      </c>
    </row>
    <row r="279" spans="1:65" x14ac:dyDescent="0.25">
      <c r="A279" s="262" t="s">
        <v>379</v>
      </c>
      <c r="B279" s="12">
        <v>2</v>
      </c>
      <c r="C279" s="11"/>
      <c r="D279" s="11" t="s">
        <v>840</v>
      </c>
      <c r="E279" s="12">
        <v>25</v>
      </c>
      <c r="F279" s="131" t="s">
        <v>348</v>
      </c>
      <c r="G279" s="126" t="str">
        <f>IFERROR(IF(VLOOKUP(TableHandbook[[#This Row],[UDC]],TableAvailabilities[],2,FALSE)&gt;0,"Y",""),"")</f>
        <v/>
      </c>
      <c r="H279" s="127" t="str">
        <f>IFERROR(IF(VLOOKUP(TableHandbook[[#This Row],[UDC]],TableAvailabilities[],3,FALSE)&gt;0,"Y",""),"")</f>
        <v/>
      </c>
      <c r="I279" s="127" t="str">
        <f>IFERROR(IF(VLOOKUP(TableHandbook[[#This Row],[UDC]],TableAvailabilities[],4,FALSE)&gt;0,"Y",""),"")</f>
        <v/>
      </c>
      <c r="J279" s="128" t="str">
        <f>IFERROR(IF(VLOOKUP(TableHandbook[[#This Row],[UDC]],TableAvailabilities[],5,FALSE)&gt;0,"Y",""),"")</f>
        <v>Y</v>
      </c>
      <c r="K279" s="128" t="str">
        <f>IFERROR(IF(VLOOKUP(TableHandbook[[#This Row],[UDC]],TableAvailabilities[],6,FALSE)&gt;0,"Y",""),"")</f>
        <v/>
      </c>
      <c r="L279" s="127" t="str">
        <f>IFERROR(IF(VLOOKUP(TableHandbook[[#This Row],[UDC]],TableAvailabilities[],7,FALSE)&gt;0,"Y",""),"")</f>
        <v/>
      </c>
      <c r="M279" s="251"/>
      <c r="N279" s="200" t="str">
        <f>IFERROR(VLOOKUP(TableHandbook[[#This Row],[UDC]],TableBEDUC[],7,FALSE),"")</f>
        <v/>
      </c>
      <c r="O279" s="200" t="str">
        <f>IFERROR(VLOOKUP(TableHandbook[[#This Row],[UDC]],TableBEDEC[],7,FALSE),"")</f>
        <v/>
      </c>
      <c r="P279" s="200" t="str">
        <f>IFERROR(VLOOKUP(TableHandbook[[#This Row],[UDC]],TableBEDPR[],7,FALSE),"")</f>
        <v/>
      </c>
      <c r="Q279" s="200" t="str">
        <f>IFERROR(VLOOKUP(TableHandbook[[#This Row],[UDC]],TableSTRUCATHL[],7,FALSE),"")</f>
        <v/>
      </c>
      <c r="R279" s="200" t="str">
        <f>IFERROR(VLOOKUP(TableHandbook[[#This Row],[UDC]],TableSTRUENGLL[],7,FALSE),"")</f>
        <v/>
      </c>
      <c r="S279" s="200" t="str">
        <f>IFERROR(VLOOKUP(TableHandbook[[#This Row],[UDC]],TableSTRUINTBC[],7,FALSE),"")</f>
        <v/>
      </c>
      <c r="T279" s="200" t="str">
        <f>IFERROR(VLOOKUP(TableHandbook[[#This Row],[UDC]],TableSTRUISTEM[],7,FALSE),"")</f>
        <v/>
      </c>
      <c r="U279" s="200" t="str">
        <f>IFERROR(VLOOKUP(TableHandbook[[#This Row],[UDC]],TableSTRULITNU[],7,FALSE),"")</f>
        <v/>
      </c>
      <c r="V279" s="200" t="str">
        <f>IFERROR(VLOOKUP(TableHandbook[[#This Row],[UDC]],TableSTRUTECHS[],7,FALSE),"")</f>
        <v/>
      </c>
      <c r="W279" s="200" t="str">
        <f>IFERROR(VLOOKUP(TableHandbook[[#This Row],[UDC]],TableBEDSC[],7,FALSE),"")</f>
        <v/>
      </c>
      <c r="X279" s="200" t="str">
        <f>IFERROR(VLOOKUP(TableHandbook[[#This Row],[UDC]],TableMJRUARTDR[],7,FALSE),"")</f>
        <v>Core</v>
      </c>
      <c r="Y279" s="200" t="str">
        <f>IFERROR(VLOOKUP(TableHandbook[[#This Row],[UDC]],TableMJRUARTME[],7,FALSE),"")</f>
        <v/>
      </c>
      <c r="Z279" s="200" t="str">
        <f>IFERROR(VLOOKUP(TableHandbook[[#This Row],[UDC]],TableMJRUARTVA[],7,FALSE),"")</f>
        <v/>
      </c>
      <c r="AA279" s="200" t="str">
        <f>IFERROR(VLOOKUP(TableHandbook[[#This Row],[UDC]],TableMJRUENGLT[],7,FALSE),"")</f>
        <v/>
      </c>
      <c r="AB279" s="200" t="str">
        <f>IFERROR(VLOOKUP(TableHandbook[[#This Row],[UDC]],TableMJRUHLTPE[],7,FALSE),"")</f>
        <v/>
      </c>
      <c r="AC279" s="200" t="str">
        <f>IFERROR(VLOOKUP(TableHandbook[[#This Row],[UDC]],TableMJRUHUSEC[],7,FALSE),"")</f>
        <v/>
      </c>
      <c r="AD279" s="200" t="str">
        <f>IFERROR(VLOOKUP(TableHandbook[[#This Row],[UDC]],TableMJRUHUSGE[],7,FALSE),"")</f>
        <v/>
      </c>
      <c r="AE279" s="200" t="str">
        <f>IFERROR(VLOOKUP(TableHandbook[[#This Row],[UDC]],TableMJRUHUSHI[],7,FALSE),"")</f>
        <v/>
      </c>
      <c r="AF279" s="200" t="str">
        <f>IFERROR(VLOOKUP(TableHandbook[[#This Row],[UDC]],TableMJRUHUSPL[],7,FALSE),"")</f>
        <v/>
      </c>
      <c r="AG279" s="200" t="str">
        <f>IFERROR(VLOOKUP(TableHandbook[[#This Row],[UDC]],TableMJRUMATHT[],7,FALSE),"")</f>
        <v/>
      </c>
      <c r="AH279" s="200" t="str">
        <f>IFERROR(VLOOKUP(TableHandbook[[#This Row],[UDC]],TableMJRUSCIBI[],7,FALSE),"")</f>
        <v/>
      </c>
      <c r="AI279" s="200" t="str">
        <f>IFERROR(VLOOKUP(TableHandbook[[#This Row],[UDC]],TableMJRUSCICH[],7,FALSE),"")</f>
        <v/>
      </c>
      <c r="AJ279" s="200" t="str">
        <f>IFERROR(VLOOKUP(TableHandbook[[#This Row],[UDC]],TableMJRUSCIHB[],7,FALSE),"")</f>
        <v/>
      </c>
      <c r="AK279" s="200" t="str">
        <f>IFERROR(VLOOKUP(TableHandbook[[#This Row],[UDC]],TableMJRUSCIPH[],7,FALSE),"")</f>
        <v/>
      </c>
      <c r="AL279" s="200" t="str">
        <f>IFERROR(VLOOKUP(TableHandbook[[#This Row],[UDC]],TableMJRUSCIPS[],7,FALSE),"")</f>
        <v/>
      </c>
      <c r="AM279" s="202"/>
      <c r="AN279" s="200" t="str">
        <f>IFERROR(VLOOKUP(TableHandbook[[#This Row],[UDC]],TableSTRUBIOLB[],7,FALSE),"")</f>
        <v/>
      </c>
      <c r="AO279" s="200" t="str">
        <f>IFERROR(VLOOKUP(TableHandbook[[#This Row],[UDC]],TableSTRUBSCIM[],7,FALSE),"")</f>
        <v/>
      </c>
      <c r="AP279" s="200" t="str">
        <f>IFERROR(VLOOKUP(TableHandbook[[#This Row],[UDC]],TableSTRUCHEMB[],7,FALSE),"")</f>
        <v/>
      </c>
      <c r="AQ279" s="200" t="str">
        <f>IFERROR(VLOOKUP(TableHandbook[[#This Row],[UDC]],TableSTRUECOB1[],7,FALSE),"")</f>
        <v/>
      </c>
      <c r="AR279" s="200" t="str">
        <f>IFERROR(VLOOKUP(TableHandbook[[#This Row],[UDC]],TableSTRUEDART[],7,FALSE),"")</f>
        <v/>
      </c>
      <c r="AS279" s="200" t="str">
        <f>IFERROR(VLOOKUP(TableHandbook[[#This Row],[UDC]],TableSTRUEDENG[],7,FALSE),"")</f>
        <v/>
      </c>
      <c r="AT279" s="200" t="str">
        <f>IFERROR(VLOOKUP(TableHandbook[[#This Row],[UDC]],TableSTRUEDHAS[],7,FALSE),"")</f>
        <v/>
      </c>
      <c r="AU279" s="200" t="str">
        <f>IFERROR(VLOOKUP(TableHandbook[[#This Row],[UDC]],TableSTRUEDMAT[],7,FALSE),"")</f>
        <v/>
      </c>
      <c r="AV279" s="200" t="str">
        <f>IFERROR(VLOOKUP(TableHandbook[[#This Row],[UDC]],TableSTRUEDSCI[],7,FALSE),"")</f>
        <v/>
      </c>
      <c r="AW279" s="200" t="str">
        <f>IFERROR(VLOOKUP(TableHandbook[[#This Row],[UDC]],TableSTRUENGLB[],7,FALSE),"")</f>
        <v/>
      </c>
      <c r="AX279" s="200" t="str">
        <f>IFERROR(VLOOKUP(TableHandbook[[#This Row],[UDC]],TableSTRUENGLM[],7,FALSE),"")</f>
        <v/>
      </c>
      <c r="AY279" s="200" t="str">
        <f>IFERROR(VLOOKUP(TableHandbook[[#This Row],[UDC]],TableSTRUGEOB1[],7,FALSE),"")</f>
        <v/>
      </c>
      <c r="AZ279" s="200" t="str">
        <f>IFERROR(VLOOKUP(TableHandbook[[#This Row],[UDC]],TableSTRUHISB1[],7,FALSE),"")</f>
        <v/>
      </c>
      <c r="BA279" s="200" t="str">
        <f>IFERROR(VLOOKUP(TableHandbook[[#This Row],[UDC]],TableSTRUHUMAM[],7,FALSE),"")</f>
        <v/>
      </c>
      <c r="BB279" s="200" t="str">
        <f>IFERROR(VLOOKUP(TableHandbook[[#This Row],[UDC]],TableSTRUHUMBB[],7,FALSE),"")</f>
        <v/>
      </c>
      <c r="BC279" s="200" t="str">
        <f>IFERROR(VLOOKUP(TableHandbook[[#This Row],[UDC]],TableSTRUMATHB[],7,FALSE),"")</f>
        <v/>
      </c>
      <c r="BD279" s="200" t="str">
        <f>IFERROR(VLOOKUP(TableHandbook[[#This Row],[UDC]],TableSTRUMATHM[],7,FALSE),"")</f>
        <v/>
      </c>
      <c r="BE279" s="200" t="str">
        <f>IFERROR(VLOOKUP(TableHandbook[[#This Row],[UDC]],TableSTRUPARTB[],7,FALSE),"")</f>
        <v/>
      </c>
      <c r="BF279" s="200" t="str">
        <f>IFERROR(VLOOKUP(TableHandbook[[#This Row],[UDC]],TableSTRUPARTM[],7,FALSE),"")</f>
        <v/>
      </c>
      <c r="BG279" s="200" t="str">
        <f>IFERROR(VLOOKUP(TableHandbook[[#This Row],[UDC]],TableSTRUPOLB1[],7,FALSE),"")</f>
        <v/>
      </c>
      <c r="BH279" s="200" t="str">
        <f>IFERROR(VLOOKUP(TableHandbook[[#This Row],[UDC]],TableSTRUPSCIM[],7,FALSE),"")</f>
        <v/>
      </c>
      <c r="BI279" s="200" t="str">
        <f>IFERROR(VLOOKUP(TableHandbook[[#This Row],[UDC]],TableSTRUPSYCB[],7,FALSE),"")</f>
        <v/>
      </c>
      <c r="BJ279" s="200" t="str">
        <f>IFERROR(VLOOKUP(TableHandbook[[#This Row],[UDC]],TableSTRUPSYCM[],7,FALSE),"")</f>
        <v/>
      </c>
      <c r="BK279" s="200" t="str">
        <f>IFERROR(VLOOKUP(TableHandbook[[#This Row],[UDC]],TableSTRUSOSCM[],7,FALSE),"")</f>
        <v/>
      </c>
      <c r="BL279" s="200" t="str">
        <f>IFERROR(VLOOKUP(TableHandbook[[#This Row],[UDC]],TableSTRUVARTB[],7,FALSE),"")</f>
        <v/>
      </c>
      <c r="BM279" s="200" t="str">
        <f>IFERROR(VLOOKUP(TableHandbook[[#This Row],[UDC]],TableSTRUVARTM[],7,FALSE),"")</f>
        <v/>
      </c>
    </row>
    <row r="280" spans="1:65" x14ac:dyDescent="0.25">
      <c r="A280" s="262" t="s">
        <v>328</v>
      </c>
      <c r="B280" s="12">
        <v>1</v>
      </c>
      <c r="C280" s="11"/>
      <c r="D280" s="11" t="s">
        <v>841</v>
      </c>
      <c r="E280" s="12">
        <v>25</v>
      </c>
      <c r="F280" s="131" t="s">
        <v>544</v>
      </c>
      <c r="G280" s="126" t="str">
        <f>IFERROR(IF(VLOOKUP(TableHandbook[[#This Row],[UDC]],TableAvailabilities[],2,FALSE)&gt;0,"Y",""),"")</f>
        <v>Y</v>
      </c>
      <c r="H280" s="127" t="str">
        <f>IFERROR(IF(VLOOKUP(TableHandbook[[#This Row],[UDC]],TableAvailabilities[],3,FALSE)&gt;0,"Y",""),"")</f>
        <v/>
      </c>
      <c r="I280" s="127" t="str">
        <f>IFERROR(IF(VLOOKUP(TableHandbook[[#This Row],[UDC]],TableAvailabilities[],4,FALSE)&gt;0,"Y",""),"")</f>
        <v/>
      </c>
      <c r="J280" s="128" t="str">
        <f>IFERROR(IF(VLOOKUP(TableHandbook[[#This Row],[UDC]],TableAvailabilities[],5,FALSE)&gt;0,"Y",""),"")</f>
        <v>Y</v>
      </c>
      <c r="K280" s="128" t="str">
        <f>IFERROR(IF(VLOOKUP(TableHandbook[[#This Row],[UDC]],TableAvailabilities[],6,FALSE)&gt;0,"Y",""),"")</f>
        <v/>
      </c>
      <c r="L280" s="127" t="str">
        <f>IFERROR(IF(VLOOKUP(TableHandbook[[#This Row],[UDC]],TableAvailabilities[],7,FALSE)&gt;0,"Y",""),"")</f>
        <v/>
      </c>
      <c r="M280" s="251"/>
      <c r="N280" s="200" t="str">
        <f>IFERROR(VLOOKUP(TableHandbook[[#This Row],[UDC]],TableBEDUC[],7,FALSE),"")</f>
        <v/>
      </c>
      <c r="O280" s="200" t="str">
        <f>IFERROR(VLOOKUP(TableHandbook[[#This Row],[UDC]],TableBEDEC[],7,FALSE),"")</f>
        <v/>
      </c>
      <c r="P280" s="200" t="str">
        <f>IFERROR(VLOOKUP(TableHandbook[[#This Row],[UDC]],TableBEDPR[],7,FALSE),"")</f>
        <v/>
      </c>
      <c r="Q280" s="200" t="str">
        <f>IFERROR(VLOOKUP(TableHandbook[[#This Row],[UDC]],TableSTRUCATHL[],7,FALSE),"")</f>
        <v/>
      </c>
      <c r="R280" s="200" t="str">
        <f>IFERROR(VLOOKUP(TableHandbook[[#This Row],[UDC]],TableSTRUENGLL[],7,FALSE),"")</f>
        <v/>
      </c>
      <c r="S280" s="200" t="str">
        <f>IFERROR(VLOOKUP(TableHandbook[[#This Row],[UDC]],TableSTRUINTBC[],7,FALSE),"")</f>
        <v/>
      </c>
      <c r="T280" s="200" t="str">
        <f>IFERROR(VLOOKUP(TableHandbook[[#This Row],[UDC]],TableSTRUISTEM[],7,FALSE),"")</f>
        <v/>
      </c>
      <c r="U280" s="200" t="str">
        <f>IFERROR(VLOOKUP(TableHandbook[[#This Row],[UDC]],TableSTRULITNU[],7,FALSE),"")</f>
        <v/>
      </c>
      <c r="V280" s="200" t="str">
        <f>IFERROR(VLOOKUP(TableHandbook[[#This Row],[UDC]],TableSTRUTECHS[],7,FALSE),"")</f>
        <v/>
      </c>
      <c r="W280" s="200" t="str">
        <f>IFERROR(VLOOKUP(TableHandbook[[#This Row],[UDC]],TableBEDSC[],7,FALSE),"")</f>
        <v/>
      </c>
      <c r="X280" s="200" t="str">
        <f>IFERROR(VLOOKUP(TableHandbook[[#This Row],[UDC]],TableMJRUARTDR[],7,FALSE),"")</f>
        <v/>
      </c>
      <c r="Y280" s="200" t="str">
        <f>IFERROR(VLOOKUP(TableHandbook[[#This Row],[UDC]],TableMJRUARTME[],7,FALSE),"")</f>
        <v/>
      </c>
      <c r="Z280" s="200" t="str">
        <f>IFERROR(VLOOKUP(TableHandbook[[#This Row],[UDC]],TableMJRUARTVA[],7,FALSE),"")</f>
        <v>Core</v>
      </c>
      <c r="AA280" s="200" t="str">
        <f>IFERROR(VLOOKUP(TableHandbook[[#This Row],[UDC]],TableMJRUENGLT[],7,FALSE),"")</f>
        <v/>
      </c>
      <c r="AB280" s="200" t="str">
        <f>IFERROR(VLOOKUP(TableHandbook[[#This Row],[UDC]],TableMJRUHLTPE[],7,FALSE),"")</f>
        <v/>
      </c>
      <c r="AC280" s="200" t="str">
        <f>IFERROR(VLOOKUP(TableHandbook[[#This Row],[UDC]],TableMJRUHUSEC[],7,FALSE),"")</f>
        <v/>
      </c>
      <c r="AD280" s="200" t="str">
        <f>IFERROR(VLOOKUP(TableHandbook[[#This Row],[UDC]],TableMJRUHUSGE[],7,FALSE),"")</f>
        <v/>
      </c>
      <c r="AE280" s="200" t="str">
        <f>IFERROR(VLOOKUP(TableHandbook[[#This Row],[UDC]],TableMJRUHUSHI[],7,FALSE),"")</f>
        <v/>
      </c>
      <c r="AF280" s="200" t="str">
        <f>IFERROR(VLOOKUP(TableHandbook[[#This Row],[UDC]],TableMJRUHUSPL[],7,FALSE),"")</f>
        <v/>
      </c>
      <c r="AG280" s="200" t="str">
        <f>IFERROR(VLOOKUP(TableHandbook[[#This Row],[UDC]],TableMJRUMATHT[],7,FALSE),"")</f>
        <v/>
      </c>
      <c r="AH280" s="200" t="str">
        <f>IFERROR(VLOOKUP(TableHandbook[[#This Row],[UDC]],TableMJRUSCIBI[],7,FALSE),"")</f>
        <v/>
      </c>
      <c r="AI280" s="200" t="str">
        <f>IFERROR(VLOOKUP(TableHandbook[[#This Row],[UDC]],TableMJRUSCICH[],7,FALSE),"")</f>
        <v/>
      </c>
      <c r="AJ280" s="200" t="str">
        <f>IFERROR(VLOOKUP(TableHandbook[[#This Row],[UDC]],TableMJRUSCIHB[],7,FALSE),"")</f>
        <v/>
      </c>
      <c r="AK280" s="200" t="str">
        <f>IFERROR(VLOOKUP(TableHandbook[[#This Row],[UDC]],TableMJRUSCIPH[],7,FALSE),"")</f>
        <v/>
      </c>
      <c r="AL280" s="200" t="str">
        <f>IFERROR(VLOOKUP(TableHandbook[[#This Row],[UDC]],TableMJRUSCIPS[],7,FALSE),"")</f>
        <v/>
      </c>
      <c r="AM280" s="202"/>
      <c r="AN280" s="200" t="str">
        <f>IFERROR(VLOOKUP(TableHandbook[[#This Row],[UDC]],TableSTRUBIOLB[],7,FALSE),"")</f>
        <v/>
      </c>
      <c r="AO280" s="200" t="str">
        <f>IFERROR(VLOOKUP(TableHandbook[[#This Row],[UDC]],TableSTRUBSCIM[],7,FALSE),"")</f>
        <v/>
      </c>
      <c r="AP280" s="200" t="str">
        <f>IFERROR(VLOOKUP(TableHandbook[[#This Row],[UDC]],TableSTRUCHEMB[],7,FALSE),"")</f>
        <v/>
      </c>
      <c r="AQ280" s="200" t="str">
        <f>IFERROR(VLOOKUP(TableHandbook[[#This Row],[UDC]],TableSTRUECOB1[],7,FALSE),"")</f>
        <v/>
      </c>
      <c r="AR280" s="200" t="str">
        <f>IFERROR(VLOOKUP(TableHandbook[[#This Row],[UDC]],TableSTRUEDART[],7,FALSE),"")</f>
        <v/>
      </c>
      <c r="AS280" s="200" t="str">
        <f>IFERROR(VLOOKUP(TableHandbook[[#This Row],[UDC]],TableSTRUEDENG[],7,FALSE),"")</f>
        <v/>
      </c>
      <c r="AT280" s="200" t="str">
        <f>IFERROR(VLOOKUP(TableHandbook[[#This Row],[UDC]],TableSTRUEDHAS[],7,FALSE),"")</f>
        <v/>
      </c>
      <c r="AU280" s="200" t="str">
        <f>IFERROR(VLOOKUP(TableHandbook[[#This Row],[UDC]],TableSTRUEDMAT[],7,FALSE),"")</f>
        <v/>
      </c>
      <c r="AV280" s="200" t="str">
        <f>IFERROR(VLOOKUP(TableHandbook[[#This Row],[UDC]],TableSTRUEDSCI[],7,FALSE),"")</f>
        <v/>
      </c>
      <c r="AW280" s="200" t="str">
        <f>IFERROR(VLOOKUP(TableHandbook[[#This Row],[UDC]],TableSTRUENGLB[],7,FALSE),"")</f>
        <v/>
      </c>
      <c r="AX280" s="200" t="str">
        <f>IFERROR(VLOOKUP(TableHandbook[[#This Row],[UDC]],TableSTRUENGLM[],7,FALSE),"")</f>
        <v/>
      </c>
      <c r="AY280" s="200" t="str">
        <f>IFERROR(VLOOKUP(TableHandbook[[#This Row],[UDC]],TableSTRUGEOB1[],7,FALSE),"")</f>
        <v/>
      </c>
      <c r="AZ280" s="200" t="str">
        <f>IFERROR(VLOOKUP(TableHandbook[[#This Row],[UDC]],TableSTRUHISB1[],7,FALSE),"")</f>
        <v/>
      </c>
      <c r="BA280" s="200" t="str">
        <f>IFERROR(VLOOKUP(TableHandbook[[#This Row],[UDC]],TableSTRUHUMAM[],7,FALSE),"")</f>
        <v/>
      </c>
      <c r="BB280" s="200" t="str">
        <f>IFERROR(VLOOKUP(TableHandbook[[#This Row],[UDC]],TableSTRUHUMBB[],7,FALSE),"")</f>
        <v/>
      </c>
      <c r="BC280" s="200" t="str">
        <f>IFERROR(VLOOKUP(TableHandbook[[#This Row],[UDC]],TableSTRUMATHB[],7,FALSE),"")</f>
        <v/>
      </c>
      <c r="BD280" s="200" t="str">
        <f>IFERROR(VLOOKUP(TableHandbook[[#This Row],[UDC]],TableSTRUMATHM[],7,FALSE),"")</f>
        <v/>
      </c>
      <c r="BE280" s="200" t="str">
        <f>IFERROR(VLOOKUP(TableHandbook[[#This Row],[UDC]],TableSTRUPARTB[],7,FALSE),"")</f>
        <v/>
      </c>
      <c r="BF280" s="200" t="str">
        <f>IFERROR(VLOOKUP(TableHandbook[[#This Row],[UDC]],TableSTRUPARTM[],7,FALSE),"")</f>
        <v/>
      </c>
      <c r="BG280" s="200" t="str">
        <f>IFERROR(VLOOKUP(TableHandbook[[#This Row],[UDC]],TableSTRUPOLB1[],7,FALSE),"")</f>
        <v/>
      </c>
      <c r="BH280" s="200" t="str">
        <f>IFERROR(VLOOKUP(TableHandbook[[#This Row],[UDC]],TableSTRUPSCIM[],7,FALSE),"")</f>
        <v/>
      </c>
      <c r="BI280" s="200" t="str">
        <f>IFERROR(VLOOKUP(TableHandbook[[#This Row],[UDC]],TableSTRUPSYCB[],7,FALSE),"")</f>
        <v/>
      </c>
      <c r="BJ280" s="200" t="str">
        <f>IFERROR(VLOOKUP(TableHandbook[[#This Row],[UDC]],TableSTRUPSYCM[],7,FALSE),"")</f>
        <v/>
      </c>
      <c r="BK280" s="200" t="str">
        <f>IFERROR(VLOOKUP(TableHandbook[[#This Row],[UDC]],TableSTRUSOSCM[],7,FALSE),"")</f>
        <v/>
      </c>
      <c r="BL280" s="200" t="str">
        <f>IFERROR(VLOOKUP(TableHandbook[[#This Row],[UDC]],TableSTRUVARTB[],7,FALSE),"")</f>
        <v/>
      </c>
      <c r="BM280" s="200" t="str">
        <f>IFERROR(VLOOKUP(TableHandbook[[#This Row],[UDC]],TableSTRUVARTM[],7,FALSE),"")</f>
        <v>Core</v>
      </c>
    </row>
    <row r="281" spans="1:65" x14ac:dyDescent="0.25">
      <c r="A281" s="262" t="s">
        <v>302</v>
      </c>
      <c r="B281" s="12">
        <v>2</v>
      </c>
      <c r="C281" s="11"/>
      <c r="D281" s="11" t="s">
        <v>842</v>
      </c>
      <c r="E281" s="12">
        <v>25</v>
      </c>
      <c r="F281" s="131" t="s">
        <v>544</v>
      </c>
      <c r="G281" s="126" t="str">
        <f>IFERROR(IF(VLOOKUP(TableHandbook[[#This Row],[UDC]],TableAvailabilities[],2,FALSE)&gt;0,"Y",""),"")</f>
        <v/>
      </c>
      <c r="H281" s="127" t="str">
        <f>IFERROR(IF(VLOOKUP(TableHandbook[[#This Row],[UDC]],TableAvailabilities[],3,FALSE)&gt;0,"Y",""),"")</f>
        <v/>
      </c>
      <c r="I281" s="127" t="str">
        <f>IFERROR(IF(VLOOKUP(TableHandbook[[#This Row],[UDC]],TableAvailabilities[],4,FALSE)&gt;0,"Y",""),"")</f>
        <v/>
      </c>
      <c r="J281" s="128" t="str">
        <f>IFERROR(IF(VLOOKUP(TableHandbook[[#This Row],[UDC]],TableAvailabilities[],5,FALSE)&gt;0,"Y",""),"")</f>
        <v>Y</v>
      </c>
      <c r="K281" s="128" t="str">
        <f>IFERROR(IF(VLOOKUP(TableHandbook[[#This Row],[UDC]],TableAvailabilities[],6,FALSE)&gt;0,"Y",""),"")</f>
        <v/>
      </c>
      <c r="L281" s="127" t="str">
        <f>IFERROR(IF(VLOOKUP(TableHandbook[[#This Row],[UDC]],TableAvailabilities[],7,FALSE)&gt;0,"Y",""),"")</f>
        <v/>
      </c>
      <c r="M281" s="251"/>
      <c r="N281" s="200" t="str">
        <f>IFERROR(VLOOKUP(TableHandbook[[#This Row],[UDC]],TableBEDUC[],7,FALSE),"")</f>
        <v/>
      </c>
      <c r="O281" s="200" t="str">
        <f>IFERROR(VLOOKUP(TableHandbook[[#This Row],[UDC]],TableBEDEC[],7,FALSE),"")</f>
        <v/>
      </c>
      <c r="P281" s="200" t="str">
        <f>IFERROR(VLOOKUP(TableHandbook[[#This Row],[UDC]],TableBEDPR[],7,FALSE),"")</f>
        <v/>
      </c>
      <c r="Q281" s="200" t="str">
        <f>IFERROR(VLOOKUP(TableHandbook[[#This Row],[UDC]],TableSTRUCATHL[],7,FALSE),"")</f>
        <v/>
      </c>
      <c r="R281" s="200" t="str">
        <f>IFERROR(VLOOKUP(TableHandbook[[#This Row],[UDC]],TableSTRUENGLL[],7,FALSE),"")</f>
        <v/>
      </c>
      <c r="S281" s="200" t="str">
        <f>IFERROR(VLOOKUP(TableHandbook[[#This Row],[UDC]],TableSTRUINTBC[],7,FALSE),"")</f>
        <v/>
      </c>
      <c r="T281" s="200" t="str">
        <f>IFERROR(VLOOKUP(TableHandbook[[#This Row],[UDC]],TableSTRUISTEM[],7,FALSE),"")</f>
        <v/>
      </c>
      <c r="U281" s="200" t="str">
        <f>IFERROR(VLOOKUP(TableHandbook[[#This Row],[UDC]],TableSTRULITNU[],7,FALSE),"")</f>
        <v/>
      </c>
      <c r="V281" s="200" t="str">
        <f>IFERROR(VLOOKUP(TableHandbook[[#This Row],[UDC]],TableSTRUTECHS[],7,FALSE),"")</f>
        <v/>
      </c>
      <c r="W281" s="200" t="str">
        <f>IFERROR(VLOOKUP(TableHandbook[[#This Row],[UDC]],TableBEDSC[],7,FALSE),"")</f>
        <v/>
      </c>
      <c r="X281" s="200" t="str">
        <f>IFERROR(VLOOKUP(TableHandbook[[#This Row],[UDC]],TableMJRUARTDR[],7,FALSE),"")</f>
        <v/>
      </c>
      <c r="Y281" s="200" t="str">
        <f>IFERROR(VLOOKUP(TableHandbook[[#This Row],[UDC]],TableMJRUARTME[],7,FALSE),"")</f>
        <v/>
      </c>
      <c r="Z281" s="200" t="str">
        <f>IFERROR(VLOOKUP(TableHandbook[[#This Row],[UDC]],TableMJRUARTVA[],7,FALSE),"")</f>
        <v>Core</v>
      </c>
      <c r="AA281" s="200" t="str">
        <f>IFERROR(VLOOKUP(TableHandbook[[#This Row],[UDC]],TableMJRUENGLT[],7,FALSE),"")</f>
        <v/>
      </c>
      <c r="AB281" s="200" t="str">
        <f>IFERROR(VLOOKUP(TableHandbook[[#This Row],[UDC]],TableMJRUHLTPE[],7,FALSE),"")</f>
        <v/>
      </c>
      <c r="AC281" s="200" t="str">
        <f>IFERROR(VLOOKUP(TableHandbook[[#This Row],[UDC]],TableMJRUHUSEC[],7,FALSE),"")</f>
        <v/>
      </c>
      <c r="AD281" s="200" t="str">
        <f>IFERROR(VLOOKUP(TableHandbook[[#This Row],[UDC]],TableMJRUHUSGE[],7,FALSE),"")</f>
        <v/>
      </c>
      <c r="AE281" s="200" t="str">
        <f>IFERROR(VLOOKUP(TableHandbook[[#This Row],[UDC]],TableMJRUHUSHI[],7,FALSE),"")</f>
        <v/>
      </c>
      <c r="AF281" s="200" t="str">
        <f>IFERROR(VLOOKUP(TableHandbook[[#This Row],[UDC]],TableMJRUHUSPL[],7,FALSE),"")</f>
        <v/>
      </c>
      <c r="AG281" s="200" t="str">
        <f>IFERROR(VLOOKUP(TableHandbook[[#This Row],[UDC]],TableMJRUMATHT[],7,FALSE),"")</f>
        <v/>
      </c>
      <c r="AH281" s="200" t="str">
        <f>IFERROR(VLOOKUP(TableHandbook[[#This Row],[UDC]],TableMJRUSCIBI[],7,FALSE),"")</f>
        <v/>
      </c>
      <c r="AI281" s="200" t="str">
        <f>IFERROR(VLOOKUP(TableHandbook[[#This Row],[UDC]],TableMJRUSCICH[],7,FALSE),"")</f>
        <v/>
      </c>
      <c r="AJ281" s="200" t="str">
        <f>IFERROR(VLOOKUP(TableHandbook[[#This Row],[UDC]],TableMJRUSCIHB[],7,FALSE),"")</f>
        <v/>
      </c>
      <c r="AK281" s="200" t="str">
        <f>IFERROR(VLOOKUP(TableHandbook[[#This Row],[UDC]],TableMJRUSCIPH[],7,FALSE),"")</f>
        <v/>
      </c>
      <c r="AL281" s="200" t="str">
        <f>IFERROR(VLOOKUP(TableHandbook[[#This Row],[UDC]],TableMJRUSCIPS[],7,FALSE),"")</f>
        <v/>
      </c>
      <c r="AM281" s="202"/>
      <c r="AN281" s="200" t="str">
        <f>IFERROR(VLOOKUP(TableHandbook[[#This Row],[UDC]],TableSTRUBIOLB[],7,FALSE),"")</f>
        <v/>
      </c>
      <c r="AO281" s="200" t="str">
        <f>IFERROR(VLOOKUP(TableHandbook[[#This Row],[UDC]],TableSTRUBSCIM[],7,FALSE),"")</f>
        <v/>
      </c>
      <c r="AP281" s="200" t="str">
        <f>IFERROR(VLOOKUP(TableHandbook[[#This Row],[UDC]],TableSTRUCHEMB[],7,FALSE),"")</f>
        <v/>
      </c>
      <c r="AQ281" s="200" t="str">
        <f>IFERROR(VLOOKUP(TableHandbook[[#This Row],[UDC]],TableSTRUECOB1[],7,FALSE),"")</f>
        <v/>
      </c>
      <c r="AR281" s="200" t="str">
        <f>IFERROR(VLOOKUP(TableHandbook[[#This Row],[UDC]],TableSTRUEDART[],7,FALSE),"")</f>
        <v/>
      </c>
      <c r="AS281" s="200" t="str">
        <f>IFERROR(VLOOKUP(TableHandbook[[#This Row],[UDC]],TableSTRUEDENG[],7,FALSE),"")</f>
        <v/>
      </c>
      <c r="AT281" s="200" t="str">
        <f>IFERROR(VLOOKUP(TableHandbook[[#This Row],[UDC]],TableSTRUEDHAS[],7,FALSE),"")</f>
        <v/>
      </c>
      <c r="AU281" s="200" t="str">
        <f>IFERROR(VLOOKUP(TableHandbook[[#This Row],[UDC]],TableSTRUEDMAT[],7,FALSE),"")</f>
        <v/>
      </c>
      <c r="AV281" s="200" t="str">
        <f>IFERROR(VLOOKUP(TableHandbook[[#This Row],[UDC]],TableSTRUEDSCI[],7,FALSE),"")</f>
        <v/>
      </c>
      <c r="AW281" s="200" t="str">
        <f>IFERROR(VLOOKUP(TableHandbook[[#This Row],[UDC]],TableSTRUENGLB[],7,FALSE),"")</f>
        <v/>
      </c>
      <c r="AX281" s="200" t="str">
        <f>IFERROR(VLOOKUP(TableHandbook[[#This Row],[UDC]],TableSTRUENGLM[],7,FALSE),"")</f>
        <v/>
      </c>
      <c r="AY281" s="200" t="str">
        <f>IFERROR(VLOOKUP(TableHandbook[[#This Row],[UDC]],TableSTRUGEOB1[],7,FALSE),"")</f>
        <v/>
      </c>
      <c r="AZ281" s="200" t="str">
        <f>IFERROR(VLOOKUP(TableHandbook[[#This Row],[UDC]],TableSTRUHISB1[],7,FALSE),"")</f>
        <v/>
      </c>
      <c r="BA281" s="200" t="str">
        <f>IFERROR(VLOOKUP(TableHandbook[[#This Row],[UDC]],TableSTRUHUMAM[],7,FALSE),"")</f>
        <v/>
      </c>
      <c r="BB281" s="200" t="str">
        <f>IFERROR(VLOOKUP(TableHandbook[[#This Row],[UDC]],TableSTRUHUMBB[],7,FALSE),"")</f>
        <v/>
      </c>
      <c r="BC281" s="200" t="str">
        <f>IFERROR(VLOOKUP(TableHandbook[[#This Row],[UDC]],TableSTRUMATHB[],7,FALSE),"")</f>
        <v/>
      </c>
      <c r="BD281" s="200" t="str">
        <f>IFERROR(VLOOKUP(TableHandbook[[#This Row],[UDC]],TableSTRUMATHM[],7,FALSE),"")</f>
        <v/>
      </c>
      <c r="BE281" s="200" t="str">
        <f>IFERROR(VLOOKUP(TableHandbook[[#This Row],[UDC]],TableSTRUPARTB[],7,FALSE),"")</f>
        <v>Core</v>
      </c>
      <c r="BF281" s="200" t="str">
        <f>IFERROR(VLOOKUP(TableHandbook[[#This Row],[UDC]],TableSTRUPARTM[],7,FALSE),"")</f>
        <v/>
      </c>
      <c r="BG281" s="200" t="str">
        <f>IFERROR(VLOOKUP(TableHandbook[[#This Row],[UDC]],TableSTRUPOLB1[],7,FALSE),"")</f>
        <v/>
      </c>
      <c r="BH281" s="200" t="str">
        <f>IFERROR(VLOOKUP(TableHandbook[[#This Row],[UDC]],TableSTRUPSCIM[],7,FALSE),"")</f>
        <v/>
      </c>
      <c r="BI281" s="200" t="str">
        <f>IFERROR(VLOOKUP(TableHandbook[[#This Row],[UDC]],TableSTRUPSYCB[],7,FALSE),"")</f>
        <v/>
      </c>
      <c r="BJ281" s="200" t="str">
        <f>IFERROR(VLOOKUP(TableHandbook[[#This Row],[UDC]],TableSTRUPSYCM[],7,FALSE),"")</f>
        <v/>
      </c>
      <c r="BK281" s="200" t="str">
        <f>IFERROR(VLOOKUP(TableHandbook[[#This Row],[UDC]],TableSTRUSOSCM[],7,FALSE),"")</f>
        <v/>
      </c>
      <c r="BL281" s="200" t="str">
        <f>IFERROR(VLOOKUP(TableHandbook[[#This Row],[UDC]],TableSTRUVARTB[],7,FALSE),"")</f>
        <v/>
      </c>
      <c r="BM281" s="200" t="str">
        <f>IFERROR(VLOOKUP(TableHandbook[[#This Row],[UDC]],TableSTRUVARTM[],7,FALSE),"")</f>
        <v>Core</v>
      </c>
    </row>
    <row r="282" spans="1:65" x14ac:dyDescent="0.25">
      <c r="A282" s="261" t="s">
        <v>485</v>
      </c>
      <c r="B282" s="12">
        <v>2</v>
      </c>
      <c r="C282" s="11"/>
      <c r="D282" s="11" t="s">
        <v>843</v>
      </c>
      <c r="E282" s="12">
        <v>25</v>
      </c>
      <c r="F282" s="131" t="s">
        <v>544</v>
      </c>
      <c r="G282" s="126" t="str">
        <f>IFERROR(IF(VLOOKUP(TableHandbook[[#This Row],[UDC]],TableAvailabilities[],2,FALSE)&gt;0,"Y",""),"")</f>
        <v>Y</v>
      </c>
      <c r="H282" s="127" t="str">
        <f>IFERROR(IF(VLOOKUP(TableHandbook[[#This Row],[UDC]],TableAvailabilities[],3,FALSE)&gt;0,"Y",""),"")</f>
        <v/>
      </c>
      <c r="I282" s="127" t="str">
        <f>IFERROR(IF(VLOOKUP(TableHandbook[[#This Row],[UDC]],TableAvailabilities[],4,FALSE)&gt;0,"Y",""),"")</f>
        <v/>
      </c>
      <c r="J282" s="128" t="str">
        <f>IFERROR(IF(VLOOKUP(TableHandbook[[#This Row],[UDC]],TableAvailabilities[],5,FALSE)&gt;0,"Y",""),"")</f>
        <v/>
      </c>
      <c r="K282" s="128" t="str">
        <f>IFERROR(IF(VLOOKUP(TableHandbook[[#This Row],[UDC]],TableAvailabilities[],6,FALSE)&gt;0,"Y",""),"")</f>
        <v/>
      </c>
      <c r="L282" s="127" t="str">
        <f>IFERROR(IF(VLOOKUP(TableHandbook[[#This Row],[UDC]],TableAvailabilities[],7,FALSE)&gt;0,"Y",""),"")</f>
        <v/>
      </c>
      <c r="M282" s="251"/>
      <c r="N282" s="200" t="str">
        <f>IFERROR(VLOOKUP(TableHandbook[[#This Row],[UDC]],TableBEDUC[],7,FALSE),"")</f>
        <v/>
      </c>
      <c r="O282" s="200" t="str">
        <f>IFERROR(VLOOKUP(TableHandbook[[#This Row],[UDC]],TableBEDEC[],7,FALSE),"")</f>
        <v/>
      </c>
      <c r="P282" s="200" t="str">
        <f>IFERROR(VLOOKUP(TableHandbook[[#This Row],[UDC]],TableBEDPR[],7,FALSE),"")</f>
        <v/>
      </c>
      <c r="Q282" s="200" t="str">
        <f>IFERROR(VLOOKUP(TableHandbook[[#This Row],[UDC]],TableSTRUCATHL[],7,FALSE),"")</f>
        <v/>
      </c>
      <c r="R282" s="200" t="str">
        <f>IFERROR(VLOOKUP(TableHandbook[[#This Row],[UDC]],TableSTRUENGLL[],7,FALSE),"")</f>
        <v/>
      </c>
      <c r="S282" s="200" t="str">
        <f>IFERROR(VLOOKUP(TableHandbook[[#This Row],[UDC]],TableSTRUINTBC[],7,FALSE),"")</f>
        <v/>
      </c>
      <c r="T282" s="200" t="str">
        <f>IFERROR(VLOOKUP(TableHandbook[[#This Row],[UDC]],TableSTRUISTEM[],7,FALSE),"")</f>
        <v/>
      </c>
      <c r="U282" s="200" t="str">
        <f>IFERROR(VLOOKUP(TableHandbook[[#This Row],[UDC]],TableSTRULITNU[],7,FALSE),"")</f>
        <v/>
      </c>
      <c r="V282" s="200" t="str">
        <f>IFERROR(VLOOKUP(TableHandbook[[#This Row],[UDC]],TableSTRUTECHS[],7,FALSE),"")</f>
        <v/>
      </c>
      <c r="W282" s="200" t="str">
        <f>IFERROR(VLOOKUP(TableHandbook[[#This Row],[UDC]],TableBEDSC[],7,FALSE),"")</f>
        <v/>
      </c>
      <c r="X282" s="200" t="str">
        <f>IFERROR(VLOOKUP(TableHandbook[[#This Row],[UDC]],TableMJRUARTDR[],7,FALSE),"")</f>
        <v/>
      </c>
      <c r="Y282" s="200" t="str">
        <f>IFERROR(VLOOKUP(TableHandbook[[#This Row],[UDC]],TableMJRUARTME[],7,FALSE),"")</f>
        <v/>
      </c>
      <c r="Z282" s="200" t="str">
        <f>IFERROR(VLOOKUP(TableHandbook[[#This Row],[UDC]],TableMJRUARTVA[],7,FALSE),"")</f>
        <v/>
      </c>
      <c r="AA282" s="200" t="str">
        <f>IFERROR(VLOOKUP(TableHandbook[[#This Row],[UDC]],TableMJRUENGLT[],7,FALSE),"")</f>
        <v/>
      </c>
      <c r="AB282" s="200" t="str">
        <f>IFERROR(VLOOKUP(TableHandbook[[#This Row],[UDC]],TableMJRUHLTPE[],7,FALSE),"")</f>
        <v/>
      </c>
      <c r="AC282" s="200" t="str">
        <f>IFERROR(VLOOKUP(TableHandbook[[#This Row],[UDC]],TableMJRUHUSEC[],7,FALSE),"")</f>
        <v/>
      </c>
      <c r="AD282" s="200" t="str">
        <f>IFERROR(VLOOKUP(TableHandbook[[#This Row],[UDC]],TableMJRUHUSGE[],7,FALSE),"")</f>
        <v/>
      </c>
      <c r="AE282" s="200" t="str">
        <f>IFERROR(VLOOKUP(TableHandbook[[#This Row],[UDC]],TableMJRUHUSHI[],7,FALSE),"")</f>
        <v/>
      </c>
      <c r="AF282" s="200" t="str">
        <f>IFERROR(VLOOKUP(TableHandbook[[#This Row],[UDC]],TableMJRUHUSPL[],7,FALSE),"")</f>
        <v/>
      </c>
      <c r="AG282" s="200" t="str">
        <f>IFERROR(VLOOKUP(TableHandbook[[#This Row],[UDC]],TableMJRUMATHT[],7,FALSE),"")</f>
        <v/>
      </c>
      <c r="AH282" s="200" t="str">
        <f>IFERROR(VLOOKUP(TableHandbook[[#This Row],[UDC]],TableMJRUSCIBI[],7,FALSE),"")</f>
        <v/>
      </c>
      <c r="AI282" s="200" t="str">
        <f>IFERROR(VLOOKUP(TableHandbook[[#This Row],[UDC]],TableMJRUSCICH[],7,FALSE),"")</f>
        <v/>
      </c>
      <c r="AJ282" s="200" t="str">
        <f>IFERROR(VLOOKUP(TableHandbook[[#This Row],[UDC]],TableMJRUSCIHB[],7,FALSE),"")</f>
        <v/>
      </c>
      <c r="AK282" s="200" t="str">
        <f>IFERROR(VLOOKUP(TableHandbook[[#This Row],[UDC]],TableMJRUSCIPH[],7,FALSE),"")</f>
        <v/>
      </c>
      <c r="AL282" s="200" t="str">
        <f>IFERROR(VLOOKUP(TableHandbook[[#This Row],[UDC]],TableMJRUSCIPS[],7,FALSE),"")</f>
        <v/>
      </c>
      <c r="AM282" s="202"/>
      <c r="AN282" s="200" t="str">
        <f>IFERROR(VLOOKUP(TableHandbook[[#This Row],[UDC]],TableSTRUBIOLB[],7,FALSE),"")</f>
        <v/>
      </c>
      <c r="AO282" s="200" t="str">
        <f>IFERROR(VLOOKUP(TableHandbook[[#This Row],[UDC]],TableSTRUBSCIM[],7,FALSE),"")</f>
        <v/>
      </c>
      <c r="AP282" s="200" t="str">
        <f>IFERROR(VLOOKUP(TableHandbook[[#This Row],[UDC]],TableSTRUCHEMB[],7,FALSE),"")</f>
        <v/>
      </c>
      <c r="AQ282" s="200" t="str">
        <f>IFERROR(VLOOKUP(TableHandbook[[#This Row],[UDC]],TableSTRUECOB1[],7,FALSE),"")</f>
        <v/>
      </c>
      <c r="AR282" s="200" t="str">
        <f>IFERROR(VLOOKUP(TableHandbook[[#This Row],[UDC]],TableSTRUEDART[],7,FALSE),"")</f>
        <v/>
      </c>
      <c r="AS282" s="200" t="str">
        <f>IFERROR(VLOOKUP(TableHandbook[[#This Row],[UDC]],TableSTRUEDENG[],7,FALSE),"")</f>
        <v/>
      </c>
      <c r="AT282" s="200" t="str">
        <f>IFERROR(VLOOKUP(TableHandbook[[#This Row],[UDC]],TableSTRUEDHAS[],7,FALSE),"")</f>
        <v/>
      </c>
      <c r="AU282" s="200" t="str">
        <f>IFERROR(VLOOKUP(TableHandbook[[#This Row],[UDC]],TableSTRUEDMAT[],7,FALSE),"")</f>
        <v/>
      </c>
      <c r="AV282" s="200" t="str">
        <f>IFERROR(VLOOKUP(TableHandbook[[#This Row],[UDC]],TableSTRUEDSCI[],7,FALSE),"")</f>
        <v/>
      </c>
      <c r="AW282" s="200" t="str">
        <f>IFERROR(VLOOKUP(TableHandbook[[#This Row],[UDC]],TableSTRUENGLB[],7,FALSE),"")</f>
        <v/>
      </c>
      <c r="AX282" s="200" t="str">
        <f>IFERROR(VLOOKUP(TableHandbook[[#This Row],[UDC]],TableSTRUENGLM[],7,FALSE),"")</f>
        <v/>
      </c>
      <c r="AY282" s="200" t="str">
        <f>IFERROR(VLOOKUP(TableHandbook[[#This Row],[UDC]],TableSTRUGEOB1[],7,FALSE),"")</f>
        <v/>
      </c>
      <c r="AZ282" s="200" t="str">
        <f>IFERROR(VLOOKUP(TableHandbook[[#This Row],[UDC]],TableSTRUHISB1[],7,FALSE),"")</f>
        <v/>
      </c>
      <c r="BA282" s="200" t="str">
        <f>IFERROR(VLOOKUP(TableHandbook[[#This Row],[UDC]],TableSTRUHUMAM[],7,FALSE),"")</f>
        <v/>
      </c>
      <c r="BB282" s="200" t="str">
        <f>IFERROR(VLOOKUP(TableHandbook[[#This Row],[UDC]],TableSTRUHUMBB[],7,FALSE),"")</f>
        <v/>
      </c>
      <c r="BC282" s="200" t="str">
        <f>IFERROR(VLOOKUP(TableHandbook[[#This Row],[UDC]],TableSTRUMATHB[],7,FALSE),"")</f>
        <v/>
      </c>
      <c r="BD282" s="200" t="str">
        <f>IFERROR(VLOOKUP(TableHandbook[[#This Row],[UDC]],TableSTRUMATHM[],7,FALSE),"")</f>
        <v/>
      </c>
      <c r="BE282" s="200" t="str">
        <f>IFERROR(VLOOKUP(TableHandbook[[#This Row],[UDC]],TableSTRUPARTB[],7,FALSE),"")</f>
        <v/>
      </c>
      <c r="BF282" s="200" t="str">
        <f>IFERROR(VLOOKUP(TableHandbook[[#This Row],[UDC]],TableSTRUPARTM[],7,FALSE),"")</f>
        <v/>
      </c>
      <c r="BG282" s="200" t="str">
        <f>IFERROR(VLOOKUP(TableHandbook[[#This Row],[UDC]],TableSTRUPOLB1[],7,FALSE),"")</f>
        <v/>
      </c>
      <c r="BH282" s="200" t="str">
        <f>IFERROR(VLOOKUP(TableHandbook[[#This Row],[UDC]],TableSTRUPSCIM[],7,FALSE),"")</f>
        <v/>
      </c>
      <c r="BI282" s="200" t="str">
        <f>IFERROR(VLOOKUP(TableHandbook[[#This Row],[UDC]],TableSTRUPSYCB[],7,FALSE),"")</f>
        <v/>
      </c>
      <c r="BJ282" s="200" t="str">
        <f>IFERROR(VLOOKUP(TableHandbook[[#This Row],[UDC]],TableSTRUPSYCM[],7,FALSE),"")</f>
        <v/>
      </c>
      <c r="BK282" s="200" t="str">
        <f>IFERROR(VLOOKUP(TableHandbook[[#This Row],[UDC]],TableSTRUSOSCM[],7,FALSE),"")</f>
        <v/>
      </c>
      <c r="BL282" s="200" t="str">
        <f>IFERROR(VLOOKUP(TableHandbook[[#This Row],[UDC]],TableSTRUVARTB[],7,FALSE),"")</f>
        <v>Core</v>
      </c>
      <c r="BM282" s="200" t="str">
        <f>IFERROR(VLOOKUP(TableHandbook[[#This Row],[UDC]],TableSTRUVARTM[],7,FALSE),"")</f>
        <v/>
      </c>
    </row>
    <row r="283" spans="1:65" ht="26.25" x14ac:dyDescent="0.25">
      <c r="A283" s="302" t="s">
        <v>350</v>
      </c>
      <c r="B283" s="8">
        <v>2</v>
      </c>
      <c r="C283" s="7"/>
      <c r="D283" s="7" t="s">
        <v>844</v>
      </c>
      <c r="E283" s="12">
        <v>25</v>
      </c>
      <c r="F283" s="183" t="s">
        <v>318</v>
      </c>
      <c r="G283" s="126" t="str">
        <f>IFERROR(IF(VLOOKUP(TableHandbook[[#This Row],[UDC]],TableAvailabilities[],2,FALSE)&gt;0,"Y",""),"")</f>
        <v/>
      </c>
      <c r="H283" s="127" t="str">
        <f>IFERROR(IF(VLOOKUP(TableHandbook[[#This Row],[UDC]],TableAvailabilities[],3,FALSE)&gt;0,"Y",""),"")</f>
        <v/>
      </c>
      <c r="I283" s="127" t="str">
        <f>IFERROR(IF(VLOOKUP(TableHandbook[[#This Row],[UDC]],TableAvailabilities[],4,FALSE)&gt;0,"Y",""),"")</f>
        <v/>
      </c>
      <c r="J283" s="128" t="str">
        <f>IFERROR(IF(VLOOKUP(TableHandbook[[#This Row],[UDC]],TableAvailabilities[],5,FALSE)&gt;0,"Y",""),"")</f>
        <v>Y</v>
      </c>
      <c r="K283" s="128" t="str">
        <f>IFERROR(IF(VLOOKUP(TableHandbook[[#This Row],[UDC]],TableAvailabilities[],6,FALSE)&gt;0,"Y",""),"")</f>
        <v/>
      </c>
      <c r="L283" s="127" t="str">
        <f>IFERROR(IF(VLOOKUP(TableHandbook[[#This Row],[UDC]],TableAvailabilities[],7,FALSE)&gt;0,"Y",""),"")</f>
        <v/>
      </c>
      <c r="M283" s="301" t="s">
        <v>918</v>
      </c>
      <c r="N283" s="200" t="str">
        <f>IFERROR(VLOOKUP(TableHandbook[[#This Row],[UDC]],TableBEDUC[],7,FALSE),"")</f>
        <v/>
      </c>
      <c r="O283" s="200" t="str">
        <f>IFERROR(VLOOKUP(TableHandbook[[#This Row],[UDC]],TableBEDEC[],7,FALSE),"")</f>
        <v/>
      </c>
      <c r="P283" s="200" t="str">
        <f>IFERROR(VLOOKUP(TableHandbook[[#This Row],[UDC]],TableBEDPR[],7,FALSE),"")</f>
        <v/>
      </c>
      <c r="Q283" s="200" t="str">
        <f>IFERROR(VLOOKUP(TableHandbook[[#This Row],[UDC]],TableSTRUCATHL[],7,FALSE),"")</f>
        <v/>
      </c>
      <c r="R283" s="200" t="str">
        <f>IFERROR(VLOOKUP(TableHandbook[[#This Row],[UDC]],TableSTRUENGLL[],7,FALSE),"")</f>
        <v/>
      </c>
      <c r="S283" s="200" t="str">
        <f>IFERROR(VLOOKUP(TableHandbook[[#This Row],[UDC]],TableSTRUINTBC[],7,FALSE),"")</f>
        <v/>
      </c>
      <c r="T283" s="200" t="str">
        <f>IFERROR(VLOOKUP(TableHandbook[[#This Row],[UDC]],TableSTRUISTEM[],7,FALSE),"")</f>
        <v/>
      </c>
      <c r="U283" s="200" t="str">
        <f>IFERROR(VLOOKUP(TableHandbook[[#This Row],[UDC]],TableSTRULITNU[],7,FALSE),"")</f>
        <v/>
      </c>
      <c r="V283" s="200" t="str">
        <f>IFERROR(VLOOKUP(TableHandbook[[#This Row],[UDC]],TableSTRUTECHS[],7,FALSE),"")</f>
        <v/>
      </c>
      <c r="W283" s="200" t="str">
        <f>IFERROR(VLOOKUP(TableHandbook[[#This Row],[UDC]],TableBEDSC[],7,FALSE),"")</f>
        <v/>
      </c>
      <c r="X283" s="200" t="str">
        <f>IFERROR(VLOOKUP(TableHandbook[[#This Row],[UDC]],TableMJRUARTDR[],7,FALSE),"")</f>
        <v/>
      </c>
      <c r="Y283" s="200" t="str">
        <f>IFERROR(VLOOKUP(TableHandbook[[#This Row],[UDC]],TableMJRUARTME[],7,FALSE),"")</f>
        <v/>
      </c>
      <c r="Z283" s="200" t="str">
        <f>IFERROR(VLOOKUP(TableHandbook[[#This Row],[UDC]],TableMJRUARTVA[],7,FALSE),"")</f>
        <v>Core</v>
      </c>
      <c r="AA283" s="200" t="str">
        <f>IFERROR(VLOOKUP(TableHandbook[[#This Row],[UDC]],TableMJRUENGLT[],7,FALSE),"")</f>
        <v/>
      </c>
      <c r="AB283" s="200" t="str">
        <f>IFERROR(VLOOKUP(TableHandbook[[#This Row],[UDC]],TableMJRUHLTPE[],7,FALSE),"")</f>
        <v/>
      </c>
      <c r="AC283" s="200" t="str">
        <f>IFERROR(VLOOKUP(TableHandbook[[#This Row],[UDC]],TableMJRUHUSEC[],7,FALSE),"")</f>
        <v/>
      </c>
      <c r="AD283" s="200" t="str">
        <f>IFERROR(VLOOKUP(TableHandbook[[#This Row],[UDC]],TableMJRUHUSGE[],7,FALSE),"")</f>
        <v/>
      </c>
      <c r="AE283" s="200" t="str">
        <f>IFERROR(VLOOKUP(TableHandbook[[#This Row],[UDC]],TableMJRUHUSHI[],7,FALSE),"")</f>
        <v/>
      </c>
      <c r="AF283" s="200" t="str">
        <f>IFERROR(VLOOKUP(TableHandbook[[#This Row],[UDC]],TableMJRUHUSPL[],7,FALSE),"")</f>
        <v/>
      </c>
      <c r="AG283" s="200" t="str">
        <f>IFERROR(VLOOKUP(TableHandbook[[#This Row],[UDC]],TableMJRUMATHT[],7,FALSE),"")</f>
        <v/>
      </c>
      <c r="AH283" s="200" t="str">
        <f>IFERROR(VLOOKUP(TableHandbook[[#This Row],[UDC]],TableMJRUSCIBI[],7,FALSE),"")</f>
        <v/>
      </c>
      <c r="AI283" s="200" t="str">
        <f>IFERROR(VLOOKUP(TableHandbook[[#This Row],[UDC]],TableMJRUSCICH[],7,FALSE),"")</f>
        <v/>
      </c>
      <c r="AJ283" s="200" t="str">
        <f>IFERROR(VLOOKUP(TableHandbook[[#This Row],[UDC]],TableMJRUSCIHB[],7,FALSE),"")</f>
        <v/>
      </c>
      <c r="AK283" s="200" t="str">
        <f>IFERROR(VLOOKUP(TableHandbook[[#This Row],[UDC]],TableMJRUSCIPH[],7,FALSE),"")</f>
        <v/>
      </c>
      <c r="AL283" s="200" t="str">
        <f>IFERROR(VLOOKUP(TableHandbook[[#This Row],[UDC]],TableMJRUSCIPS[],7,FALSE),"")</f>
        <v/>
      </c>
      <c r="AM283" s="202"/>
      <c r="AN283" s="200" t="str">
        <f>IFERROR(VLOOKUP(TableHandbook[[#This Row],[UDC]],TableSTRUBIOLB[],7,FALSE),"")</f>
        <v/>
      </c>
      <c r="AO283" s="200" t="str">
        <f>IFERROR(VLOOKUP(TableHandbook[[#This Row],[UDC]],TableSTRUBSCIM[],7,FALSE),"")</f>
        <v/>
      </c>
      <c r="AP283" s="200" t="str">
        <f>IFERROR(VLOOKUP(TableHandbook[[#This Row],[UDC]],TableSTRUCHEMB[],7,FALSE),"")</f>
        <v/>
      </c>
      <c r="AQ283" s="200" t="str">
        <f>IFERROR(VLOOKUP(TableHandbook[[#This Row],[UDC]],TableSTRUECOB1[],7,FALSE),"")</f>
        <v/>
      </c>
      <c r="AR283" s="200" t="str">
        <f>IFERROR(VLOOKUP(TableHandbook[[#This Row],[UDC]],TableSTRUEDART[],7,FALSE),"")</f>
        <v/>
      </c>
      <c r="AS283" s="200" t="str">
        <f>IFERROR(VLOOKUP(TableHandbook[[#This Row],[UDC]],TableSTRUEDENG[],7,FALSE),"")</f>
        <v/>
      </c>
      <c r="AT283" s="200" t="str">
        <f>IFERROR(VLOOKUP(TableHandbook[[#This Row],[UDC]],TableSTRUEDHAS[],7,FALSE),"")</f>
        <v/>
      </c>
      <c r="AU283" s="200" t="str">
        <f>IFERROR(VLOOKUP(TableHandbook[[#This Row],[UDC]],TableSTRUEDMAT[],7,FALSE),"")</f>
        <v/>
      </c>
      <c r="AV283" s="200" t="str">
        <f>IFERROR(VLOOKUP(TableHandbook[[#This Row],[UDC]],TableSTRUEDSCI[],7,FALSE),"")</f>
        <v/>
      </c>
      <c r="AW283" s="200" t="str">
        <f>IFERROR(VLOOKUP(TableHandbook[[#This Row],[UDC]],TableSTRUENGLB[],7,FALSE),"")</f>
        <v/>
      </c>
      <c r="AX283" s="200" t="str">
        <f>IFERROR(VLOOKUP(TableHandbook[[#This Row],[UDC]],TableSTRUENGLM[],7,FALSE),"")</f>
        <v/>
      </c>
      <c r="AY283" s="200" t="str">
        <f>IFERROR(VLOOKUP(TableHandbook[[#This Row],[UDC]],TableSTRUGEOB1[],7,FALSE),"")</f>
        <v/>
      </c>
      <c r="AZ283" s="200" t="str">
        <f>IFERROR(VLOOKUP(TableHandbook[[#This Row],[UDC]],TableSTRUHISB1[],7,FALSE),"")</f>
        <v/>
      </c>
      <c r="BA283" s="200" t="str">
        <f>IFERROR(VLOOKUP(TableHandbook[[#This Row],[UDC]],TableSTRUHUMAM[],7,FALSE),"")</f>
        <v/>
      </c>
      <c r="BB283" s="200" t="str">
        <f>IFERROR(VLOOKUP(TableHandbook[[#This Row],[UDC]],TableSTRUHUMBB[],7,FALSE),"")</f>
        <v/>
      </c>
      <c r="BC283" s="200" t="str">
        <f>IFERROR(VLOOKUP(TableHandbook[[#This Row],[UDC]],TableSTRUMATHB[],7,FALSE),"")</f>
        <v/>
      </c>
      <c r="BD283" s="200" t="str">
        <f>IFERROR(VLOOKUP(TableHandbook[[#This Row],[UDC]],TableSTRUMATHM[],7,FALSE),"")</f>
        <v/>
      </c>
      <c r="BE283" s="200" t="str">
        <f>IFERROR(VLOOKUP(TableHandbook[[#This Row],[UDC]],TableSTRUPARTB[],7,FALSE),"")</f>
        <v/>
      </c>
      <c r="BF283" s="200" t="str">
        <f>IFERROR(VLOOKUP(TableHandbook[[#This Row],[UDC]],TableSTRUPARTM[],7,FALSE),"")</f>
        <v/>
      </c>
      <c r="BG283" s="200" t="str">
        <f>IFERROR(VLOOKUP(TableHandbook[[#This Row],[UDC]],TableSTRUPOLB1[],7,FALSE),"")</f>
        <v/>
      </c>
      <c r="BH283" s="200" t="str">
        <f>IFERROR(VLOOKUP(TableHandbook[[#This Row],[UDC]],TableSTRUPSCIM[],7,FALSE),"")</f>
        <v/>
      </c>
      <c r="BI283" s="200" t="str">
        <f>IFERROR(VLOOKUP(TableHandbook[[#This Row],[UDC]],TableSTRUPSYCB[],7,FALSE),"")</f>
        <v/>
      </c>
      <c r="BJ283" s="200" t="str">
        <f>IFERROR(VLOOKUP(TableHandbook[[#This Row],[UDC]],TableSTRUPSYCM[],7,FALSE),"")</f>
        <v/>
      </c>
      <c r="BK283" s="200" t="str">
        <f>IFERROR(VLOOKUP(TableHandbook[[#This Row],[UDC]],TableSTRUSOSCM[],7,FALSE),"")</f>
        <v/>
      </c>
      <c r="BL283" s="200" t="str">
        <f>IFERROR(VLOOKUP(TableHandbook[[#This Row],[UDC]],TableSTRUVARTB[],7,FALSE),"")</f>
        <v/>
      </c>
      <c r="BM283" s="200" t="str">
        <f>IFERROR(VLOOKUP(TableHandbook[[#This Row],[UDC]],TableSTRUVARTM[],7,FALSE),"")</f>
        <v>Core</v>
      </c>
    </row>
    <row r="284" spans="1:65" ht="26.25" x14ac:dyDescent="0.25">
      <c r="A284" s="303" t="s">
        <v>492</v>
      </c>
      <c r="B284" s="8">
        <v>2</v>
      </c>
      <c r="C284" s="7"/>
      <c r="D284" s="7" t="s">
        <v>845</v>
      </c>
      <c r="E284" s="12">
        <v>25</v>
      </c>
      <c r="F284" s="183" t="s">
        <v>846</v>
      </c>
      <c r="G284" s="126" t="str">
        <f>IFERROR(IF(VLOOKUP(TableHandbook[[#This Row],[UDC]],TableAvailabilities[],2,FALSE)&gt;0,"Y",""),"")</f>
        <v/>
      </c>
      <c r="H284" s="127" t="str">
        <f>IFERROR(IF(VLOOKUP(TableHandbook[[#This Row],[UDC]],TableAvailabilities[],3,FALSE)&gt;0,"Y",""),"")</f>
        <v/>
      </c>
      <c r="I284" s="127" t="str">
        <f>IFERROR(IF(VLOOKUP(TableHandbook[[#This Row],[UDC]],TableAvailabilities[],4,FALSE)&gt;0,"Y",""),"")</f>
        <v/>
      </c>
      <c r="J284" s="128" t="str">
        <f>IFERROR(IF(VLOOKUP(TableHandbook[[#This Row],[UDC]],TableAvailabilities[],5,FALSE)&gt;0,"Y",""),"")</f>
        <v>Y</v>
      </c>
      <c r="K284" s="128" t="str">
        <f>IFERROR(IF(VLOOKUP(TableHandbook[[#This Row],[UDC]],TableAvailabilities[],6,FALSE)&gt;0,"Y",""),"")</f>
        <v/>
      </c>
      <c r="L284" s="127" t="str">
        <f>IFERROR(IF(VLOOKUP(TableHandbook[[#This Row],[UDC]],TableAvailabilities[],7,FALSE)&gt;0,"Y",""),"")</f>
        <v/>
      </c>
      <c r="M284" s="301" t="s">
        <v>919</v>
      </c>
      <c r="N284" s="200" t="str">
        <f>IFERROR(VLOOKUP(TableHandbook[[#This Row],[UDC]],TableBEDUC[],7,FALSE),"")</f>
        <v/>
      </c>
      <c r="O284" s="200" t="str">
        <f>IFERROR(VLOOKUP(TableHandbook[[#This Row],[UDC]],TableBEDEC[],7,FALSE),"")</f>
        <v/>
      </c>
      <c r="P284" s="200" t="str">
        <f>IFERROR(VLOOKUP(TableHandbook[[#This Row],[UDC]],TableBEDPR[],7,FALSE),"")</f>
        <v/>
      </c>
      <c r="Q284" s="200" t="str">
        <f>IFERROR(VLOOKUP(TableHandbook[[#This Row],[UDC]],TableSTRUCATHL[],7,FALSE),"")</f>
        <v/>
      </c>
      <c r="R284" s="200" t="str">
        <f>IFERROR(VLOOKUP(TableHandbook[[#This Row],[UDC]],TableSTRUENGLL[],7,FALSE),"")</f>
        <v/>
      </c>
      <c r="S284" s="200" t="str">
        <f>IFERROR(VLOOKUP(TableHandbook[[#This Row],[UDC]],TableSTRUINTBC[],7,FALSE),"")</f>
        <v/>
      </c>
      <c r="T284" s="200" t="str">
        <f>IFERROR(VLOOKUP(TableHandbook[[#This Row],[UDC]],TableSTRUISTEM[],7,FALSE),"")</f>
        <v/>
      </c>
      <c r="U284" s="200" t="str">
        <f>IFERROR(VLOOKUP(TableHandbook[[#This Row],[UDC]],TableSTRULITNU[],7,FALSE),"")</f>
        <v/>
      </c>
      <c r="V284" s="200" t="str">
        <f>IFERROR(VLOOKUP(TableHandbook[[#This Row],[UDC]],TableSTRUTECHS[],7,FALSE),"")</f>
        <v/>
      </c>
      <c r="W284" s="200" t="str">
        <f>IFERROR(VLOOKUP(TableHandbook[[#This Row],[UDC]],TableBEDSC[],7,FALSE),"")</f>
        <v/>
      </c>
      <c r="X284" s="200" t="str">
        <f>IFERROR(VLOOKUP(TableHandbook[[#This Row],[UDC]],TableMJRUARTDR[],7,FALSE),"")</f>
        <v/>
      </c>
      <c r="Y284" s="200" t="str">
        <f>IFERROR(VLOOKUP(TableHandbook[[#This Row],[UDC]],TableMJRUARTME[],7,FALSE),"")</f>
        <v/>
      </c>
      <c r="Z284" s="200" t="str">
        <f>IFERROR(VLOOKUP(TableHandbook[[#This Row],[UDC]],TableMJRUARTVA[],7,FALSE),"")</f>
        <v/>
      </c>
      <c r="AA284" s="200" t="str">
        <f>IFERROR(VLOOKUP(TableHandbook[[#This Row],[UDC]],TableMJRUENGLT[],7,FALSE),"")</f>
        <v/>
      </c>
      <c r="AB284" s="200" t="str">
        <f>IFERROR(VLOOKUP(TableHandbook[[#This Row],[UDC]],TableMJRUHLTPE[],7,FALSE),"")</f>
        <v/>
      </c>
      <c r="AC284" s="200" t="str">
        <f>IFERROR(VLOOKUP(TableHandbook[[#This Row],[UDC]],TableMJRUHUSEC[],7,FALSE),"")</f>
        <v/>
      </c>
      <c r="AD284" s="200" t="str">
        <f>IFERROR(VLOOKUP(TableHandbook[[#This Row],[UDC]],TableMJRUHUSGE[],7,FALSE),"")</f>
        <v/>
      </c>
      <c r="AE284" s="200" t="str">
        <f>IFERROR(VLOOKUP(TableHandbook[[#This Row],[UDC]],TableMJRUHUSHI[],7,FALSE),"")</f>
        <v/>
      </c>
      <c r="AF284" s="200" t="str">
        <f>IFERROR(VLOOKUP(TableHandbook[[#This Row],[UDC]],TableMJRUHUSPL[],7,FALSE),"")</f>
        <v/>
      </c>
      <c r="AG284" s="200" t="str">
        <f>IFERROR(VLOOKUP(TableHandbook[[#This Row],[UDC]],TableMJRUMATHT[],7,FALSE),"")</f>
        <v/>
      </c>
      <c r="AH284" s="200" t="str">
        <f>IFERROR(VLOOKUP(TableHandbook[[#This Row],[UDC]],TableMJRUSCIBI[],7,FALSE),"")</f>
        <v/>
      </c>
      <c r="AI284" s="200" t="str">
        <f>IFERROR(VLOOKUP(TableHandbook[[#This Row],[UDC]],TableMJRUSCICH[],7,FALSE),"")</f>
        <v/>
      </c>
      <c r="AJ284" s="200" t="str">
        <f>IFERROR(VLOOKUP(TableHandbook[[#This Row],[UDC]],TableMJRUSCIHB[],7,FALSE),"")</f>
        <v/>
      </c>
      <c r="AK284" s="200" t="str">
        <f>IFERROR(VLOOKUP(TableHandbook[[#This Row],[UDC]],TableMJRUSCIPH[],7,FALSE),"")</f>
        <v/>
      </c>
      <c r="AL284" s="200" t="str">
        <f>IFERROR(VLOOKUP(TableHandbook[[#This Row],[UDC]],TableMJRUSCIPS[],7,FALSE),"")</f>
        <v/>
      </c>
      <c r="AM284" s="202"/>
      <c r="AN284" s="200" t="str">
        <f>IFERROR(VLOOKUP(TableHandbook[[#This Row],[UDC]],TableSTRUBIOLB[],7,FALSE),"")</f>
        <v/>
      </c>
      <c r="AO284" s="200" t="str">
        <f>IFERROR(VLOOKUP(TableHandbook[[#This Row],[UDC]],TableSTRUBSCIM[],7,FALSE),"")</f>
        <v/>
      </c>
      <c r="AP284" s="200" t="str">
        <f>IFERROR(VLOOKUP(TableHandbook[[#This Row],[UDC]],TableSTRUCHEMB[],7,FALSE),"")</f>
        <v/>
      </c>
      <c r="AQ284" s="200" t="str">
        <f>IFERROR(VLOOKUP(TableHandbook[[#This Row],[UDC]],TableSTRUECOB1[],7,FALSE),"")</f>
        <v/>
      </c>
      <c r="AR284" s="200" t="str">
        <f>IFERROR(VLOOKUP(TableHandbook[[#This Row],[UDC]],TableSTRUEDART[],7,FALSE),"")</f>
        <v/>
      </c>
      <c r="AS284" s="200" t="str">
        <f>IFERROR(VLOOKUP(TableHandbook[[#This Row],[UDC]],TableSTRUEDENG[],7,FALSE),"")</f>
        <v/>
      </c>
      <c r="AT284" s="200" t="str">
        <f>IFERROR(VLOOKUP(TableHandbook[[#This Row],[UDC]],TableSTRUEDHAS[],7,FALSE),"")</f>
        <v/>
      </c>
      <c r="AU284" s="200" t="str">
        <f>IFERROR(VLOOKUP(TableHandbook[[#This Row],[UDC]],TableSTRUEDMAT[],7,FALSE),"")</f>
        <v/>
      </c>
      <c r="AV284" s="200" t="str">
        <f>IFERROR(VLOOKUP(TableHandbook[[#This Row],[UDC]],TableSTRUEDSCI[],7,FALSE),"")</f>
        <v/>
      </c>
      <c r="AW284" s="200" t="str">
        <f>IFERROR(VLOOKUP(TableHandbook[[#This Row],[UDC]],TableSTRUENGLB[],7,FALSE),"")</f>
        <v/>
      </c>
      <c r="AX284" s="200" t="str">
        <f>IFERROR(VLOOKUP(TableHandbook[[#This Row],[UDC]],TableSTRUENGLM[],7,FALSE),"")</f>
        <v/>
      </c>
      <c r="AY284" s="200" t="str">
        <f>IFERROR(VLOOKUP(TableHandbook[[#This Row],[UDC]],TableSTRUGEOB1[],7,FALSE),"")</f>
        <v/>
      </c>
      <c r="AZ284" s="200" t="str">
        <f>IFERROR(VLOOKUP(TableHandbook[[#This Row],[UDC]],TableSTRUHISB1[],7,FALSE),"")</f>
        <v/>
      </c>
      <c r="BA284" s="200" t="str">
        <f>IFERROR(VLOOKUP(TableHandbook[[#This Row],[UDC]],TableSTRUHUMAM[],7,FALSE),"")</f>
        <v/>
      </c>
      <c r="BB284" s="200" t="str">
        <f>IFERROR(VLOOKUP(TableHandbook[[#This Row],[UDC]],TableSTRUHUMBB[],7,FALSE),"")</f>
        <v/>
      </c>
      <c r="BC284" s="200" t="str">
        <f>IFERROR(VLOOKUP(TableHandbook[[#This Row],[UDC]],TableSTRUMATHB[],7,FALSE),"")</f>
        <v/>
      </c>
      <c r="BD284" s="200" t="str">
        <f>IFERROR(VLOOKUP(TableHandbook[[#This Row],[UDC]],TableSTRUMATHM[],7,FALSE),"")</f>
        <v/>
      </c>
      <c r="BE284" s="200" t="str">
        <f>IFERROR(VLOOKUP(TableHandbook[[#This Row],[UDC]],TableSTRUPARTB[],7,FALSE),"")</f>
        <v/>
      </c>
      <c r="BF284" s="200" t="str">
        <f>IFERROR(VLOOKUP(TableHandbook[[#This Row],[UDC]],TableSTRUPARTM[],7,FALSE),"")</f>
        <v/>
      </c>
      <c r="BG284" s="200" t="str">
        <f>IFERROR(VLOOKUP(TableHandbook[[#This Row],[UDC]],TableSTRUPOLB1[],7,FALSE),"")</f>
        <v/>
      </c>
      <c r="BH284" s="200" t="str">
        <f>IFERROR(VLOOKUP(TableHandbook[[#This Row],[UDC]],TableSTRUPSCIM[],7,FALSE),"")</f>
        <v/>
      </c>
      <c r="BI284" s="200" t="str">
        <f>IFERROR(VLOOKUP(TableHandbook[[#This Row],[UDC]],TableSTRUPSYCB[],7,FALSE),"")</f>
        <v/>
      </c>
      <c r="BJ284" s="200" t="str">
        <f>IFERROR(VLOOKUP(TableHandbook[[#This Row],[UDC]],TableSTRUPSYCM[],7,FALSE),"")</f>
        <v/>
      </c>
      <c r="BK284" s="200" t="str">
        <f>IFERROR(VLOOKUP(TableHandbook[[#This Row],[UDC]],TableSTRUSOSCM[],7,FALSE),"")</f>
        <v/>
      </c>
      <c r="BL284" s="200" t="str">
        <f>IFERROR(VLOOKUP(TableHandbook[[#This Row],[UDC]],TableSTRUVARTB[],7,FALSE),"")</f>
        <v>Core</v>
      </c>
      <c r="BM284" s="200" t="str">
        <f>IFERROR(VLOOKUP(TableHandbook[[#This Row],[UDC]],TableSTRUVARTM[],7,FALSE),"")</f>
        <v/>
      </c>
    </row>
    <row r="285" spans="1:65" x14ac:dyDescent="0.25">
      <c r="A285" s="302" t="s">
        <v>366</v>
      </c>
      <c r="B285" s="8">
        <v>2</v>
      </c>
      <c r="C285" s="7"/>
      <c r="D285" s="7" t="s">
        <v>847</v>
      </c>
      <c r="E285" s="12">
        <v>25</v>
      </c>
      <c r="F285" s="131" t="s">
        <v>671</v>
      </c>
      <c r="G285" s="126" t="str">
        <f>IFERROR(IF(VLOOKUP(TableHandbook[[#This Row],[UDC]],TableAvailabilities[],2,FALSE)&gt;0,"Y",""),"")</f>
        <v>Y</v>
      </c>
      <c r="H285" s="127" t="str">
        <f>IFERROR(IF(VLOOKUP(TableHandbook[[#This Row],[UDC]],TableAvailabilities[],3,FALSE)&gt;0,"Y",""),"")</f>
        <v/>
      </c>
      <c r="I285" s="127" t="str">
        <f>IFERROR(IF(VLOOKUP(TableHandbook[[#This Row],[UDC]],TableAvailabilities[],4,FALSE)&gt;0,"Y",""),"")</f>
        <v/>
      </c>
      <c r="J285" s="128" t="str">
        <f>IFERROR(IF(VLOOKUP(TableHandbook[[#This Row],[UDC]],TableAvailabilities[],5,FALSE)&gt;0,"Y",""),"")</f>
        <v/>
      </c>
      <c r="K285" s="128" t="str">
        <f>IFERROR(IF(VLOOKUP(TableHandbook[[#This Row],[UDC]],TableAvailabilities[],6,FALSE)&gt;0,"Y",""),"")</f>
        <v/>
      </c>
      <c r="L285" s="127" t="str">
        <f>IFERROR(IF(VLOOKUP(TableHandbook[[#This Row],[UDC]],TableAvailabilities[],7,FALSE)&gt;0,"Y",""),"")</f>
        <v/>
      </c>
      <c r="M285" s="301"/>
      <c r="N285" s="200" t="str">
        <f>IFERROR(VLOOKUP(TableHandbook[[#This Row],[UDC]],TableBEDUC[],7,FALSE),"")</f>
        <v/>
      </c>
      <c r="O285" s="200" t="str">
        <f>IFERROR(VLOOKUP(TableHandbook[[#This Row],[UDC]],TableBEDEC[],7,FALSE),"")</f>
        <v/>
      </c>
      <c r="P285" s="200" t="str">
        <f>IFERROR(VLOOKUP(TableHandbook[[#This Row],[UDC]],TableBEDPR[],7,FALSE),"")</f>
        <v/>
      </c>
      <c r="Q285" s="200" t="str">
        <f>IFERROR(VLOOKUP(TableHandbook[[#This Row],[UDC]],TableSTRUCATHL[],7,FALSE),"")</f>
        <v/>
      </c>
      <c r="R285" s="200" t="str">
        <f>IFERROR(VLOOKUP(TableHandbook[[#This Row],[UDC]],TableSTRUENGLL[],7,FALSE),"")</f>
        <v/>
      </c>
      <c r="S285" s="200" t="str">
        <f>IFERROR(VLOOKUP(TableHandbook[[#This Row],[UDC]],TableSTRUINTBC[],7,FALSE),"")</f>
        <v/>
      </c>
      <c r="T285" s="200" t="str">
        <f>IFERROR(VLOOKUP(TableHandbook[[#This Row],[UDC]],TableSTRUISTEM[],7,FALSE),"")</f>
        <v/>
      </c>
      <c r="U285" s="200" t="str">
        <f>IFERROR(VLOOKUP(TableHandbook[[#This Row],[UDC]],TableSTRULITNU[],7,FALSE),"")</f>
        <v/>
      </c>
      <c r="V285" s="200" t="str">
        <f>IFERROR(VLOOKUP(TableHandbook[[#This Row],[UDC]],TableSTRUTECHS[],7,FALSE),"")</f>
        <v/>
      </c>
      <c r="W285" s="200" t="str">
        <f>IFERROR(VLOOKUP(TableHandbook[[#This Row],[UDC]],TableBEDSC[],7,FALSE),"")</f>
        <v/>
      </c>
      <c r="X285" s="200" t="str">
        <f>IFERROR(VLOOKUP(TableHandbook[[#This Row],[UDC]],TableMJRUARTDR[],7,FALSE),"")</f>
        <v/>
      </c>
      <c r="Y285" s="200" t="str">
        <f>IFERROR(VLOOKUP(TableHandbook[[#This Row],[UDC]],TableMJRUARTME[],7,FALSE),"")</f>
        <v/>
      </c>
      <c r="Z285" s="200" t="str">
        <f>IFERROR(VLOOKUP(TableHandbook[[#This Row],[UDC]],TableMJRUARTVA[],7,FALSE),"")</f>
        <v>Core</v>
      </c>
      <c r="AA285" s="200" t="str">
        <f>IFERROR(VLOOKUP(TableHandbook[[#This Row],[UDC]],TableMJRUENGLT[],7,FALSE),"")</f>
        <v/>
      </c>
      <c r="AB285" s="200" t="str">
        <f>IFERROR(VLOOKUP(TableHandbook[[#This Row],[UDC]],TableMJRUHLTPE[],7,FALSE),"")</f>
        <v/>
      </c>
      <c r="AC285" s="200" t="str">
        <f>IFERROR(VLOOKUP(TableHandbook[[#This Row],[UDC]],TableMJRUHUSEC[],7,FALSE),"")</f>
        <v/>
      </c>
      <c r="AD285" s="200" t="str">
        <f>IFERROR(VLOOKUP(TableHandbook[[#This Row],[UDC]],TableMJRUHUSGE[],7,FALSE),"")</f>
        <v/>
      </c>
      <c r="AE285" s="200" t="str">
        <f>IFERROR(VLOOKUP(TableHandbook[[#This Row],[UDC]],TableMJRUHUSHI[],7,FALSE),"")</f>
        <v/>
      </c>
      <c r="AF285" s="200" t="str">
        <f>IFERROR(VLOOKUP(TableHandbook[[#This Row],[UDC]],TableMJRUHUSPL[],7,FALSE),"")</f>
        <v/>
      </c>
      <c r="AG285" s="200" t="str">
        <f>IFERROR(VLOOKUP(TableHandbook[[#This Row],[UDC]],TableMJRUMATHT[],7,FALSE),"")</f>
        <v/>
      </c>
      <c r="AH285" s="200" t="str">
        <f>IFERROR(VLOOKUP(TableHandbook[[#This Row],[UDC]],TableMJRUSCIBI[],7,FALSE),"")</f>
        <v/>
      </c>
      <c r="AI285" s="200" t="str">
        <f>IFERROR(VLOOKUP(TableHandbook[[#This Row],[UDC]],TableMJRUSCICH[],7,FALSE),"")</f>
        <v/>
      </c>
      <c r="AJ285" s="200" t="str">
        <f>IFERROR(VLOOKUP(TableHandbook[[#This Row],[UDC]],TableMJRUSCIHB[],7,FALSE),"")</f>
        <v/>
      </c>
      <c r="AK285" s="200" t="str">
        <f>IFERROR(VLOOKUP(TableHandbook[[#This Row],[UDC]],TableMJRUSCIPH[],7,FALSE),"")</f>
        <v/>
      </c>
      <c r="AL285" s="200" t="str">
        <f>IFERROR(VLOOKUP(TableHandbook[[#This Row],[UDC]],TableMJRUSCIPS[],7,FALSE),"")</f>
        <v/>
      </c>
      <c r="AM285" s="202"/>
      <c r="AN285" s="200" t="str">
        <f>IFERROR(VLOOKUP(TableHandbook[[#This Row],[UDC]],TableSTRUBIOLB[],7,FALSE),"")</f>
        <v/>
      </c>
      <c r="AO285" s="200" t="str">
        <f>IFERROR(VLOOKUP(TableHandbook[[#This Row],[UDC]],TableSTRUBSCIM[],7,FALSE),"")</f>
        <v/>
      </c>
      <c r="AP285" s="200" t="str">
        <f>IFERROR(VLOOKUP(TableHandbook[[#This Row],[UDC]],TableSTRUCHEMB[],7,FALSE),"")</f>
        <v/>
      </c>
      <c r="AQ285" s="200" t="str">
        <f>IFERROR(VLOOKUP(TableHandbook[[#This Row],[UDC]],TableSTRUECOB1[],7,FALSE),"")</f>
        <v/>
      </c>
      <c r="AR285" s="200" t="str">
        <f>IFERROR(VLOOKUP(TableHandbook[[#This Row],[UDC]],TableSTRUEDART[],7,FALSE),"")</f>
        <v/>
      </c>
      <c r="AS285" s="200" t="str">
        <f>IFERROR(VLOOKUP(TableHandbook[[#This Row],[UDC]],TableSTRUEDENG[],7,FALSE),"")</f>
        <v/>
      </c>
      <c r="AT285" s="200" t="str">
        <f>IFERROR(VLOOKUP(TableHandbook[[#This Row],[UDC]],TableSTRUEDHAS[],7,FALSE),"")</f>
        <v/>
      </c>
      <c r="AU285" s="200" t="str">
        <f>IFERROR(VLOOKUP(TableHandbook[[#This Row],[UDC]],TableSTRUEDMAT[],7,FALSE),"")</f>
        <v/>
      </c>
      <c r="AV285" s="200" t="str">
        <f>IFERROR(VLOOKUP(TableHandbook[[#This Row],[UDC]],TableSTRUEDSCI[],7,FALSE),"")</f>
        <v/>
      </c>
      <c r="AW285" s="200" t="str">
        <f>IFERROR(VLOOKUP(TableHandbook[[#This Row],[UDC]],TableSTRUENGLB[],7,FALSE),"")</f>
        <v/>
      </c>
      <c r="AX285" s="200" t="str">
        <f>IFERROR(VLOOKUP(TableHandbook[[#This Row],[UDC]],TableSTRUENGLM[],7,FALSE),"")</f>
        <v/>
      </c>
      <c r="AY285" s="200" t="str">
        <f>IFERROR(VLOOKUP(TableHandbook[[#This Row],[UDC]],TableSTRUGEOB1[],7,FALSE),"")</f>
        <v/>
      </c>
      <c r="AZ285" s="200" t="str">
        <f>IFERROR(VLOOKUP(TableHandbook[[#This Row],[UDC]],TableSTRUHISB1[],7,FALSE),"")</f>
        <v/>
      </c>
      <c r="BA285" s="200" t="str">
        <f>IFERROR(VLOOKUP(TableHandbook[[#This Row],[UDC]],TableSTRUHUMAM[],7,FALSE),"")</f>
        <v/>
      </c>
      <c r="BB285" s="200" t="str">
        <f>IFERROR(VLOOKUP(TableHandbook[[#This Row],[UDC]],TableSTRUHUMBB[],7,FALSE),"")</f>
        <v/>
      </c>
      <c r="BC285" s="200" t="str">
        <f>IFERROR(VLOOKUP(TableHandbook[[#This Row],[UDC]],TableSTRUMATHB[],7,FALSE),"")</f>
        <v/>
      </c>
      <c r="BD285" s="200" t="str">
        <f>IFERROR(VLOOKUP(TableHandbook[[#This Row],[UDC]],TableSTRUMATHM[],7,FALSE),"")</f>
        <v/>
      </c>
      <c r="BE285" s="200" t="str">
        <f>IFERROR(VLOOKUP(TableHandbook[[#This Row],[UDC]],TableSTRUPARTB[],7,FALSE),"")</f>
        <v/>
      </c>
      <c r="BF285" s="200" t="str">
        <f>IFERROR(VLOOKUP(TableHandbook[[#This Row],[UDC]],TableSTRUPARTM[],7,FALSE),"")</f>
        <v/>
      </c>
      <c r="BG285" s="200" t="str">
        <f>IFERROR(VLOOKUP(TableHandbook[[#This Row],[UDC]],TableSTRUPOLB1[],7,FALSE),"")</f>
        <v/>
      </c>
      <c r="BH285" s="200" t="str">
        <f>IFERROR(VLOOKUP(TableHandbook[[#This Row],[UDC]],TableSTRUPSCIM[],7,FALSE),"")</f>
        <v/>
      </c>
      <c r="BI285" s="200" t="str">
        <f>IFERROR(VLOOKUP(TableHandbook[[#This Row],[UDC]],TableSTRUPSYCB[],7,FALSE),"")</f>
        <v/>
      </c>
      <c r="BJ285" s="200" t="str">
        <f>IFERROR(VLOOKUP(TableHandbook[[#This Row],[UDC]],TableSTRUPSYCM[],7,FALSE),"")</f>
        <v/>
      </c>
      <c r="BK285" s="200" t="str">
        <f>IFERROR(VLOOKUP(TableHandbook[[#This Row],[UDC]],TableSTRUSOSCM[],7,FALSE),"")</f>
        <v/>
      </c>
      <c r="BL285" s="200" t="str">
        <f>IFERROR(VLOOKUP(TableHandbook[[#This Row],[UDC]],TableSTRUVARTB[],7,FALSE),"")</f>
        <v/>
      </c>
      <c r="BM285" s="200" t="str">
        <f>IFERROR(VLOOKUP(TableHandbook[[#This Row],[UDC]],TableSTRUVARTM[],7,FALSE),"")</f>
        <v>Core</v>
      </c>
    </row>
    <row r="286" spans="1:65" x14ac:dyDescent="0.25">
      <c r="A286" s="302" t="s">
        <v>409</v>
      </c>
      <c r="B286" s="8">
        <v>2</v>
      </c>
      <c r="C286" s="7"/>
      <c r="D286" s="7" t="s">
        <v>848</v>
      </c>
      <c r="E286" s="12">
        <v>25</v>
      </c>
      <c r="F286" s="131" t="s">
        <v>849</v>
      </c>
      <c r="G286" s="126" t="str">
        <f>IFERROR(IF(VLOOKUP(TableHandbook[[#This Row],[UDC]],TableAvailabilities[],2,FALSE)&gt;0,"Y",""),"")</f>
        <v>Y</v>
      </c>
      <c r="H286" s="127" t="str">
        <f>IFERROR(IF(VLOOKUP(TableHandbook[[#This Row],[UDC]],TableAvailabilities[],3,FALSE)&gt;0,"Y",""),"")</f>
        <v/>
      </c>
      <c r="I286" s="127" t="str">
        <f>IFERROR(IF(VLOOKUP(TableHandbook[[#This Row],[UDC]],TableAvailabilities[],4,FALSE)&gt;0,"Y",""),"")</f>
        <v/>
      </c>
      <c r="J286" s="128" t="str">
        <f>IFERROR(IF(VLOOKUP(TableHandbook[[#This Row],[UDC]],TableAvailabilities[],5,FALSE)&gt;0,"Y",""),"")</f>
        <v>Y</v>
      </c>
      <c r="K286" s="128" t="str">
        <f>IFERROR(IF(VLOOKUP(TableHandbook[[#This Row],[UDC]],TableAvailabilities[],6,FALSE)&gt;0,"Y",""),"")</f>
        <v/>
      </c>
      <c r="L286" s="127" t="str">
        <f>IFERROR(IF(VLOOKUP(TableHandbook[[#This Row],[UDC]],TableAvailabilities[],7,FALSE)&gt;0,"Y",""),"")</f>
        <v/>
      </c>
      <c r="M286" s="301"/>
      <c r="N286" s="200" t="str">
        <f>IFERROR(VLOOKUP(TableHandbook[[#This Row],[UDC]],TableBEDUC[],7,FALSE),"")</f>
        <v/>
      </c>
      <c r="O286" s="200" t="str">
        <f>IFERROR(VLOOKUP(TableHandbook[[#This Row],[UDC]],TableBEDEC[],7,FALSE),"")</f>
        <v/>
      </c>
      <c r="P286" s="200" t="str">
        <f>IFERROR(VLOOKUP(TableHandbook[[#This Row],[UDC]],TableBEDPR[],7,FALSE),"")</f>
        <v/>
      </c>
      <c r="Q286" s="200" t="str">
        <f>IFERROR(VLOOKUP(TableHandbook[[#This Row],[UDC]],TableSTRUCATHL[],7,FALSE),"")</f>
        <v/>
      </c>
      <c r="R286" s="200" t="str">
        <f>IFERROR(VLOOKUP(TableHandbook[[#This Row],[UDC]],TableSTRUENGLL[],7,FALSE),"")</f>
        <v/>
      </c>
      <c r="S286" s="200" t="str">
        <f>IFERROR(VLOOKUP(TableHandbook[[#This Row],[UDC]],TableSTRUINTBC[],7,FALSE),"")</f>
        <v/>
      </c>
      <c r="T286" s="200" t="str">
        <f>IFERROR(VLOOKUP(TableHandbook[[#This Row],[UDC]],TableSTRUISTEM[],7,FALSE),"")</f>
        <v/>
      </c>
      <c r="U286" s="200" t="str">
        <f>IFERROR(VLOOKUP(TableHandbook[[#This Row],[UDC]],TableSTRULITNU[],7,FALSE),"")</f>
        <v/>
      </c>
      <c r="V286" s="200" t="str">
        <f>IFERROR(VLOOKUP(TableHandbook[[#This Row],[UDC]],TableSTRUTECHS[],7,FALSE),"")</f>
        <v/>
      </c>
      <c r="W286" s="200" t="str">
        <f>IFERROR(VLOOKUP(TableHandbook[[#This Row],[UDC]],TableBEDSC[],7,FALSE),"")</f>
        <v/>
      </c>
      <c r="X286" s="200" t="str">
        <f>IFERROR(VLOOKUP(TableHandbook[[#This Row],[UDC]],TableMJRUARTDR[],7,FALSE),"")</f>
        <v/>
      </c>
      <c r="Y286" s="200" t="str">
        <f>IFERROR(VLOOKUP(TableHandbook[[#This Row],[UDC]],TableMJRUARTME[],7,FALSE),"")</f>
        <v/>
      </c>
      <c r="Z286" s="200" t="str">
        <f>IFERROR(VLOOKUP(TableHandbook[[#This Row],[UDC]],TableMJRUARTVA[],7,FALSE),"")</f>
        <v>Core</v>
      </c>
      <c r="AA286" s="200" t="str">
        <f>IFERROR(VLOOKUP(TableHandbook[[#This Row],[UDC]],TableMJRUENGLT[],7,FALSE),"")</f>
        <v/>
      </c>
      <c r="AB286" s="200" t="str">
        <f>IFERROR(VLOOKUP(TableHandbook[[#This Row],[UDC]],TableMJRUHLTPE[],7,FALSE),"")</f>
        <v/>
      </c>
      <c r="AC286" s="200" t="str">
        <f>IFERROR(VLOOKUP(TableHandbook[[#This Row],[UDC]],TableMJRUHUSEC[],7,FALSE),"")</f>
        <v/>
      </c>
      <c r="AD286" s="200" t="str">
        <f>IFERROR(VLOOKUP(TableHandbook[[#This Row],[UDC]],TableMJRUHUSGE[],7,FALSE),"")</f>
        <v/>
      </c>
      <c r="AE286" s="200" t="str">
        <f>IFERROR(VLOOKUP(TableHandbook[[#This Row],[UDC]],TableMJRUHUSHI[],7,FALSE),"")</f>
        <v/>
      </c>
      <c r="AF286" s="200" t="str">
        <f>IFERROR(VLOOKUP(TableHandbook[[#This Row],[UDC]],TableMJRUHUSPL[],7,FALSE),"")</f>
        <v/>
      </c>
      <c r="AG286" s="200" t="str">
        <f>IFERROR(VLOOKUP(TableHandbook[[#This Row],[UDC]],TableMJRUMATHT[],7,FALSE),"")</f>
        <v/>
      </c>
      <c r="AH286" s="200" t="str">
        <f>IFERROR(VLOOKUP(TableHandbook[[#This Row],[UDC]],TableMJRUSCIBI[],7,FALSE),"")</f>
        <v/>
      </c>
      <c r="AI286" s="200" t="str">
        <f>IFERROR(VLOOKUP(TableHandbook[[#This Row],[UDC]],TableMJRUSCICH[],7,FALSE),"")</f>
        <v/>
      </c>
      <c r="AJ286" s="200" t="str">
        <f>IFERROR(VLOOKUP(TableHandbook[[#This Row],[UDC]],TableMJRUSCIHB[],7,FALSE),"")</f>
        <v/>
      </c>
      <c r="AK286" s="200" t="str">
        <f>IFERROR(VLOOKUP(TableHandbook[[#This Row],[UDC]],TableMJRUSCIPH[],7,FALSE),"")</f>
        <v/>
      </c>
      <c r="AL286" s="200" t="str">
        <f>IFERROR(VLOOKUP(TableHandbook[[#This Row],[UDC]],TableMJRUSCIPS[],7,FALSE),"")</f>
        <v/>
      </c>
      <c r="AM286" s="202"/>
      <c r="AN286" s="200" t="str">
        <f>IFERROR(VLOOKUP(TableHandbook[[#This Row],[UDC]],TableSTRUBIOLB[],7,FALSE),"")</f>
        <v/>
      </c>
      <c r="AO286" s="200" t="str">
        <f>IFERROR(VLOOKUP(TableHandbook[[#This Row],[UDC]],TableSTRUBSCIM[],7,FALSE),"")</f>
        <v/>
      </c>
      <c r="AP286" s="200" t="str">
        <f>IFERROR(VLOOKUP(TableHandbook[[#This Row],[UDC]],TableSTRUCHEMB[],7,FALSE),"")</f>
        <v/>
      </c>
      <c r="AQ286" s="200" t="str">
        <f>IFERROR(VLOOKUP(TableHandbook[[#This Row],[UDC]],TableSTRUECOB1[],7,FALSE),"")</f>
        <v/>
      </c>
      <c r="AR286" s="200" t="str">
        <f>IFERROR(VLOOKUP(TableHandbook[[#This Row],[UDC]],TableSTRUEDART[],7,FALSE),"")</f>
        <v/>
      </c>
      <c r="AS286" s="200" t="str">
        <f>IFERROR(VLOOKUP(TableHandbook[[#This Row],[UDC]],TableSTRUEDENG[],7,FALSE),"")</f>
        <v/>
      </c>
      <c r="AT286" s="200" t="str">
        <f>IFERROR(VLOOKUP(TableHandbook[[#This Row],[UDC]],TableSTRUEDHAS[],7,FALSE),"")</f>
        <v/>
      </c>
      <c r="AU286" s="200" t="str">
        <f>IFERROR(VLOOKUP(TableHandbook[[#This Row],[UDC]],TableSTRUEDMAT[],7,FALSE),"")</f>
        <v/>
      </c>
      <c r="AV286" s="200" t="str">
        <f>IFERROR(VLOOKUP(TableHandbook[[#This Row],[UDC]],TableSTRUEDSCI[],7,FALSE),"")</f>
        <v/>
      </c>
      <c r="AW286" s="200" t="str">
        <f>IFERROR(VLOOKUP(TableHandbook[[#This Row],[UDC]],TableSTRUENGLB[],7,FALSE),"")</f>
        <v/>
      </c>
      <c r="AX286" s="200" t="str">
        <f>IFERROR(VLOOKUP(TableHandbook[[#This Row],[UDC]],TableSTRUENGLM[],7,FALSE),"")</f>
        <v/>
      </c>
      <c r="AY286" s="200" t="str">
        <f>IFERROR(VLOOKUP(TableHandbook[[#This Row],[UDC]],TableSTRUGEOB1[],7,FALSE),"")</f>
        <v/>
      </c>
      <c r="AZ286" s="200" t="str">
        <f>IFERROR(VLOOKUP(TableHandbook[[#This Row],[UDC]],TableSTRUHISB1[],7,FALSE),"")</f>
        <v/>
      </c>
      <c r="BA286" s="200" t="str">
        <f>IFERROR(VLOOKUP(TableHandbook[[#This Row],[UDC]],TableSTRUHUMAM[],7,FALSE),"")</f>
        <v/>
      </c>
      <c r="BB286" s="200" t="str">
        <f>IFERROR(VLOOKUP(TableHandbook[[#This Row],[UDC]],TableSTRUHUMBB[],7,FALSE),"")</f>
        <v/>
      </c>
      <c r="BC286" s="200" t="str">
        <f>IFERROR(VLOOKUP(TableHandbook[[#This Row],[UDC]],TableSTRUMATHB[],7,FALSE),"")</f>
        <v/>
      </c>
      <c r="BD286" s="200" t="str">
        <f>IFERROR(VLOOKUP(TableHandbook[[#This Row],[UDC]],TableSTRUMATHM[],7,FALSE),"")</f>
        <v/>
      </c>
      <c r="BE286" s="200" t="str">
        <f>IFERROR(VLOOKUP(TableHandbook[[#This Row],[UDC]],TableSTRUPARTB[],7,FALSE),"")</f>
        <v/>
      </c>
      <c r="BF286" s="200" t="str">
        <f>IFERROR(VLOOKUP(TableHandbook[[#This Row],[UDC]],TableSTRUPARTM[],7,FALSE),"")</f>
        <v/>
      </c>
      <c r="BG286" s="200" t="str">
        <f>IFERROR(VLOOKUP(TableHandbook[[#This Row],[UDC]],TableSTRUPOLB1[],7,FALSE),"")</f>
        <v/>
      </c>
      <c r="BH286" s="200" t="str">
        <f>IFERROR(VLOOKUP(TableHandbook[[#This Row],[UDC]],TableSTRUPSCIM[],7,FALSE),"")</f>
        <v/>
      </c>
      <c r="BI286" s="200" t="str">
        <f>IFERROR(VLOOKUP(TableHandbook[[#This Row],[UDC]],TableSTRUPSYCB[],7,FALSE),"")</f>
        <v/>
      </c>
      <c r="BJ286" s="200" t="str">
        <f>IFERROR(VLOOKUP(TableHandbook[[#This Row],[UDC]],TableSTRUPSYCM[],7,FALSE),"")</f>
        <v/>
      </c>
      <c r="BK286" s="200" t="str">
        <f>IFERROR(VLOOKUP(TableHandbook[[#This Row],[UDC]],TableSTRUSOSCM[],7,FALSE),"")</f>
        <v/>
      </c>
      <c r="BL286" s="200" t="str">
        <f>IFERROR(VLOOKUP(TableHandbook[[#This Row],[UDC]],TableSTRUVARTB[],7,FALSE),"")</f>
        <v/>
      </c>
      <c r="BM286" s="200" t="str">
        <f>IFERROR(VLOOKUP(TableHandbook[[#This Row],[UDC]],TableSTRUVARTM[],7,FALSE),"")</f>
        <v/>
      </c>
    </row>
    <row r="287" spans="1:65" x14ac:dyDescent="0.25">
      <c r="A287" s="302" t="s">
        <v>396</v>
      </c>
      <c r="B287" s="8">
        <v>2</v>
      </c>
      <c r="C287" s="7"/>
      <c r="D287" s="7" t="s">
        <v>850</v>
      </c>
      <c r="E287" s="12">
        <v>25</v>
      </c>
      <c r="F287" s="131" t="s">
        <v>350</v>
      </c>
      <c r="G287" s="126" t="str">
        <f>IFERROR(IF(VLOOKUP(TableHandbook[[#This Row],[UDC]],TableAvailabilities[],2,FALSE)&gt;0,"Y",""),"")</f>
        <v>Y</v>
      </c>
      <c r="H287" s="127" t="str">
        <f>IFERROR(IF(VLOOKUP(TableHandbook[[#This Row],[UDC]],TableAvailabilities[],3,FALSE)&gt;0,"Y",""),"")</f>
        <v/>
      </c>
      <c r="I287" s="127" t="str">
        <f>IFERROR(IF(VLOOKUP(TableHandbook[[#This Row],[UDC]],TableAvailabilities[],4,FALSE)&gt;0,"Y",""),"")</f>
        <v/>
      </c>
      <c r="J287" s="128" t="str">
        <f>IFERROR(IF(VLOOKUP(TableHandbook[[#This Row],[UDC]],TableAvailabilities[],5,FALSE)&gt;0,"Y",""),"")</f>
        <v/>
      </c>
      <c r="K287" s="128" t="str">
        <f>IFERROR(IF(VLOOKUP(TableHandbook[[#This Row],[UDC]],TableAvailabilities[],6,FALSE)&gt;0,"Y",""),"")</f>
        <v/>
      </c>
      <c r="L287" s="127" t="str">
        <f>IFERROR(IF(VLOOKUP(TableHandbook[[#This Row],[UDC]],TableAvailabilities[],7,FALSE)&gt;0,"Y",""),"")</f>
        <v/>
      </c>
      <c r="M287" s="301"/>
      <c r="N287" s="200" t="str">
        <f>IFERROR(VLOOKUP(TableHandbook[[#This Row],[UDC]],TableBEDUC[],7,FALSE),"")</f>
        <v/>
      </c>
      <c r="O287" s="200" t="str">
        <f>IFERROR(VLOOKUP(TableHandbook[[#This Row],[UDC]],TableBEDEC[],7,FALSE),"")</f>
        <v/>
      </c>
      <c r="P287" s="200" t="str">
        <f>IFERROR(VLOOKUP(TableHandbook[[#This Row],[UDC]],TableBEDPR[],7,FALSE),"")</f>
        <v/>
      </c>
      <c r="Q287" s="200" t="str">
        <f>IFERROR(VLOOKUP(TableHandbook[[#This Row],[UDC]],TableSTRUCATHL[],7,FALSE),"")</f>
        <v/>
      </c>
      <c r="R287" s="200" t="str">
        <f>IFERROR(VLOOKUP(TableHandbook[[#This Row],[UDC]],TableSTRUENGLL[],7,FALSE),"")</f>
        <v/>
      </c>
      <c r="S287" s="200" t="str">
        <f>IFERROR(VLOOKUP(TableHandbook[[#This Row],[UDC]],TableSTRUINTBC[],7,FALSE),"")</f>
        <v/>
      </c>
      <c r="T287" s="200" t="str">
        <f>IFERROR(VLOOKUP(TableHandbook[[#This Row],[UDC]],TableSTRUISTEM[],7,FALSE),"")</f>
        <v/>
      </c>
      <c r="U287" s="200" t="str">
        <f>IFERROR(VLOOKUP(TableHandbook[[#This Row],[UDC]],TableSTRULITNU[],7,FALSE),"")</f>
        <v/>
      </c>
      <c r="V287" s="200" t="str">
        <f>IFERROR(VLOOKUP(TableHandbook[[#This Row],[UDC]],TableSTRUTECHS[],7,FALSE),"")</f>
        <v/>
      </c>
      <c r="W287" s="200" t="str">
        <f>IFERROR(VLOOKUP(TableHandbook[[#This Row],[UDC]],TableBEDSC[],7,FALSE),"")</f>
        <v/>
      </c>
      <c r="X287" s="200" t="str">
        <f>IFERROR(VLOOKUP(TableHandbook[[#This Row],[UDC]],TableMJRUARTDR[],7,FALSE),"")</f>
        <v/>
      </c>
      <c r="Y287" s="200" t="str">
        <f>IFERROR(VLOOKUP(TableHandbook[[#This Row],[UDC]],TableMJRUARTME[],7,FALSE),"")</f>
        <v/>
      </c>
      <c r="Z287" s="200" t="str">
        <f>IFERROR(VLOOKUP(TableHandbook[[#This Row],[UDC]],TableMJRUARTVA[],7,FALSE),"")</f>
        <v>Core</v>
      </c>
      <c r="AA287" s="200" t="str">
        <f>IFERROR(VLOOKUP(TableHandbook[[#This Row],[UDC]],TableMJRUENGLT[],7,FALSE),"")</f>
        <v/>
      </c>
      <c r="AB287" s="200" t="str">
        <f>IFERROR(VLOOKUP(TableHandbook[[#This Row],[UDC]],TableMJRUHLTPE[],7,FALSE),"")</f>
        <v/>
      </c>
      <c r="AC287" s="200" t="str">
        <f>IFERROR(VLOOKUP(TableHandbook[[#This Row],[UDC]],TableMJRUHUSEC[],7,FALSE),"")</f>
        <v/>
      </c>
      <c r="AD287" s="200" t="str">
        <f>IFERROR(VLOOKUP(TableHandbook[[#This Row],[UDC]],TableMJRUHUSGE[],7,FALSE),"")</f>
        <v/>
      </c>
      <c r="AE287" s="200" t="str">
        <f>IFERROR(VLOOKUP(TableHandbook[[#This Row],[UDC]],TableMJRUHUSHI[],7,FALSE),"")</f>
        <v/>
      </c>
      <c r="AF287" s="200" t="str">
        <f>IFERROR(VLOOKUP(TableHandbook[[#This Row],[UDC]],TableMJRUHUSPL[],7,FALSE),"")</f>
        <v/>
      </c>
      <c r="AG287" s="200" t="str">
        <f>IFERROR(VLOOKUP(TableHandbook[[#This Row],[UDC]],TableMJRUMATHT[],7,FALSE),"")</f>
        <v/>
      </c>
      <c r="AH287" s="200" t="str">
        <f>IFERROR(VLOOKUP(TableHandbook[[#This Row],[UDC]],TableMJRUSCIBI[],7,FALSE),"")</f>
        <v/>
      </c>
      <c r="AI287" s="200" t="str">
        <f>IFERROR(VLOOKUP(TableHandbook[[#This Row],[UDC]],TableMJRUSCICH[],7,FALSE),"")</f>
        <v/>
      </c>
      <c r="AJ287" s="200" t="str">
        <f>IFERROR(VLOOKUP(TableHandbook[[#This Row],[UDC]],TableMJRUSCIHB[],7,FALSE),"")</f>
        <v/>
      </c>
      <c r="AK287" s="200" t="str">
        <f>IFERROR(VLOOKUP(TableHandbook[[#This Row],[UDC]],TableMJRUSCIPH[],7,FALSE),"")</f>
        <v/>
      </c>
      <c r="AL287" s="200" t="str">
        <f>IFERROR(VLOOKUP(TableHandbook[[#This Row],[UDC]],TableMJRUSCIPS[],7,FALSE),"")</f>
        <v/>
      </c>
      <c r="AM287" s="202"/>
      <c r="AN287" s="200" t="str">
        <f>IFERROR(VLOOKUP(TableHandbook[[#This Row],[UDC]],TableSTRUBIOLB[],7,FALSE),"")</f>
        <v/>
      </c>
      <c r="AO287" s="200" t="str">
        <f>IFERROR(VLOOKUP(TableHandbook[[#This Row],[UDC]],TableSTRUBSCIM[],7,FALSE),"")</f>
        <v/>
      </c>
      <c r="AP287" s="200" t="str">
        <f>IFERROR(VLOOKUP(TableHandbook[[#This Row],[UDC]],TableSTRUCHEMB[],7,FALSE),"")</f>
        <v/>
      </c>
      <c r="AQ287" s="200" t="str">
        <f>IFERROR(VLOOKUP(TableHandbook[[#This Row],[UDC]],TableSTRUECOB1[],7,FALSE),"")</f>
        <v/>
      </c>
      <c r="AR287" s="200" t="str">
        <f>IFERROR(VLOOKUP(TableHandbook[[#This Row],[UDC]],TableSTRUEDART[],7,FALSE),"")</f>
        <v/>
      </c>
      <c r="AS287" s="200" t="str">
        <f>IFERROR(VLOOKUP(TableHandbook[[#This Row],[UDC]],TableSTRUEDENG[],7,FALSE),"")</f>
        <v/>
      </c>
      <c r="AT287" s="200" t="str">
        <f>IFERROR(VLOOKUP(TableHandbook[[#This Row],[UDC]],TableSTRUEDHAS[],7,FALSE),"")</f>
        <v/>
      </c>
      <c r="AU287" s="200" t="str">
        <f>IFERROR(VLOOKUP(TableHandbook[[#This Row],[UDC]],TableSTRUEDMAT[],7,FALSE),"")</f>
        <v/>
      </c>
      <c r="AV287" s="200" t="str">
        <f>IFERROR(VLOOKUP(TableHandbook[[#This Row],[UDC]],TableSTRUEDSCI[],7,FALSE),"")</f>
        <v/>
      </c>
      <c r="AW287" s="200" t="str">
        <f>IFERROR(VLOOKUP(TableHandbook[[#This Row],[UDC]],TableSTRUENGLB[],7,FALSE),"")</f>
        <v/>
      </c>
      <c r="AX287" s="200" t="str">
        <f>IFERROR(VLOOKUP(TableHandbook[[#This Row],[UDC]],TableSTRUENGLM[],7,FALSE),"")</f>
        <v/>
      </c>
      <c r="AY287" s="200" t="str">
        <f>IFERROR(VLOOKUP(TableHandbook[[#This Row],[UDC]],TableSTRUGEOB1[],7,FALSE),"")</f>
        <v/>
      </c>
      <c r="AZ287" s="200" t="str">
        <f>IFERROR(VLOOKUP(TableHandbook[[#This Row],[UDC]],TableSTRUHISB1[],7,FALSE),"")</f>
        <v/>
      </c>
      <c r="BA287" s="200" t="str">
        <f>IFERROR(VLOOKUP(TableHandbook[[#This Row],[UDC]],TableSTRUHUMAM[],7,FALSE),"")</f>
        <v/>
      </c>
      <c r="BB287" s="200" t="str">
        <f>IFERROR(VLOOKUP(TableHandbook[[#This Row],[UDC]],TableSTRUHUMBB[],7,FALSE),"")</f>
        <v/>
      </c>
      <c r="BC287" s="200" t="str">
        <f>IFERROR(VLOOKUP(TableHandbook[[#This Row],[UDC]],TableSTRUMATHB[],7,FALSE),"")</f>
        <v/>
      </c>
      <c r="BD287" s="200" t="str">
        <f>IFERROR(VLOOKUP(TableHandbook[[#This Row],[UDC]],TableSTRUMATHM[],7,FALSE),"")</f>
        <v/>
      </c>
      <c r="BE287" s="200" t="str">
        <f>IFERROR(VLOOKUP(TableHandbook[[#This Row],[UDC]],TableSTRUPARTB[],7,FALSE),"")</f>
        <v/>
      </c>
      <c r="BF287" s="200" t="str">
        <f>IFERROR(VLOOKUP(TableHandbook[[#This Row],[UDC]],TableSTRUPARTM[],7,FALSE),"")</f>
        <v/>
      </c>
      <c r="BG287" s="200" t="str">
        <f>IFERROR(VLOOKUP(TableHandbook[[#This Row],[UDC]],TableSTRUPOLB1[],7,FALSE),"")</f>
        <v/>
      </c>
      <c r="BH287" s="200" t="str">
        <f>IFERROR(VLOOKUP(TableHandbook[[#This Row],[UDC]],TableSTRUPSCIM[],7,FALSE),"")</f>
        <v/>
      </c>
      <c r="BI287" s="200" t="str">
        <f>IFERROR(VLOOKUP(TableHandbook[[#This Row],[UDC]],TableSTRUPSYCB[],7,FALSE),"")</f>
        <v/>
      </c>
      <c r="BJ287" s="200" t="str">
        <f>IFERROR(VLOOKUP(TableHandbook[[#This Row],[UDC]],TableSTRUPSYCM[],7,FALSE),"")</f>
        <v/>
      </c>
      <c r="BK287" s="200" t="str">
        <f>IFERROR(VLOOKUP(TableHandbook[[#This Row],[UDC]],TableSTRUSOSCM[],7,FALSE),"")</f>
        <v/>
      </c>
      <c r="BL287" s="200" t="str">
        <f>IFERROR(VLOOKUP(TableHandbook[[#This Row],[UDC]],TableSTRUVARTB[],7,FALSE),"")</f>
        <v/>
      </c>
      <c r="BM287" s="200" t="str">
        <f>IFERROR(VLOOKUP(TableHandbook[[#This Row],[UDC]],TableSTRUVARTM[],7,FALSE),"")</f>
        <v/>
      </c>
    </row>
    <row r="288" spans="1:65" ht="26.25" x14ac:dyDescent="0.25">
      <c r="A288" s="303" t="s">
        <v>516</v>
      </c>
      <c r="B288" s="8">
        <v>1</v>
      </c>
      <c r="C288" s="7"/>
      <c r="D288" s="7" t="s">
        <v>851</v>
      </c>
      <c r="E288" s="12">
        <v>25</v>
      </c>
      <c r="F288" s="183" t="s">
        <v>852</v>
      </c>
      <c r="G288" s="279" t="str">
        <f>IFERROR(IF(VLOOKUP(TableHandbook[[#This Row],[UDC]],TableAvailabilities[],2,FALSE)&gt;0,"Y",""),"")</f>
        <v/>
      </c>
      <c r="H288" s="280" t="str">
        <f>IFERROR(IF(VLOOKUP(TableHandbook[[#This Row],[UDC]],TableAvailabilities[],3,FALSE)&gt;0,"Y",""),"")</f>
        <v/>
      </c>
      <c r="I288" s="280" t="str">
        <f>IFERROR(IF(VLOOKUP(TableHandbook[[#This Row],[UDC]],TableAvailabilities[],4,FALSE)&gt;0,"Y",""),"")</f>
        <v/>
      </c>
      <c r="J288" s="281" t="str">
        <f>IFERROR(IF(VLOOKUP(TableHandbook[[#This Row],[UDC]],TableAvailabilities[],5,FALSE)&gt;0,"Y",""),"")</f>
        <v>Y</v>
      </c>
      <c r="K288" s="281" t="str">
        <f>IFERROR(IF(VLOOKUP(TableHandbook[[#This Row],[UDC]],TableAvailabilities[],6,FALSE)&gt;0,"Y",""),"")</f>
        <v/>
      </c>
      <c r="L288" s="280" t="str">
        <f>IFERROR(IF(VLOOKUP(TableHandbook[[#This Row],[UDC]],TableAvailabilities[],7,FALSE)&gt;0,"Y",""),"")</f>
        <v/>
      </c>
      <c r="M288" s="329" t="s">
        <v>920</v>
      </c>
      <c r="N288" s="277" t="str">
        <f>IFERROR(VLOOKUP(TableHandbook[[#This Row],[UDC]],TableBEDUC[],7,FALSE),"")</f>
        <v/>
      </c>
      <c r="O288" s="277" t="str">
        <f>IFERROR(VLOOKUP(TableHandbook[[#This Row],[UDC]],TableBEDEC[],7,FALSE),"")</f>
        <v/>
      </c>
      <c r="P288" s="277" t="str">
        <f>IFERROR(VLOOKUP(TableHandbook[[#This Row],[UDC]],TableBEDPR[],7,FALSE),"")</f>
        <v/>
      </c>
      <c r="Q288" s="277" t="str">
        <f>IFERROR(VLOOKUP(TableHandbook[[#This Row],[UDC]],TableSTRUCATHL[],7,FALSE),"")</f>
        <v/>
      </c>
      <c r="R288" s="277" t="str">
        <f>IFERROR(VLOOKUP(TableHandbook[[#This Row],[UDC]],TableSTRUENGLL[],7,FALSE),"")</f>
        <v/>
      </c>
      <c r="S288" s="277" t="str">
        <f>IFERROR(VLOOKUP(TableHandbook[[#This Row],[UDC]],TableSTRUINTBC[],7,FALSE),"")</f>
        <v/>
      </c>
      <c r="T288" s="277" t="str">
        <f>IFERROR(VLOOKUP(TableHandbook[[#This Row],[UDC]],TableSTRUISTEM[],7,FALSE),"")</f>
        <v/>
      </c>
      <c r="U288" s="277" t="str">
        <f>IFERROR(VLOOKUP(TableHandbook[[#This Row],[UDC]],TableSTRULITNU[],7,FALSE),"")</f>
        <v/>
      </c>
      <c r="V288" s="277" t="str">
        <f>IFERROR(VLOOKUP(TableHandbook[[#This Row],[UDC]],TableSTRUTECHS[],7,FALSE),"")</f>
        <v/>
      </c>
      <c r="W288" s="277" t="str">
        <f>IFERROR(VLOOKUP(TableHandbook[[#This Row],[UDC]],TableBEDSC[],7,FALSE),"")</f>
        <v/>
      </c>
      <c r="X288" s="277" t="str">
        <f>IFERROR(VLOOKUP(TableHandbook[[#This Row],[UDC]],TableMJRUARTDR[],7,FALSE),"")</f>
        <v/>
      </c>
      <c r="Y288" s="277" t="str">
        <f>IFERROR(VLOOKUP(TableHandbook[[#This Row],[UDC]],TableMJRUARTME[],7,FALSE),"")</f>
        <v/>
      </c>
      <c r="Z288" s="277" t="str">
        <f>IFERROR(VLOOKUP(TableHandbook[[#This Row],[UDC]],TableMJRUARTVA[],7,FALSE),"")</f>
        <v/>
      </c>
      <c r="AA288" s="277" t="str">
        <f>IFERROR(VLOOKUP(TableHandbook[[#This Row],[UDC]],TableMJRUENGLT[],7,FALSE),"")</f>
        <v/>
      </c>
      <c r="AB288" s="277" t="str">
        <f>IFERROR(VLOOKUP(TableHandbook[[#This Row],[UDC]],TableMJRUHLTPE[],7,FALSE),"")</f>
        <v/>
      </c>
      <c r="AC288" s="277" t="str">
        <f>IFERROR(VLOOKUP(TableHandbook[[#This Row],[UDC]],TableMJRUHUSEC[],7,FALSE),"")</f>
        <v/>
      </c>
      <c r="AD288" s="277" t="str">
        <f>IFERROR(VLOOKUP(TableHandbook[[#This Row],[UDC]],TableMJRUHUSGE[],7,FALSE),"")</f>
        <v/>
      </c>
      <c r="AE288" s="277" t="str">
        <f>IFERROR(VLOOKUP(TableHandbook[[#This Row],[UDC]],TableMJRUHUSHI[],7,FALSE),"")</f>
        <v/>
      </c>
      <c r="AF288" s="277" t="str">
        <f>IFERROR(VLOOKUP(TableHandbook[[#This Row],[UDC]],TableMJRUHUSPL[],7,FALSE),"")</f>
        <v/>
      </c>
      <c r="AG288" s="277" t="str">
        <f>IFERROR(VLOOKUP(TableHandbook[[#This Row],[UDC]],TableMJRUMATHT[],7,FALSE),"")</f>
        <v/>
      </c>
      <c r="AH288" s="277" t="str">
        <f>IFERROR(VLOOKUP(TableHandbook[[#This Row],[UDC]],TableMJRUSCIBI[],7,FALSE),"")</f>
        <v/>
      </c>
      <c r="AI288" s="277" t="str">
        <f>IFERROR(VLOOKUP(TableHandbook[[#This Row],[UDC]],TableMJRUSCICH[],7,FALSE),"")</f>
        <v/>
      </c>
      <c r="AJ288" s="277" t="str">
        <f>IFERROR(VLOOKUP(TableHandbook[[#This Row],[UDC]],TableMJRUSCIHB[],7,FALSE),"")</f>
        <v/>
      </c>
      <c r="AK288" s="277" t="str">
        <f>IFERROR(VLOOKUP(TableHandbook[[#This Row],[UDC]],TableMJRUSCIPH[],7,FALSE),"")</f>
        <v/>
      </c>
      <c r="AL288" s="277" t="str">
        <f>IFERROR(VLOOKUP(TableHandbook[[#This Row],[UDC]],TableMJRUSCIPS[],7,FALSE),"")</f>
        <v/>
      </c>
      <c r="AM288" s="202"/>
      <c r="AN288" s="277" t="str">
        <f>IFERROR(VLOOKUP(TableHandbook[[#This Row],[UDC]],TableSTRUBIOLB[],7,FALSE),"")</f>
        <v/>
      </c>
      <c r="AO288" s="277" t="str">
        <f>IFERROR(VLOOKUP(TableHandbook[[#This Row],[UDC]],TableSTRUBSCIM[],7,FALSE),"")</f>
        <v/>
      </c>
      <c r="AP288" s="277" t="str">
        <f>IFERROR(VLOOKUP(TableHandbook[[#This Row],[UDC]],TableSTRUCHEMB[],7,FALSE),"")</f>
        <v/>
      </c>
      <c r="AQ288" s="277" t="str">
        <f>IFERROR(VLOOKUP(TableHandbook[[#This Row],[UDC]],TableSTRUECOB1[],7,FALSE),"")</f>
        <v/>
      </c>
      <c r="AR288" s="277" t="str">
        <f>IFERROR(VLOOKUP(TableHandbook[[#This Row],[UDC]],TableSTRUEDART[],7,FALSE),"")</f>
        <v/>
      </c>
      <c r="AS288" s="277" t="str">
        <f>IFERROR(VLOOKUP(TableHandbook[[#This Row],[UDC]],TableSTRUEDENG[],7,FALSE),"")</f>
        <v/>
      </c>
      <c r="AT288" s="277" t="str">
        <f>IFERROR(VLOOKUP(TableHandbook[[#This Row],[UDC]],TableSTRUEDHAS[],7,FALSE),"")</f>
        <v/>
      </c>
      <c r="AU288" s="277" t="str">
        <f>IFERROR(VLOOKUP(TableHandbook[[#This Row],[UDC]],TableSTRUEDMAT[],7,FALSE),"")</f>
        <v/>
      </c>
      <c r="AV288" s="277" t="str">
        <f>IFERROR(VLOOKUP(TableHandbook[[#This Row],[UDC]],TableSTRUEDSCI[],7,FALSE),"")</f>
        <v/>
      </c>
      <c r="AW288" s="277" t="str">
        <f>IFERROR(VLOOKUP(TableHandbook[[#This Row],[UDC]],TableSTRUENGLB[],7,FALSE),"")</f>
        <v/>
      </c>
      <c r="AX288" s="277" t="str">
        <f>IFERROR(VLOOKUP(TableHandbook[[#This Row],[UDC]],TableSTRUENGLM[],7,FALSE),"")</f>
        <v/>
      </c>
      <c r="AY288" s="277" t="str">
        <f>IFERROR(VLOOKUP(TableHandbook[[#This Row],[UDC]],TableSTRUGEOB1[],7,FALSE),"")</f>
        <v/>
      </c>
      <c r="AZ288" s="277" t="str">
        <f>IFERROR(VLOOKUP(TableHandbook[[#This Row],[UDC]],TableSTRUHISB1[],7,FALSE),"")</f>
        <v/>
      </c>
      <c r="BA288" s="277" t="str">
        <f>IFERROR(VLOOKUP(TableHandbook[[#This Row],[UDC]],TableSTRUHUMAM[],7,FALSE),"")</f>
        <v/>
      </c>
      <c r="BB288" s="277" t="str">
        <f>IFERROR(VLOOKUP(TableHandbook[[#This Row],[UDC]],TableSTRUHUMBB[],7,FALSE),"")</f>
        <v/>
      </c>
      <c r="BC288" s="277" t="str">
        <f>IFERROR(VLOOKUP(TableHandbook[[#This Row],[UDC]],TableSTRUMATHB[],7,FALSE),"")</f>
        <v/>
      </c>
      <c r="BD288" s="277" t="str">
        <f>IFERROR(VLOOKUP(TableHandbook[[#This Row],[UDC]],TableSTRUMATHM[],7,FALSE),"")</f>
        <v/>
      </c>
      <c r="BE288" s="277" t="str">
        <f>IFERROR(VLOOKUP(TableHandbook[[#This Row],[UDC]],TableSTRUPARTB[],7,FALSE),"")</f>
        <v/>
      </c>
      <c r="BF288" s="277" t="str">
        <f>IFERROR(VLOOKUP(TableHandbook[[#This Row],[UDC]],TableSTRUPARTM[],7,FALSE),"")</f>
        <v/>
      </c>
      <c r="BG288" s="277" t="str">
        <f>IFERROR(VLOOKUP(TableHandbook[[#This Row],[UDC]],TableSTRUPOLB1[],7,FALSE),"")</f>
        <v/>
      </c>
      <c r="BH288" s="277" t="str">
        <f>IFERROR(VLOOKUP(TableHandbook[[#This Row],[UDC]],TableSTRUPSCIM[],7,FALSE),"")</f>
        <v/>
      </c>
      <c r="BI288" s="277" t="str">
        <f>IFERROR(VLOOKUP(TableHandbook[[#This Row],[UDC]],TableSTRUPSYCB[],7,FALSE),"")</f>
        <v/>
      </c>
      <c r="BJ288" s="277" t="str">
        <f>IFERROR(VLOOKUP(TableHandbook[[#This Row],[UDC]],TableSTRUPSYCM[],7,FALSE),"")</f>
        <v/>
      </c>
      <c r="BK288" s="277" t="str">
        <f>IFERROR(VLOOKUP(TableHandbook[[#This Row],[UDC]],TableSTRUSOSCM[],7,FALSE),"")</f>
        <v/>
      </c>
      <c r="BL288" s="277" t="str">
        <f>IFERROR(VLOOKUP(TableHandbook[[#This Row],[UDC]],TableSTRUVARTB[],7,FALSE),"")</f>
        <v>Core</v>
      </c>
      <c r="BM288" s="277" t="str">
        <f>IFERROR(VLOOKUP(TableHandbook[[#This Row],[UDC]],TableSTRUVARTM[],7,FALSE),"")</f>
        <v/>
      </c>
    </row>
    <row r="289" spans="1:65" x14ac:dyDescent="0.25">
      <c r="A289" s="262" t="s">
        <v>418</v>
      </c>
      <c r="B289" s="12">
        <v>2</v>
      </c>
      <c r="C289" s="11"/>
      <c r="D289" s="11" t="s">
        <v>853</v>
      </c>
      <c r="E289" s="12">
        <v>25</v>
      </c>
      <c r="F289" s="131" t="s">
        <v>335</v>
      </c>
      <c r="G289" s="279" t="str">
        <f>IFERROR(IF(VLOOKUP(TableHandbook[[#This Row],[UDC]],TableAvailabilities[],2,FALSE)&gt;0,"Y",""),"")</f>
        <v>Y</v>
      </c>
      <c r="H289" s="280" t="str">
        <f>IFERROR(IF(VLOOKUP(TableHandbook[[#This Row],[UDC]],TableAvailabilities[],3,FALSE)&gt;0,"Y",""),"")</f>
        <v/>
      </c>
      <c r="I289" s="280" t="str">
        <f>IFERROR(IF(VLOOKUP(TableHandbook[[#This Row],[UDC]],TableAvailabilities[],4,FALSE)&gt;0,"Y",""),"")</f>
        <v/>
      </c>
      <c r="J289" s="281" t="str">
        <f>IFERROR(IF(VLOOKUP(TableHandbook[[#This Row],[UDC]],TableAvailabilities[],5,FALSE)&gt;0,"Y",""),"")</f>
        <v/>
      </c>
      <c r="K289" s="281" t="str">
        <f>IFERROR(IF(VLOOKUP(TableHandbook[[#This Row],[UDC]],TableAvailabilities[],6,FALSE)&gt;0,"Y",""),"")</f>
        <v/>
      </c>
      <c r="L289" s="280" t="str">
        <f>IFERROR(IF(VLOOKUP(TableHandbook[[#This Row],[UDC]],TableAvailabilities[],7,FALSE)&gt;0,"Y",""),"")</f>
        <v/>
      </c>
      <c r="M289" s="276"/>
      <c r="N289" s="277" t="str">
        <f>IFERROR(VLOOKUP(TableHandbook[[#This Row],[UDC]],TableBEDUC[],7,FALSE),"")</f>
        <v/>
      </c>
      <c r="O289" s="277" t="str">
        <f>IFERROR(VLOOKUP(TableHandbook[[#This Row],[UDC]],TableBEDEC[],7,FALSE),"")</f>
        <v/>
      </c>
      <c r="P289" s="277" t="str">
        <f>IFERROR(VLOOKUP(TableHandbook[[#This Row],[UDC]],TableBEDPR[],7,FALSE),"")</f>
        <v/>
      </c>
      <c r="Q289" s="277" t="str">
        <f>IFERROR(VLOOKUP(TableHandbook[[#This Row],[UDC]],TableSTRUCATHL[],7,FALSE),"")</f>
        <v/>
      </c>
      <c r="R289" s="277" t="str">
        <f>IFERROR(VLOOKUP(TableHandbook[[#This Row],[UDC]],TableSTRUENGLL[],7,FALSE),"")</f>
        <v/>
      </c>
      <c r="S289" s="277" t="str">
        <f>IFERROR(VLOOKUP(TableHandbook[[#This Row],[UDC]],TableSTRUINTBC[],7,FALSE),"")</f>
        <v/>
      </c>
      <c r="T289" s="277" t="str">
        <f>IFERROR(VLOOKUP(TableHandbook[[#This Row],[UDC]],TableSTRUISTEM[],7,FALSE),"")</f>
        <v/>
      </c>
      <c r="U289" s="277" t="str">
        <f>IFERROR(VLOOKUP(TableHandbook[[#This Row],[UDC]],TableSTRULITNU[],7,FALSE),"")</f>
        <v/>
      </c>
      <c r="V289" s="277" t="str">
        <f>IFERROR(VLOOKUP(TableHandbook[[#This Row],[UDC]],TableSTRUTECHS[],7,FALSE),"")</f>
        <v/>
      </c>
      <c r="W289" s="277" t="str">
        <f>IFERROR(VLOOKUP(TableHandbook[[#This Row],[UDC]],TableBEDSC[],7,FALSE),"")</f>
        <v/>
      </c>
      <c r="X289" s="277" t="str">
        <f>IFERROR(VLOOKUP(TableHandbook[[#This Row],[UDC]],TableMJRUARTDR[],7,FALSE),"")</f>
        <v/>
      </c>
      <c r="Y289" s="277" t="str">
        <f>IFERROR(VLOOKUP(TableHandbook[[#This Row],[UDC]],TableMJRUARTME[],7,FALSE),"")</f>
        <v/>
      </c>
      <c r="Z289" s="277" t="str">
        <f>IFERROR(VLOOKUP(TableHandbook[[#This Row],[UDC]],TableMJRUARTVA[],7,FALSE),"")</f>
        <v/>
      </c>
      <c r="AA289" s="277" t="str">
        <f>IFERROR(VLOOKUP(TableHandbook[[#This Row],[UDC]],TableMJRUENGLT[],7,FALSE),"")</f>
        <v/>
      </c>
      <c r="AB289" s="277" t="str">
        <f>IFERROR(VLOOKUP(TableHandbook[[#This Row],[UDC]],TableMJRUHLTPE[],7,FALSE),"")</f>
        <v/>
      </c>
      <c r="AC289" s="277" t="str">
        <f>IFERROR(VLOOKUP(TableHandbook[[#This Row],[UDC]],TableMJRUHUSEC[],7,FALSE),"")</f>
        <v/>
      </c>
      <c r="AD289" s="277" t="str">
        <f>IFERROR(VLOOKUP(TableHandbook[[#This Row],[UDC]],TableMJRUHUSGE[],7,FALSE),"")</f>
        <v/>
      </c>
      <c r="AE289" s="277" t="str">
        <f>IFERROR(VLOOKUP(TableHandbook[[#This Row],[UDC]],TableMJRUHUSHI[],7,FALSE),"")</f>
        <v/>
      </c>
      <c r="AF289" s="277" t="str">
        <f>IFERROR(VLOOKUP(TableHandbook[[#This Row],[UDC]],TableMJRUHUSPL[],7,FALSE),"")</f>
        <v/>
      </c>
      <c r="AG289" s="277" t="str">
        <f>IFERROR(VLOOKUP(TableHandbook[[#This Row],[UDC]],TableMJRUMATHT[],7,FALSE),"")</f>
        <v/>
      </c>
      <c r="AH289" s="277" t="str">
        <f>IFERROR(VLOOKUP(TableHandbook[[#This Row],[UDC]],TableMJRUSCIBI[],7,FALSE),"")</f>
        <v>AltCore</v>
      </c>
      <c r="AI289" s="277" t="str">
        <f>IFERROR(VLOOKUP(TableHandbook[[#This Row],[UDC]],TableMJRUSCICH[],7,FALSE),"")</f>
        <v/>
      </c>
      <c r="AJ289" s="277" t="str">
        <f>IFERROR(VLOOKUP(TableHandbook[[#This Row],[UDC]],TableMJRUSCIHB[],7,FALSE),"")</f>
        <v/>
      </c>
      <c r="AK289" s="277" t="str">
        <f>IFERROR(VLOOKUP(TableHandbook[[#This Row],[UDC]],TableMJRUSCIPH[],7,FALSE),"")</f>
        <v/>
      </c>
      <c r="AL289" s="277" t="str">
        <f>IFERROR(VLOOKUP(TableHandbook[[#This Row],[UDC]],TableMJRUSCIPS[],7,FALSE),"")</f>
        <v/>
      </c>
      <c r="AM289" s="202"/>
      <c r="AN289" s="277" t="str">
        <f>IFERROR(VLOOKUP(TableHandbook[[#This Row],[UDC]],TableSTRUBIOLB[],7,FALSE),"")</f>
        <v/>
      </c>
      <c r="AO289" s="277" t="str">
        <f>IFERROR(VLOOKUP(TableHandbook[[#This Row],[UDC]],TableSTRUBSCIM[],7,FALSE),"")</f>
        <v>AltCore</v>
      </c>
      <c r="AP289" s="277" t="str">
        <f>IFERROR(VLOOKUP(TableHandbook[[#This Row],[UDC]],TableSTRUCHEMB[],7,FALSE),"")</f>
        <v/>
      </c>
      <c r="AQ289" s="277" t="str">
        <f>IFERROR(VLOOKUP(TableHandbook[[#This Row],[UDC]],TableSTRUECOB1[],7,FALSE),"")</f>
        <v/>
      </c>
      <c r="AR289" s="277" t="str">
        <f>IFERROR(VLOOKUP(TableHandbook[[#This Row],[UDC]],TableSTRUEDART[],7,FALSE),"")</f>
        <v/>
      </c>
      <c r="AS289" s="277" t="str">
        <f>IFERROR(VLOOKUP(TableHandbook[[#This Row],[UDC]],TableSTRUEDENG[],7,FALSE),"")</f>
        <v/>
      </c>
      <c r="AT289" s="277" t="str">
        <f>IFERROR(VLOOKUP(TableHandbook[[#This Row],[UDC]],TableSTRUEDHAS[],7,FALSE),"")</f>
        <v/>
      </c>
      <c r="AU289" s="277" t="str">
        <f>IFERROR(VLOOKUP(TableHandbook[[#This Row],[UDC]],TableSTRUEDMAT[],7,FALSE),"")</f>
        <v/>
      </c>
      <c r="AV289" s="277" t="str">
        <f>IFERROR(VLOOKUP(TableHandbook[[#This Row],[UDC]],TableSTRUEDSCI[],7,FALSE),"")</f>
        <v/>
      </c>
      <c r="AW289" s="277" t="str">
        <f>IFERROR(VLOOKUP(TableHandbook[[#This Row],[UDC]],TableSTRUENGLB[],7,FALSE),"")</f>
        <v/>
      </c>
      <c r="AX289" s="277" t="str">
        <f>IFERROR(VLOOKUP(TableHandbook[[#This Row],[UDC]],TableSTRUENGLM[],7,FALSE),"")</f>
        <v/>
      </c>
      <c r="AY289" s="277" t="str">
        <f>IFERROR(VLOOKUP(TableHandbook[[#This Row],[UDC]],TableSTRUGEOB1[],7,FALSE),"")</f>
        <v/>
      </c>
      <c r="AZ289" s="277" t="str">
        <f>IFERROR(VLOOKUP(TableHandbook[[#This Row],[UDC]],TableSTRUHISB1[],7,FALSE),"")</f>
        <v/>
      </c>
      <c r="BA289" s="277" t="str">
        <f>IFERROR(VLOOKUP(TableHandbook[[#This Row],[UDC]],TableSTRUHUMAM[],7,FALSE),"")</f>
        <v/>
      </c>
      <c r="BB289" s="277" t="str">
        <f>IFERROR(VLOOKUP(TableHandbook[[#This Row],[UDC]],TableSTRUHUMBB[],7,FALSE),"")</f>
        <v/>
      </c>
      <c r="BC289" s="277" t="str">
        <f>IFERROR(VLOOKUP(TableHandbook[[#This Row],[UDC]],TableSTRUMATHB[],7,FALSE),"")</f>
        <v/>
      </c>
      <c r="BD289" s="277" t="str">
        <f>IFERROR(VLOOKUP(TableHandbook[[#This Row],[UDC]],TableSTRUMATHM[],7,FALSE),"")</f>
        <v/>
      </c>
      <c r="BE289" s="277" t="str">
        <f>IFERROR(VLOOKUP(TableHandbook[[#This Row],[UDC]],TableSTRUPARTB[],7,FALSE),"")</f>
        <v/>
      </c>
      <c r="BF289" s="277" t="str">
        <f>IFERROR(VLOOKUP(TableHandbook[[#This Row],[UDC]],TableSTRUPARTM[],7,FALSE),"")</f>
        <v/>
      </c>
      <c r="BG289" s="277" t="str">
        <f>IFERROR(VLOOKUP(TableHandbook[[#This Row],[UDC]],TableSTRUPOLB1[],7,FALSE),"")</f>
        <v/>
      </c>
      <c r="BH289" s="277" t="str">
        <f>IFERROR(VLOOKUP(TableHandbook[[#This Row],[UDC]],TableSTRUPSCIM[],7,FALSE),"")</f>
        <v/>
      </c>
      <c r="BI289" s="277" t="str">
        <f>IFERROR(VLOOKUP(TableHandbook[[#This Row],[UDC]],TableSTRUPSYCB[],7,FALSE),"")</f>
        <v/>
      </c>
      <c r="BJ289" s="277" t="str">
        <f>IFERROR(VLOOKUP(TableHandbook[[#This Row],[UDC]],TableSTRUPSYCM[],7,FALSE),"")</f>
        <v/>
      </c>
      <c r="BK289" s="277" t="str">
        <f>IFERROR(VLOOKUP(TableHandbook[[#This Row],[UDC]],TableSTRUSOSCM[],7,FALSE),"")</f>
        <v/>
      </c>
      <c r="BL289" s="277" t="str">
        <f>IFERROR(VLOOKUP(TableHandbook[[#This Row],[UDC]],TableSTRUVARTB[],7,FALSE),"")</f>
        <v/>
      </c>
      <c r="BM289" s="277" t="str">
        <f>IFERROR(VLOOKUP(TableHandbook[[#This Row],[UDC]],TableSTRUVARTM[],7,FALSE),"")</f>
        <v/>
      </c>
    </row>
    <row r="290" spans="1:65" x14ac:dyDescent="0.25">
      <c r="A290" s="338" t="s">
        <v>944</v>
      </c>
      <c r="B290" s="336">
        <v>0</v>
      </c>
      <c r="C290" s="335"/>
      <c r="D290" s="335" t="s">
        <v>945</v>
      </c>
      <c r="E290" s="336">
        <v>25</v>
      </c>
      <c r="F290" s="337" t="s">
        <v>548</v>
      </c>
      <c r="G290" s="304" t="str">
        <f>IFERROR(IF(VLOOKUP(TableHandbook[[#This Row],[UDC]],TableAvailabilities[],2,FALSE)&gt;0,"Y",""),"")</f>
        <v/>
      </c>
      <c r="H290" s="305" t="str">
        <f>IFERROR(IF(VLOOKUP(TableHandbook[[#This Row],[UDC]],TableAvailabilities[],3,FALSE)&gt;0,"Y",""),"")</f>
        <v/>
      </c>
      <c r="I290" s="305" t="str">
        <f>IFERROR(IF(VLOOKUP(TableHandbook[[#This Row],[UDC]],TableAvailabilities[],4,FALSE)&gt;0,"Y",""),"")</f>
        <v/>
      </c>
      <c r="J290" s="306" t="str">
        <f>IFERROR(IF(VLOOKUP(TableHandbook[[#This Row],[UDC]],TableAvailabilities[],5,FALSE)&gt;0,"Y",""),"")</f>
        <v/>
      </c>
      <c r="K290" s="306" t="str">
        <f>IFERROR(IF(VLOOKUP(TableHandbook[[#This Row],[UDC]],TableAvailabilities[],6,FALSE)&gt;0,"Y",""),"")</f>
        <v/>
      </c>
      <c r="L290" s="305" t="str">
        <f>IFERROR(IF(VLOOKUP(TableHandbook[[#This Row],[UDC]],TableAvailabilities[],7,FALSE)&gt;0,"Y",""),"")</f>
        <v/>
      </c>
      <c r="M290" s="307"/>
      <c r="N290" s="200" t="str">
        <f>IFERROR(VLOOKUP(TableHandbook[[#This Row],[UDC]],TableBEDUC[],7,FALSE),"")</f>
        <v/>
      </c>
      <c r="O290" s="308" t="str">
        <f>IFERROR(VLOOKUP(TableHandbook[[#This Row],[UDC]],TableBEDEC[],7,FALSE),"")</f>
        <v/>
      </c>
      <c r="P290" s="308" t="str">
        <f>IFERROR(VLOOKUP(TableHandbook[[#This Row],[UDC]],TableBEDPR[],7,FALSE),"")</f>
        <v>Option</v>
      </c>
      <c r="Q290" s="308" t="str">
        <f>IFERROR(VLOOKUP(TableHandbook[[#This Row],[UDC]],TableSTRUCATHL[],7,FALSE),"")</f>
        <v/>
      </c>
      <c r="R290" s="308" t="str">
        <f>IFERROR(VLOOKUP(TableHandbook[[#This Row],[UDC]],TableSTRUENGLL[],7,FALSE),"")</f>
        <v/>
      </c>
      <c r="S290" s="308" t="str">
        <f>IFERROR(VLOOKUP(TableHandbook[[#This Row],[UDC]],TableSTRUINTBC[],7,FALSE),"")</f>
        <v/>
      </c>
      <c r="T290" s="308" t="str">
        <f>IFERROR(VLOOKUP(TableHandbook[[#This Row],[UDC]],TableSTRUISTEM[],7,FALSE),"")</f>
        <v/>
      </c>
      <c r="U290" s="308" t="str">
        <f>IFERROR(VLOOKUP(TableHandbook[[#This Row],[UDC]],TableSTRULITNU[],7,FALSE),"")</f>
        <v/>
      </c>
      <c r="V290" s="308" t="str">
        <f>IFERROR(VLOOKUP(TableHandbook[[#This Row],[UDC]],TableSTRUTECHS[],7,FALSE),"")</f>
        <v/>
      </c>
      <c r="W290" s="308" t="str">
        <f>IFERROR(VLOOKUP(TableHandbook[[#This Row],[UDC]],TableBEDSC[],7,FALSE),"")</f>
        <v/>
      </c>
      <c r="X290" s="308" t="str">
        <f>IFERROR(VLOOKUP(TableHandbook[[#This Row],[UDC]],TableMJRUARTDR[],7,FALSE),"")</f>
        <v/>
      </c>
      <c r="Y290" s="308" t="str">
        <f>IFERROR(VLOOKUP(TableHandbook[[#This Row],[UDC]],TableMJRUARTME[],7,FALSE),"")</f>
        <v/>
      </c>
      <c r="Z290" s="308" t="str">
        <f>IFERROR(VLOOKUP(TableHandbook[[#This Row],[UDC]],TableMJRUARTVA[],7,FALSE),"")</f>
        <v/>
      </c>
      <c r="AA290" s="308" t="str">
        <f>IFERROR(VLOOKUP(TableHandbook[[#This Row],[UDC]],TableMJRUENGLT[],7,FALSE),"")</f>
        <v/>
      </c>
      <c r="AB290" s="308" t="str">
        <f>IFERROR(VLOOKUP(TableHandbook[[#This Row],[UDC]],TableMJRUHLTPE[],7,FALSE),"")</f>
        <v/>
      </c>
      <c r="AC290" s="308" t="str">
        <f>IFERROR(VLOOKUP(TableHandbook[[#This Row],[UDC]],TableMJRUHUSEC[],7,FALSE),"")</f>
        <v/>
      </c>
      <c r="AD290" s="308" t="str">
        <f>IFERROR(VLOOKUP(TableHandbook[[#This Row],[UDC]],TableMJRUHUSGE[],7,FALSE),"")</f>
        <v/>
      </c>
      <c r="AE290" s="308" t="str">
        <f>IFERROR(VLOOKUP(TableHandbook[[#This Row],[UDC]],TableMJRUHUSHI[],7,FALSE),"")</f>
        <v/>
      </c>
      <c r="AF290" s="308" t="str">
        <f>IFERROR(VLOOKUP(TableHandbook[[#This Row],[UDC]],TableMJRUHUSPL[],7,FALSE),"")</f>
        <v/>
      </c>
      <c r="AG290" s="308" t="str">
        <f>IFERROR(VLOOKUP(TableHandbook[[#This Row],[UDC]],TableMJRUMATHT[],7,FALSE),"")</f>
        <v/>
      </c>
      <c r="AH290" s="308" t="str">
        <f>IFERROR(VLOOKUP(TableHandbook[[#This Row],[UDC]],TableMJRUSCIBI[],7,FALSE),"")</f>
        <v/>
      </c>
      <c r="AI290" s="308" t="str">
        <f>IFERROR(VLOOKUP(TableHandbook[[#This Row],[UDC]],TableMJRUSCICH[],7,FALSE),"")</f>
        <v/>
      </c>
      <c r="AJ290" s="308" t="str">
        <f>IFERROR(VLOOKUP(TableHandbook[[#This Row],[UDC]],TableMJRUSCIHB[],7,FALSE),"")</f>
        <v/>
      </c>
      <c r="AK290" s="308" t="str">
        <f>IFERROR(VLOOKUP(TableHandbook[[#This Row],[UDC]],TableMJRUSCIPH[],7,FALSE),"")</f>
        <v/>
      </c>
      <c r="AL290" s="308" t="str">
        <f>IFERROR(VLOOKUP(TableHandbook[[#This Row],[UDC]],TableMJRUSCIPS[],7,FALSE),"")</f>
        <v/>
      </c>
      <c r="AM290" s="202"/>
      <c r="AN290" s="308" t="str">
        <f>IFERROR(VLOOKUP(TableHandbook[[#This Row],[UDC]],TableSTRUBIOLB[],7,FALSE),"")</f>
        <v/>
      </c>
      <c r="AO290" s="308" t="str">
        <f>IFERROR(VLOOKUP(TableHandbook[[#This Row],[UDC]],TableSTRUBSCIM[],7,FALSE),"")</f>
        <v/>
      </c>
      <c r="AP290" s="308" t="str">
        <f>IFERROR(VLOOKUP(TableHandbook[[#This Row],[UDC]],TableSTRUCHEMB[],7,FALSE),"")</f>
        <v/>
      </c>
      <c r="AQ290" s="308" t="str">
        <f>IFERROR(VLOOKUP(TableHandbook[[#This Row],[UDC]],TableSTRUECOB1[],7,FALSE),"")</f>
        <v/>
      </c>
      <c r="AR290" s="308" t="str">
        <f>IFERROR(VLOOKUP(TableHandbook[[#This Row],[UDC]],TableSTRUEDART[],7,FALSE),"")</f>
        <v/>
      </c>
      <c r="AS290" s="308" t="str">
        <f>IFERROR(VLOOKUP(TableHandbook[[#This Row],[UDC]],TableSTRUEDENG[],7,FALSE),"")</f>
        <v/>
      </c>
      <c r="AT290" s="308" t="str">
        <f>IFERROR(VLOOKUP(TableHandbook[[#This Row],[UDC]],TableSTRUEDHAS[],7,FALSE),"")</f>
        <v/>
      </c>
      <c r="AU290" s="308" t="str">
        <f>IFERROR(VLOOKUP(TableHandbook[[#This Row],[UDC]],TableSTRUEDMAT[],7,FALSE),"")</f>
        <v/>
      </c>
      <c r="AV290" s="308" t="str">
        <f>IFERROR(VLOOKUP(TableHandbook[[#This Row],[UDC]],TableSTRUEDSCI[],7,FALSE),"")</f>
        <v/>
      </c>
      <c r="AW290" s="308" t="str">
        <f>IFERROR(VLOOKUP(TableHandbook[[#This Row],[UDC]],TableSTRUENGLB[],7,FALSE),"")</f>
        <v/>
      </c>
      <c r="AX290" s="308" t="str">
        <f>IFERROR(VLOOKUP(TableHandbook[[#This Row],[UDC]],TableSTRUENGLM[],7,FALSE),"")</f>
        <v/>
      </c>
      <c r="AY290" s="308" t="str">
        <f>IFERROR(VLOOKUP(TableHandbook[[#This Row],[UDC]],TableSTRUGEOB1[],7,FALSE),"")</f>
        <v/>
      </c>
      <c r="AZ290" s="308" t="str">
        <f>IFERROR(VLOOKUP(TableHandbook[[#This Row],[UDC]],TableSTRUHISB1[],7,FALSE),"")</f>
        <v/>
      </c>
      <c r="BA290" s="308" t="str">
        <f>IFERROR(VLOOKUP(TableHandbook[[#This Row],[UDC]],TableSTRUHUMAM[],7,FALSE),"")</f>
        <v/>
      </c>
      <c r="BB290" s="308" t="str">
        <f>IFERROR(VLOOKUP(TableHandbook[[#This Row],[UDC]],TableSTRUHUMBB[],7,FALSE),"")</f>
        <v/>
      </c>
      <c r="BC290" s="308" t="str">
        <f>IFERROR(VLOOKUP(TableHandbook[[#This Row],[UDC]],TableSTRUMATHB[],7,FALSE),"")</f>
        <v/>
      </c>
      <c r="BD290" s="308" t="str">
        <f>IFERROR(VLOOKUP(TableHandbook[[#This Row],[UDC]],TableSTRUMATHM[],7,FALSE),"")</f>
        <v/>
      </c>
      <c r="BE290" s="308" t="str">
        <f>IFERROR(VLOOKUP(TableHandbook[[#This Row],[UDC]],TableSTRUPARTB[],7,FALSE),"")</f>
        <v/>
      </c>
      <c r="BF290" s="308" t="str">
        <f>IFERROR(VLOOKUP(TableHandbook[[#This Row],[UDC]],TableSTRUPARTM[],7,FALSE),"")</f>
        <v/>
      </c>
      <c r="BG290" s="308" t="str">
        <f>IFERROR(VLOOKUP(TableHandbook[[#This Row],[UDC]],TableSTRUPOLB1[],7,FALSE),"")</f>
        <v/>
      </c>
      <c r="BH290" s="308" t="str">
        <f>IFERROR(VLOOKUP(TableHandbook[[#This Row],[UDC]],TableSTRUPSCIM[],7,FALSE),"")</f>
        <v/>
      </c>
      <c r="BI290" s="308" t="str">
        <f>IFERROR(VLOOKUP(TableHandbook[[#This Row],[UDC]],TableSTRUPSYCB[],7,FALSE),"")</f>
        <v/>
      </c>
      <c r="BJ290" s="308" t="str">
        <f>IFERROR(VLOOKUP(TableHandbook[[#This Row],[UDC]],TableSTRUPSYCM[],7,FALSE),"")</f>
        <v/>
      </c>
      <c r="BK290" s="308" t="str">
        <f>IFERROR(VLOOKUP(TableHandbook[[#This Row],[UDC]],TableSTRUSOSCM[],7,FALSE),"")</f>
        <v/>
      </c>
      <c r="BL290" s="308" t="str">
        <f>IFERROR(VLOOKUP(TableHandbook[[#This Row],[UDC]],TableSTRUVARTB[],7,FALSE),"")</f>
        <v/>
      </c>
      <c r="BM290" s="308" t="str">
        <f>IFERROR(VLOOKUP(TableHandbook[[#This Row],[UDC]],TableSTRUVARTM[],7,FALSE),"")</f>
        <v/>
      </c>
    </row>
    <row r="291" spans="1:65" x14ac:dyDescent="0.25">
      <c r="A291" s="338" t="s">
        <v>932</v>
      </c>
      <c r="B291" s="336">
        <v>1</v>
      </c>
      <c r="C291" s="335"/>
      <c r="D291" s="335" t="s">
        <v>933</v>
      </c>
      <c r="E291" s="336">
        <v>75</v>
      </c>
      <c r="F291" s="337"/>
      <c r="G291" s="304" t="str">
        <f>IFERROR(IF(VLOOKUP(TableHandbook[[#This Row],[UDC]],TableAvailabilities[],2,FALSE)&gt;0,"Y",""),"")</f>
        <v/>
      </c>
      <c r="H291" s="305" t="str">
        <f>IFERROR(IF(VLOOKUP(TableHandbook[[#This Row],[UDC]],TableAvailabilities[],3,FALSE)&gt;0,"Y",""),"")</f>
        <v/>
      </c>
      <c r="I291" s="305" t="str">
        <f>IFERROR(IF(VLOOKUP(TableHandbook[[#This Row],[UDC]],TableAvailabilities[],4,FALSE)&gt;0,"Y",""),"")</f>
        <v/>
      </c>
      <c r="J291" s="306" t="str">
        <f>IFERROR(IF(VLOOKUP(TableHandbook[[#This Row],[UDC]],TableAvailabilities[],5,FALSE)&gt;0,"Y",""),"")</f>
        <v/>
      </c>
      <c r="K291" s="306" t="str">
        <f>IFERROR(IF(VLOOKUP(TableHandbook[[#This Row],[UDC]],TableAvailabilities[],6,FALSE)&gt;0,"Y",""),"")</f>
        <v/>
      </c>
      <c r="L291" s="305" t="str">
        <f>IFERROR(IF(VLOOKUP(TableHandbook[[#This Row],[UDC]],TableAvailabilities[],7,FALSE)&gt;0,"Y",""),"")</f>
        <v/>
      </c>
      <c r="M291" s="307"/>
      <c r="N291" s="200" t="str">
        <f>IFERROR(VLOOKUP(TableHandbook[[#This Row],[UDC]],TableBEDUC[],7,FALSE),"")</f>
        <v/>
      </c>
      <c r="O291" s="308" t="str">
        <f>IFERROR(VLOOKUP(TableHandbook[[#This Row],[UDC]],TableBEDEC[],7,FALSE),"")</f>
        <v/>
      </c>
      <c r="P291" s="308" t="str">
        <f>IFERROR(VLOOKUP(TableHandbook[[#This Row],[UDC]],TableBEDPR[],7,FALSE),"")</f>
        <v>Option</v>
      </c>
      <c r="Q291" s="308" t="str">
        <f>IFERROR(VLOOKUP(TableHandbook[[#This Row],[UDC]],TableSTRUCATHL[],7,FALSE),"")</f>
        <v/>
      </c>
      <c r="R291" s="308" t="str">
        <f>IFERROR(VLOOKUP(TableHandbook[[#This Row],[UDC]],TableSTRUENGLL[],7,FALSE),"")</f>
        <v/>
      </c>
      <c r="S291" s="308" t="str">
        <f>IFERROR(VLOOKUP(TableHandbook[[#This Row],[UDC]],TableSTRUINTBC[],7,FALSE),"")</f>
        <v/>
      </c>
      <c r="T291" s="308" t="str">
        <f>IFERROR(VLOOKUP(TableHandbook[[#This Row],[UDC]],TableSTRUISTEM[],7,FALSE),"")</f>
        <v/>
      </c>
      <c r="U291" s="308" t="str">
        <f>IFERROR(VLOOKUP(TableHandbook[[#This Row],[UDC]],TableSTRULITNU[],7,FALSE),"")</f>
        <v/>
      </c>
      <c r="V291" s="308" t="str">
        <f>IFERROR(VLOOKUP(TableHandbook[[#This Row],[UDC]],TableSTRUTECHS[],7,FALSE),"")</f>
        <v/>
      </c>
      <c r="W291" s="308" t="str">
        <f>IFERROR(VLOOKUP(TableHandbook[[#This Row],[UDC]],TableBEDSC[],7,FALSE),"")</f>
        <v/>
      </c>
      <c r="X291" s="308" t="str">
        <f>IFERROR(VLOOKUP(TableHandbook[[#This Row],[UDC]],TableMJRUARTDR[],7,FALSE),"")</f>
        <v/>
      </c>
      <c r="Y291" s="308" t="str">
        <f>IFERROR(VLOOKUP(TableHandbook[[#This Row],[UDC]],TableMJRUARTME[],7,FALSE),"")</f>
        <v/>
      </c>
      <c r="Z291" s="308" t="str">
        <f>IFERROR(VLOOKUP(TableHandbook[[#This Row],[UDC]],TableMJRUARTVA[],7,FALSE),"")</f>
        <v/>
      </c>
      <c r="AA291" s="308" t="str">
        <f>IFERROR(VLOOKUP(TableHandbook[[#This Row],[UDC]],TableMJRUENGLT[],7,FALSE),"")</f>
        <v/>
      </c>
      <c r="AB291" s="308" t="str">
        <f>IFERROR(VLOOKUP(TableHandbook[[#This Row],[UDC]],TableMJRUHLTPE[],7,FALSE),"")</f>
        <v/>
      </c>
      <c r="AC291" s="308" t="str">
        <f>IFERROR(VLOOKUP(TableHandbook[[#This Row],[UDC]],TableMJRUHUSEC[],7,FALSE),"")</f>
        <v/>
      </c>
      <c r="AD291" s="308" t="str">
        <f>IFERROR(VLOOKUP(TableHandbook[[#This Row],[UDC]],TableMJRUHUSGE[],7,FALSE),"")</f>
        <v/>
      </c>
      <c r="AE291" s="308" t="str">
        <f>IFERROR(VLOOKUP(TableHandbook[[#This Row],[UDC]],TableMJRUHUSHI[],7,FALSE),"")</f>
        <v/>
      </c>
      <c r="AF291" s="308" t="str">
        <f>IFERROR(VLOOKUP(TableHandbook[[#This Row],[UDC]],TableMJRUHUSPL[],7,FALSE),"")</f>
        <v/>
      </c>
      <c r="AG291" s="308" t="str">
        <f>IFERROR(VLOOKUP(TableHandbook[[#This Row],[UDC]],TableMJRUMATHT[],7,FALSE),"")</f>
        <v/>
      </c>
      <c r="AH291" s="308" t="str">
        <f>IFERROR(VLOOKUP(TableHandbook[[#This Row],[UDC]],TableMJRUSCIBI[],7,FALSE),"")</f>
        <v/>
      </c>
      <c r="AI291" s="308" t="str">
        <f>IFERROR(VLOOKUP(TableHandbook[[#This Row],[UDC]],TableMJRUSCICH[],7,FALSE),"")</f>
        <v/>
      </c>
      <c r="AJ291" s="308" t="str">
        <f>IFERROR(VLOOKUP(TableHandbook[[#This Row],[UDC]],TableMJRUSCIHB[],7,FALSE),"")</f>
        <v/>
      </c>
      <c r="AK291" s="308" t="str">
        <f>IFERROR(VLOOKUP(TableHandbook[[#This Row],[UDC]],TableMJRUSCIPH[],7,FALSE),"")</f>
        <v/>
      </c>
      <c r="AL291" s="308" t="str">
        <f>IFERROR(VLOOKUP(TableHandbook[[#This Row],[UDC]],TableMJRUSCIPS[],7,FALSE),"")</f>
        <v/>
      </c>
      <c r="AM291" s="202"/>
      <c r="AN291" s="308" t="str">
        <f>IFERROR(VLOOKUP(TableHandbook[[#This Row],[UDC]],TableSTRUBIOLB[],7,FALSE),"")</f>
        <v/>
      </c>
      <c r="AO291" s="308" t="str">
        <f>IFERROR(VLOOKUP(TableHandbook[[#This Row],[UDC]],TableSTRUBSCIM[],7,FALSE),"")</f>
        <v/>
      </c>
      <c r="AP291" s="308" t="str">
        <f>IFERROR(VLOOKUP(TableHandbook[[#This Row],[UDC]],TableSTRUCHEMB[],7,FALSE),"")</f>
        <v/>
      </c>
      <c r="AQ291" s="308" t="str">
        <f>IFERROR(VLOOKUP(TableHandbook[[#This Row],[UDC]],TableSTRUECOB1[],7,FALSE),"")</f>
        <v/>
      </c>
      <c r="AR291" s="308" t="str">
        <f>IFERROR(VLOOKUP(TableHandbook[[#This Row],[UDC]],TableSTRUEDART[],7,FALSE),"")</f>
        <v/>
      </c>
      <c r="AS291" s="308" t="str">
        <f>IFERROR(VLOOKUP(TableHandbook[[#This Row],[UDC]],TableSTRUEDENG[],7,FALSE),"")</f>
        <v/>
      </c>
      <c r="AT291" s="308" t="str">
        <f>IFERROR(VLOOKUP(TableHandbook[[#This Row],[UDC]],TableSTRUEDHAS[],7,FALSE),"")</f>
        <v/>
      </c>
      <c r="AU291" s="308" t="str">
        <f>IFERROR(VLOOKUP(TableHandbook[[#This Row],[UDC]],TableSTRUEDMAT[],7,FALSE),"")</f>
        <v/>
      </c>
      <c r="AV291" s="308" t="str">
        <f>IFERROR(VLOOKUP(TableHandbook[[#This Row],[UDC]],TableSTRUEDSCI[],7,FALSE),"")</f>
        <v/>
      </c>
      <c r="AW291" s="308" t="str">
        <f>IFERROR(VLOOKUP(TableHandbook[[#This Row],[UDC]],TableSTRUENGLB[],7,FALSE),"")</f>
        <v/>
      </c>
      <c r="AX291" s="308" t="str">
        <f>IFERROR(VLOOKUP(TableHandbook[[#This Row],[UDC]],TableSTRUENGLM[],7,FALSE),"")</f>
        <v/>
      </c>
      <c r="AY291" s="308" t="str">
        <f>IFERROR(VLOOKUP(TableHandbook[[#This Row],[UDC]],TableSTRUGEOB1[],7,FALSE),"")</f>
        <v/>
      </c>
      <c r="AZ291" s="308" t="str">
        <f>IFERROR(VLOOKUP(TableHandbook[[#This Row],[UDC]],TableSTRUHISB1[],7,FALSE),"")</f>
        <v/>
      </c>
      <c r="BA291" s="308" t="str">
        <f>IFERROR(VLOOKUP(TableHandbook[[#This Row],[UDC]],TableSTRUHUMAM[],7,FALSE),"")</f>
        <v/>
      </c>
      <c r="BB291" s="308" t="str">
        <f>IFERROR(VLOOKUP(TableHandbook[[#This Row],[UDC]],TableSTRUHUMBB[],7,FALSE),"")</f>
        <v/>
      </c>
      <c r="BC291" s="308" t="str">
        <f>IFERROR(VLOOKUP(TableHandbook[[#This Row],[UDC]],TableSTRUMATHB[],7,FALSE),"")</f>
        <v/>
      </c>
      <c r="BD291" s="308" t="str">
        <f>IFERROR(VLOOKUP(TableHandbook[[#This Row],[UDC]],TableSTRUMATHM[],7,FALSE),"")</f>
        <v/>
      </c>
      <c r="BE291" s="308" t="str">
        <f>IFERROR(VLOOKUP(TableHandbook[[#This Row],[UDC]],TableSTRUPARTB[],7,FALSE),"")</f>
        <v/>
      </c>
      <c r="BF291" s="308" t="str">
        <f>IFERROR(VLOOKUP(TableHandbook[[#This Row],[UDC]],TableSTRUPARTM[],7,FALSE),"")</f>
        <v/>
      </c>
      <c r="BG291" s="308" t="str">
        <f>IFERROR(VLOOKUP(TableHandbook[[#This Row],[UDC]],TableSTRUPOLB1[],7,FALSE),"")</f>
        <v/>
      </c>
      <c r="BH291" s="308" t="str">
        <f>IFERROR(VLOOKUP(TableHandbook[[#This Row],[UDC]],TableSTRUPSCIM[],7,FALSE),"")</f>
        <v/>
      </c>
      <c r="BI291" s="308" t="str">
        <f>IFERROR(VLOOKUP(TableHandbook[[#This Row],[UDC]],TableSTRUPSYCB[],7,FALSE),"")</f>
        <v/>
      </c>
      <c r="BJ291" s="308" t="str">
        <f>IFERROR(VLOOKUP(TableHandbook[[#This Row],[UDC]],TableSTRUPSYCM[],7,FALSE),"")</f>
        <v/>
      </c>
      <c r="BK291" s="308" t="str">
        <f>IFERROR(VLOOKUP(TableHandbook[[#This Row],[UDC]],TableSTRUSOSCM[],7,FALSE),"")</f>
        <v/>
      </c>
      <c r="BL291" s="308" t="str">
        <f>IFERROR(VLOOKUP(TableHandbook[[#This Row],[UDC]],TableSTRUVARTB[],7,FALSE),"")</f>
        <v/>
      </c>
      <c r="BM291" s="308" t="str">
        <f>IFERROR(VLOOKUP(TableHandbook[[#This Row],[UDC]],TableSTRUVARTM[],7,FALSE),"")</f>
        <v/>
      </c>
    </row>
    <row r="292" spans="1:65" x14ac:dyDescent="0.25">
      <c r="A292" s="338" t="s">
        <v>934</v>
      </c>
      <c r="B292" s="336">
        <v>1</v>
      </c>
      <c r="C292" s="335"/>
      <c r="D292" s="335" t="s">
        <v>935</v>
      </c>
      <c r="E292" s="336">
        <v>75</v>
      </c>
      <c r="F292" s="337"/>
      <c r="G292" s="304" t="str">
        <f>IFERROR(IF(VLOOKUP(TableHandbook[[#This Row],[UDC]],TableAvailabilities[],2,FALSE)&gt;0,"Y",""),"")</f>
        <v/>
      </c>
      <c r="H292" s="305" t="str">
        <f>IFERROR(IF(VLOOKUP(TableHandbook[[#This Row],[UDC]],TableAvailabilities[],3,FALSE)&gt;0,"Y",""),"")</f>
        <v/>
      </c>
      <c r="I292" s="305" t="str">
        <f>IFERROR(IF(VLOOKUP(TableHandbook[[#This Row],[UDC]],TableAvailabilities[],4,FALSE)&gt;0,"Y",""),"")</f>
        <v/>
      </c>
      <c r="J292" s="306" t="str">
        <f>IFERROR(IF(VLOOKUP(TableHandbook[[#This Row],[UDC]],TableAvailabilities[],5,FALSE)&gt;0,"Y",""),"")</f>
        <v/>
      </c>
      <c r="K292" s="306" t="str">
        <f>IFERROR(IF(VLOOKUP(TableHandbook[[#This Row],[UDC]],TableAvailabilities[],6,FALSE)&gt;0,"Y",""),"")</f>
        <v/>
      </c>
      <c r="L292" s="305" t="str">
        <f>IFERROR(IF(VLOOKUP(TableHandbook[[#This Row],[UDC]],TableAvailabilities[],7,FALSE)&gt;0,"Y",""),"")</f>
        <v/>
      </c>
      <c r="M292" s="307"/>
      <c r="N292" s="200" t="str">
        <f>IFERROR(VLOOKUP(TableHandbook[[#This Row],[UDC]],TableBEDUC[],7,FALSE),"")</f>
        <v/>
      </c>
      <c r="O292" s="308" t="str">
        <f>IFERROR(VLOOKUP(TableHandbook[[#This Row],[UDC]],TableBEDEC[],7,FALSE),"")</f>
        <v/>
      </c>
      <c r="P292" s="308" t="str">
        <f>IFERROR(VLOOKUP(TableHandbook[[#This Row],[UDC]],TableBEDPR[],7,FALSE),"")</f>
        <v>Option</v>
      </c>
      <c r="Q292" s="308" t="str">
        <f>IFERROR(VLOOKUP(TableHandbook[[#This Row],[UDC]],TableSTRUCATHL[],7,FALSE),"")</f>
        <v/>
      </c>
      <c r="R292" s="308" t="str">
        <f>IFERROR(VLOOKUP(TableHandbook[[#This Row],[UDC]],TableSTRUENGLL[],7,FALSE),"")</f>
        <v/>
      </c>
      <c r="S292" s="308" t="str">
        <f>IFERROR(VLOOKUP(TableHandbook[[#This Row],[UDC]],TableSTRUINTBC[],7,FALSE),"")</f>
        <v/>
      </c>
      <c r="T292" s="308" t="str">
        <f>IFERROR(VLOOKUP(TableHandbook[[#This Row],[UDC]],TableSTRUISTEM[],7,FALSE),"")</f>
        <v/>
      </c>
      <c r="U292" s="308" t="str">
        <f>IFERROR(VLOOKUP(TableHandbook[[#This Row],[UDC]],TableSTRULITNU[],7,FALSE),"")</f>
        <v/>
      </c>
      <c r="V292" s="308" t="str">
        <f>IFERROR(VLOOKUP(TableHandbook[[#This Row],[UDC]],TableSTRUTECHS[],7,FALSE),"")</f>
        <v/>
      </c>
      <c r="W292" s="308" t="str">
        <f>IFERROR(VLOOKUP(TableHandbook[[#This Row],[UDC]],TableBEDSC[],7,FALSE),"")</f>
        <v/>
      </c>
      <c r="X292" s="308" t="str">
        <f>IFERROR(VLOOKUP(TableHandbook[[#This Row],[UDC]],TableMJRUARTDR[],7,FALSE),"")</f>
        <v/>
      </c>
      <c r="Y292" s="308" t="str">
        <f>IFERROR(VLOOKUP(TableHandbook[[#This Row],[UDC]],TableMJRUARTME[],7,FALSE),"")</f>
        <v/>
      </c>
      <c r="Z292" s="308" t="str">
        <f>IFERROR(VLOOKUP(TableHandbook[[#This Row],[UDC]],TableMJRUARTVA[],7,FALSE),"")</f>
        <v/>
      </c>
      <c r="AA292" s="308" t="str">
        <f>IFERROR(VLOOKUP(TableHandbook[[#This Row],[UDC]],TableMJRUENGLT[],7,FALSE),"")</f>
        <v/>
      </c>
      <c r="AB292" s="308" t="str">
        <f>IFERROR(VLOOKUP(TableHandbook[[#This Row],[UDC]],TableMJRUHLTPE[],7,FALSE),"")</f>
        <v/>
      </c>
      <c r="AC292" s="308" t="str">
        <f>IFERROR(VLOOKUP(TableHandbook[[#This Row],[UDC]],TableMJRUHUSEC[],7,FALSE),"")</f>
        <v/>
      </c>
      <c r="AD292" s="308" t="str">
        <f>IFERROR(VLOOKUP(TableHandbook[[#This Row],[UDC]],TableMJRUHUSGE[],7,FALSE),"")</f>
        <v/>
      </c>
      <c r="AE292" s="308" t="str">
        <f>IFERROR(VLOOKUP(TableHandbook[[#This Row],[UDC]],TableMJRUHUSHI[],7,FALSE),"")</f>
        <v/>
      </c>
      <c r="AF292" s="308" t="str">
        <f>IFERROR(VLOOKUP(TableHandbook[[#This Row],[UDC]],TableMJRUHUSPL[],7,FALSE),"")</f>
        <v/>
      </c>
      <c r="AG292" s="308" t="str">
        <f>IFERROR(VLOOKUP(TableHandbook[[#This Row],[UDC]],TableMJRUMATHT[],7,FALSE),"")</f>
        <v/>
      </c>
      <c r="AH292" s="308" t="str">
        <f>IFERROR(VLOOKUP(TableHandbook[[#This Row],[UDC]],TableMJRUSCIBI[],7,FALSE),"")</f>
        <v/>
      </c>
      <c r="AI292" s="308" t="str">
        <f>IFERROR(VLOOKUP(TableHandbook[[#This Row],[UDC]],TableMJRUSCICH[],7,FALSE),"")</f>
        <v/>
      </c>
      <c r="AJ292" s="308" t="str">
        <f>IFERROR(VLOOKUP(TableHandbook[[#This Row],[UDC]],TableMJRUSCIHB[],7,FALSE),"")</f>
        <v/>
      </c>
      <c r="AK292" s="308" t="str">
        <f>IFERROR(VLOOKUP(TableHandbook[[#This Row],[UDC]],TableMJRUSCIPH[],7,FALSE),"")</f>
        <v/>
      </c>
      <c r="AL292" s="308" t="str">
        <f>IFERROR(VLOOKUP(TableHandbook[[#This Row],[UDC]],TableMJRUSCIPS[],7,FALSE),"")</f>
        <v/>
      </c>
      <c r="AM292" s="202"/>
      <c r="AN292" s="308" t="str">
        <f>IFERROR(VLOOKUP(TableHandbook[[#This Row],[UDC]],TableSTRUBIOLB[],7,FALSE),"")</f>
        <v/>
      </c>
      <c r="AO292" s="308" t="str">
        <f>IFERROR(VLOOKUP(TableHandbook[[#This Row],[UDC]],TableSTRUBSCIM[],7,FALSE),"")</f>
        <v/>
      </c>
      <c r="AP292" s="308" t="str">
        <f>IFERROR(VLOOKUP(TableHandbook[[#This Row],[UDC]],TableSTRUCHEMB[],7,FALSE),"")</f>
        <v/>
      </c>
      <c r="AQ292" s="308" t="str">
        <f>IFERROR(VLOOKUP(TableHandbook[[#This Row],[UDC]],TableSTRUECOB1[],7,FALSE),"")</f>
        <v/>
      </c>
      <c r="AR292" s="308" t="str">
        <f>IFERROR(VLOOKUP(TableHandbook[[#This Row],[UDC]],TableSTRUEDART[],7,FALSE),"")</f>
        <v/>
      </c>
      <c r="AS292" s="308" t="str">
        <f>IFERROR(VLOOKUP(TableHandbook[[#This Row],[UDC]],TableSTRUEDENG[],7,FALSE),"")</f>
        <v/>
      </c>
      <c r="AT292" s="308" t="str">
        <f>IFERROR(VLOOKUP(TableHandbook[[#This Row],[UDC]],TableSTRUEDHAS[],7,FALSE),"")</f>
        <v/>
      </c>
      <c r="AU292" s="308" t="str">
        <f>IFERROR(VLOOKUP(TableHandbook[[#This Row],[UDC]],TableSTRUEDMAT[],7,FALSE),"")</f>
        <v/>
      </c>
      <c r="AV292" s="308" t="str">
        <f>IFERROR(VLOOKUP(TableHandbook[[#This Row],[UDC]],TableSTRUEDSCI[],7,FALSE),"")</f>
        <v/>
      </c>
      <c r="AW292" s="308" t="str">
        <f>IFERROR(VLOOKUP(TableHandbook[[#This Row],[UDC]],TableSTRUENGLB[],7,FALSE),"")</f>
        <v/>
      </c>
      <c r="AX292" s="308" t="str">
        <f>IFERROR(VLOOKUP(TableHandbook[[#This Row],[UDC]],TableSTRUENGLM[],7,FALSE),"")</f>
        <v/>
      </c>
      <c r="AY292" s="308" t="str">
        <f>IFERROR(VLOOKUP(TableHandbook[[#This Row],[UDC]],TableSTRUGEOB1[],7,FALSE),"")</f>
        <v/>
      </c>
      <c r="AZ292" s="308" t="str">
        <f>IFERROR(VLOOKUP(TableHandbook[[#This Row],[UDC]],TableSTRUHISB1[],7,FALSE),"")</f>
        <v/>
      </c>
      <c r="BA292" s="308" t="str">
        <f>IFERROR(VLOOKUP(TableHandbook[[#This Row],[UDC]],TableSTRUHUMAM[],7,FALSE),"")</f>
        <v/>
      </c>
      <c r="BB292" s="308" t="str">
        <f>IFERROR(VLOOKUP(TableHandbook[[#This Row],[UDC]],TableSTRUHUMBB[],7,FALSE),"")</f>
        <v/>
      </c>
      <c r="BC292" s="308" t="str">
        <f>IFERROR(VLOOKUP(TableHandbook[[#This Row],[UDC]],TableSTRUMATHB[],7,FALSE),"")</f>
        <v/>
      </c>
      <c r="BD292" s="308" t="str">
        <f>IFERROR(VLOOKUP(TableHandbook[[#This Row],[UDC]],TableSTRUMATHM[],7,FALSE),"")</f>
        <v/>
      </c>
      <c r="BE292" s="308" t="str">
        <f>IFERROR(VLOOKUP(TableHandbook[[#This Row],[UDC]],TableSTRUPARTB[],7,FALSE),"")</f>
        <v/>
      </c>
      <c r="BF292" s="308" t="str">
        <f>IFERROR(VLOOKUP(TableHandbook[[#This Row],[UDC]],TableSTRUPARTM[],7,FALSE),"")</f>
        <v/>
      </c>
      <c r="BG292" s="308" t="str">
        <f>IFERROR(VLOOKUP(TableHandbook[[#This Row],[UDC]],TableSTRUPOLB1[],7,FALSE),"")</f>
        <v/>
      </c>
      <c r="BH292" s="308" t="str">
        <f>IFERROR(VLOOKUP(TableHandbook[[#This Row],[UDC]],TableSTRUPSCIM[],7,FALSE),"")</f>
        <v/>
      </c>
      <c r="BI292" s="308" t="str">
        <f>IFERROR(VLOOKUP(TableHandbook[[#This Row],[UDC]],TableSTRUPSYCB[],7,FALSE),"")</f>
        <v/>
      </c>
      <c r="BJ292" s="308" t="str">
        <f>IFERROR(VLOOKUP(TableHandbook[[#This Row],[UDC]],TableSTRUPSYCM[],7,FALSE),"")</f>
        <v/>
      </c>
      <c r="BK292" s="308" t="str">
        <f>IFERROR(VLOOKUP(TableHandbook[[#This Row],[UDC]],TableSTRUSOSCM[],7,FALSE),"")</f>
        <v/>
      </c>
      <c r="BL292" s="308" t="str">
        <f>IFERROR(VLOOKUP(TableHandbook[[#This Row],[UDC]],TableSTRUVARTB[],7,FALSE),"")</f>
        <v/>
      </c>
      <c r="BM292" s="308" t="str">
        <f>IFERROR(VLOOKUP(TableHandbook[[#This Row],[UDC]],TableSTRUVARTM[],7,FALSE),"")</f>
        <v/>
      </c>
    </row>
    <row r="293" spans="1:65" x14ac:dyDescent="0.25">
      <c r="A293" s="338" t="s">
        <v>936</v>
      </c>
      <c r="B293" s="336">
        <v>1</v>
      </c>
      <c r="C293" s="335"/>
      <c r="D293" s="335" t="s">
        <v>937</v>
      </c>
      <c r="E293" s="336">
        <v>75</v>
      </c>
      <c r="F293" s="337"/>
      <c r="G293" s="304" t="str">
        <f>IFERROR(IF(VLOOKUP(TableHandbook[[#This Row],[UDC]],TableAvailabilities[],2,FALSE)&gt;0,"Y",""),"")</f>
        <v/>
      </c>
      <c r="H293" s="305" t="str">
        <f>IFERROR(IF(VLOOKUP(TableHandbook[[#This Row],[UDC]],TableAvailabilities[],3,FALSE)&gt;0,"Y",""),"")</f>
        <v/>
      </c>
      <c r="I293" s="305" t="str">
        <f>IFERROR(IF(VLOOKUP(TableHandbook[[#This Row],[UDC]],TableAvailabilities[],4,FALSE)&gt;0,"Y",""),"")</f>
        <v/>
      </c>
      <c r="J293" s="306" t="str">
        <f>IFERROR(IF(VLOOKUP(TableHandbook[[#This Row],[UDC]],TableAvailabilities[],5,FALSE)&gt;0,"Y",""),"")</f>
        <v/>
      </c>
      <c r="K293" s="306" t="str">
        <f>IFERROR(IF(VLOOKUP(TableHandbook[[#This Row],[UDC]],TableAvailabilities[],6,FALSE)&gt;0,"Y",""),"")</f>
        <v/>
      </c>
      <c r="L293" s="305" t="str">
        <f>IFERROR(IF(VLOOKUP(TableHandbook[[#This Row],[UDC]],TableAvailabilities[],7,FALSE)&gt;0,"Y",""),"")</f>
        <v/>
      </c>
      <c r="M293" s="307"/>
      <c r="N293" s="200" t="str">
        <f>IFERROR(VLOOKUP(TableHandbook[[#This Row],[UDC]],TableBEDUC[],7,FALSE),"")</f>
        <v/>
      </c>
      <c r="O293" s="308" t="str">
        <f>IFERROR(VLOOKUP(TableHandbook[[#This Row],[UDC]],TableBEDEC[],7,FALSE),"")</f>
        <v/>
      </c>
      <c r="P293" s="308" t="str">
        <f>IFERROR(VLOOKUP(TableHandbook[[#This Row],[UDC]],TableBEDPR[],7,FALSE),"")</f>
        <v>Option</v>
      </c>
      <c r="Q293" s="308" t="str">
        <f>IFERROR(VLOOKUP(TableHandbook[[#This Row],[UDC]],TableSTRUCATHL[],7,FALSE),"")</f>
        <v/>
      </c>
      <c r="R293" s="308" t="str">
        <f>IFERROR(VLOOKUP(TableHandbook[[#This Row],[UDC]],TableSTRUENGLL[],7,FALSE),"")</f>
        <v/>
      </c>
      <c r="S293" s="308" t="str">
        <f>IFERROR(VLOOKUP(TableHandbook[[#This Row],[UDC]],TableSTRUINTBC[],7,FALSE),"")</f>
        <v/>
      </c>
      <c r="T293" s="308" t="str">
        <f>IFERROR(VLOOKUP(TableHandbook[[#This Row],[UDC]],TableSTRUISTEM[],7,FALSE),"")</f>
        <v/>
      </c>
      <c r="U293" s="308" t="str">
        <f>IFERROR(VLOOKUP(TableHandbook[[#This Row],[UDC]],TableSTRULITNU[],7,FALSE),"")</f>
        <v/>
      </c>
      <c r="V293" s="308" t="str">
        <f>IFERROR(VLOOKUP(TableHandbook[[#This Row],[UDC]],TableSTRUTECHS[],7,FALSE),"")</f>
        <v/>
      </c>
      <c r="W293" s="308" t="str">
        <f>IFERROR(VLOOKUP(TableHandbook[[#This Row],[UDC]],TableBEDSC[],7,FALSE),"")</f>
        <v/>
      </c>
      <c r="X293" s="308" t="str">
        <f>IFERROR(VLOOKUP(TableHandbook[[#This Row],[UDC]],TableMJRUARTDR[],7,FALSE),"")</f>
        <v/>
      </c>
      <c r="Y293" s="308" t="str">
        <f>IFERROR(VLOOKUP(TableHandbook[[#This Row],[UDC]],TableMJRUARTME[],7,FALSE),"")</f>
        <v/>
      </c>
      <c r="Z293" s="308" t="str">
        <f>IFERROR(VLOOKUP(TableHandbook[[#This Row],[UDC]],TableMJRUARTVA[],7,FALSE),"")</f>
        <v/>
      </c>
      <c r="AA293" s="308" t="str">
        <f>IFERROR(VLOOKUP(TableHandbook[[#This Row],[UDC]],TableMJRUENGLT[],7,FALSE),"")</f>
        <v/>
      </c>
      <c r="AB293" s="308" t="str">
        <f>IFERROR(VLOOKUP(TableHandbook[[#This Row],[UDC]],TableMJRUHLTPE[],7,FALSE),"")</f>
        <v/>
      </c>
      <c r="AC293" s="308" t="str">
        <f>IFERROR(VLOOKUP(TableHandbook[[#This Row],[UDC]],TableMJRUHUSEC[],7,FALSE),"")</f>
        <v/>
      </c>
      <c r="AD293" s="308" t="str">
        <f>IFERROR(VLOOKUP(TableHandbook[[#This Row],[UDC]],TableMJRUHUSGE[],7,FALSE),"")</f>
        <v/>
      </c>
      <c r="AE293" s="308" t="str">
        <f>IFERROR(VLOOKUP(TableHandbook[[#This Row],[UDC]],TableMJRUHUSHI[],7,FALSE),"")</f>
        <v/>
      </c>
      <c r="AF293" s="308" t="str">
        <f>IFERROR(VLOOKUP(TableHandbook[[#This Row],[UDC]],TableMJRUHUSPL[],7,FALSE),"")</f>
        <v/>
      </c>
      <c r="AG293" s="308" t="str">
        <f>IFERROR(VLOOKUP(TableHandbook[[#This Row],[UDC]],TableMJRUMATHT[],7,FALSE),"")</f>
        <v/>
      </c>
      <c r="AH293" s="308" t="str">
        <f>IFERROR(VLOOKUP(TableHandbook[[#This Row],[UDC]],TableMJRUSCIBI[],7,FALSE),"")</f>
        <v/>
      </c>
      <c r="AI293" s="308" t="str">
        <f>IFERROR(VLOOKUP(TableHandbook[[#This Row],[UDC]],TableMJRUSCICH[],7,FALSE),"")</f>
        <v/>
      </c>
      <c r="AJ293" s="308" t="str">
        <f>IFERROR(VLOOKUP(TableHandbook[[#This Row],[UDC]],TableMJRUSCIHB[],7,FALSE),"")</f>
        <v/>
      </c>
      <c r="AK293" s="308" t="str">
        <f>IFERROR(VLOOKUP(TableHandbook[[#This Row],[UDC]],TableMJRUSCIPH[],7,FALSE),"")</f>
        <v/>
      </c>
      <c r="AL293" s="308" t="str">
        <f>IFERROR(VLOOKUP(TableHandbook[[#This Row],[UDC]],TableMJRUSCIPS[],7,FALSE),"")</f>
        <v/>
      </c>
      <c r="AM293" s="202"/>
      <c r="AN293" s="308" t="str">
        <f>IFERROR(VLOOKUP(TableHandbook[[#This Row],[UDC]],TableSTRUBIOLB[],7,FALSE),"")</f>
        <v/>
      </c>
      <c r="AO293" s="308" t="str">
        <f>IFERROR(VLOOKUP(TableHandbook[[#This Row],[UDC]],TableSTRUBSCIM[],7,FALSE),"")</f>
        <v/>
      </c>
      <c r="AP293" s="308" t="str">
        <f>IFERROR(VLOOKUP(TableHandbook[[#This Row],[UDC]],TableSTRUCHEMB[],7,FALSE),"")</f>
        <v/>
      </c>
      <c r="AQ293" s="308" t="str">
        <f>IFERROR(VLOOKUP(TableHandbook[[#This Row],[UDC]],TableSTRUECOB1[],7,FALSE),"")</f>
        <v/>
      </c>
      <c r="AR293" s="308" t="str">
        <f>IFERROR(VLOOKUP(TableHandbook[[#This Row],[UDC]],TableSTRUEDART[],7,FALSE),"")</f>
        <v/>
      </c>
      <c r="AS293" s="308" t="str">
        <f>IFERROR(VLOOKUP(TableHandbook[[#This Row],[UDC]],TableSTRUEDENG[],7,FALSE),"")</f>
        <v/>
      </c>
      <c r="AT293" s="308" t="str">
        <f>IFERROR(VLOOKUP(TableHandbook[[#This Row],[UDC]],TableSTRUEDHAS[],7,FALSE),"")</f>
        <v/>
      </c>
      <c r="AU293" s="308" t="str">
        <f>IFERROR(VLOOKUP(TableHandbook[[#This Row],[UDC]],TableSTRUEDMAT[],7,FALSE),"")</f>
        <v/>
      </c>
      <c r="AV293" s="308" t="str">
        <f>IFERROR(VLOOKUP(TableHandbook[[#This Row],[UDC]],TableSTRUEDSCI[],7,FALSE),"")</f>
        <v/>
      </c>
      <c r="AW293" s="308" t="str">
        <f>IFERROR(VLOOKUP(TableHandbook[[#This Row],[UDC]],TableSTRUENGLB[],7,FALSE),"")</f>
        <v/>
      </c>
      <c r="AX293" s="308" t="str">
        <f>IFERROR(VLOOKUP(TableHandbook[[#This Row],[UDC]],TableSTRUENGLM[],7,FALSE),"")</f>
        <v/>
      </c>
      <c r="AY293" s="308" t="str">
        <f>IFERROR(VLOOKUP(TableHandbook[[#This Row],[UDC]],TableSTRUGEOB1[],7,FALSE),"")</f>
        <v/>
      </c>
      <c r="AZ293" s="308" t="str">
        <f>IFERROR(VLOOKUP(TableHandbook[[#This Row],[UDC]],TableSTRUHISB1[],7,FALSE),"")</f>
        <v/>
      </c>
      <c r="BA293" s="308" t="str">
        <f>IFERROR(VLOOKUP(TableHandbook[[#This Row],[UDC]],TableSTRUHUMAM[],7,FALSE),"")</f>
        <v/>
      </c>
      <c r="BB293" s="308" t="str">
        <f>IFERROR(VLOOKUP(TableHandbook[[#This Row],[UDC]],TableSTRUHUMBB[],7,FALSE),"")</f>
        <v/>
      </c>
      <c r="BC293" s="308" t="str">
        <f>IFERROR(VLOOKUP(TableHandbook[[#This Row],[UDC]],TableSTRUMATHB[],7,FALSE),"")</f>
        <v/>
      </c>
      <c r="BD293" s="308" t="str">
        <f>IFERROR(VLOOKUP(TableHandbook[[#This Row],[UDC]],TableSTRUMATHM[],7,FALSE),"")</f>
        <v/>
      </c>
      <c r="BE293" s="308" t="str">
        <f>IFERROR(VLOOKUP(TableHandbook[[#This Row],[UDC]],TableSTRUPARTB[],7,FALSE),"")</f>
        <v/>
      </c>
      <c r="BF293" s="308" t="str">
        <f>IFERROR(VLOOKUP(TableHandbook[[#This Row],[UDC]],TableSTRUPARTM[],7,FALSE),"")</f>
        <v/>
      </c>
      <c r="BG293" s="308" t="str">
        <f>IFERROR(VLOOKUP(TableHandbook[[#This Row],[UDC]],TableSTRUPOLB1[],7,FALSE),"")</f>
        <v/>
      </c>
      <c r="BH293" s="308" t="str">
        <f>IFERROR(VLOOKUP(TableHandbook[[#This Row],[UDC]],TableSTRUPSCIM[],7,FALSE),"")</f>
        <v/>
      </c>
      <c r="BI293" s="308" t="str">
        <f>IFERROR(VLOOKUP(TableHandbook[[#This Row],[UDC]],TableSTRUPSYCB[],7,FALSE),"")</f>
        <v/>
      </c>
      <c r="BJ293" s="308" t="str">
        <f>IFERROR(VLOOKUP(TableHandbook[[#This Row],[UDC]],TableSTRUPSYCM[],7,FALSE),"")</f>
        <v/>
      </c>
      <c r="BK293" s="308" t="str">
        <f>IFERROR(VLOOKUP(TableHandbook[[#This Row],[UDC]],TableSTRUSOSCM[],7,FALSE),"")</f>
        <v/>
      </c>
      <c r="BL293" s="308" t="str">
        <f>IFERROR(VLOOKUP(TableHandbook[[#This Row],[UDC]],TableSTRUVARTB[],7,FALSE),"")</f>
        <v/>
      </c>
      <c r="BM293" s="308" t="str">
        <f>IFERROR(VLOOKUP(TableHandbook[[#This Row],[UDC]],TableSTRUVARTM[],7,FALSE),"")</f>
        <v/>
      </c>
    </row>
    <row r="294" spans="1:65" x14ac:dyDescent="0.25">
      <c r="A294" s="338" t="s">
        <v>938</v>
      </c>
      <c r="B294" s="336">
        <v>1</v>
      </c>
      <c r="C294" s="335"/>
      <c r="D294" s="335" t="s">
        <v>939</v>
      </c>
      <c r="E294" s="336">
        <v>75</v>
      </c>
      <c r="F294" s="337"/>
      <c r="G294" s="304" t="str">
        <f>IFERROR(IF(VLOOKUP(TableHandbook[[#This Row],[UDC]],TableAvailabilities[],2,FALSE)&gt;0,"Y",""),"")</f>
        <v/>
      </c>
      <c r="H294" s="305" t="str">
        <f>IFERROR(IF(VLOOKUP(TableHandbook[[#This Row],[UDC]],TableAvailabilities[],3,FALSE)&gt;0,"Y",""),"")</f>
        <v/>
      </c>
      <c r="I294" s="305" t="str">
        <f>IFERROR(IF(VLOOKUP(TableHandbook[[#This Row],[UDC]],TableAvailabilities[],4,FALSE)&gt;0,"Y",""),"")</f>
        <v/>
      </c>
      <c r="J294" s="306" t="str">
        <f>IFERROR(IF(VLOOKUP(TableHandbook[[#This Row],[UDC]],TableAvailabilities[],5,FALSE)&gt;0,"Y",""),"")</f>
        <v/>
      </c>
      <c r="K294" s="306" t="str">
        <f>IFERROR(IF(VLOOKUP(TableHandbook[[#This Row],[UDC]],TableAvailabilities[],6,FALSE)&gt;0,"Y",""),"")</f>
        <v/>
      </c>
      <c r="L294" s="305" t="str">
        <f>IFERROR(IF(VLOOKUP(TableHandbook[[#This Row],[UDC]],TableAvailabilities[],7,FALSE)&gt;0,"Y",""),"")</f>
        <v/>
      </c>
      <c r="M294" s="307"/>
      <c r="N294" s="200" t="str">
        <f>IFERROR(VLOOKUP(TableHandbook[[#This Row],[UDC]],TableBEDUC[],7,FALSE),"")</f>
        <v/>
      </c>
      <c r="O294" s="308" t="str">
        <f>IFERROR(VLOOKUP(TableHandbook[[#This Row],[UDC]],TableBEDEC[],7,FALSE),"")</f>
        <v/>
      </c>
      <c r="P294" s="308" t="str">
        <f>IFERROR(VLOOKUP(TableHandbook[[#This Row],[UDC]],TableBEDPR[],7,FALSE),"")</f>
        <v>Option</v>
      </c>
      <c r="Q294" s="308" t="str">
        <f>IFERROR(VLOOKUP(TableHandbook[[#This Row],[UDC]],TableSTRUCATHL[],7,FALSE),"")</f>
        <v/>
      </c>
      <c r="R294" s="308" t="str">
        <f>IFERROR(VLOOKUP(TableHandbook[[#This Row],[UDC]],TableSTRUENGLL[],7,FALSE),"")</f>
        <v/>
      </c>
      <c r="S294" s="308" t="str">
        <f>IFERROR(VLOOKUP(TableHandbook[[#This Row],[UDC]],TableSTRUINTBC[],7,FALSE),"")</f>
        <v/>
      </c>
      <c r="T294" s="308" t="str">
        <f>IFERROR(VLOOKUP(TableHandbook[[#This Row],[UDC]],TableSTRUISTEM[],7,FALSE),"")</f>
        <v/>
      </c>
      <c r="U294" s="308" t="str">
        <f>IFERROR(VLOOKUP(TableHandbook[[#This Row],[UDC]],TableSTRULITNU[],7,FALSE),"")</f>
        <v/>
      </c>
      <c r="V294" s="308" t="str">
        <f>IFERROR(VLOOKUP(TableHandbook[[#This Row],[UDC]],TableSTRUTECHS[],7,FALSE),"")</f>
        <v/>
      </c>
      <c r="W294" s="308" t="str">
        <f>IFERROR(VLOOKUP(TableHandbook[[#This Row],[UDC]],TableBEDSC[],7,FALSE),"")</f>
        <v/>
      </c>
      <c r="X294" s="308" t="str">
        <f>IFERROR(VLOOKUP(TableHandbook[[#This Row],[UDC]],TableMJRUARTDR[],7,FALSE),"")</f>
        <v/>
      </c>
      <c r="Y294" s="308" t="str">
        <f>IFERROR(VLOOKUP(TableHandbook[[#This Row],[UDC]],TableMJRUARTME[],7,FALSE),"")</f>
        <v/>
      </c>
      <c r="Z294" s="308" t="str">
        <f>IFERROR(VLOOKUP(TableHandbook[[#This Row],[UDC]],TableMJRUARTVA[],7,FALSE),"")</f>
        <v/>
      </c>
      <c r="AA294" s="308" t="str">
        <f>IFERROR(VLOOKUP(TableHandbook[[#This Row],[UDC]],TableMJRUENGLT[],7,FALSE),"")</f>
        <v/>
      </c>
      <c r="AB294" s="308" t="str">
        <f>IFERROR(VLOOKUP(TableHandbook[[#This Row],[UDC]],TableMJRUHLTPE[],7,FALSE),"")</f>
        <v/>
      </c>
      <c r="AC294" s="308" t="str">
        <f>IFERROR(VLOOKUP(TableHandbook[[#This Row],[UDC]],TableMJRUHUSEC[],7,FALSE),"")</f>
        <v/>
      </c>
      <c r="AD294" s="308" t="str">
        <f>IFERROR(VLOOKUP(TableHandbook[[#This Row],[UDC]],TableMJRUHUSGE[],7,FALSE),"")</f>
        <v/>
      </c>
      <c r="AE294" s="308" t="str">
        <f>IFERROR(VLOOKUP(TableHandbook[[#This Row],[UDC]],TableMJRUHUSHI[],7,FALSE),"")</f>
        <v/>
      </c>
      <c r="AF294" s="308" t="str">
        <f>IFERROR(VLOOKUP(TableHandbook[[#This Row],[UDC]],TableMJRUHUSPL[],7,FALSE),"")</f>
        <v/>
      </c>
      <c r="AG294" s="308" t="str">
        <f>IFERROR(VLOOKUP(TableHandbook[[#This Row],[UDC]],TableMJRUMATHT[],7,FALSE),"")</f>
        <v/>
      </c>
      <c r="AH294" s="308" t="str">
        <f>IFERROR(VLOOKUP(TableHandbook[[#This Row],[UDC]],TableMJRUSCIBI[],7,FALSE),"")</f>
        <v/>
      </c>
      <c r="AI294" s="308" t="str">
        <f>IFERROR(VLOOKUP(TableHandbook[[#This Row],[UDC]],TableMJRUSCICH[],7,FALSE),"")</f>
        <v/>
      </c>
      <c r="AJ294" s="308" t="str">
        <f>IFERROR(VLOOKUP(TableHandbook[[#This Row],[UDC]],TableMJRUSCIHB[],7,FALSE),"")</f>
        <v/>
      </c>
      <c r="AK294" s="308" t="str">
        <f>IFERROR(VLOOKUP(TableHandbook[[#This Row],[UDC]],TableMJRUSCIPH[],7,FALSE),"")</f>
        <v/>
      </c>
      <c r="AL294" s="308" t="str">
        <f>IFERROR(VLOOKUP(TableHandbook[[#This Row],[UDC]],TableMJRUSCIPS[],7,FALSE),"")</f>
        <v/>
      </c>
      <c r="AM294" s="202"/>
      <c r="AN294" s="308" t="str">
        <f>IFERROR(VLOOKUP(TableHandbook[[#This Row],[UDC]],TableSTRUBIOLB[],7,FALSE),"")</f>
        <v/>
      </c>
      <c r="AO294" s="308" t="str">
        <f>IFERROR(VLOOKUP(TableHandbook[[#This Row],[UDC]],TableSTRUBSCIM[],7,FALSE),"")</f>
        <v/>
      </c>
      <c r="AP294" s="308" t="str">
        <f>IFERROR(VLOOKUP(TableHandbook[[#This Row],[UDC]],TableSTRUCHEMB[],7,FALSE),"")</f>
        <v/>
      </c>
      <c r="AQ294" s="308" t="str">
        <f>IFERROR(VLOOKUP(TableHandbook[[#This Row],[UDC]],TableSTRUECOB1[],7,FALSE),"")</f>
        <v/>
      </c>
      <c r="AR294" s="308" t="str">
        <f>IFERROR(VLOOKUP(TableHandbook[[#This Row],[UDC]],TableSTRUEDART[],7,FALSE),"")</f>
        <v/>
      </c>
      <c r="AS294" s="308" t="str">
        <f>IFERROR(VLOOKUP(TableHandbook[[#This Row],[UDC]],TableSTRUEDENG[],7,FALSE),"")</f>
        <v/>
      </c>
      <c r="AT294" s="308" t="str">
        <f>IFERROR(VLOOKUP(TableHandbook[[#This Row],[UDC]],TableSTRUEDHAS[],7,FALSE),"")</f>
        <v/>
      </c>
      <c r="AU294" s="308" t="str">
        <f>IFERROR(VLOOKUP(TableHandbook[[#This Row],[UDC]],TableSTRUEDMAT[],7,FALSE),"")</f>
        <v/>
      </c>
      <c r="AV294" s="308" t="str">
        <f>IFERROR(VLOOKUP(TableHandbook[[#This Row],[UDC]],TableSTRUEDSCI[],7,FALSE),"")</f>
        <v/>
      </c>
      <c r="AW294" s="308" t="str">
        <f>IFERROR(VLOOKUP(TableHandbook[[#This Row],[UDC]],TableSTRUENGLB[],7,FALSE),"")</f>
        <v/>
      </c>
      <c r="AX294" s="308" t="str">
        <f>IFERROR(VLOOKUP(TableHandbook[[#This Row],[UDC]],TableSTRUENGLM[],7,FALSE),"")</f>
        <v/>
      </c>
      <c r="AY294" s="308" t="str">
        <f>IFERROR(VLOOKUP(TableHandbook[[#This Row],[UDC]],TableSTRUGEOB1[],7,FALSE),"")</f>
        <v/>
      </c>
      <c r="AZ294" s="308" t="str">
        <f>IFERROR(VLOOKUP(TableHandbook[[#This Row],[UDC]],TableSTRUHISB1[],7,FALSE),"")</f>
        <v/>
      </c>
      <c r="BA294" s="308" t="str">
        <f>IFERROR(VLOOKUP(TableHandbook[[#This Row],[UDC]],TableSTRUHUMAM[],7,FALSE),"")</f>
        <v/>
      </c>
      <c r="BB294" s="308" t="str">
        <f>IFERROR(VLOOKUP(TableHandbook[[#This Row],[UDC]],TableSTRUHUMBB[],7,FALSE),"")</f>
        <v/>
      </c>
      <c r="BC294" s="308" t="str">
        <f>IFERROR(VLOOKUP(TableHandbook[[#This Row],[UDC]],TableSTRUMATHB[],7,FALSE),"")</f>
        <v/>
      </c>
      <c r="BD294" s="308" t="str">
        <f>IFERROR(VLOOKUP(TableHandbook[[#This Row],[UDC]],TableSTRUMATHM[],7,FALSE),"")</f>
        <v/>
      </c>
      <c r="BE294" s="308" t="str">
        <f>IFERROR(VLOOKUP(TableHandbook[[#This Row],[UDC]],TableSTRUPARTB[],7,FALSE),"")</f>
        <v/>
      </c>
      <c r="BF294" s="308" t="str">
        <f>IFERROR(VLOOKUP(TableHandbook[[#This Row],[UDC]],TableSTRUPARTM[],7,FALSE),"")</f>
        <v/>
      </c>
      <c r="BG294" s="308" t="str">
        <f>IFERROR(VLOOKUP(TableHandbook[[#This Row],[UDC]],TableSTRUPOLB1[],7,FALSE),"")</f>
        <v/>
      </c>
      <c r="BH294" s="308" t="str">
        <f>IFERROR(VLOOKUP(TableHandbook[[#This Row],[UDC]],TableSTRUPSCIM[],7,FALSE),"")</f>
        <v/>
      </c>
      <c r="BI294" s="308" t="str">
        <f>IFERROR(VLOOKUP(TableHandbook[[#This Row],[UDC]],TableSTRUPSYCB[],7,FALSE),"")</f>
        <v/>
      </c>
      <c r="BJ294" s="308" t="str">
        <f>IFERROR(VLOOKUP(TableHandbook[[#This Row],[UDC]],TableSTRUPSYCM[],7,FALSE),"")</f>
        <v/>
      </c>
      <c r="BK294" s="308" t="str">
        <f>IFERROR(VLOOKUP(TableHandbook[[#This Row],[UDC]],TableSTRUSOSCM[],7,FALSE),"")</f>
        <v/>
      </c>
      <c r="BL294" s="308" t="str">
        <f>IFERROR(VLOOKUP(TableHandbook[[#This Row],[UDC]],TableSTRUVARTB[],7,FALSE),"")</f>
        <v/>
      </c>
      <c r="BM294" s="308" t="str">
        <f>IFERROR(VLOOKUP(TableHandbook[[#This Row],[UDC]],TableSTRUVARTM[],7,FALSE),"")</f>
        <v/>
      </c>
    </row>
    <row r="295" spans="1:65" x14ac:dyDescent="0.25">
      <c r="A295" s="338" t="s">
        <v>940</v>
      </c>
      <c r="B295" s="336">
        <v>1</v>
      </c>
      <c r="C295" s="335"/>
      <c r="D295" s="335" t="s">
        <v>941</v>
      </c>
      <c r="E295" s="336">
        <v>75</v>
      </c>
      <c r="F295" s="337"/>
      <c r="G295" s="304" t="str">
        <f>IFERROR(IF(VLOOKUP(TableHandbook[[#This Row],[UDC]],TableAvailabilities[],2,FALSE)&gt;0,"Y",""),"")</f>
        <v/>
      </c>
      <c r="H295" s="305" t="str">
        <f>IFERROR(IF(VLOOKUP(TableHandbook[[#This Row],[UDC]],TableAvailabilities[],3,FALSE)&gt;0,"Y",""),"")</f>
        <v/>
      </c>
      <c r="I295" s="305" t="str">
        <f>IFERROR(IF(VLOOKUP(TableHandbook[[#This Row],[UDC]],TableAvailabilities[],4,FALSE)&gt;0,"Y",""),"")</f>
        <v/>
      </c>
      <c r="J295" s="306" t="str">
        <f>IFERROR(IF(VLOOKUP(TableHandbook[[#This Row],[UDC]],TableAvailabilities[],5,FALSE)&gt;0,"Y",""),"")</f>
        <v/>
      </c>
      <c r="K295" s="306" t="str">
        <f>IFERROR(IF(VLOOKUP(TableHandbook[[#This Row],[UDC]],TableAvailabilities[],6,FALSE)&gt;0,"Y",""),"")</f>
        <v/>
      </c>
      <c r="L295" s="305" t="str">
        <f>IFERROR(IF(VLOOKUP(TableHandbook[[#This Row],[UDC]],TableAvailabilities[],7,FALSE)&gt;0,"Y",""),"")</f>
        <v/>
      </c>
      <c r="M295" s="307"/>
      <c r="N295" s="200" t="str">
        <f>IFERROR(VLOOKUP(TableHandbook[[#This Row],[UDC]],TableBEDUC[],7,FALSE),"")</f>
        <v/>
      </c>
      <c r="O295" s="308" t="str">
        <f>IFERROR(VLOOKUP(TableHandbook[[#This Row],[UDC]],TableBEDEC[],7,FALSE),"")</f>
        <v/>
      </c>
      <c r="P295" s="308" t="str">
        <f>IFERROR(VLOOKUP(TableHandbook[[#This Row],[UDC]],TableBEDPR[],7,FALSE),"")</f>
        <v>Option</v>
      </c>
      <c r="Q295" s="308" t="str">
        <f>IFERROR(VLOOKUP(TableHandbook[[#This Row],[UDC]],TableSTRUCATHL[],7,FALSE),"")</f>
        <v/>
      </c>
      <c r="R295" s="308" t="str">
        <f>IFERROR(VLOOKUP(TableHandbook[[#This Row],[UDC]],TableSTRUENGLL[],7,FALSE),"")</f>
        <v/>
      </c>
      <c r="S295" s="308" t="str">
        <f>IFERROR(VLOOKUP(TableHandbook[[#This Row],[UDC]],TableSTRUINTBC[],7,FALSE),"")</f>
        <v/>
      </c>
      <c r="T295" s="308" t="str">
        <f>IFERROR(VLOOKUP(TableHandbook[[#This Row],[UDC]],TableSTRUISTEM[],7,FALSE),"")</f>
        <v/>
      </c>
      <c r="U295" s="308" t="str">
        <f>IFERROR(VLOOKUP(TableHandbook[[#This Row],[UDC]],TableSTRULITNU[],7,FALSE),"")</f>
        <v/>
      </c>
      <c r="V295" s="308" t="str">
        <f>IFERROR(VLOOKUP(TableHandbook[[#This Row],[UDC]],TableSTRUTECHS[],7,FALSE),"")</f>
        <v/>
      </c>
      <c r="W295" s="308" t="str">
        <f>IFERROR(VLOOKUP(TableHandbook[[#This Row],[UDC]],TableBEDSC[],7,FALSE),"")</f>
        <v/>
      </c>
      <c r="X295" s="308" t="str">
        <f>IFERROR(VLOOKUP(TableHandbook[[#This Row],[UDC]],TableMJRUARTDR[],7,FALSE),"")</f>
        <v/>
      </c>
      <c r="Y295" s="308" t="str">
        <f>IFERROR(VLOOKUP(TableHandbook[[#This Row],[UDC]],TableMJRUARTME[],7,FALSE),"")</f>
        <v/>
      </c>
      <c r="Z295" s="308" t="str">
        <f>IFERROR(VLOOKUP(TableHandbook[[#This Row],[UDC]],TableMJRUARTVA[],7,FALSE),"")</f>
        <v/>
      </c>
      <c r="AA295" s="308" t="str">
        <f>IFERROR(VLOOKUP(TableHandbook[[#This Row],[UDC]],TableMJRUENGLT[],7,FALSE),"")</f>
        <v/>
      </c>
      <c r="AB295" s="308" t="str">
        <f>IFERROR(VLOOKUP(TableHandbook[[#This Row],[UDC]],TableMJRUHLTPE[],7,FALSE),"")</f>
        <v/>
      </c>
      <c r="AC295" s="308" t="str">
        <f>IFERROR(VLOOKUP(TableHandbook[[#This Row],[UDC]],TableMJRUHUSEC[],7,FALSE),"")</f>
        <v/>
      </c>
      <c r="AD295" s="308" t="str">
        <f>IFERROR(VLOOKUP(TableHandbook[[#This Row],[UDC]],TableMJRUHUSGE[],7,FALSE),"")</f>
        <v/>
      </c>
      <c r="AE295" s="308" t="str">
        <f>IFERROR(VLOOKUP(TableHandbook[[#This Row],[UDC]],TableMJRUHUSHI[],7,FALSE),"")</f>
        <v/>
      </c>
      <c r="AF295" s="308" t="str">
        <f>IFERROR(VLOOKUP(TableHandbook[[#This Row],[UDC]],TableMJRUHUSPL[],7,FALSE),"")</f>
        <v/>
      </c>
      <c r="AG295" s="308" t="str">
        <f>IFERROR(VLOOKUP(TableHandbook[[#This Row],[UDC]],TableMJRUMATHT[],7,FALSE),"")</f>
        <v/>
      </c>
      <c r="AH295" s="308" t="str">
        <f>IFERROR(VLOOKUP(TableHandbook[[#This Row],[UDC]],TableMJRUSCIBI[],7,FALSE),"")</f>
        <v/>
      </c>
      <c r="AI295" s="308" t="str">
        <f>IFERROR(VLOOKUP(TableHandbook[[#This Row],[UDC]],TableMJRUSCICH[],7,FALSE),"")</f>
        <v/>
      </c>
      <c r="AJ295" s="308" t="str">
        <f>IFERROR(VLOOKUP(TableHandbook[[#This Row],[UDC]],TableMJRUSCIHB[],7,FALSE),"")</f>
        <v/>
      </c>
      <c r="AK295" s="308" t="str">
        <f>IFERROR(VLOOKUP(TableHandbook[[#This Row],[UDC]],TableMJRUSCIPH[],7,FALSE),"")</f>
        <v/>
      </c>
      <c r="AL295" s="308" t="str">
        <f>IFERROR(VLOOKUP(TableHandbook[[#This Row],[UDC]],TableMJRUSCIPS[],7,FALSE),"")</f>
        <v/>
      </c>
      <c r="AM295" s="202"/>
      <c r="AN295" s="308" t="str">
        <f>IFERROR(VLOOKUP(TableHandbook[[#This Row],[UDC]],TableSTRUBIOLB[],7,FALSE),"")</f>
        <v/>
      </c>
      <c r="AO295" s="308" t="str">
        <f>IFERROR(VLOOKUP(TableHandbook[[#This Row],[UDC]],TableSTRUBSCIM[],7,FALSE),"")</f>
        <v/>
      </c>
      <c r="AP295" s="308" t="str">
        <f>IFERROR(VLOOKUP(TableHandbook[[#This Row],[UDC]],TableSTRUCHEMB[],7,FALSE),"")</f>
        <v/>
      </c>
      <c r="AQ295" s="308" t="str">
        <f>IFERROR(VLOOKUP(TableHandbook[[#This Row],[UDC]],TableSTRUECOB1[],7,FALSE),"")</f>
        <v/>
      </c>
      <c r="AR295" s="308" t="str">
        <f>IFERROR(VLOOKUP(TableHandbook[[#This Row],[UDC]],TableSTRUEDART[],7,FALSE),"")</f>
        <v/>
      </c>
      <c r="AS295" s="308" t="str">
        <f>IFERROR(VLOOKUP(TableHandbook[[#This Row],[UDC]],TableSTRUEDENG[],7,FALSE),"")</f>
        <v/>
      </c>
      <c r="AT295" s="308" t="str">
        <f>IFERROR(VLOOKUP(TableHandbook[[#This Row],[UDC]],TableSTRUEDHAS[],7,FALSE),"")</f>
        <v/>
      </c>
      <c r="AU295" s="308" t="str">
        <f>IFERROR(VLOOKUP(TableHandbook[[#This Row],[UDC]],TableSTRUEDMAT[],7,FALSE),"")</f>
        <v/>
      </c>
      <c r="AV295" s="308" t="str">
        <f>IFERROR(VLOOKUP(TableHandbook[[#This Row],[UDC]],TableSTRUEDSCI[],7,FALSE),"")</f>
        <v/>
      </c>
      <c r="AW295" s="308" t="str">
        <f>IFERROR(VLOOKUP(TableHandbook[[#This Row],[UDC]],TableSTRUENGLB[],7,FALSE),"")</f>
        <v/>
      </c>
      <c r="AX295" s="308" t="str">
        <f>IFERROR(VLOOKUP(TableHandbook[[#This Row],[UDC]],TableSTRUENGLM[],7,FALSE),"")</f>
        <v/>
      </c>
      <c r="AY295" s="308" t="str">
        <f>IFERROR(VLOOKUP(TableHandbook[[#This Row],[UDC]],TableSTRUGEOB1[],7,FALSE),"")</f>
        <v/>
      </c>
      <c r="AZ295" s="308" t="str">
        <f>IFERROR(VLOOKUP(TableHandbook[[#This Row],[UDC]],TableSTRUHISB1[],7,FALSE),"")</f>
        <v/>
      </c>
      <c r="BA295" s="308" t="str">
        <f>IFERROR(VLOOKUP(TableHandbook[[#This Row],[UDC]],TableSTRUHUMAM[],7,FALSE),"")</f>
        <v/>
      </c>
      <c r="BB295" s="308" t="str">
        <f>IFERROR(VLOOKUP(TableHandbook[[#This Row],[UDC]],TableSTRUHUMBB[],7,FALSE),"")</f>
        <v/>
      </c>
      <c r="BC295" s="308" t="str">
        <f>IFERROR(VLOOKUP(TableHandbook[[#This Row],[UDC]],TableSTRUMATHB[],7,FALSE),"")</f>
        <v/>
      </c>
      <c r="BD295" s="308" t="str">
        <f>IFERROR(VLOOKUP(TableHandbook[[#This Row],[UDC]],TableSTRUMATHM[],7,FALSE),"")</f>
        <v/>
      </c>
      <c r="BE295" s="308" t="str">
        <f>IFERROR(VLOOKUP(TableHandbook[[#This Row],[UDC]],TableSTRUPARTB[],7,FALSE),"")</f>
        <v/>
      </c>
      <c r="BF295" s="308" t="str">
        <f>IFERROR(VLOOKUP(TableHandbook[[#This Row],[UDC]],TableSTRUPARTM[],7,FALSE),"")</f>
        <v/>
      </c>
      <c r="BG295" s="308" t="str">
        <f>IFERROR(VLOOKUP(TableHandbook[[#This Row],[UDC]],TableSTRUPOLB1[],7,FALSE),"")</f>
        <v/>
      </c>
      <c r="BH295" s="308" t="str">
        <f>IFERROR(VLOOKUP(TableHandbook[[#This Row],[UDC]],TableSTRUPSCIM[],7,FALSE),"")</f>
        <v/>
      </c>
      <c r="BI295" s="308" t="str">
        <f>IFERROR(VLOOKUP(TableHandbook[[#This Row],[UDC]],TableSTRUPSYCB[],7,FALSE),"")</f>
        <v/>
      </c>
      <c r="BJ295" s="308" t="str">
        <f>IFERROR(VLOOKUP(TableHandbook[[#This Row],[UDC]],TableSTRUPSYCM[],7,FALSE),"")</f>
        <v/>
      </c>
      <c r="BK295" s="308" t="str">
        <f>IFERROR(VLOOKUP(TableHandbook[[#This Row],[UDC]],TableSTRUSOSCM[],7,FALSE),"")</f>
        <v/>
      </c>
      <c r="BL295" s="308" t="str">
        <f>IFERROR(VLOOKUP(TableHandbook[[#This Row],[UDC]],TableSTRUVARTB[],7,FALSE),"")</f>
        <v/>
      </c>
      <c r="BM295" s="308" t="str">
        <f>IFERROR(VLOOKUP(TableHandbook[[#This Row],[UDC]],TableSTRUVARTM[],7,FALSE),"")</f>
        <v/>
      </c>
    </row>
    <row r="296" spans="1:65" x14ac:dyDescent="0.25">
      <c r="A296" s="338" t="s">
        <v>942</v>
      </c>
      <c r="B296" s="336">
        <v>1</v>
      </c>
      <c r="C296" s="335"/>
      <c r="D296" s="335" t="s">
        <v>943</v>
      </c>
      <c r="E296" s="336">
        <v>75</v>
      </c>
      <c r="F296" s="337"/>
      <c r="G296" s="326" t="str">
        <f>IFERROR(IF(VLOOKUP(TableHandbook[[#This Row],[UDC]],TableAvailabilities[],2,FALSE)&gt;0,"Y",""),"")</f>
        <v/>
      </c>
      <c r="H296" s="327" t="str">
        <f>IFERROR(IF(VLOOKUP(TableHandbook[[#This Row],[UDC]],TableAvailabilities[],3,FALSE)&gt;0,"Y",""),"")</f>
        <v/>
      </c>
      <c r="I296" s="327" t="str">
        <f>IFERROR(IF(VLOOKUP(TableHandbook[[#This Row],[UDC]],TableAvailabilities[],4,FALSE)&gt;0,"Y",""),"")</f>
        <v/>
      </c>
      <c r="J296" s="328" t="str">
        <f>IFERROR(IF(VLOOKUP(TableHandbook[[#This Row],[UDC]],TableAvailabilities[],5,FALSE)&gt;0,"Y",""),"")</f>
        <v/>
      </c>
      <c r="K296" s="328" t="str">
        <f>IFERROR(IF(VLOOKUP(TableHandbook[[#This Row],[UDC]],TableAvailabilities[],6,FALSE)&gt;0,"Y",""),"")</f>
        <v/>
      </c>
      <c r="L296" s="327" t="str">
        <f>IFERROR(IF(VLOOKUP(TableHandbook[[#This Row],[UDC]],TableAvailabilities[],7,FALSE)&gt;0,"Y",""),"")</f>
        <v/>
      </c>
      <c r="M296" s="331"/>
      <c r="N296" s="277" t="str">
        <f>IFERROR(VLOOKUP(TableHandbook[[#This Row],[UDC]],TableBEDUC[],7,FALSE),"")</f>
        <v/>
      </c>
      <c r="O296" s="332" t="str">
        <f>IFERROR(VLOOKUP(TableHandbook[[#This Row],[UDC]],TableBEDEC[],7,FALSE),"")</f>
        <v/>
      </c>
      <c r="P296" s="332" t="str">
        <f>IFERROR(VLOOKUP(TableHandbook[[#This Row],[UDC]],TableBEDPR[],7,FALSE),"")</f>
        <v>Option</v>
      </c>
      <c r="Q296" s="332" t="str">
        <f>IFERROR(VLOOKUP(TableHandbook[[#This Row],[UDC]],TableSTRUCATHL[],7,FALSE),"")</f>
        <v/>
      </c>
      <c r="R296" s="332" t="str">
        <f>IFERROR(VLOOKUP(TableHandbook[[#This Row],[UDC]],TableSTRUENGLL[],7,FALSE),"")</f>
        <v/>
      </c>
      <c r="S296" s="332" t="str">
        <f>IFERROR(VLOOKUP(TableHandbook[[#This Row],[UDC]],TableSTRUINTBC[],7,FALSE),"")</f>
        <v/>
      </c>
      <c r="T296" s="332" t="str">
        <f>IFERROR(VLOOKUP(TableHandbook[[#This Row],[UDC]],TableSTRUISTEM[],7,FALSE),"")</f>
        <v/>
      </c>
      <c r="U296" s="332" t="str">
        <f>IFERROR(VLOOKUP(TableHandbook[[#This Row],[UDC]],TableSTRULITNU[],7,FALSE),"")</f>
        <v/>
      </c>
      <c r="V296" s="332" t="str">
        <f>IFERROR(VLOOKUP(TableHandbook[[#This Row],[UDC]],TableSTRUTECHS[],7,FALSE),"")</f>
        <v/>
      </c>
      <c r="W296" s="332" t="str">
        <f>IFERROR(VLOOKUP(TableHandbook[[#This Row],[UDC]],TableBEDSC[],7,FALSE),"")</f>
        <v/>
      </c>
      <c r="X296" s="332" t="str">
        <f>IFERROR(VLOOKUP(TableHandbook[[#This Row],[UDC]],TableMJRUARTDR[],7,FALSE),"")</f>
        <v/>
      </c>
      <c r="Y296" s="332" t="str">
        <f>IFERROR(VLOOKUP(TableHandbook[[#This Row],[UDC]],TableMJRUARTME[],7,FALSE),"")</f>
        <v/>
      </c>
      <c r="Z296" s="332" t="str">
        <f>IFERROR(VLOOKUP(TableHandbook[[#This Row],[UDC]],TableMJRUARTVA[],7,FALSE),"")</f>
        <v/>
      </c>
      <c r="AA296" s="332" t="str">
        <f>IFERROR(VLOOKUP(TableHandbook[[#This Row],[UDC]],TableMJRUENGLT[],7,FALSE),"")</f>
        <v/>
      </c>
      <c r="AB296" s="332" t="str">
        <f>IFERROR(VLOOKUP(TableHandbook[[#This Row],[UDC]],TableMJRUHLTPE[],7,FALSE),"")</f>
        <v/>
      </c>
      <c r="AC296" s="332" t="str">
        <f>IFERROR(VLOOKUP(TableHandbook[[#This Row],[UDC]],TableMJRUHUSEC[],7,FALSE),"")</f>
        <v/>
      </c>
      <c r="AD296" s="332" t="str">
        <f>IFERROR(VLOOKUP(TableHandbook[[#This Row],[UDC]],TableMJRUHUSGE[],7,FALSE),"")</f>
        <v/>
      </c>
      <c r="AE296" s="332" t="str">
        <f>IFERROR(VLOOKUP(TableHandbook[[#This Row],[UDC]],TableMJRUHUSHI[],7,FALSE),"")</f>
        <v/>
      </c>
      <c r="AF296" s="332" t="str">
        <f>IFERROR(VLOOKUP(TableHandbook[[#This Row],[UDC]],TableMJRUHUSPL[],7,FALSE),"")</f>
        <v/>
      </c>
      <c r="AG296" s="332" t="str">
        <f>IFERROR(VLOOKUP(TableHandbook[[#This Row],[UDC]],TableMJRUMATHT[],7,FALSE),"")</f>
        <v/>
      </c>
      <c r="AH296" s="332" t="str">
        <f>IFERROR(VLOOKUP(TableHandbook[[#This Row],[UDC]],TableMJRUSCIBI[],7,FALSE),"")</f>
        <v/>
      </c>
      <c r="AI296" s="332" t="str">
        <f>IFERROR(VLOOKUP(TableHandbook[[#This Row],[UDC]],TableMJRUSCICH[],7,FALSE),"")</f>
        <v/>
      </c>
      <c r="AJ296" s="332" t="str">
        <f>IFERROR(VLOOKUP(TableHandbook[[#This Row],[UDC]],TableMJRUSCIHB[],7,FALSE),"")</f>
        <v/>
      </c>
      <c r="AK296" s="332" t="str">
        <f>IFERROR(VLOOKUP(TableHandbook[[#This Row],[UDC]],TableMJRUSCIPH[],7,FALSE),"")</f>
        <v/>
      </c>
      <c r="AL296" s="332" t="str">
        <f>IFERROR(VLOOKUP(TableHandbook[[#This Row],[UDC]],TableMJRUSCIPS[],7,FALSE),"")</f>
        <v/>
      </c>
      <c r="AM296" s="202"/>
      <c r="AN296" s="332" t="str">
        <f>IFERROR(VLOOKUP(TableHandbook[[#This Row],[UDC]],TableSTRUBIOLB[],7,FALSE),"")</f>
        <v/>
      </c>
      <c r="AO296" s="332" t="str">
        <f>IFERROR(VLOOKUP(TableHandbook[[#This Row],[UDC]],TableSTRUBSCIM[],7,FALSE),"")</f>
        <v/>
      </c>
      <c r="AP296" s="332" t="str">
        <f>IFERROR(VLOOKUP(TableHandbook[[#This Row],[UDC]],TableSTRUCHEMB[],7,FALSE),"")</f>
        <v/>
      </c>
      <c r="AQ296" s="332" t="str">
        <f>IFERROR(VLOOKUP(TableHandbook[[#This Row],[UDC]],TableSTRUECOB1[],7,FALSE),"")</f>
        <v/>
      </c>
      <c r="AR296" s="332" t="str">
        <f>IFERROR(VLOOKUP(TableHandbook[[#This Row],[UDC]],TableSTRUEDART[],7,FALSE),"")</f>
        <v/>
      </c>
      <c r="AS296" s="332" t="str">
        <f>IFERROR(VLOOKUP(TableHandbook[[#This Row],[UDC]],TableSTRUEDENG[],7,FALSE),"")</f>
        <v/>
      </c>
      <c r="AT296" s="332" t="str">
        <f>IFERROR(VLOOKUP(TableHandbook[[#This Row],[UDC]],TableSTRUEDHAS[],7,FALSE),"")</f>
        <v/>
      </c>
      <c r="AU296" s="332" t="str">
        <f>IFERROR(VLOOKUP(TableHandbook[[#This Row],[UDC]],TableSTRUEDMAT[],7,FALSE),"")</f>
        <v/>
      </c>
      <c r="AV296" s="332" t="str">
        <f>IFERROR(VLOOKUP(TableHandbook[[#This Row],[UDC]],TableSTRUEDSCI[],7,FALSE),"")</f>
        <v/>
      </c>
      <c r="AW296" s="332" t="str">
        <f>IFERROR(VLOOKUP(TableHandbook[[#This Row],[UDC]],TableSTRUENGLB[],7,FALSE),"")</f>
        <v/>
      </c>
      <c r="AX296" s="332" t="str">
        <f>IFERROR(VLOOKUP(TableHandbook[[#This Row],[UDC]],TableSTRUENGLM[],7,FALSE),"")</f>
        <v/>
      </c>
      <c r="AY296" s="332" t="str">
        <f>IFERROR(VLOOKUP(TableHandbook[[#This Row],[UDC]],TableSTRUGEOB1[],7,FALSE),"")</f>
        <v/>
      </c>
      <c r="AZ296" s="332" t="str">
        <f>IFERROR(VLOOKUP(TableHandbook[[#This Row],[UDC]],TableSTRUHISB1[],7,FALSE),"")</f>
        <v/>
      </c>
      <c r="BA296" s="332" t="str">
        <f>IFERROR(VLOOKUP(TableHandbook[[#This Row],[UDC]],TableSTRUHUMAM[],7,FALSE),"")</f>
        <v/>
      </c>
      <c r="BB296" s="332" t="str">
        <f>IFERROR(VLOOKUP(TableHandbook[[#This Row],[UDC]],TableSTRUHUMBB[],7,FALSE),"")</f>
        <v/>
      </c>
      <c r="BC296" s="332" t="str">
        <f>IFERROR(VLOOKUP(TableHandbook[[#This Row],[UDC]],TableSTRUMATHB[],7,FALSE),"")</f>
        <v/>
      </c>
      <c r="BD296" s="332" t="str">
        <f>IFERROR(VLOOKUP(TableHandbook[[#This Row],[UDC]],TableSTRUMATHM[],7,FALSE),"")</f>
        <v/>
      </c>
      <c r="BE296" s="332" t="str">
        <f>IFERROR(VLOOKUP(TableHandbook[[#This Row],[UDC]],TableSTRUPARTB[],7,FALSE),"")</f>
        <v/>
      </c>
      <c r="BF296" s="332" t="str">
        <f>IFERROR(VLOOKUP(TableHandbook[[#This Row],[UDC]],TableSTRUPARTM[],7,FALSE),"")</f>
        <v/>
      </c>
      <c r="BG296" s="332" t="str">
        <f>IFERROR(VLOOKUP(TableHandbook[[#This Row],[UDC]],TableSTRUPOLB1[],7,FALSE),"")</f>
        <v/>
      </c>
      <c r="BH296" s="332" t="str">
        <f>IFERROR(VLOOKUP(TableHandbook[[#This Row],[UDC]],TableSTRUPSCIM[],7,FALSE),"")</f>
        <v/>
      </c>
      <c r="BI296" s="332" t="str">
        <f>IFERROR(VLOOKUP(TableHandbook[[#This Row],[UDC]],TableSTRUPSYCB[],7,FALSE),"")</f>
        <v/>
      </c>
      <c r="BJ296" s="332" t="str">
        <f>IFERROR(VLOOKUP(TableHandbook[[#This Row],[UDC]],TableSTRUPSYCM[],7,FALSE),"")</f>
        <v/>
      </c>
      <c r="BK296" s="332" t="str">
        <f>IFERROR(VLOOKUP(TableHandbook[[#This Row],[UDC]],TableSTRUSOSCM[],7,FALSE),"")</f>
        <v/>
      </c>
      <c r="BL296" s="332" t="str">
        <f>IFERROR(VLOOKUP(TableHandbook[[#This Row],[UDC]],TableSTRUVARTB[],7,FALSE),"")</f>
        <v/>
      </c>
      <c r="BM296" s="332" t="str">
        <f>IFERROR(VLOOKUP(TableHandbook[[#This Row],[UDC]],TableSTRUVARTM[],7,FALSE),"")</f>
        <v/>
      </c>
    </row>
  </sheetData>
  <sortState ref="A24:D37">
    <sortCondition ref="A24"/>
  </sortState>
  <conditionalFormatting sqref="A4:A296">
    <cfRule type="duplicateValues" dxfId="985" priority="489"/>
  </conditionalFormatting>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1164"/>
  <sheetViews>
    <sheetView topLeftCell="A981" zoomScale="70" zoomScaleNormal="70" workbookViewId="0">
      <selection activeCell="D9" sqref="D9"/>
    </sheetView>
  </sheetViews>
  <sheetFormatPr defaultRowHeight="15.75" x14ac:dyDescent="0.25"/>
  <cols>
    <col min="1" max="1" width="14.25" bestFit="1" customWidth="1"/>
    <col min="2" max="2" width="9.75" style="5" customWidth="1"/>
    <col min="3" max="3" width="12" bestFit="1" customWidth="1"/>
    <col min="4" max="4" width="57" customWidth="1"/>
    <col min="5" max="5" width="8.625" style="5" bestFit="1" customWidth="1"/>
    <col min="6" max="6" width="6.5" bestFit="1" customWidth="1"/>
    <col min="7" max="7" width="13.625" bestFit="1" customWidth="1"/>
    <col min="8" max="8" width="10.625" bestFit="1" customWidth="1"/>
    <col min="9" max="9" width="14.5" bestFit="1" customWidth="1"/>
    <col min="10" max="10" width="21.125" bestFit="1" customWidth="1"/>
    <col min="11" max="11" width="6.25" customWidth="1"/>
    <col min="12" max="12" width="67.75" customWidth="1"/>
    <col min="13" max="13" width="8.75" bestFit="1" customWidth="1"/>
    <col min="14" max="14" width="11.25" bestFit="1" customWidth="1"/>
    <col min="15" max="15" width="10.875" bestFit="1" customWidth="1"/>
    <col min="18" max="18" width="12.625" bestFit="1" customWidth="1"/>
    <col min="19" max="19" width="10.375" customWidth="1"/>
  </cols>
  <sheetData>
    <row r="1" spans="1:19" x14ac:dyDescent="0.25">
      <c r="A1" s="122"/>
      <c r="B1" s="124"/>
      <c r="C1" s="122"/>
      <c r="G1" s="123" t="s">
        <v>855</v>
      </c>
      <c r="H1" s="158">
        <v>43466</v>
      </c>
      <c r="J1" s="197" t="s">
        <v>66</v>
      </c>
      <c r="K1" s="124" t="s">
        <v>67</v>
      </c>
      <c r="L1" s="122" t="s">
        <v>65</v>
      </c>
      <c r="M1" s="122"/>
      <c r="N1" s="123"/>
      <c r="O1" s="195"/>
    </row>
    <row r="2" spans="1:19" ht="31.5" x14ac:dyDescent="0.25">
      <c r="A2" s="159" t="s">
        <v>0</v>
      </c>
      <c r="B2" s="160" t="s">
        <v>60</v>
      </c>
      <c r="C2" s="159" t="s">
        <v>856</v>
      </c>
      <c r="D2" s="159" t="s">
        <v>3</v>
      </c>
      <c r="E2" s="161" t="s">
        <v>857</v>
      </c>
      <c r="F2" s="159" t="s">
        <v>858</v>
      </c>
      <c r="G2" s="159" t="s">
        <v>859</v>
      </c>
      <c r="H2" s="159" t="s">
        <v>860</v>
      </c>
      <c r="I2" s="159" t="s">
        <v>17</v>
      </c>
      <c r="J2" s="159" t="s">
        <v>861</v>
      </c>
      <c r="K2" s="159" t="s">
        <v>1</v>
      </c>
      <c r="L2" s="159" t="s">
        <v>44</v>
      </c>
      <c r="M2" s="159" t="s">
        <v>61</v>
      </c>
      <c r="N2" s="159" t="s">
        <v>862</v>
      </c>
      <c r="O2" s="159" t="s">
        <v>863</v>
      </c>
      <c r="R2" t="s">
        <v>538</v>
      </c>
      <c r="S2" t="s">
        <v>864</v>
      </c>
    </row>
    <row r="3" spans="1:19" x14ac:dyDescent="0.25">
      <c r="A3" t="str">
        <f>TableBEDUC[[#This Row],[Study Package Code]]</f>
        <v>EDUC1021</v>
      </c>
      <c r="B3" s="5">
        <f>TableBEDUC[[#This Row],[Ver]]</f>
        <v>1</v>
      </c>
      <c r="D3" t="str">
        <f>TableBEDUC[[#This Row],[Structure Line]]</f>
        <v>Child Development for Educators</v>
      </c>
      <c r="E3" s="125">
        <f>TableBEDUC[[#This Row],[Credit Points]]</f>
        <v>25</v>
      </c>
      <c r="F3">
        <v>1</v>
      </c>
      <c r="G3" t="s">
        <v>865</v>
      </c>
      <c r="H3">
        <v>1</v>
      </c>
      <c r="I3" t="s">
        <v>528</v>
      </c>
      <c r="J3" t="s">
        <v>51</v>
      </c>
      <c r="K3">
        <v>1</v>
      </c>
      <c r="L3" t="s">
        <v>685</v>
      </c>
      <c r="M3">
        <v>25</v>
      </c>
      <c r="N3" s="195">
        <v>43466</v>
      </c>
      <c r="O3" s="195"/>
      <c r="R3" t="s">
        <v>51</v>
      </c>
      <c r="S3">
        <v>1</v>
      </c>
    </row>
    <row r="4" spans="1:19" x14ac:dyDescent="0.25">
      <c r="A4" t="str">
        <f>TableBEDUC[[#This Row],[Study Package Code]]</f>
        <v>EDUC1019</v>
      </c>
      <c r="B4" s="5">
        <f>TableBEDUC[[#This Row],[Ver]]</f>
        <v>1</v>
      </c>
      <c r="D4" t="str">
        <f>TableBEDUC[[#This Row],[Structure Line]]</f>
        <v>Teaching and Learning in the Digital World</v>
      </c>
      <c r="E4" s="125">
        <f>TableBEDUC[[#This Row],[Credit Points]]</f>
        <v>25</v>
      </c>
      <c r="F4">
        <v>2</v>
      </c>
      <c r="G4" t="s">
        <v>865</v>
      </c>
      <c r="H4">
        <v>1</v>
      </c>
      <c r="I4" t="s">
        <v>528</v>
      </c>
      <c r="J4" t="s">
        <v>54</v>
      </c>
      <c r="K4">
        <v>1</v>
      </c>
      <c r="L4" t="s">
        <v>684</v>
      </c>
      <c r="M4">
        <v>25</v>
      </c>
      <c r="N4" s="195">
        <v>43466</v>
      </c>
      <c r="O4" s="195"/>
      <c r="R4" t="s">
        <v>54</v>
      </c>
      <c r="S4">
        <v>1</v>
      </c>
    </row>
    <row r="5" spans="1:19" x14ac:dyDescent="0.25">
      <c r="A5" t="str">
        <f>TableBEDUC[[#This Row],[Study Package Code]]</f>
        <v>EDUC1017</v>
      </c>
      <c r="B5" s="5">
        <f>TableBEDUC[[#This Row],[Ver]]</f>
        <v>1</v>
      </c>
      <c r="D5" t="str">
        <f>TableBEDUC[[#This Row],[Structure Line]]</f>
        <v>The Professional Educator: Developing Teacher Identity</v>
      </c>
      <c r="E5" s="125">
        <f>TableBEDUC[[#This Row],[Credit Points]]</f>
        <v>25</v>
      </c>
      <c r="F5">
        <v>3</v>
      </c>
      <c r="G5" t="s">
        <v>865</v>
      </c>
      <c r="H5">
        <v>1</v>
      </c>
      <c r="I5" t="s">
        <v>528</v>
      </c>
      <c r="J5" t="s">
        <v>56</v>
      </c>
      <c r="K5">
        <v>1</v>
      </c>
      <c r="L5" t="s">
        <v>683</v>
      </c>
      <c r="M5">
        <v>25</v>
      </c>
      <c r="N5" s="195">
        <v>43466</v>
      </c>
      <c r="O5" s="195"/>
      <c r="R5" t="s">
        <v>56</v>
      </c>
      <c r="S5">
        <v>1</v>
      </c>
    </row>
    <row r="6" spans="1:19" x14ac:dyDescent="0.25">
      <c r="A6" t="str">
        <f>TableBEDUC[[#This Row],[Study Package Code]]</f>
        <v>AltCoreBEDUC1</v>
      </c>
      <c r="B6" s="5">
        <f>TableBEDUC[[#This Row],[Ver]]</f>
        <v>0</v>
      </c>
      <c r="D6" t="str">
        <f>TableBEDUC[[#This Row],[Structure Line]]</f>
        <v>Choose EDUC1023 or EDSC1009</v>
      </c>
      <c r="E6" s="125">
        <f>TableBEDUC[[#This Row],[Credit Points]]</f>
        <v>25</v>
      </c>
      <c r="F6">
        <v>4</v>
      </c>
      <c r="G6" t="s">
        <v>865</v>
      </c>
      <c r="H6">
        <v>1</v>
      </c>
      <c r="I6" t="s">
        <v>528</v>
      </c>
      <c r="J6" t="s">
        <v>70</v>
      </c>
      <c r="K6">
        <v>0</v>
      </c>
      <c r="L6" t="s">
        <v>866</v>
      </c>
      <c r="M6">
        <v>25</v>
      </c>
      <c r="N6" s="195"/>
      <c r="O6" s="195"/>
      <c r="R6" t="s">
        <v>70</v>
      </c>
      <c r="S6">
        <v>0</v>
      </c>
    </row>
    <row r="7" spans="1:19" x14ac:dyDescent="0.25">
      <c r="A7" t="str">
        <f>TableBEDUC[[#This Row],[Study Package Code]]</f>
        <v>EDUC1027</v>
      </c>
      <c r="B7" s="5">
        <f>TableBEDUC[[#This Row],[Ver]]</f>
        <v>1</v>
      </c>
      <c r="D7" t="str">
        <f>TableBEDUC[[#This Row],[Structure Line]]</f>
        <v>Educators Inquiring About the World</v>
      </c>
      <c r="E7" s="125">
        <f>TableBEDUC[[#This Row],[Credit Points]]</f>
        <v>25</v>
      </c>
      <c r="F7">
        <v>5</v>
      </c>
      <c r="G7" t="s">
        <v>865</v>
      </c>
      <c r="H7">
        <v>1</v>
      </c>
      <c r="I7" t="s">
        <v>529</v>
      </c>
      <c r="J7" t="s">
        <v>53</v>
      </c>
      <c r="K7">
        <v>1</v>
      </c>
      <c r="L7" t="s">
        <v>688</v>
      </c>
      <c r="M7">
        <v>25</v>
      </c>
      <c r="N7" s="195">
        <v>43466</v>
      </c>
      <c r="O7" s="195"/>
      <c r="R7" t="s">
        <v>53</v>
      </c>
      <c r="S7">
        <v>1</v>
      </c>
    </row>
    <row r="8" spans="1:19" x14ac:dyDescent="0.25">
      <c r="A8" t="str">
        <f>TableBEDUC[[#This Row],[Study Package Code]]</f>
        <v>EDUC1025</v>
      </c>
      <c r="B8" s="5">
        <f>TableBEDUC[[#This Row],[Ver]]</f>
        <v>1</v>
      </c>
      <c r="D8" t="str">
        <f>TableBEDUC[[#This Row],[Structure Line]]</f>
        <v>Exploring and Contesting Curriculum</v>
      </c>
      <c r="E8" s="125">
        <f>TableBEDUC[[#This Row],[Credit Points]]</f>
        <v>25</v>
      </c>
      <c r="F8">
        <v>6</v>
      </c>
      <c r="G8" t="s">
        <v>865</v>
      </c>
      <c r="H8">
        <v>1</v>
      </c>
      <c r="I8" t="s">
        <v>529</v>
      </c>
      <c r="J8" t="s">
        <v>58</v>
      </c>
      <c r="K8">
        <v>1</v>
      </c>
      <c r="L8" t="s">
        <v>687</v>
      </c>
      <c r="M8">
        <v>25</v>
      </c>
      <c r="N8" s="195">
        <v>43466</v>
      </c>
      <c r="O8" s="195"/>
      <c r="R8" t="s">
        <v>58</v>
      </c>
      <c r="S8">
        <v>1</v>
      </c>
    </row>
    <row r="9" spans="1:19" x14ac:dyDescent="0.25">
      <c r="A9" t="str">
        <f>TableBEDUC[[#This Row],[Study Package Code]]</f>
        <v>EDUC1029</v>
      </c>
      <c r="B9" s="5">
        <f>TableBEDUC[[#This Row],[Ver]]</f>
        <v>1</v>
      </c>
      <c r="D9" t="str">
        <f>TableBEDUC[[#This Row],[Structure Line]]</f>
        <v>Performing Arts for Educators</v>
      </c>
      <c r="E9" s="125">
        <f>TableBEDUC[[#This Row],[Credit Points]]</f>
        <v>25</v>
      </c>
      <c r="F9">
        <v>7</v>
      </c>
      <c r="G9" t="s">
        <v>865</v>
      </c>
      <c r="H9">
        <v>1</v>
      </c>
      <c r="I9" t="s">
        <v>529</v>
      </c>
      <c r="J9" t="s">
        <v>55</v>
      </c>
      <c r="K9">
        <v>1</v>
      </c>
      <c r="L9" t="s">
        <v>689</v>
      </c>
      <c r="M9">
        <v>25</v>
      </c>
      <c r="N9" s="195">
        <v>43466</v>
      </c>
      <c r="O9" s="195"/>
      <c r="R9" t="s">
        <v>55</v>
      </c>
      <c r="S9">
        <v>1</v>
      </c>
    </row>
    <row r="10" spans="1:19" x14ac:dyDescent="0.25">
      <c r="A10" t="str">
        <f>TableBEDUC[[#This Row],[Study Package Code]]</f>
        <v>EDUC1031</v>
      </c>
      <c r="B10" s="5">
        <f>TableBEDUC[[#This Row],[Ver]]</f>
        <v>1</v>
      </c>
      <c r="D10" t="str">
        <f>TableBEDUC[[#This Row],[Structure Line]]</f>
        <v>The Numerate Educator</v>
      </c>
      <c r="E10" s="125">
        <f>TableBEDUC[[#This Row],[Credit Points]]</f>
        <v>25</v>
      </c>
      <c r="F10">
        <v>8</v>
      </c>
      <c r="G10" t="s">
        <v>865</v>
      </c>
      <c r="H10">
        <v>1</v>
      </c>
      <c r="I10" t="s">
        <v>529</v>
      </c>
      <c r="J10" t="s">
        <v>59</v>
      </c>
      <c r="K10">
        <v>1</v>
      </c>
      <c r="L10" t="s">
        <v>690</v>
      </c>
      <c r="M10">
        <v>25</v>
      </c>
      <c r="N10" s="195">
        <v>43466</v>
      </c>
      <c r="O10" s="195"/>
      <c r="R10" t="s">
        <v>59</v>
      </c>
      <c r="S10">
        <v>1</v>
      </c>
    </row>
    <row r="11" spans="1:19" x14ac:dyDescent="0.25">
      <c r="A11" t="str">
        <f>TableBEDUC[[#This Row],[Study Package Code]]</f>
        <v>EDPR2016</v>
      </c>
      <c r="B11" s="5">
        <f>TableBEDUC[[#This Row],[Ver]]</f>
        <v>1</v>
      </c>
      <c r="D11" t="str">
        <f>TableBEDUC[[#This Row],[Structure Line]]</f>
        <v>Health and Physical Education</v>
      </c>
      <c r="E11" s="125">
        <f>TableBEDUC[[#This Row],[Credit Points]]</f>
        <v>25</v>
      </c>
      <c r="F11">
        <v>9</v>
      </c>
      <c r="G11" t="s">
        <v>865</v>
      </c>
      <c r="H11">
        <v>2</v>
      </c>
      <c r="I11" t="s">
        <v>528</v>
      </c>
      <c r="J11" t="s">
        <v>85</v>
      </c>
      <c r="K11">
        <v>1</v>
      </c>
      <c r="L11" t="s">
        <v>642</v>
      </c>
      <c r="M11">
        <v>25</v>
      </c>
      <c r="N11" s="195">
        <v>43466</v>
      </c>
      <c r="O11" s="195"/>
      <c r="R11" t="s">
        <v>85</v>
      </c>
      <c r="S11">
        <v>1</v>
      </c>
    </row>
    <row r="12" spans="1:19" x14ac:dyDescent="0.25">
      <c r="A12" t="str">
        <f>TableBEDUC[[#This Row],[Study Package Code]]</f>
        <v>EDUC2007</v>
      </c>
      <c r="B12" s="5">
        <f>TableBEDUC[[#This Row],[Ver]]</f>
        <v>1</v>
      </c>
      <c r="D12" t="str">
        <f>TableBEDUC[[#This Row],[Structure Line]]</f>
        <v>Teaching Language, Literacy and Literature in Junior Primary</v>
      </c>
      <c r="E12" s="125">
        <f>TableBEDUC[[#This Row],[Credit Points]]</f>
        <v>25</v>
      </c>
      <c r="F12">
        <v>10</v>
      </c>
      <c r="G12" t="s">
        <v>865</v>
      </c>
      <c r="H12">
        <v>2</v>
      </c>
      <c r="I12" t="s">
        <v>528</v>
      </c>
      <c r="J12" t="s">
        <v>88</v>
      </c>
      <c r="K12">
        <v>1</v>
      </c>
      <c r="L12" t="s">
        <v>693</v>
      </c>
      <c r="M12">
        <v>25</v>
      </c>
      <c r="N12" s="195">
        <v>43466</v>
      </c>
      <c r="O12" s="195"/>
      <c r="R12" t="s">
        <v>88</v>
      </c>
      <c r="S12">
        <v>1</v>
      </c>
    </row>
    <row r="13" spans="1:19" x14ac:dyDescent="0.25">
      <c r="A13" t="str">
        <f>TableBEDUC[[#This Row],[Study Package Code]]</f>
        <v>EDUC2005</v>
      </c>
      <c r="B13" s="5">
        <f>TableBEDUC[[#This Row],[Ver]]</f>
        <v>1</v>
      </c>
      <c r="D13" t="str">
        <f>TableBEDUC[[#This Row],[Structure Line]]</f>
        <v>Learning Theories, Diversity and Differentiation</v>
      </c>
      <c r="E13" s="125">
        <f>TableBEDUC[[#This Row],[Credit Points]]</f>
        <v>25</v>
      </c>
      <c r="F13">
        <v>11</v>
      </c>
      <c r="G13" t="s">
        <v>865</v>
      </c>
      <c r="H13">
        <v>2</v>
      </c>
      <c r="I13" t="s">
        <v>528</v>
      </c>
      <c r="J13" t="s">
        <v>90</v>
      </c>
      <c r="K13">
        <v>1</v>
      </c>
      <c r="L13" t="s">
        <v>691</v>
      </c>
      <c r="M13">
        <v>25</v>
      </c>
      <c r="N13" s="195">
        <v>43466</v>
      </c>
      <c r="O13" s="195"/>
      <c r="R13" t="s">
        <v>90</v>
      </c>
      <c r="S13">
        <v>1</v>
      </c>
    </row>
    <row r="14" spans="1:19" x14ac:dyDescent="0.25">
      <c r="A14" t="str">
        <f>TableBEDUC[[#This Row],[Study Package Code]]</f>
        <v>Option</v>
      </c>
      <c r="B14" s="5">
        <f>TableBEDUC[[#This Row],[Ver]]</f>
        <v>0</v>
      </c>
      <c r="D14" t="str">
        <f>TableBEDUC[[#This Row],[Structure Line]]</f>
        <v>Choose an Option</v>
      </c>
      <c r="E14" s="125">
        <f>TableBEDUC[[#This Row],[Credit Points]]</f>
        <v>25</v>
      </c>
      <c r="F14">
        <v>12</v>
      </c>
      <c r="G14" t="s">
        <v>102</v>
      </c>
      <c r="H14">
        <v>2</v>
      </c>
      <c r="I14" t="s">
        <v>528</v>
      </c>
      <c r="J14" t="s">
        <v>102</v>
      </c>
      <c r="K14">
        <v>0</v>
      </c>
      <c r="L14" t="s">
        <v>867</v>
      </c>
      <c r="M14">
        <v>25</v>
      </c>
      <c r="N14" s="195"/>
      <c r="O14" s="195"/>
      <c r="R14" t="s">
        <v>102</v>
      </c>
      <c r="S14">
        <v>0</v>
      </c>
    </row>
    <row r="15" spans="1:19" x14ac:dyDescent="0.25">
      <c r="A15" t="str">
        <f>TableBEDUC[[#This Row],[Study Package Code]]</f>
        <v>EDPR2004</v>
      </c>
      <c r="B15" s="5">
        <f>TableBEDUC[[#This Row],[Ver]]</f>
        <v>1</v>
      </c>
      <c r="D15" t="str">
        <f>TableBEDUC[[#This Row],[Structure Line]]</f>
        <v>Children as Mathematical Learners</v>
      </c>
      <c r="E15" s="125">
        <f>TableBEDUC[[#This Row],[Credit Points]]</f>
        <v>25</v>
      </c>
      <c r="F15">
        <v>13</v>
      </c>
      <c r="G15" t="s">
        <v>865</v>
      </c>
      <c r="H15">
        <v>2</v>
      </c>
      <c r="I15" t="s">
        <v>529</v>
      </c>
      <c r="J15" t="s">
        <v>87</v>
      </c>
      <c r="K15">
        <v>1</v>
      </c>
      <c r="L15" t="s">
        <v>638</v>
      </c>
      <c r="M15">
        <v>25</v>
      </c>
      <c r="N15" s="195">
        <v>42005</v>
      </c>
      <c r="O15" s="195"/>
      <c r="R15" t="s">
        <v>87</v>
      </c>
      <c r="S15">
        <v>1</v>
      </c>
    </row>
    <row r="16" spans="1:19" x14ac:dyDescent="0.25">
      <c r="A16" t="str">
        <f>TableBEDUC[[#This Row],[Study Package Code]]</f>
        <v>EDPR2000</v>
      </c>
      <c r="B16" s="5">
        <f>TableBEDUC[[#This Row],[Ver]]</f>
        <v>1</v>
      </c>
      <c r="D16" t="str">
        <f>TableBEDUC[[#This Row],[Structure Line]]</f>
        <v>Inquiry in the Science Classroom</v>
      </c>
      <c r="E16" s="125">
        <f>TableBEDUC[[#This Row],[Credit Points]]</f>
        <v>25</v>
      </c>
      <c r="F16">
        <v>14</v>
      </c>
      <c r="G16" t="s">
        <v>865</v>
      </c>
      <c r="H16">
        <v>2</v>
      </c>
      <c r="I16" t="s">
        <v>529</v>
      </c>
      <c r="J16" t="s">
        <v>93</v>
      </c>
      <c r="K16">
        <v>1</v>
      </c>
      <c r="L16" t="s">
        <v>637</v>
      </c>
      <c r="M16">
        <v>25</v>
      </c>
      <c r="N16" s="195">
        <v>42005</v>
      </c>
      <c r="O16" s="195"/>
      <c r="R16" t="s">
        <v>93</v>
      </c>
      <c r="S16">
        <v>1</v>
      </c>
    </row>
    <row r="17" spans="1:19" x14ac:dyDescent="0.25">
      <c r="A17" t="str">
        <f>TableBEDUC[[#This Row],[Study Package Code]]</f>
        <v>EDSC1011</v>
      </c>
      <c r="B17" s="5">
        <f>TableBEDUC[[#This Row],[Ver]]</f>
        <v>1</v>
      </c>
      <c r="D17" t="str">
        <f>TableBEDUC[[#This Row],[Structure Line]]</f>
        <v>Managing the Learning Environment</v>
      </c>
      <c r="E17" s="125">
        <f>TableBEDUC[[#This Row],[Credit Points]]</f>
        <v>25</v>
      </c>
      <c r="F17">
        <v>15</v>
      </c>
      <c r="G17" t="s">
        <v>865</v>
      </c>
      <c r="H17">
        <v>2</v>
      </c>
      <c r="I17" t="s">
        <v>529</v>
      </c>
      <c r="J17" t="s">
        <v>98</v>
      </c>
      <c r="K17">
        <v>1</v>
      </c>
      <c r="L17" t="s">
        <v>658</v>
      </c>
      <c r="M17">
        <v>25</v>
      </c>
      <c r="N17" s="195">
        <v>43647</v>
      </c>
      <c r="O17" s="195"/>
      <c r="R17" t="s">
        <v>98</v>
      </c>
      <c r="S17">
        <v>1</v>
      </c>
    </row>
    <row r="18" spans="1:19" x14ac:dyDescent="0.25">
      <c r="A18" t="str">
        <f>TableBEDUC[[#This Row],[Study Package Code]]</f>
        <v>Option</v>
      </c>
      <c r="B18" s="5">
        <f>TableBEDUC[[#This Row],[Ver]]</f>
        <v>0</v>
      </c>
      <c r="D18" t="str">
        <f>TableBEDUC[[#This Row],[Structure Line]]</f>
        <v>Choose an Option</v>
      </c>
      <c r="E18" s="125">
        <f>TableBEDUC[[#This Row],[Credit Points]]</f>
        <v>25</v>
      </c>
      <c r="F18">
        <v>16</v>
      </c>
      <c r="G18" t="s">
        <v>102</v>
      </c>
      <c r="H18">
        <v>2</v>
      </c>
      <c r="I18" t="s">
        <v>529</v>
      </c>
      <c r="J18" t="s">
        <v>102</v>
      </c>
      <c r="K18">
        <v>0</v>
      </c>
      <c r="L18" t="s">
        <v>867</v>
      </c>
      <c r="M18">
        <v>25</v>
      </c>
      <c r="N18" s="195"/>
      <c r="O18" s="195"/>
      <c r="R18" t="s">
        <v>102</v>
      </c>
      <c r="S18">
        <v>0</v>
      </c>
    </row>
    <row r="19" spans="1:19" x14ac:dyDescent="0.25">
      <c r="A19" t="str">
        <f>TableBEDUC[[#This Row],[Study Package Code]]</f>
        <v>INED3001</v>
      </c>
      <c r="B19" s="5">
        <f>TableBEDUC[[#This Row],[Ver]]</f>
        <v>1</v>
      </c>
      <c r="D19" t="str">
        <f>TableBEDUC[[#This Row],[Structure Line]]</f>
        <v>Indigenous Australian Education</v>
      </c>
      <c r="E19" s="125">
        <f>TableBEDUC[[#This Row],[Credit Points]]</f>
        <v>25</v>
      </c>
      <c r="F19">
        <v>17</v>
      </c>
      <c r="G19" t="s">
        <v>865</v>
      </c>
      <c r="H19">
        <v>3</v>
      </c>
      <c r="I19" t="s">
        <v>528</v>
      </c>
      <c r="J19" t="s">
        <v>110</v>
      </c>
      <c r="K19">
        <v>1</v>
      </c>
      <c r="L19" t="s">
        <v>752</v>
      </c>
      <c r="M19">
        <v>25</v>
      </c>
      <c r="N19" s="195">
        <v>42005</v>
      </c>
      <c r="O19" s="195"/>
      <c r="R19" t="s">
        <v>110</v>
      </c>
      <c r="S19">
        <v>1</v>
      </c>
    </row>
    <row r="20" spans="1:19" x14ac:dyDescent="0.25">
      <c r="A20" t="str">
        <f>TableBEDUC[[#This Row],[Study Package Code]]</f>
        <v>Option</v>
      </c>
      <c r="B20" s="5">
        <f>TableBEDUC[[#This Row],[Ver]]</f>
        <v>0</v>
      </c>
      <c r="D20" t="str">
        <f>TableBEDUC[[#This Row],[Structure Line]]</f>
        <v>Choose an Option</v>
      </c>
      <c r="E20" s="125">
        <f>TableBEDUC[[#This Row],[Credit Points]]</f>
        <v>25</v>
      </c>
      <c r="F20">
        <v>18</v>
      </c>
      <c r="G20" t="s">
        <v>102</v>
      </c>
      <c r="H20">
        <v>3</v>
      </c>
      <c r="I20" t="s">
        <v>528</v>
      </c>
      <c r="J20" t="s">
        <v>102</v>
      </c>
      <c r="K20">
        <v>0</v>
      </c>
      <c r="L20" t="s">
        <v>867</v>
      </c>
      <c r="M20">
        <v>25</v>
      </c>
      <c r="N20" s="195"/>
      <c r="O20" s="195"/>
      <c r="R20" t="s">
        <v>102</v>
      </c>
      <c r="S20">
        <v>0</v>
      </c>
    </row>
    <row r="21" spans="1:19" x14ac:dyDescent="0.25">
      <c r="A21" t="str">
        <f>TableBEDUC[[#This Row],[Study Package Code]]</f>
        <v>ElectiveEDUC</v>
      </c>
      <c r="B21" s="5">
        <f>TableBEDUC[[#This Row],[Ver]]</f>
        <v>0</v>
      </c>
      <c r="D21" t="str">
        <f>TableBEDUC[[#This Row],[Structure Line]]</f>
        <v>Choose an Elective</v>
      </c>
      <c r="E21" s="125">
        <f>TableBEDUC[[#This Row],[Credit Points]]</f>
        <v>25</v>
      </c>
      <c r="F21">
        <v>19</v>
      </c>
      <c r="G21" t="s">
        <v>121</v>
      </c>
      <c r="H21">
        <v>3</v>
      </c>
      <c r="I21" t="s">
        <v>528</v>
      </c>
      <c r="J21" t="s">
        <v>868</v>
      </c>
      <c r="K21">
        <v>0</v>
      </c>
      <c r="L21" t="s">
        <v>869</v>
      </c>
      <c r="M21">
        <v>25</v>
      </c>
      <c r="N21" s="195"/>
      <c r="O21" s="195"/>
      <c r="R21" t="s">
        <v>868</v>
      </c>
      <c r="S21">
        <v>0</v>
      </c>
    </row>
    <row r="22" spans="1:19" x14ac:dyDescent="0.25">
      <c r="A22" t="str">
        <f>TableBEDUC[[#This Row],[Study Package Code]]</f>
        <v>EDPR3003</v>
      </c>
      <c r="B22" s="5">
        <f>TableBEDUC[[#This Row],[Ver]]</f>
        <v>2</v>
      </c>
      <c r="D22" t="str">
        <f>TableBEDUC[[#This Row],[Structure Line]]</f>
        <v>Inquiry in the Humanities and Social Sciences Classroom</v>
      </c>
      <c r="E22" s="125">
        <f>TableBEDUC[[#This Row],[Credit Points]]</f>
        <v>25</v>
      </c>
      <c r="F22">
        <v>20</v>
      </c>
      <c r="G22" t="s">
        <v>865</v>
      </c>
      <c r="H22">
        <v>3</v>
      </c>
      <c r="I22" t="s">
        <v>529</v>
      </c>
      <c r="J22" t="s">
        <v>112</v>
      </c>
      <c r="K22">
        <v>2</v>
      </c>
      <c r="L22" t="s">
        <v>645</v>
      </c>
      <c r="M22">
        <v>25</v>
      </c>
      <c r="N22" s="195">
        <v>43466</v>
      </c>
      <c r="O22" s="195"/>
      <c r="R22" t="s">
        <v>112</v>
      </c>
      <c r="S22">
        <v>2</v>
      </c>
    </row>
    <row r="23" spans="1:19" x14ac:dyDescent="0.25">
      <c r="A23" t="str">
        <f>TableBEDUC[[#This Row],[Study Package Code]]</f>
        <v>EDUC4048</v>
      </c>
      <c r="B23" s="5">
        <f>TableBEDUC[[#This Row],[Ver]]</f>
        <v>1</v>
      </c>
      <c r="D23" t="str">
        <f>TableBEDUC[[#This Row],[Structure Line]]</f>
        <v>Mentoring, Coaching and Tutoring</v>
      </c>
      <c r="E23" s="125">
        <f>TableBEDUC[[#This Row],[Credit Points]]</f>
        <v>25</v>
      </c>
      <c r="F23">
        <v>21</v>
      </c>
      <c r="G23" t="s">
        <v>865</v>
      </c>
      <c r="H23">
        <v>3</v>
      </c>
      <c r="I23" t="s">
        <v>529</v>
      </c>
      <c r="J23" t="s">
        <v>117</v>
      </c>
      <c r="K23">
        <v>1</v>
      </c>
      <c r="L23" t="s">
        <v>716</v>
      </c>
      <c r="M23">
        <v>25</v>
      </c>
      <c r="N23" s="195">
        <v>43466</v>
      </c>
      <c r="O23" s="195"/>
      <c r="R23" t="s">
        <v>117</v>
      </c>
      <c r="S23">
        <v>1</v>
      </c>
    </row>
    <row r="24" spans="1:19" x14ac:dyDescent="0.25">
      <c r="A24" t="str">
        <f>TableBEDUC[[#This Row],[Study Package Code]]</f>
        <v>EDUC3002</v>
      </c>
      <c r="B24" s="5">
        <f>TableBEDUC[[#This Row],[Ver]]</f>
        <v>1</v>
      </c>
      <c r="D24" t="str">
        <f>TableBEDUC[[#This Row],[Structure Line]]</f>
        <v>Reflection and Research in Education</v>
      </c>
      <c r="E24" s="125">
        <f>TableBEDUC[[#This Row],[Credit Points]]</f>
        <v>25</v>
      </c>
      <c r="F24">
        <v>22</v>
      </c>
      <c r="G24" t="s">
        <v>865</v>
      </c>
      <c r="H24">
        <v>3</v>
      </c>
      <c r="I24" t="s">
        <v>529</v>
      </c>
      <c r="J24" t="s">
        <v>122</v>
      </c>
      <c r="K24">
        <v>1</v>
      </c>
      <c r="L24" t="s">
        <v>695</v>
      </c>
      <c r="M24">
        <v>25</v>
      </c>
      <c r="N24" s="195">
        <v>43466</v>
      </c>
      <c r="O24" s="195"/>
      <c r="R24" t="s">
        <v>122</v>
      </c>
      <c r="S24">
        <v>1</v>
      </c>
    </row>
    <row r="25" spans="1:19" x14ac:dyDescent="0.25">
      <c r="A25" t="str">
        <f>TableBEDUC[[#This Row],[Study Package Code]]</f>
        <v>Option</v>
      </c>
      <c r="B25" s="5">
        <f>TableBEDUC[[#This Row],[Ver]]</f>
        <v>0</v>
      </c>
      <c r="D25" t="str">
        <f>TableBEDUC[[#This Row],[Structure Line]]</f>
        <v>Choose an Option</v>
      </c>
      <c r="E25" s="125">
        <f>TableBEDUC[[#This Row],[Credit Points]]</f>
        <v>25</v>
      </c>
      <c r="F25">
        <v>23</v>
      </c>
      <c r="G25" t="s">
        <v>102</v>
      </c>
      <c r="H25">
        <v>3</v>
      </c>
      <c r="I25" t="s">
        <v>529</v>
      </c>
      <c r="J25" t="s">
        <v>102</v>
      </c>
      <c r="K25">
        <v>0</v>
      </c>
      <c r="L25" t="s">
        <v>867</v>
      </c>
      <c r="M25">
        <v>25</v>
      </c>
      <c r="N25" s="195"/>
      <c r="O25" s="195"/>
      <c r="R25" t="s">
        <v>102</v>
      </c>
      <c r="S25">
        <v>0</v>
      </c>
    </row>
    <row r="26" spans="1:19" x14ac:dyDescent="0.25">
      <c r="A26" t="str">
        <f>TableBEDUC[[#This Row],[Study Package Code]]</f>
        <v>AltCoreBEDUC2</v>
      </c>
      <c r="B26" s="5">
        <f>TableBEDUC[[#This Row],[Ver]]</f>
        <v>0</v>
      </c>
      <c r="D26" t="str">
        <f>TableBEDUC[[#This Row],[Structure Line]]</f>
        <v>Choose EDPR3004 or EDSC3007</v>
      </c>
      <c r="E26" s="125">
        <f>TableBEDUC[[#This Row],[Credit Points]]</f>
        <v>25</v>
      </c>
      <c r="F26">
        <v>24</v>
      </c>
      <c r="G26" t="s">
        <v>865</v>
      </c>
      <c r="H26">
        <v>3</v>
      </c>
      <c r="I26" t="s">
        <v>528</v>
      </c>
      <c r="J26" t="s">
        <v>116</v>
      </c>
      <c r="K26">
        <v>0</v>
      </c>
      <c r="L26" t="s">
        <v>870</v>
      </c>
      <c r="M26">
        <v>25</v>
      </c>
      <c r="N26" s="195"/>
      <c r="O26" s="195"/>
      <c r="R26" t="s">
        <v>116</v>
      </c>
      <c r="S26">
        <v>0</v>
      </c>
    </row>
    <row r="27" spans="1:19" x14ac:dyDescent="0.25">
      <c r="A27" t="str">
        <f>TableBEDUC[[#This Row],[Study Package Code]]</f>
        <v>EDSC1009</v>
      </c>
      <c r="B27" s="5">
        <f>TableBEDUC[[#This Row],[Ver]]</f>
        <v>1</v>
      </c>
      <c r="D27" t="str">
        <f>TableBEDUC[[#This Row],[Structure Line]]</f>
        <v>Literacy and Numeracy Across the Curriculum</v>
      </c>
      <c r="E27" s="125">
        <f>TableBEDUC[[#This Row],[Credit Points]]</f>
        <v>25</v>
      </c>
      <c r="F27">
        <v>4</v>
      </c>
      <c r="G27" t="s">
        <v>871</v>
      </c>
      <c r="H27">
        <v>1</v>
      </c>
      <c r="I27" t="s">
        <v>528</v>
      </c>
      <c r="J27" t="s">
        <v>140</v>
      </c>
      <c r="K27">
        <v>1</v>
      </c>
      <c r="L27" t="s">
        <v>657</v>
      </c>
      <c r="M27">
        <v>25</v>
      </c>
      <c r="N27" s="195">
        <v>43466</v>
      </c>
      <c r="O27" s="195"/>
      <c r="R27" t="s">
        <v>140</v>
      </c>
      <c r="S27">
        <v>1</v>
      </c>
    </row>
    <row r="28" spans="1:19" x14ac:dyDescent="0.25">
      <c r="A28" t="str">
        <f>TableBEDUC[[#This Row],[Study Package Code]]</f>
        <v>EDUC1023</v>
      </c>
      <c r="B28" s="5">
        <f>TableBEDUC[[#This Row],[Ver]]</f>
        <v>1</v>
      </c>
      <c r="D28" t="str">
        <f>TableBEDUC[[#This Row],[Structure Line]]</f>
        <v>Introducing Language, Literacy and Literature for Educators</v>
      </c>
      <c r="E28" s="125">
        <f>TableBEDUC[[#This Row],[Credit Points]]</f>
        <v>25</v>
      </c>
      <c r="F28">
        <v>4</v>
      </c>
      <c r="G28" t="s">
        <v>871</v>
      </c>
      <c r="H28">
        <v>1</v>
      </c>
      <c r="I28" t="s">
        <v>528</v>
      </c>
      <c r="J28" t="s">
        <v>64</v>
      </c>
      <c r="K28">
        <v>1</v>
      </c>
      <c r="L28" s="184" t="s">
        <v>686</v>
      </c>
      <c r="M28">
        <v>25</v>
      </c>
      <c r="N28" s="195">
        <v>43466</v>
      </c>
      <c r="O28" s="195"/>
      <c r="R28" t="s">
        <v>64</v>
      </c>
      <c r="S28">
        <v>1</v>
      </c>
    </row>
    <row r="29" spans="1:19" x14ac:dyDescent="0.25">
      <c r="A29" t="str">
        <f>TableBEDUC[[#This Row],[Study Package Code]]</f>
        <v>EDPR3004</v>
      </c>
      <c r="B29" s="5">
        <f>TableBEDUC[[#This Row],[Ver]]</f>
        <v>1</v>
      </c>
      <c r="D29" t="str">
        <f>TableBEDUC[[#This Row],[Structure Line]]</f>
        <v>Cultural Contexts in Primary Education</v>
      </c>
      <c r="E29" s="125">
        <f>TableBEDUC[[#This Row],[Credit Points]]</f>
        <v>25</v>
      </c>
      <c r="F29">
        <v>24</v>
      </c>
      <c r="G29" t="s">
        <v>871</v>
      </c>
      <c r="H29">
        <v>3</v>
      </c>
      <c r="I29" t="s">
        <v>528</v>
      </c>
      <c r="J29" t="s">
        <v>115</v>
      </c>
      <c r="K29">
        <v>1</v>
      </c>
      <c r="L29" t="s">
        <v>647</v>
      </c>
      <c r="M29">
        <v>25</v>
      </c>
      <c r="N29" s="195">
        <v>42005</v>
      </c>
      <c r="O29" s="195"/>
      <c r="R29" t="s">
        <v>115</v>
      </c>
      <c r="S29">
        <v>1</v>
      </c>
    </row>
    <row r="30" spans="1:19" x14ac:dyDescent="0.25">
      <c r="A30" t="str">
        <f>TableBEDUC[[#This Row],[Study Package Code]]</f>
        <v>EDSC3007</v>
      </c>
      <c r="B30" s="5">
        <f>TableBEDUC[[#This Row],[Ver]]</f>
        <v>1</v>
      </c>
      <c r="D30" t="str">
        <f>TableBEDUC[[#This Row],[Structure Line]]</f>
        <v>Curriculum and Culture in Secondary Schools</v>
      </c>
      <c r="E30" s="125">
        <f>TableBEDUC[[#This Row],[Credit Points]]</f>
        <v>25</v>
      </c>
      <c r="F30">
        <v>24</v>
      </c>
      <c r="G30" t="s">
        <v>871</v>
      </c>
      <c r="H30">
        <v>3</v>
      </c>
      <c r="I30" t="s">
        <v>528</v>
      </c>
      <c r="J30" t="s">
        <v>146</v>
      </c>
      <c r="K30">
        <v>1</v>
      </c>
      <c r="L30" t="s">
        <v>664</v>
      </c>
      <c r="M30">
        <v>25</v>
      </c>
      <c r="N30" s="195">
        <v>43466</v>
      </c>
      <c r="O30" s="195"/>
      <c r="R30" t="s">
        <v>146</v>
      </c>
      <c r="S30">
        <v>1</v>
      </c>
    </row>
    <row r="31" spans="1:19" x14ac:dyDescent="0.25">
      <c r="A31" t="str">
        <f>TableBEDUC[[#This Row],[Study Package Code]]</f>
        <v>CTED4000</v>
      </c>
      <c r="B31" s="5">
        <f>TableBEDUC[[#This Row],[Ver]]</f>
        <v>1</v>
      </c>
      <c r="D31" t="str">
        <f>TableBEDUC[[#This Row],[Structure Line]]</f>
        <v>An Introduction to Catholic Education</v>
      </c>
      <c r="E31" s="125">
        <f>TableBEDUC[[#This Row],[Credit Points]]</f>
        <v>25</v>
      </c>
      <c r="G31" t="s">
        <v>102</v>
      </c>
      <c r="J31" t="s">
        <v>171</v>
      </c>
      <c r="K31">
        <v>1</v>
      </c>
      <c r="L31" t="s">
        <v>583</v>
      </c>
      <c r="M31">
        <v>25</v>
      </c>
      <c r="N31" s="195">
        <v>42005</v>
      </c>
      <c r="O31" s="195">
        <v>45291</v>
      </c>
      <c r="R31" t="s">
        <v>171</v>
      </c>
      <c r="S31">
        <v>1</v>
      </c>
    </row>
    <row r="32" spans="1:19" x14ac:dyDescent="0.25">
      <c r="A32" t="str">
        <f>TableBEDUC[[#This Row],[Study Package Code]]</f>
        <v>CTED4001</v>
      </c>
      <c r="B32" s="5">
        <f>TableBEDUC[[#This Row],[Ver]]</f>
        <v>2</v>
      </c>
      <c r="D32" t="str">
        <f>TableBEDUC[[#This Row],[Structure Line]]</f>
        <v>Teaching About Sacraments in Catholic Schools</v>
      </c>
      <c r="E32" s="125">
        <f>TableBEDUC[[#This Row],[Credit Points]]</f>
        <v>25</v>
      </c>
      <c r="G32" t="s">
        <v>102</v>
      </c>
      <c r="J32" t="s">
        <v>150</v>
      </c>
      <c r="K32">
        <v>2</v>
      </c>
      <c r="L32" t="s">
        <v>585</v>
      </c>
      <c r="M32">
        <v>25</v>
      </c>
      <c r="N32" s="195">
        <v>45292</v>
      </c>
      <c r="O32" s="195"/>
      <c r="R32" t="s">
        <v>150</v>
      </c>
      <c r="S32">
        <v>1</v>
      </c>
    </row>
    <row r="33" spans="1:19" x14ac:dyDescent="0.25">
      <c r="A33" t="str">
        <f>TableBEDUC[[#This Row],[Study Package Code]]</f>
        <v>CTED4002</v>
      </c>
      <c r="B33" s="5">
        <f>TableBEDUC[[#This Row],[Ver]]</f>
        <v>2</v>
      </c>
      <c r="D33" t="str">
        <f>TableBEDUC[[#This Row],[Structure Line]]</f>
        <v>Prayer and Morality in Catholic Studies</v>
      </c>
      <c r="E33" s="125">
        <f>TableBEDUC[[#This Row],[Credit Points]]</f>
        <v>25</v>
      </c>
      <c r="G33" t="s">
        <v>102</v>
      </c>
      <c r="J33" t="s">
        <v>172</v>
      </c>
      <c r="K33">
        <v>2</v>
      </c>
      <c r="L33" t="s">
        <v>591</v>
      </c>
      <c r="M33">
        <v>25</v>
      </c>
      <c r="N33" s="195">
        <v>44197</v>
      </c>
      <c r="O33" s="195">
        <v>45107</v>
      </c>
      <c r="R33" t="s">
        <v>172</v>
      </c>
      <c r="S33">
        <v>2</v>
      </c>
    </row>
    <row r="34" spans="1:19" x14ac:dyDescent="0.25">
      <c r="A34" t="str">
        <f>TableBEDUC[[#This Row],[Study Package Code]]</f>
        <v>CTED4006</v>
      </c>
      <c r="B34" s="5">
        <f>TableBEDUC[[#This Row],[Ver]]</f>
        <v>1</v>
      </c>
      <c r="D34" t="str">
        <f>TableBEDUC[[#This Row],[Structure Line]]</f>
        <v>Teaching About Jesus in Catholic Schools</v>
      </c>
      <c r="E34" s="125">
        <f>TableBEDUC[[#This Row],[Credit Points]]</f>
        <v>25</v>
      </c>
      <c r="G34" t="s">
        <v>102</v>
      </c>
      <c r="J34" t="s">
        <v>152</v>
      </c>
      <c r="K34">
        <v>1</v>
      </c>
      <c r="L34" t="s">
        <v>592</v>
      </c>
      <c r="M34">
        <v>25</v>
      </c>
      <c r="N34" s="195">
        <v>45292</v>
      </c>
      <c r="O34" s="195"/>
    </row>
    <row r="35" spans="1:19" x14ac:dyDescent="0.25">
      <c r="A35" t="str">
        <f>TableBEDUC[[#This Row],[Study Package Code]]</f>
        <v>CTED4008</v>
      </c>
      <c r="B35" s="5">
        <f>TableBEDUC[[#This Row],[Ver]]</f>
        <v>1</v>
      </c>
      <c r="D35" t="str">
        <f>TableBEDUC[[#This Row],[Structure Line]]</f>
        <v>Teaching About the Gospels in Catholic Schools</v>
      </c>
      <c r="E35" s="125">
        <f>TableBEDUC[[#This Row],[Credit Points]]</f>
        <v>25</v>
      </c>
      <c r="G35" t="s">
        <v>102</v>
      </c>
      <c r="J35" t="s">
        <v>154</v>
      </c>
      <c r="K35">
        <v>1</v>
      </c>
      <c r="L35" t="s">
        <v>593</v>
      </c>
      <c r="M35">
        <v>25</v>
      </c>
      <c r="N35" s="195">
        <v>45292</v>
      </c>
      <c r="O35" s="195"/>
    </row>
    <row r="36" spans="1:19" x14ac:dyDescent="0.25">
      <c r="A36" t="str">
        <f>TableBEDUC[[#This Row],[Study Package Code]]</f>
        <v>EDIB4000</v>
      </c>
      <c r="B36" s="5">
        <f>TableBEDUC[[#This Row],[Ver]]</f>
        <v>1</v>
      </c>
      <c r="D36" t="str">
        <f>TableBEDUC[[#This Row],[Structure Line]]</f>
        <v>Introduction to the International Baccalaureate Programme</v>
      </c>
      <c r="E36" s="125">
        <f>TableBEDUC[[#This Row],[Credit Points]]</f>
        <v>25</v>
      </c>
      <c r="G36" t="s">
        <v>102</v>
      </c>
      <c r="J36" t="s">
        <v>166</v>
      </c>
      <c r="K36">
        <v>1</v>
      </c>
      <c r="L36" t="s">
        <v>631</v>
      </c>
      <c r="M36">
        <v>25</v>
      </c>
      <c r="N36" s="195">
        <v>42005</v>
      </c>
      <c r="O36" s="195"/>
      <c r="R36" t="s">
        <v>166</v>
      </c>
      <c r="S36">
        <v>1</v>
      </c>
    </row>
    <row r="37" spans="1:19" x14ac:dyDescent="0.25">
      <c r="A37" t="str">
        <f>TableBEDUC[[#This Row],[Study Package Code]]</f>
        <v>EDIB4001</v>
      </c>
      <c r="B37" s="5">
        <f>TableBEDUC[[#This Row],[Ver]]</f>
        <v>1</v>
      </c>
      <c r="D37" t="str">
        <f>TableBEDUC[[#This Row],[Structure Line]]</f>
        <v>International Baccalaureate Primary Years Programme</v>
      </c>
      <c r="E37" s="125">
        <f>TableBEDUC[[#This Row],[Credit Points]]</f>
        <v>25</v>
      </c>
      <c r="G37" t="s">
        <v>102</v>
      </c>
      <c r="J37" t="s">
        <v>167</v>
      </c>
      <c r="K37">
        <v>1</v>
      </c>
      <c r="L37" t="s">
        <v>633</v>
      </c>
      <c r="M37">
        <v>25</v>
      </c>
      <c r="N37" s="195">
        <v>42005</v>
      </c>
      <c r="O37" s="195"/>
      <c r="R37" t="s">
        <v>167</v>
      </c>
      <c r="S37">
        <v>1</v>
      </c>
    </row>
    <row r="38" spans="1:19" x14ac:dyDescent="0.25">
      <c r="A38" t="str">
        <f>TableBEDUC[[#This Row],[Study Package Code]]</f>
        <v>EDIB4002</v>
      </c>
      <c r="B38" s="5">
        <f>TableBEDUC[[#This Row],[Ver]]</f>
        <v>1</v>
      </c>
      <c r="D38" t="str">
        <f>TableBEDUC[[#This Row],[Structure Line]]</f>
        <v>International Baccalaureate Middle Years Programme</v>
      </c>
      <c r="E38" s="125">
        <f>TableBEDUC[[#This Row],[Credit Points]]</f>
        <v>25</v>
      </c>
      <c r="G38" t="s">
        <v>102</v>
      </c>
      <c r="J38" t="s">
        <v>170</v>
      </c>
      <c r="K38">
        <v>1</v>
      </c>
      <c r="L38" t="s">
        <v>634</v>
      </c>
      <c r="M38">
        <v>25</v>
      </c>
      <c r="N38" s="195">
        <v>42005</v>
      </c>
      <c r="O38" s="195"/>
      <c r="R38" t="s">
        <v>170</v>
      </c>
      <c r="S38">
        <v>1</v>
      </c>
    </row>
    <row r="39" spans="1:19" x14ac:dyDescent="0.25">
      <c r="A39" t="str">
        <f>TableBEDUC[[#This Row],[Study Package Code]]</f>
        <v>EDUC4012</v>
      </c>
      <c r="B39" s="5">
        <f>TableBEDUC[[#This Row],[Ver]]</f>
        <v>2</v>
      </c>
      <c r="D39" t="str">
        <f>TableBEDUC[[#This Row],[Structure Line]]</f>
        <v>Relationships and Sexuality Education</v>
      </c>
      <c r="E39" s="125">
        <f>TableBEDUC[[#This Row],[Credit Points]]</f>
        <v>25</v>
      </c>
      <c r="G39" t="s">
        <v>102</v>
      </c>
      <c r="J39" t="s">
        <v>156</v>
      </c>
      <c r="K39">
        <v>2</v>
      </c>
      <c r="L39" t="s">
        <v>697</v>
      </c>
      <c r="M39">
        <v>25</v>
      </c>
      <c r="N39" s="195">
        <v>44927</v>
      </c>
      <c r="O39" s="195"/>
      <c r="R39" t="s">
        <v>156</v>
      </c>
      <c r="S39">
        <v>2</v>
      </c>
    </row>
    <row r="40" spans="1:19" x14ac:dyDescent="0.25">
      <c r="A40" t="str">
        <f>TableBEDUC[[#This Row],[Study Package Code]]</f>
        <v>EDUC4014</v>
      </c>
      <c r="B40" s="5">
        <f>TableBEDUC[[#This Row],[Ver]]</f>
        <v>1</v>
      </c>
      <c r="D40" t="str">
        <f>TableBEDUC[[#This Row],[Structure Line]]</f>
        <v>Diverse Abilities and Curriculum Differentiation</v>
      </c>
      <c r="E40" s="125">
        <f>TableBEDUC[[#This Row],[Credit Points]]</f>
        <v>25</v>
      </c>
      <c r="G40" t="s">
        <v>102</v>
      </c>
      <c r="J40" t="s">
        <v>158</v>
      </c>
      <c r="K40">
        <v>1</v>
      </c>
      <c r="L40" t="s">
        <v>698</v>
      </c>
      <c r="M40">
        <v>25</v>
      </c>
      <c r="N40" s="195">
        <v>42005</v>
      </c>
      <c r="O40" s="195"/>
      <c r="R40" t="s">
        <v>158</v>
      </c>
      <c r="S40">
        <v>1</v>
      </c>
    </row>
    <row r="41" spans="1:19" x14ac:dyDescent="0.25">
      <c r="A41" t="str">
        <f>TableBEDUC[[#This Row],[Study Package Code]]</f>
        <v>EDUC4020</v>
      </c>
      <c r="B41" s="5">
        <f>TableBEDUC[[#This Row],[Ver]]</f>
        <v>1</v>
      </c>
      <c r="D41" t="str">
        <f>TableBEDUC[[#This Row],[Structure Line]]</f>
        <v>Supporting Literacy and Numeracy Development for Diverse Learners</v>
      </c>
      <c r="E41" s="125">
        <f>TableBEDUC[[#This Row],[Credit Points]]</f>
        <v>25</v>
      </c>
      <c r="G41" t="s">
        <v>102</v>
      </c>
      <c r="J41" t="s">
        <v>153</v>
      </c>
      <c r="K41">
        <v>1</v>
      </c>
      <c r="L41" t="s">
        <v>699</v>
      </c>
      <c r="M41">
        <v>25</v>
      </c>
      <c r="N41" s="195">
        <v>43282</v>
      </c>
      <c r="O41" s="195"/>
      <c r="R41" t="s">
        <v>153</v>
      </c>
      <c r="S41">
        <v>1</v>
      </c>
    </row>
    <row r="42" spans="1:19" x14ac:dyDescent="0.25">
      <c r="A42" t="str">
        <f>TableBEDUC[[#This Row],[Study Package Code]]</f>
        <v>EDUC4021</v>
      </c>
      <c r="B42" s="5">
        <f>TableBEDUC[[#This Row],[Ver]]</f>
        <v>1</v>
      </c>
      <c r="D42" t="str">
        <f>TableBEDUC[[#This Row],[Structure Line]]</f>
        <v>Project-based iSTEM Education</v>
      </c>
      <c r="E42" s="125">
        <f>TableBEDUC[[#This Row],[Credit Points]]</f>
        <v>25</v>
      </c>
      <c r="G42" t="s">
        <v>102</v>
      </c>
      <c r="J42" t="s">
        <v>142</v>
      </c>
      <c r="K42">
        <v>1</v>
      </c>
      <c r="L42" t="s">
        <v>700</v>
      </c>
      <c r="M42">
        <v>25</v>
      </c>
      <c r="N42" s="195">
        <v>43282</v>
      </c>
      <c r="O42" s="195"/>
      <c r="R42" t="s">
        <v>142</v>
      </c>
      <c r="S42">
        <v>1</v>
      </c>
    </row>
    <row r="43" spans="1:19" x14ac:dyDescent="0.25">
      <c r="A43" t="str">
        <f>TableBEDUC[[#This Row],[Study Package Code]]</f>
        <v>EDUC4022</v>
      </c>
      <c r="B43" s="5">
        <f>TableBEDUC[[#This Row],[Ver]]</f>
        <v>1</v>
      </c>
      <c r="D43" t="str">
        <f>TableBEDUC[[#This Row],[Structure Line]]</f>
        <v>Creative Literacies</v>
      </c>
      <c r="E43" s="125">
        <f>TableBEDUC[[#This Row],[Credit Points]]</f>
        <v>25</v>
      </c>
      <c r="G43" t="s">
        <v>102</v>
      </c>
      <c r="J43" t="s">
        <v>147</v>
      </c>
      <c r="K43">
        <v>1</v>
      </c>
      <c r="L43" t="s">
        <v>701</v>
      </c>
      <c r="M43">
        <v>25</v>
      </c>
      <c r="N43" s="195">
        <v>43282</v>
      </c>
      <c r="O43" s="195"/>
      <c r="R43" t="s">
        <v>147</v>
      </c>
      <c r="S43">
        <v>1</v>
      </c>
    </row>
    <row r="44" spans="1:19" x14ac:dyDescent="0.25">
      <c r="A44" t="str">
        <f>TableBEDUC[[#This Row],[Study Package Code]]</f>
        <v>EDUC4023</v>
      </c>
      <c r="B44" s="5">
        <f>TableBEDUC[[#This Row],[Ver]]</f>
        <v>1</v>
      </c>
      <c r="D44" t="str">
        <f>TableBEDUC[[#This Row],[Structure Line]]</f>
        <v>Creating and Responding to Literature</v>
      </c>
      <c r="E44" s="125">
        <f>TableBEDUC[[#This Row],[Credit Points]]</f>
        <v>25</v>
      </c>
      <c r="G44" t="s">
        <v>102</v>
      </c>
      <c r="J44" t="s">
        <v>148</v>
      </c>
      <c r="K44">
        <v>1</v>
      </c>
      <c r="L44" t="s">
        <v>702</v>
      </c>
      <c r="M44">
        <v>25</v>
      </c>
      <c r="N44" s="195">
        <v>43282</v>
      </c>
      <c r="O44" s="195"/>
      <c r="R44" t="s">
        <v>148</v>
      </c>
      <c r="S44">
        <v>1</v>
      </c>
    </row>
    <row r="45" spans="1:19" x14ac:dyDescent="0.25">
      <c r="A45" t="str">
        <f>TableBEDUC[[#This Row],[Study Package Code]]</f>
        <v>EDUC4029</v>
      </c>
      <c r="B45" s="5">
        <f>TableBEDUC[[#This Row],[Ver]]</f>
        <v>1</v>
      </c>
      <c r="D45" t="str">
        <f>TableBEDUC[[#This Row],[Structure Line]]</f>
        <v>Technologies: Coding for Teachers</v>
      </c>
      <c r="E45" s="125">
        <f>TableBEDUC[[#This Row],[Credit Points]]</f>
        <v>25</v>
      </c>
      <c r="G45" t="s">
        <v>102</v>
      </c>
      <c r="J45" t="s">
        <v>160</v>
      </c>
      <c r="K45">
        <v>1</v>
      </c>
      <c r="L45" t="s">
        <v>703</v>
      </c>
      <c r="M45">
        <v>25</v>
      </c>
      <c r="N45" s="195">
        <v>43282</v>
      </c>
      <c r="O45" s="195"/>
      <c r="R45" t="s">
        <v>160</v>
      </c>
      <c r="S45">
        <v>1</v>
      </c>
    </row>
    <row r="46" spans="1:19" x14ac:dyDescent="0.25">
      <c r="A46" t="str">
        <f>TableBEDUC[[#This Row],[Study Package Code]]</f>
        <v>EDUC4031</v>
      </c>
      <c r="B46" s="5">
        <f>TableBEDUC[[#This Row],[Ver]]</f>
        <v>1</v>
      </c>
      <c r="D46" t="str">
        <f>TableBEDUC[[#This Row],[Structure Line]]</f>
        <v>Social Justice in Literacy and Numeracy Learning</v>
      </c>
      <c r="E46" s="125">
        <f>TableBEDUC[[#This Row],[Credit Points]]</f>
        <v>25</v>
      </c>
      <c r="G46" t="s">
        <v>102</v>
      </c>
      <c r="J46" t="s">
        <v>169</v>
      </c>
      <c r="K46">
        <v>1</v>
      </c>
      <c r="L46" t="s">
        <v>705</v>
      </c>
      <c r="M46">
        <v>25</v>
      </c>
      <c r="N46" s="195">
        <v>43282</v>
      </c>
      <c r="O46" s="195">
        <v>44750</v>
      </c>
      <c r="R46" t="s">
        <v>169</v>
      </c>
      <c r="S46">
        <v>1</v>
      </c>
    </row>
    <row r="47" spans="1:19" x14ac:dyDescent="0.25">
      <c r="A47" t="str">
        <f>TableBEDUC[[#This Row],[Study Package Code]]</f>
        <v>EDUC4032</v>
      </c>
      <c r="B47" s="5">
        <f>TableBEDUC[[#This Row],[Ver]]</f>
        <v>1</v>
      </c>
      <c r="D47" t="str">
        <f>TableBEDUC[[#This Row],[Structure Line]]</f>
        <v>iSTEM Education through Digital Stories</v>
      </c>
      <c r="E47" s="125">
        <f>TableBEDUC[[#This Row],[Credit Points]]</f>
        <v>25</v>
      </c>
      <c r="G47" t="s">
        <v>102</v>
      </c>
      <c r="J47" t="s">
        <v>143</v>
      </c>
      <c r="K47">
        <v>1</v>
      </c>
      <c r="L47" t="s">
        <v>707</v>
      </c>
      <c r="M47">
        <v>25</v>
      </c>
      <c r="N47" s="195">
        <v>43466</v>
      </c>
      <c r="O47" s="195"/>
      <c r="R47" t="s">
        <v>143</v>
      </c>
      <c r="S47">
        <v>1</v>
      </c>
    </row>
    <row r="48" spans="1:19" x14ac:dyDescent="0.25">
      <c r="A48" t="str">
        <f>TableBEDUC[[#This Row],[Study Package Code]]</f>
        <v>EDUC4034</v>
      </c>
      <c r="B48" s="5">
        <f>TableBEDUC[[#This Row],[Ver]]</f>
        <v>1</v>
      </c>
      <c r="D48" t="str">
        <f>TableBEDUC[[#This Row],[Structure Line]]</f>
        <v>iSTEM: Social Issues</v>
      </c>
      <c r="E48" s="125">
        <f>TableBEDUC[[#This Row],[Credit Points]]</f>
        <v>25</v>
      </c>
      <c r="G48" t="s">
        <v>102</v>
      </c>
      <c r="J48" t="s">
        <v>144</v>
      </c>
      <c r="K48">
        <v>1</v>
      </c>
      <c r="L48" t="s">
        <v>708</v>
      </c>
      <c r="M48">
        <v>25</v>
      </c>
      <c r="N48" s="195">
        <v>43466</v>
      </c>
      <c r="O48" s="195"/>
      <c r="R48" t="s">
        <v>144</v>
      </c>
      <c r="S48">
        <v>1</v>
      </c>
    </row>
    <row r="49" spans="1:19" x14ac:dyDescent="0.25">
      <c r="A49" t="str">
        <f>TableBEDUC[[#This Row],[Study Package Code]]</f>
        <v>EDUC4036</v>
      </c>
      <c r="B49" s="5">
        <f>TableBEDUC[[#This Row],[Ver]]</f>
        <v>1</v>
      </c>
      <c r="D49" t="str">
        <f>TableBEDUC[[#This Row],[Structure Line]]</f>
        <v>Language and Diversity</v>
      </c>
      <c r="E49" s="125">
        <f>TableBEDUC[[#This Row],[Credit Points]]</f>
        <v>25</v>
      </c>
      <c r="G49" t="s">
        <v>102</v>
      </c>
      <c r="J49" t="s">
        <v>149</v>
      </c>
      <c r="K49">
        <v>1</v>
      </c>
      <c r="L49" t="s">
        <v>709</v>
      </c>
      <c r="M49">
        <v>25</v>
      </c>
      <c r="N49" s="195">
        <v>43466</v>
      </c>
      <c r="O49" s="195"/>
      <c r="R49" t="s">
        <v>149</v>
      </c>
      <c r="S49">
        <v>1</v>
      </c>
    </row>
    <row r="50" spans="1:19" x14ac:dyDescent="0.25">
      <c r="A50" t="str">
        <f>TableBEDUC[[#This Row],[Study Package Code]]</f>
        <v>EDUC4038</v>
      </c>
      <c r="B50" s="5">
        <f>TableBEDUC[[#This Row],[Ver]]</f>
        <v>1</v>
      </c>
      <c r="D50" t="str">
        <f>TableBEDUC[[#This Row],[Structure Line]]</f>
        <v>Technologies: Design Solutions</v>
      </c>
      <c r="E50" s="125">
        <f>TableBEDUC[[#This Row],[Credit Points]]</f>
        <v>25</v>
      </c>
      <c r="G50" t="s">
        <v>102</v>
      </c>
      <c r="J50" t="s">
        <v>161</v>
      </c>
      <c r="K50">
        <v>1</v>
      </c>
      <c r="L50" t="s">
        <v>710</v>
      </c>
      <c r="M50">
        <v>25</v>
      </c>
      <c r="N50" s="195">
        <v>43466</v>
      </c>
      <c r="O50" s="195"/>
      <c r="R50" t="s">
        <v>161</v>
      </c>
      <c r="S50">
        <v>1</v>
      </c>
    </row>
    <row r="51" spans="1:19" x14ac:dyDescent="0.25">
      <c r="A51" t="str">
        <f>TableBEDUC[[#This Row],[Study Package Code]]</f>
        <v>EDUC4042</v>
      </c>
      <c r="B51" s="5">
        <f>TableBEDUC[[#This Row],[Ver]]</f>
        <v>1</v>
      </c>
      <c r="D51" t="str">
        <f>TableBEDUC[[#This Row],[Structure Line]]</f>
        <v>Alternative Approaches to Teaching Literacy and Numeracy</v>
      </c>
      <c r="E51" s="125">
        <f>TableBEDUC[[#This Row],[Credit Points]]</f>
        <v>25</v>
      </c>
      <c r="G51" t="s">
        <v>102</v>
      </c>
      <c r="J51" t="s">
        <v>155</v>
      </c>
      <c r="K51">
        <v>1</v>
      </c>
      <c r="L51" t="s">
        <v>713</v>
      </c>
      <c r="M51">
        <v>25</v>
      </c>
      <c r="N51" s="195">
        <v>43466</v>
      </c>
      <c r="O51" s="195"/>
      <c r="R51" t="s">
        <v>155</v>
      </c>
      <c r="S51">
        <v>1</v>
      </c>
    </row>
    <row r="52" spans="1:19" x14ac:dyDescent="0.25">
      <c r="A52" t="str">
        <f>TableBEDUC[[#This Row],[Study Package Code]]</f>
        <v>EDUC4044</v>
      </c>
      <c r="B52" s="5">
        <f>TableBEDUC[[#This Row],[Ver]]</f>
        <v>2</v>
      </c>
      <c r="D52" t="str">
        <f>TableBEDUC[[#This Row],[Structure Line]]</f>
        <v>Literacy and Numeracy for First Nations Peoples of Australia</v>
      </c>
      <c r="E52" s="125">
        <f>TableBEDUC[[#This Row],[Credit Points]]</f>
        <v>25</v>
      </c>
      <c r="G52" t="s">
        <v>102</v>
      </c>
      <c r="J52" t="s">
        <v>157</v>
      </c>
      <c r="K52">
        <v>2</v>
      </c>
      <c r="L52" t="s">
        <v>714</v>
      </c>
      <c r="M52">
        <v>25</v>
      </c>
      <c r="N52" s="195">
        <v>44927</v>
      </c>
      <c r="O52" s="195"/>
      <c r="R52" t="s">
        <v>157</v>
      </c>
      <c r="S52">
        <v>1</v>
      </c>
    </row>
    <row r="53" spans="1:19" x14ac:dyDescent="0.25">
      <c r="A53" t="str">
        <f>TableBEDUC[[#This Row],[Study Package Code]]</f>
        <v>EDUC4044</v>
      </c>
      <c r="B53" s="5">
        <f>TableBEDUC[[#This Row],[Ver]]</f>
        <v>2</v>
      </c>
      <c r="D53" t="str">
        <f>TableBEDUC[[#This Row],[Structure Line]]</f>
        <v>Literacy and Numeracy for First Nations Peoples of Australia</v>
      </c>
      <c r="E53" s="125">
        <f>TableBEDUC[[#This Row],[Credit Points]]</f>
        <v>25</v>
      </c>
      <c r="G53" t="s">
        <v>102</v>
      </c>
      <c r="J53" t="s">
        <v>157</v>
      </c>
      <c r="K53">
        <v>2</v>
      </c>
      <c r="L53" t="s">
        <v>714</v>
      </c>
      <c r="M53">
        <v>25</v>
      </c>
      <c r="N53" s="195">
        <v>44927</v>
      </c>
      <c r="O53" s="195"/>
    </row>
    <row r="54" spans="1:19" x14ac:dyDescent="0.25">
      <c r="A54" t="str">
        <f>TableBEDUC[[#This Row],[Study Package Code]]</f>
        <v>EDUC4046</v>
      </c>
      <c r="B54" s="5">
        <f>TableBEDUC[[#This Row],[Ver]]</f>
        <v>1</v>
      </c>
      <c r="D54" t="str">
        <f>TableBEDUC[[#This Row],[Structure Line]]</f>
        <v>Technologies: Digital Solutions</v>
      </c>
      <c r="E54" s="125">
        <f>TableBEDUC[[#This Row],[Credit Points]]</f>
        <v>25</v>
      </c>
      <c r="G54" t="s">
        <v>102</v>
      </c>
      <c r="J54" t="s">
        <v>162</v>
      </c>
      <c r="K54">
        <v>1</v>
      </c>
      <c r="L54" t="s">
        <v>715</v>
      </c>
      <c r="M54">
        <v>25</v>
      </c>
      <c r="N54" s="195">
        <v>43466</v>
      </c>
      <c r="O54" s="195"/>
      <c r="R54" t="s">
        <v>162</v>
      </c>
      <c r="S54">
        <v>1</v>
      </c>
    </row>
    <row r="55" spans="1:19" x14ac:dyDescent="0.25">
      <c r="A55" s="122"/>
      <c r="B55" s="124"/>
      <c r="C55" s="122"/>
      <c r="G55" s="123" t="s">
        <v>855</v>
      </c>
      <c r="H55" s="158">
        <v>42005</v>
      </c>
      <c r="J55" s="197" t="s">
        <v>72</v>
      </c>
      <c r="K55" s="124" t="s">
        <v>67</v>
      </c>
      <c r="L55" s="122" t="s">
        <v>71</v>
      </c>
      <c r="M55" s="122"/>
    </row>
    <row r="56" spans="1:19" ht="31.5" x14ac:dyDescent="0.25">
      <c r="A56" s="159" t="s">
        <v>0</v>
      </c>
      <c r="B56" s="160" t="s">
        <v>60</v>
      </c>
      <c r="C56" s="159" t="s">
        <v>856</v>
      </c>
      <c r="D56" s="159" t="s">
        <v>3</v>
      </c>
      <c r="E56" s="161" t="s">
        <v>857</v>
      </c>
      <c r="F56" s="159" t="s">
        <v>858</v>
      </c>
      <c r="G56" s="159" t="s">
        <v>859</v>
      </c>
      <c r="H56" s="159" t="s">
        <v>860</v>
      </c>
      <c r="I56" s="159" t="s">
        <v>17</v>
      </c>
      <c r="J56" s="159" t="s">
        <v>861</v>
      </c>
      <c r="K56" s="159" t="s">
        <v>1</v>
      </c>
      <c r="L56" s="159" t="s">
        <v>44</v>
      </c>
      <c r="M56" s="159" t="s">
        <v>61</v>
      </c>
      <c r="N56" s="159" t="s">
        <v>862</v>
      </c>
      <c r="O56" s="159" t="s">
        <v>863</v>
      </c>
      <c r="R56" t="s">
        <v>538</v>
      </c>
      <c r="S56" t="s">
        <v>864</v>
      </c>
    </row>
    <row r="57" spans="1:19" x14ac:dyDescent="0.25">
      <c r="A57" t="str">
        <f>TableBEDEC[[#This Row],[Study Package Code]]</f>
        <v>EDUC1021</v>
      </c>
      <c r="B57" s="5">
        <f>TableBEDEC[[#This Row],[Ver]]</f>
        <v>1</v>
      </c>
      <c r="D57" t="str">
        <f>TableBEDEC[[#This Row],[Structure Line]]</f>
        <v>Child Development for Educators</v>
      </c>
      <c r="E57" s="125">
        <f>TableBEDEC[[#This Row],[Credit Points]]</f>
        <v>25</v>
      </c>
      <c r="F57">
        <v>1</v>
      </c>
      <c r="G57" t="s">
        <v>865</v>
      </c>
      <c r="H57">
        <v>1</v>
      </c>
      <c r="I57" t="s">
        <v>528</v>
      </c>
      <c r="J57" t="s">
        <v>51</v>
      </c>
      <c r="K57">
        <v>1</v>
      </c>
      <c r="L57" t="s">
        <v>685</v>
      </c>
      <c r="M57">
        <v>25</v>
      </c>
      <c r="N57" s="195">
        <v>43466</v>
      </c>
      <c r="O57" s="195"/>
      <c r="R57" t="s">
        <v>51</v>
      </c>
      <c r="S57">
        <v>1</v>
      </c>
    </row>
    <row r="58" spans="1:19" x14ac:dyDescent="0.25">
      <c r="A58" t="str">
        <f>TableBEDEC[[#This Row],[Study Package Code]]</f>
        <v>EDUC1023</v>
      </c>
      <c r="B58" s="5">
        <f>TableBEDEC[[#This Row],[Ver]]</f>
        <v>1</v>
      </c>
      <c r="D58" t="str">
        <f>TableBEDEC[[#This Row],[Structure Line]]</f>
        <v>Introducing Language, Literacy and Literature for Educator</v>
      </c>
      <c r="E58" s="125">
        <f>TableBEDEC[[#This Row],[Credit Points]]</f>
        <v>25</v>
      </c>
      <c r="F58">
        <v>2</v>
      </c>
      <c r="G58" t="s">
        <v>865</v>
      </c>
      <c r="H58">
        <v>1</v>
      </c>
      <c r="I58" t="s">
        <v>528</v>
      </c>
      <c r="J58" t="s">
        <v>64</v>
      </c>
      <c r="K58">
        <v>1</v>
      </c>
      <c r="L58" t="s">
        <v>872</v>
      </c>
      <c r="M58">
        <v>25</v>
      </c>
      <c r="N58" s="195">
        <v>43466</v>
      </c>
      <c r="O58" s="195"/>
      <c r="R58" t="s">
        <v>64</v>
      </c>
      <c r="S58">
        <v>1</v>
      </c>
    </row>
    <row r="59" spans="1:19" x14ac:dyDescent="0.25">
      <c r="A59" t="str">
        <f>TableBEDEC[[#This Row],[Study Package Code]]</f>
        <v>EDUC1019</v>
      </c>
      <c r="B59" s="5">
        <f>TableBEDEC[[#This Row],[Ver]]</f>
        <v>1</v>
      </c>
      <c r="D59" t="str">
        <f>TableBEDEC[[#This Row],[Structure Line]]</f>
        <v>Teaching and Learning in the Digital World</v>
      </c>
      <c r="E59" s="125">
        <f>TableBEDEC[[#This Row],[Credit Points]]</f>
        <v>25</v>
      </c>
      <c r="F59">
        <v>3</v>
      </c>
      <c r="G59" t="s">
        <v>865</v>
      </c>
      <c r="H59">
        <v>1</v>
      </c>
      <c r="I59" t="s">
        <v>528</v>
      </c>
      <c r="J59" t="s">
        <v>54</v>
      </c>
      <c r="K59">
        <v>1</v>
      </c>
      <c r="L59" t="s">
        <v>684</v>
      </c>
      <c r="M59">
        <v>25</v>
      </c>
      <c r="N59" s="195">
        <v>43466</v>
      </c>
      <c r="O59" s="195"/>
      <c r="R59" t="s">
        <v>54</v>
      </c>
      <c r="S59">
        <v>1</v>
      </c>
    </row>
    <row r="60" spans="1:19" x14ac:dyDescent="0.25">
      <c r="A60" t="str">
        <f>TableBEDEC[[#This Row],[Study Package Code]]</f>
        <v>EDUC1017</v>
      </c>
      <c r="B60" s="5">
        <f>TableBEDEC[[#This Row],[Ver]]</f>
        <v>1</v>
      </c>
      <c r="D60" t="str">
        <f>TableBEDEC[[#This Row],[Structure Line]]</f>
        <v>The Professional Educator: Developing Teacher Identity</v>
      </c>
      <c r="E60" s="125">
        <f>TableBEDEC[[#This Row],[Credit Points]]</f>
        <v>25</v>
      </c>
      <c r="F60">
        <v>4</v>
      </c>
      <c r="G60" t="s">
        <v>865</v>
      </c>
      <c r="H60">
        <v>1</v>
      </c>
      <c r="I60" t="s">
        <v>528</v>
      </c>
      <c r="J60" t="s">
        <v>56</v>
      </c>
      <c r="K60">
        <v>1</v>
      </c>
      <c r="L60" t="s">
        <v>683</v>
      </c>
      <c r="M60">
        <v>25</v>
      </c>
      <c r="N60" s="195">
        <v>43466</v>
      </c>
      <c r="O60" s="195"/>
      <c r="R60" t="s">
        <v>56</v>
      </c>
      <c r="S60">
        <v>1</v>
      </c>
    </row>
    <row r="61" spans="1:19" x14ac:dyDescent="0.25">
      <c r="A61" t="str">
        <f>TableBEDEC[[#This Row],[Study Package Code]]</f>
        <v>EDUC1027</v>
      </c>
      <c r="B61" s="5">
        <f>TableBEDEC[[#This Row],[Ver]]</f>
        <v>1</v>
      </c>
      <c r="D61" t="str">
        <f>TableBEDEC[[#This Row],[Structure Line]]</f>
        <v>Educators Inquiring About the World</v>
      </c>
      <c r="E61" s="125">
        <f>TableBEDEC[[#This Row],[Credit Points]]</f>
        <v>25</v>
      </c>
      <c r="F61">
        <v>5</v>
      </c>
      <c r="G61" t="s">
        <v>865</v>
      </c>
      <c r="H61">
        <v>1</v>
      </c>
      <c r="I61" t="s">
        <v>529</v>
      </c>
      <c r="J61" t="s">
        <v>53</v>
      </c>
      <c r="K61">
        <v>1</v>
      </c>
      <c r="L61" t="s">
        <v>688</v>
      </c>
      <c r="M61">
        <v>25</v>
      </c>
      <c r="N61" s="195">
        <v>43466</v>
      </c>
      <c r="O61" s="195"/>
      <c r="R61" t="s">
        <v>53</v>
      </c>
      <c r="S61">
        <v>1</v>
      </c>
    </row>
    <row r="62" spans="1:19" x14ac:dyDescent="0.25">
      <c r="A62" t="str">
        <f>TableBEDEC[[#This Row],[Study Package Code]]</f>
        <v>EDUC1025</v>
      </c>
      <c r="B62" s="5">
        <f>TableBEDEC[[#This Row],[Ver]]</f>
        <v>1</v>
      </c>
      <c r="D62" t="str">
        <f>TableBEDEC[[#This Row],[Structure Line]]</f>
        <v>Exploring and Contesting Curriculum</v>
      </c>
      <c r="E62" s="125">
        <f>TableBEDEC[[#This Row],[Credit Points]]</f>
        <v>25</v>
      </c>
      <c r="F62">
        <v>6</v>
      </c>
      <c r="G62" t="s">
        <v>865</v>
      </c>
      <c r="H62">
        <v>1</v>
      </c>
      <c r="I62" t="s">
        <v>529</v>
      </c>
      <c r="J62" t="s">
        <v>58</v>
      </c>
      <c r="K62">
        <v>1</v>
      </c>
      <c r="L62" t="s">
        <v>687</v>
      </c>
      <c r="M62">
        <v>25</v>
      </c>
      <c r="N62" s="195">
        <v>43466</v>
      </c>
      <c r="O62" s="195"/>
      <c r="R62" t="s">
        <v>58</v>
      </c>
      <c r="S62">
        <v>1</v>
      </c>
    </row>
    <row r="63" spans="1:19" x14ac:dyDescent="0.25">
      <c r="A63" t="str">
        <f>TableBEDEC[[#This Row],[Study Package Code]]</f>
        <v>EDUC1029</v>
      </c>
      <c r="B63" s="5">
        <f>TableBEDEC[[#This Row],[Ver]]</f>
        <v>1</v>
      </c>
      <c r="D63" t="str">
        <f>TableBEDEC[[#This Row],[Structure Line]]</f>
        <v>Performing Arts for Educators</v>
      </c>
      <c r="E63" s="125">
        <f>TableBEDEC[[#This Row],[Credit Points]]</f>
        <v>25</v>
      </c>
      <c r="F63">
        <v>7</v>
      </c>
      <c r="G63" t="s">
        <v>865</v>
      </c>
      <c r="H63">
        <v>1</v>
      </c>
      <c r="I63" t="s">
        <v>529</v>
      </c>
      <c r="J63" t="s">
        <v>55</v>
      </c>
      <c r="K63">
        <v>1</v>
      </c>
      <c r="L63" t="s">
        <v>689</v>
      </c>
      <c r="M63">
        <v>25</v>
      </c>
      <c r="N63" s="195">
        <v>43466</v>
      </c>
      <c r="O63" s="195"/>
      <c r="R63" t="s">
        <v>55</v>
      </c>
      <c r="S63">
        <v>1</v>
      </c>
    </row>
    <row r="64" spans="1:19" x14ac:dyDescent="0.25">
      <c r="A64" t="str">
        <f>TableBEDEC[[#This Row],[Study Package Code]]</f>
        <v>EDUC1031</v>
      </c>
      <c r="B64" s="5">
        <f>TableBEDEC[[#This Row],[Ver]]</f>
        <v>1</v>
      </c>
      <c r="D64" t="str">
        <f>TableBEDEC[[#This Row],[Structure Line]]</f>
        <v>The Numerate Educator</v>
      </c>
      <c r="E64" s="125">
        <f>TableBEDEC[[#This Row],[Credit Points]]</f>
        <v>25</v>
      </c>
      <c r="F64">
        <v>8</v>
      </c>
      <c r="G64" t="s">
        <v>865</v>
      </c>
      <c r="H64">
        <v>1</v>
      </c>
      <c r="I64" t="s">
        <v>529</v>
      </c>
      <c r="J64" t="s">
        <v>59</v>
      </c>
      <c r="K64">
        <v>1</v>
      </c>
      <c r="L64" t="s">
        <v>690</v>
      </c>
      <c r="M64">
        <v>25</v>
      </c>
      <c r="N64" s="195">
        <v>43466</v>
      </c>
      <c r="O64" s="195"/>
      <c r="R64" t="s">
        <v>59</v>
      </c>
      <c r="S64">
        <v>1</v>
      </c>
    </row>
    <row r="65" spans="1:19" x14ac:dyDescent="0.25">
      <c r="A65" t="str">
        <f>TableBEDEC[[#This Row],[Study Package Code]]</f>
        <v>EDEC2019</v>
      </c>
      <c r="B65" s="5">
        <f>TableBEDEC[[#This Row],[Ver]]</f>
        <v>1</v>
      </c>
      <c r="D65" t="str">
        <f>TableBEDEC[[#This Row],[Structure Line]]</f>
        <v>Early Childhood Professional Experience 1: Learning and Teaching in Junior Primary</v>
      </c>
      <c r="E65" s="125">
        <f>TableBEDEC[[#This Row],[Credit Points]]</f>
        <v>25</v>
      </c>
      <c r="F65">
        <v>9</v>
      </c>
      <c r="G65" t="s">
        <v>865</v>
      </c>
      <c r="H65">
        <v>2</v>
      </c>
      <c r="I65" t="s">
        <v>528</v>
      </c>
      <c r="J65" t="s">
        <v>103</v>
      </c>
      <c r="K65">
        <v>1</v>
      </c>
      <c r="L65" t="s">
        <v>608</v>
      </c>
      <c r="M65">
        <v>25</v>
      </c>
      <c r="N65" s="195">
        <v>43466</v>
      </c>
      <c r="O65" s="195"/>
      <c r="R65" t="s">
        <v>103</v>
      </c>
      <c r="S65">
        <v>1</v>
      </c>
    </row>
    <row r="66" spans="1:19" x14ac:dyDescent="0.25">
      <c r="A66" t="str">
        <f>TableBEDEC[[#This Row],[Study Package Code]]</f>
        <v>EDUC2005</v>
      </c>
      <c r="B66" s="5">
        <f>TableBEDEC[[#This Row],[Ver]]</f>
        <v>1</v>
      </c>
      <c r="D66" t="str">
        <f>TableBEDEC[[#This Row],[Structure Line]]</f>
        <v>Learning Theories, Diversity and Differentiation</v>
      </c>
      <c r="E66" s="125">
        <f>TableBEDEC[[#This Row],[Credit Points]]</f>
        <v>25</v>
      </c>
      <c r="F66">
        <v>10</v>
      </c>
      <c r="G66" t="s">
        <v>865</v>
      </c>
      <c r="H66">
        <v>2</v>
      </c>
      <c r="I66" t="s">
        <v>528</v>
      </c>
      <c r="J66" t="s">
        <v>90</v>
      </c>
      <c r="K66">
        <v>1</v>
      </c>
      <c r="L66" t="s">
        <v>691</v>
      </c>
      <c r="M66">
        <v>25</v>
      </c>
      <c r="N66" s="195">
        <v>43466</v>
      </c>
      <c r="O66" s="195"/>
      <c r="R66" t="s">
        <v>90</v>
      </c>
      <c r="S66">
        <v>1</v>
      </c>
    </row>
    <row r="67" spans="1:19" x14ac:dyDescent="0.25">
      <c r="A67" t="str">
        <f>TableBEDEC[[#This Row],[Study Package Code]]</f>
        <v>EDEC2025</v>
      </c>
      <c r="B67" s="5">
        <f>TableBEDEC[[#This Row],[Ver]]</f>
        <v>1</v>
      </c>
      <c r="D67" t="str">
        <f>TableBEDEC[[#This Row],[Structure Line]]</f>
        <v>Mathematics for the Early Years</v>
      </c>
      <c r="E67" s="125">
        <f>TableBEDEC[[#This Row],[Credit Points]]</f>
        <v>25</v>
      </c>
      <c r="F67">
        <v>11</v>
      </c>
      <c r="G67" t="s">
        <v>865</v>
      </c>
      <c r="H67">
        <v>2</v>
      </c>
      <c r="I67" t="s">
        <v>528</v>
      </c>
      <c r="J67" t="s">
        <v>99</v>
      </c>
      <c r="K67">
        <v>1</v>
      </c>
      <c r="L67" t="s">
        <v>614</v>
      </c>
      <c r="M67">
        <v>25</v>
      </c>
      <c r="N67" s="195">
        <v>43466</v>
      </c>
      <c r="O67" s="195"/>
      <c r="R67" t="s">
        <v>99</v>
      </c>
      <c r="S67">
        <v>1</v>
      </c>
    </row>
    <row r="68" spans="1:19" x14ac:dyDescent="0.25">
      <c r="A68" t="str">
        <f>TableBEDEC[[#This Row],[Study Package Code]]</f>
        <v>EDUC2007</v>
      </c>
      <c r="B68" s="5">
        <f>TableBEDEC[[#This Row],[Ver]]</f>
        <v>1</v>
      </c>
      <c r="D68" t="str">
        <f>TableBEDEC[[#This Row],[Structure Line]]</f>
        <v>Teaching Language, Literacy and Literature in Junior Primary</v>
      </c>
      <c r="E68" s="125">
        <f>TableBEDEC[[#This Row],[Credit Points]]</f>
        <v>25</v>
      </c>
      <c r="F68">
        <v>12</v>
      </c>
      <c r="G68" t="s">
        <v>865</v>
      </c>
      <c r="H68">
        <v>2</v>
      </c>
      <c r="I68" t="s">
        <v>528</v>
      </c>
      <c r="J68" t="s">
        <v>88</v>
      </c>
      <c r="K68">
        <v>1</v>
      </c>
      <c r="L68" t="s">
        <v>693</v>
      </c>
      <c r="M68">
        <v>25</v>
      </c>
      <c r="N68" s="195">
        <v>43466</v>
      </c>
      <c r="O68" s="195"/>
      <c r="R68" t="s">
        <v>88</v>
      </c>
      <c r="S68">
        <v>1</v>
      </c>
    </row>
    <row r="69" spans="1:19" x14ac:dyDescent="0.25">
      <c r="A69" t="str">
        <f>TableBEDEC[[#This Row],[Study Package Code]]</f>
        <v>EDEC2000</v>
      </c>
      <c r="B69" s="5">
        <f>TableBEDEC[[#This Row],[Ver]]</f>
        <v>2</v>
      </c>
      <c r="D69" t="str">
        <f>TableBEDEC[[#This Row],[Structure Line]]</f>
        <v>Early Learning Through the Humanities and Social Sciences</v>
      </c>
      <c r="E69" s="125">
        <f>TableBEDEC[[#This Row],[Credit Points]]</f>
        <v>25</v>
      </c>
      <c r="F69">
        <v>13</v>
      </c>
      <c r="G69" t="s">
        <v>865</v>
      </c>
      <c r="H69">
        <v>2</v>
      </c>
      <c r="I69" t="s">
        <v>529</v>
      </c>
      <c r="J69" t="s">
        <v>89</v>
      </c>
      <c r="K69">
        <v>2</v>
      </c>
      <c r="L69" t="s">
        <v>606</v>
      </c>
      <c r="M69">
        <v>25</v>
      </c>
      <c r="N69" s="195">
        <v>43466</v>
      </c>
      <c r="O69" s="195"/>
      <c r="R69" t="s">
        <v>89</v>
      </c>
      <c r="S69">
        <v>2</v>
      </c>
    </row>
    <row r="70" spans="1:19" x14ac:dyDescent="0.25">
      <c r="A70" t="str">
        <f>TableBEDEC[[#This Row],[Study Package Code]]</f>
        <v>EDEC2021</v>
      </c>
      <c r="B70" s="5">
        <f>TableBEDEC[[#This Row],[Ver]]</f>
        <v>1</v>
      </c>
      <c r="D70" t="str">
        <f>TableBEDEC[[#This Row],[Structure Line]]</f>
        <v>Engaging Children in Science</v>
      </c>
      <c r="E70" s="125">
        <f>TableBEDEC[[#This Row],[Credit Points]]</f>
        <v>25</v>
      </c>
      <c r="F70">
        <v>14</v>
      </c>
      <c r="G70" t="s">
        <v>865</v>
      </c>
      <c r="H70">
        <v>2</v>
      </c>
      <c r="I70" t="s">
        <v>529</v>
      </c>
      <c r="J70" t="s">
        <v>94</v>
      </c>
      <c r="K70">
        <v>1</v>
      </c>
      <c r="L70" t="s">
        <v>610</v>
      </c>
      <c r="M70">
        <v>25</v>
      </c>
      <c r="N70" s="195">
        <v>43466</v>
      </c>
      <c r="O70" s="195"/>
      <c r="R70" t="s">
        <v>94</v>
      </c>
      <c r="S70">
        <v>1</v>
      </c>
    </row>
    <row r="71" spans="1:19" x14ac:dyDescent="0.25">
      <c r="A71" t="str">
        <f>TableBEDEC[[#This Row],[Study Package Code]]</f>
        <v>EDEC2027</v>
      </c>
      <c r="B71" s="5">
        <f>TableBEDEC[[#This Row],[Ver]]</f>
        <v>1</v>
      </c>
      <c r="D71" t="str">
        <f>TableBEDEC[[#This Row],[Structure Line]]</f>
        <v>Health and Physical Education in Early Childhood</v>
      </c>
      <c r="E71" s="125">
        <f>TableBEDEC[[#This Row],[Credit Points]]</f>
        <v>25</v>
      </c>
      <c r="F71">
        <v>15</v>
      </c>
      <c r="G71" t="s">
        <v>865</v>
      </c>
      <c r="H71">
        <v>2</v>
      </c>
      <c r="I71" t="s">
        <v>529</v>
      </c>
      <c r="J71" t="s">
        <v>104</v>
      </c>
      <c r="K71">
        <v>1</v>
      </c>
      <c r="L71" t="s">
        <v>616</v>
      </c>
      <c r="M71">
        <v>25</v>
      </c>
      <c r="N71" s="195">
        <v>43466</v>
      </c>
      <c r="O71" s="195"/>
      <c r="R71" t="s">
        <v>104</v>
      </c>
      <c r="S71">
        <v>1</v>
      </c>
    </row>
    <row r="72" spans="1:19" x14ac:dyDescent="0.25">
      <c r="A72" t="str">
        <f>TableBEDEC[[#This Row],[Study Package Code]]</f>
        <v>EDEC2023</v>
      </c>
      <c r="B72" s="5">
        <f>TableBEDEC[[#This Row],[Ver]]</f>
        <v>1</v>
      </c>
      <c r="D72" t="str">
        <f>TableBEDEC[[#This Row],[Structure Line]]</f>
        <v>Visual and Media Arts for Early Childhood</v>
      </c>
      <c r="E72" s="125">
        <f>TableBEDEC[[#This Row],[Credit Points]]</f>
        <v>25</v>
      </c>
      <c r="F72">
        <v>16</v>
      </c>
      <c r="G72" t="s">
        <v>865</v>
      </c>
      <c r="H72">
        <v>2</v>
      </c>
      <c r="I72" t="s">
        <v>529</v>
      </c>
      <c r="J72" t="s">
        <v>100</v>
      </c>
      <c r="K72">
        <v>1</v>
      </c>
      <c r="L72" t="s">
        <v>611</v>
      </c>
      <c r="M72">
        <v>25</v>
      </c>
      <c r="N72" s="195">
        <v>43466</v>
      </c>
      <c r="O72" s="195"/>
      <c r="R72" t="s">
        <v>100</v>
      </c>
      <c r="S72">
        <v>1</v>
      </c>
    </row>
    <row r="73" spans="1:19" x14ac:dyDescent="0.25">
      <c r="A73" t="str">
        <f>TableBEDEC[[#This Row],[Study Package Code]]</f>
        <v>EDEC3016</v>
      </c>
      <c r="B73" s="5">
        <f>TableBEDEC[[#This Row],[Ver]]</f>
        <v>1</v>
      </c>
      <c r="D73" t="str">
        <f>TableBEDEC[[#This Row],[Structure Line]]</f>
        <v>Early Childhood Professional Experience 2: Quality Frameworks in Early Learning Centres</v>
      </c>
      <c r="E73" s="125">
        <f>TableBEDEC[[#This Row],[Credit Points]]</f>
        <v>25</v>
      </c>
      <c r="F73">
        <v>17</v>
      </c>
      <c r="G73" t="s">
        <v>865</v>
      </c>
      <c r="H73">
        <v>3</v>
      </c>
      <c r="I73" t="s">
        <v>528</v>
      </c>
      <c r="J73" t="s">
        <v>113</v>
      </c>
      <c r="K73">
        <v>1</v>
      </c>
      <c r="L73" t="s">
        <v>618</v>
      </c>
      <c r="M73">
        <v>25</v>
      </c>
      <c r="N73" s="195">
        <v>43466</v>
      </c>
      <c r="O73" s="195"/>
      <c r="R73" t="s">
        <v>113</v>
      </c>
      <c r="S73">
        <v>1</v>
      </c>
    </row>
    <row r="74" spans="1:19" x14ac:dyDescent="0.25">
      <c r="A74" t="str">
        <f>TableBEDEC[[#This Row],[Study Package Code]]</f>
        <v>INED3001</v>
      </c>
      <c r="B74" s="5">
        <f>TableBEDEC[[#This Row],[Ver]]</f>
        <v>1</v>
      </c>
      <c r="D74" t="str">
        <f>TableBEDEC[[#This Row],[Structure Line]]</f>
        <v>Indigenous Australian Education</v>
      </c>
      <c r="E74" s="125">
        <f>TableBEDEC[[#This Row],[Credit Points]]</f>
        <v>25</v>
      </c>
      <c r="F74">
        <v>18</v>
      </c>
      <c r="G74" t="s">
        <v>865</v>
      </c>
      <c r="H74">
        <v>3</v>
      </c>
      <c r="I74" t="s">
        <v>528</v>
      </c>
      <c r="J74" t="s">
        <v>110</v>
      </c>
      <c r="K74">
        <v>1</v>
      </c>
      <c r="L74" t="s">
        <v>752</v>
      </c>
      <c r="M74">
        <v>25</v>
      </c>
      <c r="N74" s="195">
        <v>42005</v>
      </c>
      <c r="O74" s="195"/>
      <c r="R74" t="s">
        <v>110</v>
      </c>
      <c r="S74">
        <v>1</v>
      </c>
    </row>
    <row r="75" spans="1:19" x14ac:dyDescent="0.25">
      <c r="A75" t="str">
        <f>TableBEDEC[[#This Row],[Study Package Code]]</f>
        <v>EDEC3020</v>
      </c>
      <c r="B75" s="5">
        <f>TableBEDEC[[#This Row],[Ver]]</f>
        <v>1</v>
      </c>
      <c r="D75" t="str">
        <f>TableBEDEC[[#This Row],[Structure Line]]</f>
        <v>Leadership in Early Childhood Education</v>
      </c>
      <c r="E75" s="125">
        <f>TableBEDEC[[#This Row],[Credit Points]]</f>
        <v>25</v>
      </c>
      <c r="F75">
        <v>19</v>
      </c>
      <c r="G75" t="s">
        <v>865</v>
      </c>
      <c r="H75">
        <v>3</v>
      </c>
      <c r="I75" t="s">
        <v>528</v>
      </c>
      <c r="J75" t="s">
        <v>125</v>
      </c>
      <c r="K75">
        <v>1</v>
      </c>
      <c r="L75" t="s">
        <v>621</v>
      </c>
      <c r="M75">
        <v>25</v>
      </c>
      <c r="N75" s="195">
        <v>43466</v>
      </c>
      <c r="O75" s="195"/>
      <c r="R75" t="s">
        <v>125</v>
      </c>
      <c r="S75">
        <v>1</v>
      </c>
    </row>
    <row r="76" spans="1:19" x14ac:dyDescent="0.25">
      <c r="A76" t="str">
        <f>TableBEDEC[[#This Row],[Study Package Code]]</f>
        <v>EDEC3022</v>
      </c>
      <c r="B76" s="5">
        <f>TableBEDEC[[#This Row],[Ver]]</f>
        <v>1</v>
      </c>
      <c r="D76" t="str">
        <f>TableBEDEC[[#This Row],[Structure Line]]</f>
        <v>Mathematics during the First Five Years of Life</v>
      </c>
      <c r="E76" s="125">
        <f>TableBEDEC[[#This Row],[Credit Points]]</f>
        <v>25</v>
      </c>
      <c r="F76">
        <v>20</v>
      </c>
      <c r="G76" t="s">
        <v>865</v>
      </c>
      <c r="H76">
        <v>3</v>
      </c>
      <c r="I76" t="s">
        <v>528</v>
      </c>
      <c r="J76" t="s">
        <v>118</v>
      </c>
      <c r="K76">
        <v>1</v>
      </c>
      <c r="L76" t="s">
        <v>623</v>
      </c>
      <c r="M76">
        <v>25</v>
      </c>
      <c r="N76" s="195">
        <v>43466</v>
      </c>
      <c r="O76" s="195"/>
      <c r="R76" t="s">
        <v>118</v>
      </c>
      <c r="S76">
        <v>1</v>
      </c>
    </row>
    <row r="77" spans="1:19" x14ac:dyDescent="0.25">
      <c r="A77" t="str">
        <f>TableBEDEC[[#This Row],[Study Package Code]]</f>
        <v>EDEC3024</v>
      </c>
      <c r="B77" s="5">
        <f>TableBEDEC[[#This Row],[Ver]]</f>
        <v>1</v>
      </c>
      <c r="D77" t="str">
        <f>TableBEDEC[[#This Row],[Structure Line]]</f>
        <v>Early Childhood Literacies</v>
      </c>
      <c r="E77" s="125">
        <f>TableBEDEC[[#This Row],[Credit Points]]</f>
        <v>25</v>
      </c>
      <c r="F77">
        <v>21</v>
      </c>
      <c r="G77" t="s">
        <v>865</v>
      </c>
      <c r="H77">
        <v>3</v>
      </c>
      <c r="I77" t="s">
        <v>529</v>
      </c>
      <c r="J77" t="s">
        <v>114</v>
      </c>
      <c r="K77">
        <v>1</v>
      </c>
      <c r="L77" t="s">
        <v>625</v>
      </c>
      <c r="M77">
        <v>25</v>
      </c>
      <c r="N77" s="195">
        <v>43466</v>
      </c>
      <c r="O77" s="195"/>
      <c r="R77" t="s">
        <v>114</v>
      </c>
      <c r="S77">
        <v>1</v>
      </c>
    </row>
    <row r="78" spans="1:19" x14ac:dyDescent="0.25">
      <c r="A78" t="str">
        <f>TableBEDEC[[#This Row],[Study Package Code]]</f>
        <v>EDEC3018</v>
      </c>
      <c r="B78" s="5">
        <f>TableBEDEC[[#This Row],[Ver]]</f>
        <v>1</v>
      </c>
      <c r="D78" t="str">
        <f>TableBEDEC[[#This Row],[Structure Line]]</f>
        <v>Early Childhood Professional Experience 3: Kindergarten to Pre-primary Learning Environments</v>
      </c>
      <c r="E78" s="125">
        <f>TableBEDEC[[#This Row],[Credit Points]]</f>
        <v>25</v>
      </c>
      <c r="F78">
        <v>22</v>
      </c>
      <c r="G78" t="s">
        <v>865</v>
      </c>
      <c r="H78">
        <v>3</v>
      </c>
      <c r="I78" t="s">
        <v>529</v>
      </c>
      <c r="J78" t="s">
        <v>126</v>
      </c>
      <c r="K78">
        <v>1</v>
      </c>
      <c r="L78" t="s">
        <v>619</v>
      </c>
      <c r="M78">
        <v>25</v>
      </c>
      <c r="N78" s="195">
        <v>43466</v>
      </c>
      <c r="O78" s="195"/>
      <c r="R78" t="s">
        <v>126</v>
      </c>
      <c r="S78">
        <v>1</v>
      </c>
    </row>
    <row r="79" spans="1:19" x14ac:dyDescent="0.25">
      <c r="A79" t="str">
        <f>TableBEDEC[[#This Row],[Study Package Code]]</f>
        <v>EDEC3026</v>
      </c>
      <c r="B79" s="5">
        <f>TableBEDEC[[#This Row],[Ver]]</f>
        <v>1</v>
      </c>
      <c r="D79" t="str">
        <f>TableBEDEC[[#This Row],[Structure Line]]</f>
        <v>Pedagogical Contexts for Play</v>
      </c>
      <c r="E79" s="125">
        <f>TableBEDEC[[#This Row],[Credit Points]]</f>
        <v>25</v>
      </c>
      <c r="F79">
        <v>23</v>
      </c>
      <c r="G79" t="s">
        <v>865</v>
      </c>
      <c r="H79">
        <v>3</v>
      </c>
      <c r="I79" t="s">
        <v>529</v>
      </c>
      <c r="J79" t="s">
        <v>123</v>
      </c>
      <c r="K79">
        <v>1</v>
      </c>
      <c r="L79" t="s">
        <v>626</v>
      </c>
      <c r="M79">
        <v>25</v>
      </c>
      <c r="N79" s="195">
        <v>43466</v>
      </c>
      <c r="O79" s="195"/>
      <c r="R79" t="s">
        <v>123</v>
      </c>
      <c r="S79">
        <v>1</v>
      </c>
    </row>
    <row r="80" spans="1:19" x14ac:dyDescent="0.25">
      <c r="A80" t="str">
        <f>TableBEDEC[[#This Row],[Study Package Code]]</f>
        <v>Option</v>
      </c>
      <c r="B80" s="5">
        <f>TableBEDEC[[#This Row],[Ver]]</f>
        <v>0</v>
      </c>
      <c r="D80" t="str">
        <f>TableBEDEC[[#This Row],[Structure Line]]</f>
        <v>Choose an Option</v>
      </c>
      <c r="E80" s="125">
        <f>TableBEDEC[[#This Row],[Credit Points]]</f>
        <v>25</v>
      </c>
      <c r="F80">
        <v>24</v>
      </c>
      <c r="G80" t="s">
        <v>102</v>
      </c>
      <c r="H80">
        <v>3</v>
      </c>
      <c r="I80" t="s">
        <v>529</v>
      </c>
      <c r="J80" t="s">
        <v>102</v>
      </c>
      <c r="K80">
        <v>0</v>
      </c>
      <c r="L80" t="s">
        <v>867</v>
      </c>
      <c r="M80">
        <v>25</v>
      </c>
      <c r="N80" s="195"/>
      <c r="O80" s="195"/>
      <c r="R80" t="s">
        <v>102</v>
      </c>
      <c r="S80">
        <v>0</v>
      </c>
    </row>
    <row r="81" spans="1:19" x14ac:dyDescent="0.25">
      <c r="A81" t="str">
        <f>TableBEDEC[[#This Row],[Study Package Code]]</f>
        <v>EDEC4004</v>
      </c>
      <c r="B81" s="5">
        <f>TableBEDEC[[#This Row],[Ver]]</f>
        <v>1</v>
      </c>
      <c r="D81" t="str">
        <f>TableBEDEC[[#This Row],[Structure Line]]</f>
        <v>Curriculum Integration and Differentiation</v>
      </c>
      <c r="E81" s="125">
        <f>TableBEDEC[[#This Row],[Credit Points]]</f>
        <v>25</v>
      </c>
      <c r="F81">
        <v>25</v>
      </c>
      <c r="G81" t="s">
        <v>865</v>
      </c>
      <c r="H81">
        <v>4</v>
      </c>
      <c r="I81" t="s">
        <v>528</v>
      </c>
      <c r="J81" t="s">
        <v>132</v>
      </c>
      <c r="K81">
        <v>1</v>
      </c>
      <c r="L81" t="s">
        <v>628</v>
      </c>
      <c r="M81">
        <v>25</v>
      </c>
      <c r="N81" s="195">
        <v>43466</v>
      </c>
      <c r="O81" s="195"/>
      <c r="R81" t="s">
        <v>132</v>
      </c>
      <c r="S81">
        <v>1</v>
      </c>
    </row>
    <row r="82" spans="1:19" x14ac:dyDescent="0.25">
      <c r="A82" t="str">
        <f>TableBEDEC[[#This Row],[Study Package Code]]</f>
        <v>EDEC4006</v>
      </c>
      <c r="B82" s="5">
        <f>TableBEDEC[[#This Row],[Ver]]</f>
        <v>1</v>
      </c>
      <c r="D82" t="str">
        <f>TableBEDEC[[#This Row],[Structure Line]]</f>
        <v>Social Justice and Diversity in Early Childhood</v>
      </c>
      <c r="E82" s="125">
        <f>TableBEDEC[[#This Row],[Credit Points]]</f>
        <v>25</v>
      </c>
      <c r="F82">
        <v>26</v>
      </c>
      <c r="G82" t="s">
        <v>865</v>
      </c>
      <c r="H82">
        <v>4</v>
      </c>
      <c r="I82" t="s">
        <v>528</v>
      </c>
      <c r="J82" t="s">
        <v>127</v>
      </c>
      <c r="K82">
        <v>1</v>
      </c>
      <c r="L82" t="s">
        <v>630</v>
      </c>
      <c r="M82">
        <v>25</v>
      </c>
      <c r="N82" s="195">
        <v>43466</v>
      </c>
      <c r="O82" s="195"/>
      <c r="R82" t="s">
        <v>127</v>
      </c>
      <c r="S82">
        <v>1</v>
      </c>
    </row>
    <row r="83" spans="1:19" x14ac:dyDescent="0.25">
      <c r="A83" t="str">
        <f>TableBEDEC[[#This Row],[Study Package Code]]</f>
        <v>EDUC4049</v>
      </c>
      <c r="B83" s="5">
        <f>TableBEDEC[[#This Row],[Ver]]</f>
        <v>1</v>
      </c>
      <c r="D83" t="str">
        <f>TableBEDEC[[#This Row],[Structure Line]]</f>
        <v>The Professional Educator: Transition to the Profession</v>
      </c>
      <c r="E83" s="125">
        <f>TableBEDEC[[#This Row],[Credit Points]]</f>
        <v>25</v>
      </c>
      <c r="F83">
        <v>27</v>
      </c>
      <c r="G83" t="s">
        <v>865</v>
      </c>
      <c r="H83">
        <v>4</v>
      </c>
      <c r="I83" t="s">
        <v>528</v>
      </c>
      <c r="J83" t="s">
        <v>135</v>
      </c>
      <c r="K83">
        <v>1</v>
      </c>
      <c r="L83" t="s">
        <v>717</v>
      </c>
      <c r="M83">
        <v>25</v>
      </c>
      <c r="N83" s="195">
        <v>43466</v>
      </c>
      <c r="O83" s="195"/>
      <c r="R83" t="s">
        <v>135</v>
      </c>
      <c r="S83">
        <v>1</v>
      </c>
    </row>
    <row r="84" spans="1:19" x14ac:dyDescent="0.25">
      <c r="A84" t="str">
        <f>TableBEDEC[[#This Row],[Study Package Code]]</f>
        <v>Option</v>
      </c>
      <c r="B84" s="5">
        <f>TableBEDEC[[#This Row],[Ver]]</f>
        <v>0</v>
      </c>
      <c r="D84" t="str">
        <f>TableBEDEC[[#This Row],[Structure Line]]</f>
        <v>Choose an Option</v>
      </c>
      <c r="E84" s="125">
        <f>TableBEDEC[[#This Row],[Credit Points]]</f>
        <v>25</v>
      </c>
      <c r="F84">
        <v>28</v>
      </c>
      <c r="G84" t="s">
        <v>102</v>
      </c>
      <c r="H84">
        <v>4</v>
      </c>
      <c r="I84" t="s">
        <v>528</v>
      </c>
      <c r="J84" t="s">
        <v>102</v>
      </c>
      <c r="K84">
        <v>0</v>
      </c>
      <c r="L84" t="s">
        <v>867</v>
      </c>
      <c r="M84">
        <v>25</v>
      </c>
      <c r="N84" s="195"/>
      <c r="O84" s="195"/>
      <c r="R84" t="s">
        <v>102</v>
      </c>
      <c r="S84">
        <v>0</v>
      </c>
    </row>
    <row r="85" spans="1:19" x14ac:dyDescent="0.25">
      <c r="A85" t="str">
        <f>TableBEDEC[[#This Row],[Study Package Code]]</f>
        <v>EDUC4040</v>
      </c>
      <c r="B85" s="5">
        <f>TableBEDEC[[#This Row],[Ver]]</f>
        <v>1</v>
      </c>
      <c r="D85" t="str">
        <f>TableBEDEC[[#This Row],[Structure Line]]</f>
        <v>Professional Experience 4: The Internship</v>
      </c>
      <c r="E85" s="125">
        <f>TableBEDEC[[#This Row],[Credit Points]]</f>
        <v>100</v>
      </c>
      <c r="F85">
        <v>29</v>
      </c>
      <c r="G85" t="s">
        <v>865</v>
      </c>
      <c r="H85">
        <v>4</v>
      </c>
      <c r="I85" t="s">
        <v>873</v>
      </c>
      <c r="J85" t="s">
        <v>136</v>
      </c>
      <c r="K85">
        <v>1</v>
      </c>
      <c r="L85" t="s">
        <v>711</v>
      </c>
      <c r="M85">
        <v>100</v>
      </c>
      <c r="N85" s="195">
        <v>43466</v>
      </c>
      <c r="O85" s="195"/>
      <c r="R85" t="s">
        <v>136</v>
      </c>
      <c r="S85">
        <v>1</v>
      </c>
    </row>
    <row r="86" spans="1:19" x14ac:dyDescent="0.25">
      <c r="A86" t="str">
        <f>TableBEDEC[[#This Row],[Study Package Code]]</f>
        <v>CTED4000</v>
      </c>
      <c r="B86" s="5">
        <f>TableBEDEC[[#This Row],[Ver]]</f>
        <v>1</v>
      </c>
      <c r="D86" t="str">
        <f>TableBEDEC[[#This Row],[Structure Line]]</f>
        <v>An Introduction to Catholic Education</v>
      </c>
      <c r="E86" s="125">
        <f>TableBEDEC[[#This Row],[Credit Points]]</f>
        <v>25</v>
      </c>
      <c r="G86" t="s">
        <v>102</v>
      </c>
      <c r="J86" t="s">
        <v>171</v>
      </c>
      <c r="K86">
        <v>1</v>
      </c>
      <c r="L86" t="s">
        <v>583</v>
      </c>
      <c r="M86">
        <v>25</v>
      </c>
      <c r="N86" s="195">
        <v>42005</v>
      </c>
      <c r="O86" s="195">
        <v>45291</v>
      </c>
      <c r="R86" t="s">
        <v>171</v>
      </c>
      <c r="S86">
        <v>1</v>
      </c>
    </row>
    <row r="87" spans="1:19" x14ac:dyDescent="0.25">
      <c r="A87" t="str">
        <f>TableBEDEC[[#This Row],[Study Package Code]]</f>
        <v>CTED4001</v>
      </c>
      <c r="B87" s="5">
        <f>TableBEDEC[[#This Row],[Ver]]</f>
        <v>2</v>
      </c>
      <c r="D87" t="str">
        <f>TableBEDEC[[#This Row],[Structure Line]]</f>
        <v>Teaching About Sacraments in Catholic Schools</v>
      </c>
      <c r="E87" s="125">
        <f>TableBEDEC[[#This Row],[Credit Points]]</f>
        <v>25</v>
      </c>
      <c r="G87" t="s">
        <v>102</v>
      </c>
      <c r="J87" t="s">
        <v>150</v>
      </c>
      <c r="K87">
        <v>2</v>
      </c>
      <c r="L87" t="s">
        <v>585</v>
      </c>
      <c r="M87">
        <v>25</v>
      </c>
      <c r="N87" s="195">
        <v>45292</v>
      </c>
      <c r="O87" s="195"/>
      <c r="R87" t="s">
        <v>150</v>
      </c>
      <c r="S87">
        <v>1</v>
      </c>
    </row>
    <row r="88" spans="1:19" x14ac:dyDescent="0.25">
      <c r="A88" t="str">
        <f>TableBEDEC[[#This Row],[Study Package Code]]</f>
        <v>CTED4002</v>
      </c>
      <c r="B88" s="5">
        <f>TableBEDEC[[#This Row],[Ver]]</f>
        <v>2</v>
      </c>
      <c r="D88" t="str">
        <f>TableBEDEC[[#This Row],[Structure Line]]</f>
        <v>Prayer and Morality in Catholic Studies</v>
      </c>
      <c r="E88" s="125">
        <f>TableBEDEC[[#This Row],[Credit Points]]</f>
        <v>25</v>
      </c>
      <c r="G88" t="s">
        <v>102</v>
      </c>
      <c r="J88" t="s">
        <v>172</v>
      </c>
      <c r="K88">
        <v>2</v>
      </c>
      <c r="L88" t="s">
        <v>591</v>
      </c>
      <c r="M88">
        <v>25</v>
      </c>
      <c r="N88" s="195">
        <v>44197</v>
      </c>
      <c r="O88" s="195">
        <v>45107</v>
      </c>
      <c r="R88" t="s">
        <v>172</v>
      </c>
      <c r="S88">
        <v>2</v>
      </c>
    </row>
    <row r="89" spans="1:19" x14ac:dyDescent="0.25">
      <c r="A89" t="str">
        <f>TableBEDEC[[#This Row],[Study Package Code]]</f>
        <v>EDIB4000</v>
      </c>
      <c r="B89" s="5">
        <f>TableBEDEC[[#This Row],[Ver]]</f>
        <v>1</v>
      </c>
      <c r="D89" t="str">
        <f>TableBEDEC[[#This Row],[Structure Line]]</f>
        <v>Introduction to the International Baccalaureate Programme</v>
      </c>
      <c r="E89" s="125">
        <f>TableBEDEC[[#This Row],[Credit Points]]</f>
        <v>25</v>
      </c>
      <c r="G89" t="s">
        <v>102</v>
      </c>
      <c r="J89" t="s">
        <v>166</v>
      </c>
      <c r="K89">
        <v>1</v>
      </c>
      <c r="L89" t="s">
        <v>631</v>
      </c>
      <c r="M89">
        <v>25</v>
      </c>
      <c r="N89" s="195">
        <v>42005</v>
      </c>
      <c r="O89" s="195"/>
      <c r="R89" t="s">
        <v>166</v>
      </c>
      <c r="S89">
        <v>1</v>
      </c>
    </row>
    <row r="90" spans="1:19" x14ac:dyDescent="0.25">
      <c r="A90" t="str">
        <f>TableBEDEC[[#This Row],[Study Package Code]]</f>
        <v>EDIB4001</v>
      </c>
      <c r="B90" s="5">
        <f>TableBEDEC[[#This Row],[Ver]]</f>
        <v>1</v>
      </c>
      <c r="D90" t="str">
        <f>TableBEDEC[[#This Row],[Structure Line]]</f>
        <v>International Baccalaureate Primary Years Programme</v>
      </c>
      <c r="E90" s="125">
        <f>TableBEDEC[[#This Row],[Credit Points]]</f>
        <v>25</v>
      </c>
      <c r="G90" t="s">
        <v>102</v>
      </c>
      <c r="J90" t="s">
        <v>167</v>
      </c>
      <c r="K90">
        <v>1</v>
      </c>
      <c r="L90" t="s">
        <v>633</v>
      </c>
      <c r="M90">
        <v>25</v>
      </c>
      <c r="N90" s="195">
        <v>42005</v>
      </c>
      <c r="O90" s="195"/>
      <c r="R90" t="s">
        <v>167</v>
      </c>
      <c r="S90">
        <v>1</v>
      </c>
    </row>
    <row r="91" spans="1:19" x14ac:dyDescent="0.25">
      <c r="A91" t="str">
        <f>TableBEDEC[[#This Row],[Study Package Code]]</f>
        <v>EDIB4002</v>
      </c>
      <c r="B91" s="5">
        <f>TableBEDEC[[#This Row],[Ver]]</f>
        <v>1</v>
      </c>
      <c r="D91" t="str">
        <f>TableBEDEC[[#This Row],[Structure Line]]</f>
        <v>International Baccalaureate Middle Years Programme</v>
      </c>
      <c r="E91" s="125">
        <f>TableBEDEC[[#This Row],[Credit Points]]</f>
        <v>25</v>
      </c>
      <c r="G91" t="s">
        <v>102</v>
      </c>
      <c r="J91" t="s">
        <v>170</v>
      </c>
      <c r="K91">
        <v>1</v>
      </c>
      <c r="L91" t="s">
        <v>634</v>
      </c>
      <c r="M91">
        <v>25</v>
      </c>
      <c r="N91" s="195">
        <v>42005</v>
      </c>
      <c r="O91" s="195"/>
      <c r="R91" t="s">
        <v>170</v>
      </c>
      <c r="S91">
        <v>1</v>
      </c>
    </row>
    <row r="92" spans="1:19" x14ac:dyDescent="0.25">
      <c r="A92" t="str">
        <f>TableBEDEC[[#This Row],[Study Package Code]]</f>
        <v>EDPR2000</v>
      </c>
      <c r="B92" s="5">
        <f>TableBEDEC[[#This Row],[Ver]]</f>
        <v>1</v>
      </c>
      <c r="D92" t="str">
        <f>TableBEDEC[[#This Row],[Structure Line]]</f>
        <v>Inquiry in the Science Classroom</v>
      </c>
      <c r="E92" s="125">
        <f>TableBEDEC[[#This Row],[Credit Points]]</f>
        <v>25</v>
      </c>
      <c r="G92" t="s">
        <v>102</v>
      </c>
      <c r="J92" t="s">
        <v>93</v>
      </c>
      <c r="K92">
        <v>1</v>
      </c>
      <c r="L92" t="s">
        <v>637</v>
      </c>
      <c r="M92">
        <v>25</v>
      </c>
      <c r="N92" s="195">
        <v>42005</v>
      </c>
      <c r="O92" s="195"/>
      <c r="R92" t="s">
        <v>93</v>
      </c>
      <c r="S92">
        <v>1</v>
      </c>
    </row>
    <row r="93" spans="1:19" x14ac:dyDescent="0.25">
      <c r="A93" t="str">
        <f>TableBEDEC[[#This Row],[Study Package Code]]</f>
        <v>EDPR2004</v>
      </c>
      <c r="B93" s="5">
        <f>TableBEDEC[[#This Row],[Ver]]</f>
        <v>1</v>
      </c>
      <c r="D93" t="str">
        <f>TableBEDEC[[#This Row],[Structure Line]]</f>
        <v>Children as Mathematical Learners</v>
      </c>
      <c r="E93" s="125">
        <f>TableBEDEC[[#This Row],[Credit Points]]</f>
        <v>25</v>
      </c>
      <c r="G93" t="s">
        <v>102</v>
      </c>
      <c r="J93" t="s">
        <v>87</v>
      </c>
      <c r="K93">
        <v>1</v>
      </c>
      <c r="L93" t="s">
        <v>638</v>
      </c>
      <c r="M93">
        <v>25</v>
      </c>
      <c r="N93" s="195">
        <v>42005</v>
      </c>
      <c r="O93" s="195"/>
      <c r="R93" t="s">
        <v>87</v>
      </c>
      <c r="S93">
        <v>1</v>
      </c>
    </row>
    <row r="94" spans="1:19" x14ac:dyDescent="0.25">
      <c r="A94" t="str">
        <f>TableBEDEC[[#This Row],[Study Package Code]]</f>
        <v>EDPR2016</v>
      </c>
      <c r="B94" s="5">
        <f>TableBEDEC[[#This Row],[Ver]]</f>
        <v>1</v>
      </c>
      <c r="D94" t="str">
        <f>TableBEDEC[[#This Row],[Structure Line]]</f>
        <v>Health and Physical Education</v>
      </c>
      <c r="E94" s="125">
        <f>TableBEDEC[[#This Row],[Credit Points]]</f>
        <v>25</v>
      </c>
      <c r="G94" t="s">
        <v>102</v>
      </c>
      <c r="J94" t="s">
        <v>85</v>
      </c>
      <c r="K94">
        <v>1</v>
      </c>
      <c r="L94" t="s">
        <v>642</v>
      </c>
      <c r="M94">
        <v>25</v>
      </c>
      <c r="N94" s="195">
        <v>43466</v>
      </c>
      <c r="O94" s="195"/>
      <c r="R94" t="s">
        <v>85</v>
      </c>
      <c r="S94">
        <v>1</v>
      </c>
    </row>
    <row r="95" spans="1:19" x14ac:dyDescent="0.25">
      <c r="A95" t="str">
        <f>TableBEDEC[[#This Row],[Study Package Code]]</f>
        <v>EDPR3000</v>
      </c>
      <c r="B95" s="5">
        <f>TableBEDEC[[#This Row],[Ver]]</f>
        <v>1</v>
      </c>
      <c r="D95" t="str">
        <f>TableBEDEC[[#This Row],[Structure Line]]</f>
        <v>Inquiry in the Mathematics Classroom</v>
      </c>
      <c r="E95" s="125">
        <f>TableBEDEC[[#This Row],[Credit Points]]</f>
        <v>25</v>
      </c>
      <c r="G95" t="s">
        <v>102</v>
      </c>
      <c r="J95" t="s">
        <v>124</v>
      </c>
      <c r="K95">
        <v>1</v>
      </c>
      <c r="L95" t="s">
        <v>643</v>
      </c>
      <c r="M95">
        <v>25</v>
      </c>
      <c r="N95" s="195">
        <v>42005</v>
      </c>
      <c r="O95" s="195"/>
      <c r="R95" t="s">
        <v>124</v>
      </c>
      <c r="S95">
        <v>1</v>
      </c>
    </row>
    <row r="96" spans="1:19" x14ac:dyDescent="0.25">
      <c r="A96" t="str">
        <f>TableBEDEC[[#This Row],[Study Package Code]]</f>
        <v>EDPR3001</v>
      </c>
      <c r="B96" s="5">
        <f>TableBEDEC[[#This Row],[Ver]]</f>
        <v>2</v>
      </c>
      <c r="D96" t="str">
        <f>TableBEDEC[[#This Row],[Structure Line]]</f>
        <v>English Pedagogies and the Integrated Curriculum</v>
      </c>
      <c r="E96" s="125">
        <f>TableBEDEC[[#This Row],[Credit Points]]</f>
        <v>25</v>
      </c>
      <c r="G96" t="s">
        <v>102</v>
      </c>
      <c r="J96" t="s">
        <v>120</v>
      </c>
      <c r="K96">
        <v>2</v>
      </c>
      <c r="L96" t="s">
        <v>644</v>
      </c>
      <c r="M96">
        <v>25</v>
      </c>
      <c r="N96" s="195">
        <v>43466</v>
      </c>
      <c r="O96" s="195"/>
      <c r="R96" t="s">
        <v>120</v>
      </c>
      <c r="S96">
        <v>2</v>
      </c>
    </row>
    <row r="97" spans="1:19" x14ac:dyDescent="0.25">
      <c r="A97" t="str">
        <f>TableBEDEC[[#This Row],[Study Package Code]]</f>
        <v>EDUC4012</v>
      </c>
      <c r="B97" s="5">
        <f>TableBEDEC[[#This Row],[Ver]]</f>
        <v>2</v>
      </c>
      <c r="D97" t="str">
        <f>TableBEDEC[[#This Row],[Structure Line]]</f>
        <v>Relationships and Sexuality Education</v>
      </c>
      <c r="E97" s="125">
        <f>TableBEDEC[[#This Row],[Credit Points]]</f>
        <v>25</v>
      </c>
      <c r="G97" t="s">
        <v>102</v>
      </c>
      <c r="J97" t="s">
        <v>156</v>
      </c>
      <c r="K97">
        <v>2</v>
      </c>
      <c r="L97" t="s">
        <v>697</v>
      </c>
      <c r="M97">
        <v>25</v>
      </c>
      <c r="N97" s="195">
        <v>44927</v>
      </c>
      <c r="O97" s="195"/>
      <c r="R97" t="s">
        <v>156</v>
      </c>
      <c r="S97">
        <v>2</v>
      </c>
    </row>
    <row r="98" spans="1:19" x14ac:dyDescent="0.25">
      <c r="A98" t="str">
        <f>TableBEDEC[[#This Row],[Study Package Code]]</f>
        <v>EDUC4014</v>
      </c>
      <c r="B98" s="5">
        <f>TableBEDEC[[#This Row],[Ver]]</f>
        <v>1</v>
      </c>
      <c r="D98" t="str">
        <f>TableBEDEC[[#This Row],[Structure Line]]</f>
        <v>Diverse Abilities and Curriculum Differentiation</v>
      </c>
      <c r="E98" s="125">
        <f>TableBEDEC[[#This Row],[Credit Points]]</f>
        <v>25</v>
      </c>
      <c r="G98" t="s">
        <v>102</v>
      </c>
      <c r="J98" t="s">
        <v>158</v>
      </c>
      <c r="K98">
        <v>1</v>
      </c>
      <c r="L98" t="s">
        <v>698</v>
      </c>
      <c r="M98">
        <v>25</v>
      </c>
      <c r="N98" s="195">
        <v>42005</v>
      </c>
      <c r="O98" s="195"/>
      <c r="R98" t="s">
        <v>158</v>
      </c>
      <c r="S98">
        <v>1</v>
      </c>
    </row>
    <row r="99" spans="1:19" x14ac:dyDescent="0.25">
      <c r="A99" t="str">
        <f>TableBEDEC[[#This Row],[Study Package Code]]</f>
        <v>EDUC4020</v>
      </c>
      <c r="B99" s="5">
        <f>TableBEDEC[[#This Row],[Ver]]</f>
        <v>1</v>
      </c>
      <c r="D99" t="str">
        <f>TableBEDEC[[#This Row],[Structure Line]]</f>
        <v>Supporting Literacy and Numeracy Development for Diverse Learners</v>
      </c>
      <c r="E99" s="125">
        <f>TableBEDEC[[#This Row],[Credit Points]]</f>
        <v>25</v>
      </c>
      <c r="G99" t="s">
        <v>102</v>
      </c>
      <c r="J99" t="s">
        <v>153</v>
      </c>
      <c r="K99">
        <v>1</v>
      </c>
      <c r="L99" t="s">
        <v>699</v>
      </c>
      <c r="M99">
        <v>25</v>
      </c>
      <c r="N99" s="195">
        <v>43282</v>
      </c>
      <c r="O99" s="195"/>
      <c r="R99" t="s">
        <v>153</v>
      </c>
      <c r="S99">
        <v>1</v>
      </c>
    </row>
    <row r="100" spans="1:19" x14ac:dyDescent="0.25">
      <c r="A100" t="str">
        <f>TableBEDEC[[#This Row],[Study Package Code]]</f>
        <v>EDUC4021</v>
      </c>
      <c r="B100" s="5">
        <f>TableBEDEC[[#This Row],[Ver]]</f>
        <v>1</v>
      </c>
      <c r="D100" t="str">
        <f>TableBEDEC[[#This Row],[Structure Line]]</f>
        <v>Project-based iSTEM Education</v>
      </c>
      <c r="E100" s="125">
        <f>TableBEDEC[[#This Row],[Credit Points]]</f>
        <v>25</v>
      </c>
      <c r="G100" t="s">
        <v>102</v>
      </c>
      <c r="J100" t="s">
        <v>142</v>
      </c>
      <c r="K100">
        <v>1</v>
      </c>
      <c r="L100" t="s">
        <v>700</v>
      </c>
      <c r="M100">
        <v>25</v>
      </c>
      <c r="N100" s="195">
        <v>43282</v>
      </c>
      <c r="O100" s="195"/>
      <c r="R100" t="s">
        <v>142</v>
      </c>
      <c r="S100">
        <v>1</v>
      </c>
    </row>
    <row r="101" spans="1:19" x14ac:dyDescent="0.25">
      <c r="A101" t="str">
        <f>TableBEDEC[[#This Row],[Study Package Code]]</f>
        <v>EDUC4022</v>
      </c>
      <c r="B101" s="5">
        <f>TableBEDEC[[#This Row],[Ver]]</f>
        <v>1</v>
      </c>
      <c r="D101" t="str">
        <f>TableBEDEC[[#This Row],[Structure Line]]</f>
        <v>Creative Literacies</v>
      </c>
      <c r="E101" s="125">
        <f>TableBEDEC[[#This Row],[Credit Points]]</f>
        <v>25</v>
      </c>
      <c r="G101" t="s">
        <v>102</v>
      </c>
      <c r="J101" t="s">
        <v>147</v>
      </c>
      <c r="K101">
        <v>1</v>
      </c>
      <c r="L101" t="s">
        <v>701</v>
      </c>
      <c r="M101">
        <v>25</v>
      </c>
      <c r="N101" s="195">
        <v>43282</v>
      </c>
      <c r="O101" s="195"/>
      <c r="R101" t="s">
        <v>147</v>
      </c>
      <c r="S101">
        <v>1</v>
      </c>
    </row>
    <row r="102" spans="1:19" x14ac:dyDescent="0.25">
      <c r="A102" t="str">
        <f>TableBEDEC[[#This Row],[Study Package Code]]</f>
        <v>EDUC4023</v>
      </c>
      <c r="B102" s="5">
        <f>TableBEDEC[[#This Row],[Ver]]</f>
        <v>1</v>
      </c>
      <c r="D102" t="str">
        <f>TableBEDEC[[#This Row],[Structure Line]]</f>
        <v>Creating and Responding to Literature</v>
      </c>
      <c r="E102" s="125">
        <f>TableBEDEC[[#This Row],[Credit Points]]</f>
        <v>25</v>
      </c>
      <c r="G102" t="s">
        <v>102</v>
      </c>
      <c r="J102" t="s">
        <v>148</v>
      </c>
      <c r="K102">
        <v>1</v>
      </c>
      <c r="L102" t="s">
        <v>702</v>
      </c>
      <c r="M102">
        <v>25</v>
      </c>
      <c r="N102" s="195">
        <v>43282</v>
      </c>
      <c r="O102" s="195"/>
      <c r="R102" t="s">
        <v>148</v>
      </c>
      <c r="S102">
        <v>1</v>
      </c>
    </row>
    <row r="103" spans="1:19" x14ac:dyDescent="0.25">
      <c r="A103" t="str">
        <f>TableBEDEC[[#This Row],[Study Package Code]]</f>
        <v>EDUC4029</v>
      </c>
      <c r="B103" s="5">
        <f>TableBEDEC[[#This Row],[Ver]]</f>
        <v>1</v>
      </c>
      <c r="D103" t="str">
        <f>TableBEDEC[[#This Row],[Structure Line]]</f>
        <v>Technologies: Coding for Teachers</v>
      </c>
      <c r="E103" s="125">
        <f>TableBEDEC[[#This Row],[Credit Points]]</f>
        <v>25</v>
      </c>
      <c r="G103" t="s">
        <v>102</v>
      </c>
      <c r="J103" t="s">
        <v>160</v>
      </c>
      <c r="K103">
        <v>1</v>
      </c>
      <c r="L103" t="s">
        <v>703</v>
      </c>
      <c r="M103">
        <v>25</v>
      </c>
      <c r="N103" s="195">
        <v>43282</v>
      </c>
      <c r="O103" s="195"/>
      <c r="R103" t="s">
        <v>160</v>
      </c>
      <c r="S103">
        <v>1</v>
      </c>
    </row>
    <row r="104" spans="1:19" x14ac:dyDescent="0.25">
      <c r="A104" t="str">
        <f>TableBEDEC[[#This Row],[Study Package Code]]</f>
        <v>EDUC4031</v>
      </c>
      <c r="B104" s="5">
        <f>TableBEDEC[[#This Row],[Ver]]</f>
        <v>1</v>
      </c>
      <c r="D104" t="str">
        <f>TableBEDEC[[#This Row],[Structure Line]]</f>
        <v>Social Justice in Literacy and Numeracy Learning</v>
      </c>
      <c r="E104" s="125">
        <f>TableBEDEC[[#This Row],[Credit Points]]</f>
        <v>25</v>
      </c>
      <c r="G104" t="s">
        <v>102</v>
      </c>
      <c r="J104" t="s">
        <v>169</v>
      </c>
      <c r="K104">
        <v>1</v>
      </c>
      <c r="L104" t="s">
        <v>705</v>
      </c>
      <c r="M104">
        <v>25</v>
      </c>
      <c r="N104" s="195">
        <v>43282</v>
      </c>
      <c r="O104" s="195">
        <v>44750</v>
      </c>
      <c r="R104" t="s">
        <v>169</v>
      </c>
      <c r="S104">
        <v>1</v>
      </c>
    </row>
    <row r="105" spans="1:19" x14ac:dyDescent="0.25">
      <c r="A105" t="str">
        <f>TableBEDEC[[#This Row],[Study Package Code]]</f>
        <v>EDUC4032</v>
      </c>
      <c r="B105" s="5">
        <f>TableBEDEC[[#This Row],[Ver]]</f>
        <v>1</v>
      </c>
      <c r="D105" t="str">
        <f>TableBEDEC[[#This Row],[Structure Line]]</f>
        <v>iSTEM Education through Digital Stories</v>
      </c>
      <c r="E105" s="125">
        <f>TableBEDEC[[#This Row],[Credit Points]]</f>
        <v>25</v>
      </c>
      <c r="G105" t="s">
        <v>102</v>
      </c>
      <c r="J105" t="s">
        <v>143</v>
      </c>
      <c r="K105">
        <v>1</v>
      </c>
      <c r="L105" t="s">
        <v>707</v>
      </c>
      <c r="M105">
        <v>25</v>
      </c>
      <c r="N105" s="195">
        <v>43466</v>
      </c>
      <c r="O105" s="195"/>
      <c r="R105" t="s">
        <v>143</v>
      </c>
      <c r="S105">
        <v>1</v>
      </c>
    </row>
    <row r="106" spans="1:19" x14ac:dyDescent="0.25">
      <c r="A106" t="str">
        <f>TableBEDEC[[#This Row],[Study Package Code]]</f>
        <v>EDUC4034</v>
      </c>
      <c r="B106" s="5">
        <f>TableBEDEC[[#This Row],[Ver]]</f>
        <v>1</v>
      </c>
      <c r="D106" t="str">
        <f>TableBEDEC[[#This Row],[Structure Line]]</f>
        <v>iSTEM: Social Issues</v>
      </c>
      <c r="E106" s="125">
        <f>TableBEDEC[[#This Row],[Credit Points]]</f>
        <v>25</v>
      </c>
      <c r="G106" t="s">
        <v>102</v>
      </c>
      <c r="J106" t="s">
        <v>144</v>
      </c>
      <c r="K106">
        <v>1</v>
      </c>
      <c r="L106" t="s">
        <v>708</v>
      </c>
      <c r="M106">
        <v>25</v>
      </c>
      <c r="N106" s="195">
        <v>43466</v>
      </c>
      <c r="O106" s="195"/>
      <c r="R106" t="s">
        <v>144</v>
      </c>
      <c r="S106">
        <v>1</v>
      </c>
    </row>
    <row r="107" spans="1:19" x14ac:dyDescent="0.25">
      <c r="A107" t="str">
        <f>TableBEDEC[[#This Row],[Study Package Code]]</f>
        <v>EDUC4036</v>
      </c>
      <c r="B107" s="5">
        <f>TableBEDEC[[#This Row],[Ver]]</f>
        <v>1</v>
      </c>
      <c r="D107" t="str">
        <f>TableBEDEC[[#This Row],[Structure Line]]</f>
        <v>Language and Diversity</v>
      </c>
      <c r="E107" s="125">
        <f>TableBEDEC[[#This Row],[Credit Points]]</f>
        <v>25</v>
      </c>
      <c r="G107" t="s">
        <v>102</v>
      </c>
      <c r="J107" t="s">
        <v>149</v>
      </c>
      <c r="K107">
        <v>1</v>
      </c>
      <c r="L107" t="s">
        <v>709</v>
      </c>
      <c r="M107">
        <v>25</v>
      </c>
      <c r="N107" s="195">
        <v>43466</v>
      </c>
      <c r="O107" s="195"/>
      <c r="R107" t="s">
        <v>149</v>
      </c>
      <c r="S107">
        <v>1</v>
      </c>
    </row>
    <row r="108" spans="1:19" x14ac:dyDescent="0.25">
      <c r="A108" t="str">
        <f>TableBEDEC[[#This Row],[Study Package Code]]</f>
        <v>EDUC4038</v>
      </c>
      <c r="B108" s="5">
        <f>TableBEDEC[[#This Row],[Ver]]</f>
        <v>1</v>
      </c>
      <c r="D108" t="str">
        <f>TableBEDEC[[#This Row],[Structure Line]]</f>
        <v>Technologies: Design Solutions</v>
      </c>
      <c r="E108" s="125">
        <f>TableBEDEC[[#This Row],[Credit Points]]</f>
        <v>25</v>
      </c>
      <c r="G108" t="s">
        <v>102</v>
      </c>
      <c r="J108" t="s">
        <v>161</v>
      </c>
      <c r="K108">
        <v>1</v>
      </c>
      <c r="L108" t="s">
        <v>710</v>
      </c>
      <c r="M108">
        <v>25</v>
      </c>
      <c r="N108" s="195">
        <v>43466</v>
      </c>
      <c r="O108" s="195"/>
      <c r="R108" t="s">
        <v>161</v>
      </c>
      <c r="S108">
        <v>1</v>
      </c>
    </row>
    <row r="109" spans="1:19" x14ac:dyDescent="0.25">
      <c r="A109" t="str">
        <f>TableBEDEC[[#This Row],[Study Package Code]]</f>
        <v>EDUC4042</v>
      </c>
      <c r="B109" s="5">
        <f>TableBEDEC[[#This Row],[Ver]]</f>
        <v>1</v>
      </c>
      <c r="D109" t="str">
        <f>TableBEDEC[[#This Row],[Structure Line]]</f>
        <v>Alternative Approaches to Teaching Literacy and Numeracy</v>
      </c>
      <c r="E109" s="125">
        <f>TableBEDEC[[#This Row],[Credit Points]]</f>
        <v>25</v>
      </c>
      <c r="G109" t="s">
        <v>102</v>
      </c>
      <c r="J109" t="s">
        <v>155</v>
      </c>
      <c r="K109">
        <v>1</v>
      </c>
      <c r="L109" t="s">
        <v>713</v>
      </c>
      <c r="M109">
        <v>25</v>
      </c>
      <c r="N109" s="195">
        <v>43466</v>
      </c>
      <c r="O109" s="195"/>
      <c r="R109" t="s">
        <v>155</v>
      </c>
      <c r="S109">
        <v>1</v>
      </c>
    </row>
    <row r="110" spans="1:19" x14ac:dyDescent="0.25">
      <c r="A110" t="str">
        <f>TableBEDEC[[#This Row],[Study Package Code]]</f>
        <v>EDUC4044</v>
      </c>
      <c r="B110" s="5">
        <f>TableBEDEC[[#This Row],[Ver]]</f>
        <v>2</v>
      </c>
      <c r="D110" t="str">
        <f>TableBEDEC[[#This Row],[Structure Line]]</f>
        <v>Literacy and Numeracy for First Nations Peoples of Australia</v>
      </c>
      <c r="E110" s="125">
        <f>TableBEDEC[[#This Row],[Credit Points]]</f>
        <v>25</v>
      </c>
      <c r="G110" t="s">
        <v>102</v>
      </c>
      <c r="J110" t="s">
        <v>157</v>
      </c>
      <c r="K110">
        <v>2</v>
      </c>
      <c r="L110" t="s">
        <v>714</v>
      </c>
      <c r="M110">
        <v>25</v>
      </c>
      <c r="N110" s="195">
        <v>44927</v>
      </c>
      <c r="O110" s="195"/>
      <c r="R110" t="s">
        <v>157</v>
      </c>
      <c r="S110">
        <v>1</v>
      </c>
    </row>
    <row r="111" spans="1:19" x14ac:dyDescent="0.25">
      <c r="A111" t="str">
        <f>TableBEDEC[[#This Row],[Study Package Code]]</f>
        <v>EDUC4044</v>
      </c>
      <c r="B111" s="5">
        <f>TableBEDEC[[#This Row],[Ver]]</f>
        <v>2</v>
      </c>
      <c r="D111" t="str">
        <f>TableBEDEC[[#This Row],[Structure Line]]</f>
        <v>Literacy and Numeracy for First Nations Peoples of Australia</v>
      </c>
      <c r="E111" s="125" t="str">
        <f>TableBEDEC[[#This Row],[Credit Points]]</f>
        <v/>
      </c>
      <c r="G111" t="s">
        <v>102</v>
      </c>
      <c r="J111" t="s">
        <v>157</v>
      </c>
      <c r="K111">
        <v>2</v>
      </c>
      <c r="L111" t="s">
        <v>714</v>
      </c>
      <c r="M111" t="s">
        <v>874</v>
      </c>
      <c r="N111" s="195">
        <v>44927</v>
      </c>
      <c r="O111" s="195"/>
    </row>
    <row r="112" spans="1:19" x14ac:dyDescent="0.25">
      <c r="A112" t="str">
        <f>TableBEDEC[[#This Row],[Study Package Code]]</f>
        <v>EDUC4046</v>
      </c>
      <c r="B112" s="5">
        <f>TableBEDEC[[#This Row],[Ver]]</f>
        <v>1</v>
      </c>
      <c r="D112" t="str">
        <f>TableBEDEC[[#This Row],[Structure Line]]</f>
        <v>Technologies: Digital Solutions</v>
      </c>
      <c r="E112" s="125">
        <f>TableBEDEC[[#This Row],[Credit Points]]</f>
        <v>25</v>
      </c>
      <c r="G112" t="s">
        <v>102</v>
      </c>
      <c r="J112" t="s">
        <v>162</v>
      </c>
      <c r="K112">
        <v>1</v>
      </c>
      <c r="L112" t="s">
        <v>715</v>
      </c>
      <c r="M112">
        <v>25</v>
      </c>
      <c r="N112" s="195">
        <v>43466</v>
      </c>
      <c r="O112" s="195"/>
      <c r="R112" t="s">
        <v>162</v>
      </c>
      <c r="S112">
        <v>1</v>
      </c>
    </row>
    <row r="113" spans="1:19" x14ac:dyDescent="0.25">
      <c r="A113" t="str">
        <f>TableBEDEC[[#This Row],[Study Package Code]]</f>
        <v>EDUC4048</v>
      </c>
      <c r="B113" s="5">
        <f>TableBEDEC[[#This Row],[Ver]]</f>
        <v>1</v>
      </c>
      <c r="D113" t="str">
        <f>TableBEDEC[[#This Row],[Structure Line]]</f>
        <v>Mentoring, Coaching and Tutoring</v>
      </c>
      <c r="E113" s="125">
        <f>TableBEDEC[[#This Row],[Credit Points]]</f>
        <v>25</v>
      </c>
      <c r="G113" t="s">
        <v>102</v>
      </c>
      <c r="J113" t="s">
        <v>117</v>
      </c>
      <c r="K113">
        <v>1</v>
      </c>
      <c r="L113" t="s">
        <v>716</v>
      </c>
      <c r="M113">
        <v>25</v>
      </c>
      <c r="N113" s="195">
        <v>43466</v>
      </c>
      <c r="O113" s="195"/>
      <c r="R113" t="s">
        <v>117</v>
      </c>
      <c r="S113">
        <v>1</v>
      </c>
    </row>
    <row r="114" spans="1:19" x14ac:dyDescent="0.25">
      <c r="A114" s="122"/>
      <c r="B114" s="124"/>
      <c r="C114" s="122"/>
      <c r="G114" s="123" t="s">
        <v>855</v>
      </c>
      <c r="H114" s="199">
        <v>45292</v>
      </c>
      <c r="J114" s="197" t="s">
        <v>76</v>
      </c>
      <c r="K114" s="198" t="s">
        <v>77</v>
      </c>
      <c r="L114" s="122" t="s">
        <v>75</v>
      </c>
      <c r="M114" s="122"/>
    </row>
    <row r="115" spans="1:19" ht="31.5" x14ac:dyDescent="0.25">
      <c r="A115" s="159" t="s">
        <v>0</v>
      </c>
      <c r="B115" s="160" t="s">
        <v>60</v>
      </c>
      <c r="C115" s="159" t="s">
        <v>856</v>
      </c>
      <c r="D115" s="159" t="s">
        <v>3</v>
      </c>
      <c r="E115" s="161" t="s">
        <v>857</v>
      </c>
      <c r="F115" s="159" t="s">
        <v>858</v>
      </c>
      <c r="G115" s="159" t="s">
        <v>859</v>
      </c>
      <c r="H115" s="159" t="s">
        <v>860</v>
      </c>
      <c r="I115" s="159" t="s">
        <v>17</v>
      </c>
      <c r="J115" s="159" t="s">
        <v>861</v>
      </c>
      <c r="K115" s="159" t="s">
        <v>1</v>
      </c>
      <c r="L115" s="159" t="s">
        <v>44</v>
      </c>
      <c r="M115" s="159" t="s">
        <v>61</v>
      </c>
      <c r="N115" s="159" t="s">
        <v>862</v>
      </c>
      <c r="O115" s="159" t="s">
        <v>863</v>
      </c>
      <c r="R115" t="s">
        <v>538</v>
      </c>
      <c r="S115" t="s">
        <v>864</v>
      </c>
    </row>
    <row r="116" spans="1:19" x14ac:dyDescent="0.25">
      <c r="A116" t="str">
        <f>TableBEDPR[[#This Row],[Study Package Code]]</f>
        <v>EDUC1021</v>
      </c>
      <c r="B116" s="5">
        <f>TableBEDPR[[#This Row],[Ver]]</f>
        <v>1</v>
      </c>
      <c r="D116" t="str">
        <f>TableBEDPR[[#This Row],[Structure Line]]</f>
        <v>Child Development for Educators</v>
      </c>
      <c r="E116" s="125">
        <f>TableBEDPR[[#This Row],[Credit Points]]</f>
        <v>25</v>
      </c>
      <c r="F116">
        <v>1</v>
      </c>
      <c r="G116" t="s">
        <v>865</v>
      </c>
      <c r="H116">
        <v>1</v>
      </c>
      <c r="I116" t="s">
        <v>528</v>
      </c>
      <c r="J116" t="s">
        <v>51</v>
      </c>
      <c r="K116">
        <v>1</v>
      </c>
      <c r="L116" t="s">
        <v>685</v>
      </c>
      <c r="M116" s="333">
        <v>25</v>
      </c>
      <c r="N116" s="195">
        <v>43466</v>
      </c>
      <c r="O116" s="195"/>
      <c r="R116" t="s">
        <v>51</v>
      </c>
      <c r="S116">
        <v>1</v>
      </c>
    </row>
    <row r="117" spans="1:19" x14ac:dyDescent="0.25">
      <c r="A117" t="str">
        <f>TableBEDPR[[#This Row],[Study Package Code]]</f>
        <v>EDUC1023</v>
      </c>
      <c r="B117" s="5">
        <f>TableBEDPR[[#This Row],[Ver]]</f>
        <v>1</v>
      </c>
      <c r="D117" t="str">
        <f>TableBEDPR[[#This Row],[Structure Line]]</f>
        <v>Introducing Language, Literacy and Literature for Educator</v>
      </c>
      <c r="E117" s="125">
        <f>TableBEDPR[[#This Row],[Credit Points]]</f>
        <v>25</v>
      </c>
      <c r="F117">
        <v>2</v>
      </c>
      <c r="G117" t="s">
        <v>865</v>
      </c>
      <c r="H117">
        <v>1</v>
      </c>
      <c r="I117" t="s">
        <v>528</v>
      </c>
      <c r="J117" t="s">
        <v>64</v>
      </c>
      <c r="K117">
        <v>1</v>
      </c>
      <c r="L117" t="s">
        <v>872</v>
      </c>
      <c r="M117" s="333">
        <v>25</v>
      </c>
      <c r="N117" s="195">
        <v>43466</v>
      </c>
      <c r="O117" s="195"/>
      <c r="R117" t="s">
        <v>64</v>
      </c>
      <c r="S117">
        <v>1</v>
      </c>
    </row>
    <row r="118" spans="1:19" x14ac:dyDescent="0.25">
      <c r="A118" t="str">
        <f>TableBEDPR[[#This Row],[Study Package Code]]</f>
        <v>EDUC1019</v>
      </c>
      <c r="B118" s="5">
        <f>TableBEDPR[[#This Row],[Ver]]</f>
        <v>1</v>
      </c>
      <c r="D118" t="str">
        <f>TableBEDPR[[#This Row],[Structure Line]]</f>
        <v>Teaching and Learning in the Digital World</v>
      </c>
      <c r="E118" s="125">
        <f>TableBEDPR[[#This Row],[Credit Points]]</f>
        <v>25</v>
      </c>
      <c r="F118">
        <v>3</v>
      </c>
      <c r="G118" t="s">
        <v>865</v>
      </c>
      <c r="H118">
        <v>1</v>
      </c>
      <c r="I118" t="s">
        <v>528</v>
      </c>
      <c r="J118" t="s">
        <v>54</v>
      </c>
      <c r="K118">
        <v>1</v>
      </c>
      <c r="L118" t="s">
        <v>684</v>
      </c>
      <c r="M118" s="333">
        <v>25</v>
      </c>
      <c r="N118" s="195">
        <v>43466</v>
      </c>
      <c r="O118" s="195"/>
      <c r="R118" t="s">
        <v>54</v>
      </c>
      <c r="S118">
        <v>1</v>
      </c>
    </row>
    <row r="119" spans="1:19" x14ac:dyDescent="0.25">
      <c r="A119" t="str">
        <f>TableBEDPR[[#This Row],[Study Package Code]]</f>
        <v>EDUC1017</v>
      </c>
      <c r="B119" s="5">
        <f>TableBEDPR[[#This Row],[Ver]]</f>
        <v>1</v>
      </c>
      <c r="D119" t="str">
        <f>TableBEDPR[[#This Row],[Structure Line]]</f>
        <v>The Professional Educator: Developing Teacher Identity</v>
      </c>
      <c r="E119" s="125">
        <f>TableBEDPR[[#This Row],[Credit Points]]</f>
        <v>25</v>
      </c>
      <c r="F119">
        <v>4</v>
      </c>
      <c r="G119" t="s">
        <v>865</v>
      </c>
      <c r="H119">
        <v>1</v>
      </c>
      <c r="I119" t="s">
        <v>528</v>
      </c>
      <c r="J119" t="s">
        <v>56</v>
      </c>
      <c r="K119">
        <v>1</v>
      </c>
      <c r="L119" t="s">
        <v>683</v>
      </c>
      <c r="M119" s="333">
        <v>25</v>
      </c>
      <c r="N119" s="195">
        <v>43466</v>
      </c>
      <c r="O119" s="195"/>
      <c r="R119" t="s">
        <v>56</v>
      </c>
      <c r="S119">
        <v>1</v>
      </c>
    </row>
    <row r="120" spans="1:19" x14ac:dyDescent="0.25">
      <c r="A120" t="str">
        <f>TableBEDPR[[#This Row],[Study Package Code]]</f>
        <v>EDUC1027</v>
      </c>
      <c r="B120" s="5">
        <f>TableBEDPR[[#This Row],[Ver]]</f>
        <v>1</v>
      </c>
      <c r="D120" t="str">
        <f>TableBEDPR[[#This Row],[Structure Line]]</f>
        <v>Educators Inquiring About the World</v>
      </c>
      <c r="E120" s="125">
        <f>TableBEDPR[[#This Row],[Credit Points]]</f>
        <v>25</v>
      </c>
      <c r="F120">
        <v>5</v>
      </c>
      <c r="G120" t="s">
        <v>865</v>
      </c>
      <c r="H120">
        <v>1</v>
      </c>
      <c r="I120" t="s">
        <v>529</v>
      </c>
      <c r="J120" t="s">
        <v>53</v>
      </c>
      <c r="K120">
        <v>1</v>
      </c>
      <c r="L120" t="s">
        <v>688</v>
      </c>
      <c r="M120" s="333">
        <v>25</v>
      </c>
      <c r="N120" s="195">
        <v>43466</v>
      </c>
      <c r="O120" s="195"/>
      <c r="R120" t="s">
        <v>53</v>
      </c>
      <c r="S120">
        <v>1</v>
      </c>
    </row>
    <row r="121" spans="1:19" x14ac:dyDescent="0.25">
      <c r="A121" t="str">
        <f>TableBEDPR[[#This Row],[Study Package Code]]</f>
        <v>EDUC1025</v>
      </c>
      <c r="B121" s="5">
        <f>TableBEDPR[[#This Row],[Ver]]</f>
        <v>1</v>
      </c>
      <c r="D121" t="str">
        <f>TableBEDPR[[#This Row],[Structure Line]]</f>
        <v>Exploring and Contesting Curriculum</v>
      </c>
      <c r="E121" s="125">
        <f>TableBEDPR[[#This Row],[Credit Points]]</f>
        <v>25</v>
      </c>
      <c r="F121">
        <v>6</v>
      </c>
      <c r="G121" t="s">
        <v>865</v>
      </c>
      <c r="H121">
        <v>1</v>
      </c>
      <c r="I121" t="s">
        <v>529</v>
      </c>
      <c r="J121" t="s">
        <v>58</v>
      </c>
      <c r="K121">
        <v>1</v>
      </c>
      <c r="L121" t="s">
        <v>687</v>
      </c>
      <c r="M121" s="333">
        <v>25</v>
      </c>
      <c r="N121" s="195">
        <v>43466</v>
      </c>
      <c r="O121" s="195"/>
      <c r="R121" t="s">
        <v>58</v>
      </c>
      <c r="S121">
        <v>1</v>
      </c>
    </row>
    <row r="122" spans="1:19" x14ac:dyDescent="0.25">
      <c r="A122" t="str">
        <f>TableBEDPR[[#This Row],[Study Package Code]]</f>
        <v>EDUC1029</v>
      </c>
      <c r="B122" s="5">
        <f>TableBEDPR[[#This Row],[Ver]]</f>
        <v>1</v>
      </c>
      <c r="D122" t="str">
        <f>TableBEDPR[[#This Row],[Structure Line]]</f>
        <v>Performing Arts for Educators</v>
      </c>
      <c r="E122" s="125">
        <f>TableBEDPR[[#This Row],[Credit Points]]</f>
        <v>25</v>
      </c>
      <c r="F122">
        <v>7</v>
      </c>
      <c r="G122" t="s">
        <v>865</v>
      </c>
      <c r="H122">
        <v>1</v>
      </c>
      <c r="I122" t="s">
        <v>529</v>
      </c>
      <c r="J122" t="s">
        <v>55</v>
      </c>
      <c r="K122">
        <v>1</v>
      </c>
      <c r="L122" t="s">
        <v>689</v>
      </c>
      <c r="M122" s="333">
        <v>25</v>
      </c>
      <c r="N122" s="195">
        <v>43466</v>
      </c>
      <c r="O122" s="195"/>
      <c r="R122" t="s">
        <v>55</v>
      </c>
      <c r="S122">
        <v>1</v>
      </c>
    </row>
    <row r="123" spans="1:19" x14ac:dyDescent="0.25">
      <c r="A123" t="str">
        <f>TableBEDPR[[#This Row],[Study Package Code]]</f>
        <v>EDUC1031</v>
      </c>
      <c r="B123" s="5">
        <f>TableBEDPR[[#This Row],[Ver]]</f>
        <v>1</v>
      </c>
      <c r="D123" t="str">
        <f>TableBEDPR[[#This Row],[Structure Line]]</f>
        <v>The Numerate Educator</v>
      </c>
      <c r="E123" s="125">
        <f>TableBEDPR[[#This Row],[Credit Points]]</f>
        <v>25</v>
      </c>
      <c r="F123">
        <v>8</v>
      </c>
      <c r="G123" t="s">
        <v>865</v>
      </c>
      <c r="H123">
        <v>1</v>
      </c>
      <c r="I123" t="s">
        <v>529</v>
      </c>
      <c r="J123" t="s">
        <v>59</v>
      </c>
      <c r="K123">
        <v>1</v>
      </c>
      <c r="L123" t="s">
        <v>690</v>
      </c>
      <c r="M123" s="333">
        <v>25</v>
      </c>
      <c r="N123" s="195">
        <v>43466</v>
      </c>
      <c r="O123" s="195"/>
      <c r="R123" t="s">
        <v>59</v>
      </c>
      <c r="S123">
        <v>1</v>
      </c>
    </row>
    <row r="124" spans="1:19" x14ac:dyDescent="0.25">
      <c r="A124" t="str">
        <f>TableBEDPR[[#This Row],[Study Package Code]]</f>
        <v>EDPR2016</v>
      </c>
      <c r="B124" s="5">
        <f>TableBEDPR[[#This Row],[Ver]]</f>
        <v>1</v>
      </c>
      <c r="D124" t="str">
        <f>TableBEDPR[[#This Row],[Structure Line]]</f>
        <v>Health and Physical Education</v>
      </c>
      <c r="E124" s="125">
        <f>TableBEDPR[[#This Row],[Credit Points]]</f>
        <v>25</v>
      </c>
      <c r="F124">
        <v>9</v>
      </c>
      <c r="G124" t="s">
        <v>865</v>
      </c>
      <c r="H124">
        <v>2</v>
      </c>
      <c r="I124" t="s">
        <v>528</v>
      </c>
      <c r="J124" t="s">
        <v>85</v>
      </c>
      <c r="K124">
        <v>1</v>
      </c>
      <c r="L124" t="s">
        <v>642</v>
      </c>
      <c r="M124" s="333">
        <v>25</v>
      </c>
      <c r="N124" s="195">
        <v>43466</v>
      </c>
      <c r="O124" s="195"/>
      <c r="R124" t="s">
        <v>85</v>
      </c>
      <c r="S124">
        <v>1</v>
      </c>
    </row>
    <row r="125" spans="1:19" x14ac:dyDescent="0.25">
      <c r="A125" t="str">
        <f>TableBEDPR[[#This Row],[Study Package Code]]</f>
        <v>EDUC2005</v>
      </c>
      <c r="B125" s="5">
        <f>TableBEDPR[[#This Row],[Ver]]</f>
        <v>1</v>
      </c>
      <c r="D125" t="str">
        <f>TableBEDPR[[#This Row],[Structure Line]]</f>
        <v>Learning Theories, Diversity and Differentiation</v>
      </c>
      <c r="E125" s="125">
        <f>TableBEDPR[[#This Row],[Credit Points]]</f>
        <v>25</v>
      </c>
      <c r="F125">
        <v>10</v>
      </c>
      <c r="G125" t="s">
        <v>865</v>
      </c>
      <c r="H125">
        <v>2</v>
      </c>
      <c r="I125" t="s">
        <v>528</v>
      </c>
      <c r="J125" t="s">
        <v>90</v>
      </c>
      <c r="K125">
        <v>1</v>
      </c>
      <c r="L125" t="s">
        <v>691</v>
      </c>
      <c r="M125" s="333">
        <v>25</v>
      </c>
      <c r="N125" s="195">
        <v>43466</v>
      </c>
      <c r="O125" s="195"/>
      <c r="R125" t="s">
        <v>90</v>
      </c>
      <c r="S125">
        <v>1</v>
      </c>
    </row>
    <row r="126" spans="1:19" x14ac:dyDescent="0.25">
      <c r="A126" t="str">
        <f>TableBEDPR[[#This Row],[Study Package Code]]</f>
        <v>EDPR2012</v>
      </c>
      <c r="B126" s="5">
        <f>TableBEDPR[[#This Row],[Ver]]</f>
        <v>1</v>
      </c>
      <c r="D126" t="str">
        <f>TableBEDPR[[#This Row],[Structure Line]]</f>
        <v>Primary Professional Experience 1: Planning for Teaching</v>
      </c>
      <c r="E126" s="125">
        <f>TableBEDPR[[#This Row],[Credit Points]]</f>
        <v>25</v>
      </c>
      <c r="F126">
        <v>11</v>
      </c>
      <c r="G126" t="s">
        <v>865</v>
      </c>
      <c r="H126">
        <v>2</v>
      </c>
      <c r="I126" t="s">
        <v>528</v>
      </c>
      <c r="J126" t="s">
        <v>105</v>
      </c>
      <c r="K126">
        <v>1</v>
      </c>
      <c r="L126" t="s">
        <v>640</v>
      </c>
      <c r="M126" s="333">
        <v>25</v>
      </c>
      <c r="N126" s="195">
        <v>43466</v>
      </c>
      <c r="O126" s="195"/>
      <c r="R126" t="s">
        <v>105</v>
      </c>
      <c r="S126">
        <v>1</v>
      </c>
    </row>
    <row r="127" spans="1:19" x14ac:dyDescent="0.25">
      <c r="A127" t="str">
        <f>TableBEDPR[[#This Row],[Study Package Code]]</f>
        <v>EDUC2007</v>
      </c>
      <c r="B127" s="5">
        <f>TableBEDPR[[#This Row],[Ver]]</f>
        <v>1</v>
      </c>
      <c r="D127" t="str">
        <f>TableBEDPR[[#This Row],[Structure Line]]</f>
        <v>Teaching Language, Literacy and Literature in Junior Primary</v>
      </c>
      <c r="E127" s="125">
        <f>TableBEDPR[[#This Row],[Credit Points]]</f>
        <v>25</v>
      </c>
      <c r="F127">
        <v>12</v>
      </c>
      <c r="G127" t="s">
        <v>865</v>
      </c>
      <c r="H127">
        <v>2</v>
      </c>
      <c r="I127" t="s">
        <v>528</v>
      </c>
      <c r="J127" t="s">
        <v>88</v>
      </c>
      <c r="K127">
        <v>1</v>
      </c>
      <c r="L127" t="s">
        <v>693</v>
      </c>
      <c r="M127" s="333">
        <v>25</v>
      </c>
      <c r="N127" s="195">
        <v>43466</v>
      </c>
      <c r="O127" s="195"/>
      <c r="R127" t="s">
        <v>88</v>
      </c>
      <c r="S127">
        <v>1</v>
      </c>
    </row>
    <row r="128" spans="1:19" x14ac:dyDescent="0.25">
      <c r="A128" t="str">
        <f>TableBEDPR[[#This Row],[Study Package Code]]</f>
        <v>EDPR2004</v>
      </c>
      <c r="B128" s="5">
        <f>TableBEDPR[[#This Row],[Ver]]</f>
        <v>1</v>
      </c>
      <c r="D128" t="str">
        <f>TableBEDPR[[#This Row],[Structure Line]]</f>
        <v>Children as Mathematical Learners</v>
      </c>
      <c r="E128" s="125">
        <f>TableBEDPR[[#This Row],[Credit Points]]</f>
        <v>25</v>
      </c>
      <c r="F128">
        <v>13</v>
      </c>
      <c r="G128" t="s">
        <v>865</v>
      </c>
      <c r="H128">
        <v>2</v>
      </c>
      <c r="I128" t="s">
        <v>529</v>
      </c>
      <c r="J128" t="s">
        <v>87</v>
      </c>
      <c r="K128">
        <v>1</v>
      </c>
      <c r="L128" t="s">
        <v>638</v>
      </c>
      <c r="M128" s="333">
        <v>25</v>
      </c>
      <c r="N128" s="195">
        <v>42005</v>
      </c>
      <c r="O128" s="195"/>
      <c r="R128" t="s">
        <v>87</v>
      </c>
      <c r="S128">
        <v>1</v>
      </c>
    </row>
    <row r="129" spans="1:19" x14ac:dyDescent="0.25">
      <c r="A129" t="str">
        <f>TableBEDPR[[#This Row],[Study Package Code]]</f>
        <v>EDPR2000</v>
      </c>
      <c r="B129" s="5">
        <f>TableBEDPR[[#This Row],[Ver]]</f>
        <v>1</v>
      </c>
      <c r="D129" t="str">
        <f>TableBEDPR[[#This Row],[Structure Line]]</f>
        <v>Inquiry in the Science Classroom</v>
      </c>
      <c r="E129" s="125">
        <f>TableBEDPR[[#This Row],[Credit Points]]</f>
        <v>25</v>
      </c>
      <c r="F129">
        <v>14</v>
      </c>
      <c r="G129" t="s">
        <v>865</v>
      </c>
      <c r="H129">
        <v>2</v>
      </c>
      <c r="I129" t="s">
        <v>529</v>
      </c>
      <c r="J129" t="s">
        <v>93</v>
      </c>
      <c r="K129">
        <v>1</v>
      </c>
      <c r="L129" t="s">
        <v>637</v>
      </c>
      <c r="M129" s="333">
        <v>25</v>
      </c>
      <c r="N129" s="195">
        <v>42005</v>
      </c>
      <c r="O129" s="195"/>
      <c r="R129" t="s">
        <v>93</v>
      </c>
      <c r="S129">
        <v>1</v>
      </c>
    </row>
    <row r="130" spans="1:19" x14ac:dyDescent="0.25">
      <c r="A130" t="str">
        <f>TableBEDPR[[#This Row],[Study Package Code]]</f>
        <v>EDPR2014</v>
      </c>
      <c r="B130" s="5">
        <f>TableBEDPR[[#This Row],[Ver]]</f>
        <v>1</v>
      </c>
      <c r="D130" t="str">
        <f>TableBEDPR[[#This Row],[Structure Line]]</f>
        <v>Primary Professional Experience 2: Leadership and Stewardship for Diverse Learners</v>
      </c>
      <c r="E130" s="125">
        <f>TableBEDPR[[#This Row],[Credit Points]]</f>
        <v>25</v>
      </c>
      <c r="F130">
        <v>15</v>
      </c>
      <c r="G130" t="s">
        <v>865</v>
      </c>
      <c r="H130">
        <v>2</v>
      </c>
      <c r="I130" t="s">
        <v>529</v>
      </c>
      <c r="J130" t="s">
        <v>106</v>
      </c>
      <c r="K130">
        <v>1</v>
      </c>
      <c r="L130" t="s">
        <v>641</v>
      </c>
      <c r="M130" s="333">
        <v>25</v>
      </c>
      <c r="N130" s="195">
        <v>43466</v>
      </c>
      <c r="O130" s="195"/>
      <c r="R130" t="s">
        <v>106</v>
      </c>
      <c r="S130">
        <v>1</v>
      </c>
    </row>
    <row r="131" spans="1:19" x14ac:dyDescent="0.25">
      <c r="A131" t="str">
        <f>TableBEDPR[[#This Row],[Study Package Code]]</f>
        <v>TASBEDPR</v>
      </c>
      <c r="B131" s="5">
        <f>TableBEDPR[[#This Row],[Ver]]</f>
        <v>0</v>
      </c>
      <c r="D131" t="str">
        <f>TableBEDPR[[#This Row],[Structure Line]]</f>
        <v>Choose a Teaching Area Stream</v>
      </c>
      <c r="E131" s="125">
        <f>TableBEDPR[[#This Row],[Credit Points]]</f>
        <v>75</v>
      </c>
      <c r="F131">
        <v>16</v>
      </c>
      <c r="G131" t="s">
        <v>102</v>
      </c>
      <c r="H131">
        <v>0</v>
      </c>
      <c r="I131" t="s">
        <v>875</v>
      </c>
      <c r="J131" t="s">
        <v>944</v>
      </c>
      <c r="K131">
        <v>0</v>
      </c>
      <c r="L131" t="s">
        <v>931</v>
      </c>
      <c r="M131">
        <v>75</v>
      </c>
      <c r="N131" s="195"/>
      <c r="O131" s="195"/>
      <c r="R131" t="s">
        <v>102</v>
      </c>
      <c r="S131">
        <v>0</v>
      </c>
    </row>
    <row r="132" spans="1:19" x14ac:dyDescent="0.25">
      <c r="A132" t="str">
        <f>TableBEDPR[[#This Row],[Study Package Code]]</f>
        <v>EDPR3004</v>
      </c>
      <c r="B132" s="5">
        <f>TableBEDPR[[#This Row],[Ver]]</f>
        <v>1</v>
      </c>
      <c r="D132" t="str">
        <f>TableBEDPR[[#This Row],[Structure Line]]</f>
        <v>Cultural Contexts in Primary Education</v>
      </c>
      <c r="E132" s="125">
        <f>TableBEDPR[[#This Row],[Credit Points]]</f>
        <v>25</v>
      </c>
      <c r="F132">
        <v>17</v>
      </c>
      <c r="G132" t="s">
        <v>865</v>
      </c>
      <c r="H132">
        <v>3</v>
      </c>
      <c r="I132" t="s">
        <v>528</v>
      </c>
      <c r="J132" t="s">
        <v>115</v>
      </c>
      <c r="K132">
        <v>1</v>
      </c>
      <c r="L132" t="s">
        <v>647</v>
      </c>
      <c r="M132" s="333">
        <v>25</v>
      </c>
      <c r="N132" s="195">
        <v>42005</v>
      </c>
      <c r="O132" s="195"/>
      <c r="R132" t="s">
        <v>115</v>
      </c>
      <c r="S132">
        <v>1</v>
      </c>
    </row>
    <row r="133" spans="1:19" x14ac:dyDescent="0.25">
      <c r="A133" t="str">
        <f>TableBEDPR[[#This Row],[Study Package Code]]</f>
        <v>EDPR3000</v>
      </c>
      <c r="B133" s="5">
        <f>TableBEDPR[[#This Row],[Ver]]</f>
        <v>1</v>
      </c>
      <c r="D133" t="str">
        <f>TableBEDPR[[#This Row],[Structure Line]]</f>
        <v>Inquiry in the Mathematics Classroom</v>
      </c>
      <c r="E133" s="125">
        <f>TableBEDPR[[#This Row],[Credit Points]]</f>
        <v>25</v>
      </c>
      <c r="F133">
        <v>18</v>
      </c>
      <c r="G133" t="s">
        <v>865</v>
      </c>
      <c r="H133">
        <v>3</v>
      </c>
      <c r="I133" t="s">
        <v>528</v>
      </c>
      <c r="J133" t="s">
        <v>124</v>
      </c>
      <c r="K133">
        <v>1</v>
      </c>
      <c r="L133" t="s">
        <v>643</v>
      </c>
      <c r="M133" s="333">
        <v>25</v>
      </c>
      <c r="N133" s="195">
        <v>42005</v>
      </c>
      <c r="O133" s="195"/>
      <c r="R133" t="s">
        <v>124</v>
      </c>
      <c r="S133">
        <v>1</v>
      </c>
    </row>
    <row r="134" spans="1:19" x14ac:dyDescent="0.25">
      <c r="A134" t="str">
        <f>TableBEDPR[[#This Row],[Study Package Code]]</f>
        <v>EDPR3014</v>
      </c>
      <c r="B134" s="5">
        <f>TableBEDPR[[#This Row],[Ver]]</f>
        <v>1</v>
      </c>
      <c r="D134" t="str">
        <f>TableBEDPR[[#This Row],[Structure Line]]</f>
        <v>Visual and Media Arts Education</v>
      </c>
      <c r="E134" s="125">
        <f>TableBEDPR[[#This Row],[Credit Points]]</f>
        <v>25</v>
      </c>
      <c r="F134">
        <v>19</v>
      </c>
      <c r="G134" t="s">
        <v>865</v>
      </c>
      <c r="H134">
        <v>3</v>
      </c>
      <c r="I134" t="s">
        <v>528</v>
      </c>
      <c r="J134" t="s">
        <v>119</v>
      </c>
      <c r="K134">
        <v>1</v>
      </c>
      <c r="L134" t="s">
        <v>652</v>
      </c>
      <c r="M134" s="333">
        <v>25</v>
      </c>
      <c r="N134" s="195">
        <v>43466</v>
      </c>
      <c r="O134" s="195"/>
      <c r="R134" t="s">
        <v>119</v>
      </c>
      <c r="S134">
        <v>1</v>
      </c>
    </row>
    <row r="135" spans="1:19" x14ac:dyDescent="0.25">
      <c r="A135" t="str">
        <f>TableBEDPR[[#This Row],[Study Package Code]]</f>
        <v>EDPR3001</v>
      </c>
      <c r="B135" s="5">
        <f>TableBEDPR[[#This Row],[Ver]]</f>
        <v>2</v>
      </c>
      <c r="D135" t="str">
        <f>TableBEDPR[[#This Row],[Structure Line]]</f>
        <v>English Pedagogies and the Integrated Curriculum</v>
      </c>
      <c r="E135" s="125">
        <f>TableBEDPR[[#This Row],[Credit Points]]</f>
        <v>25</v>
      </c>
      <c r="F135">
        <v>20</v>
      </c>
      <c r="G135" t="s">
        <v>865</v>
      </c>
      <c r="H135">
        <v>3</v>
      </c>
      <c r="I135" t="s">
        <v>529</v>
      </c>
      <c r="J135" t="s">
        <v>120</v>
      </c>
      <c r="K135">
        <v>2</v>
      </c>
      <c r="L135" t="s">
        <v>644</v>
      </c>
      <c r="M135" s="333">
        <v>25</v>
      </c>
      <c r="N135" s="195">
        <v>43466</v>
      </c>
      <c r="O135" s="195"/>
      <c r="R135" t="s">
        <v>102</v>
      </c>
      <c r="S135">
        <v>0</v>
      </c>
    </row>
    <row r="136" spans="1:19" x14ac:dyDescent="0.25">
      <c r="A136" t="str">
        <f>TableBEDPR[[#This Row],[Study Package Code]]</f>
        <v>INED3001</v>
      </c>
      <c r="B136" s="5">
        <f>TableBEDPR[[#This Row],[Ver]]</f>
        <v>1</v>
      </c>
      <c r="D136" t="str">
        <f>TableBEDPR[[#This Row],[Structure Line]]</f>
        <v>Indigenous Australian Education</v>
      </c>
      <c r="E136" s="125">
        <f>TableBEDPR[[#This Row],[Credit Points]]</f>
        <v>25</v>
      </c>
      <c r="F136">
        <v>21</v>
      </c>
      <c r="G136" t="s">
        <v>865</v>
      </c>
      <c r="H136">
        <v>3</v>
      </c>
      <c r="I136" t="s">
        <v>529</v>
      </c>
      <c r="J136" t="s">
        <v>110</v>
      </c>
      <c r="K136">
        <v>1</v>
      </c>
      <c r="L136" t="s">
        <v>752</v>
      </c>
      <c r="M136" s="333">
        <v>25</v>
      </c>
      <c r="N136" s="195">
        <v>42005</v>
      </c>
      <c r="O136" s="195"/>
      <c r="R136" t="s">
        <v>120</v>
      </c>
      <c r="S136">
        <v>2</v>
      </c>
    </row>
    <row r="137" spans="1:19" x14ac:dyDescent="0.25">
      <c r="A137" t="str">
        <f>TableBEDPR[[#This Row],[Study Package Code]]</f>
        <v>EDPR3003</v>
      </c>
      <c r="B137" s="5">
        <f>TableBEDPR[[#This Row],[Ver]]</f>
        <v>2</v>
      </c>
      <c r="D137" t="str">
        <f>TableBEDPR[[#This Row],[Structure Line]]</f>
        <v>Inquiry in the Humanities and Social Sciences Classroom</v>
      </c>
      <c r="E137" s="125">
        <f>TableBEDPR[[#This Row],[Credit Points]]</f>
        <v>25</v>
      </c>
      <c r="F137">
        <v>22</v>
      </c>
      <c r="G137" t="s">
        <v>865</v>
      </c>
      <c r="H137">
        <v>3</v>
      </c>
      <c r="I137" t="s">
        <v>529</v>
      </c>
      <c r="J137" t="s">
        <v>112</v>
      </c>
      <c r="K137">
        <v>2</v>
      </c>
      <c r="L137" t="s">
        <v>645</v>
      </c>
      <c r="M137" s="333">
        <v>25</v>
      </c>
      <c r="N137" s="195">
        <v>43466</v>
      </c>
      <c r="O137" s="195"/>
      <c r="R137" t="s">
        <v>110</v>
      </c>
      <c r="S137">
        <v>1</v>
      </c>
    </row>
    <row r="138" spans="1:19" x14ac:dyDescent="0.25">
      <c r="A138" t="str">
        <f>TableBEDPR[[#This Row],[Study Package Code]]</f>
        <v>EDPR3012</v>
      </c>
      <c r="B138" s="5">
        <f>TableBEDPR[[#This Row],[Ver]]</f>
        <v>1</v>
      </c>
      <c r="D138" t="str">
        <f>TableBEDPR[[#This Row],[Structure Line]]</f>
        <v>Primary Professional Experience 3: Evaluating Learning</v>
      </c>
      <c r="E138" s="125">
        <f>TableBEDPR[[#This Row],[Credit Points]]</f>
        <v>25</v>
      </c>
      <c r="F138">
        <v>23</v>
      </c>
      <c r="G138" t="s">
        <v>865</v>
      </c>
      <c r="H138">
        <v>3</v>
      </c>
      <c r="I138" t="s">
        <v>529</v>
      </c>
      <c r="J138" t="s">
        <v>128</v>
      </c>
      <c r="K138">
        <v>1</v>
      </c>
      <c r="L138" t="s">
        <v>650</v>
      </c>
      <c r="M138" s="333">
        <v>25</v>
      </c>
      <c r="N138" s="195">
        <v>43466</v>
      </c>
      <c r="O138" s="195"/>
      <c r="R138" t="s">
        <v>112</v>
      </c>
      <c r="S138">
        <v>2</v>
      </c>
    </row>
    <row r="139" spans="1:19" x14ac:dyDescent="0.25">
      <c r="A139" t="str">
        <f>TableBEDPR[[#This Row],[Study Package Code]]</f>
        <v>EDPR4000</v>
      </c>
      <c r="B139" s="5">
        <f>TableBEDPR[[#This Row],[Ver]]</f>
        <v>3</v>
      </c>
      <c r="D139" t="str">
        <f>TableBEDPR[[#This Row],[Structure Line]]</f>
        <v>Mathematics Pedagogies and Integrated Curriculum</v>
      </c>
      <c r="E139" s="125">
        <f>TableBEDPR[[#This Row],[Credit Points]]</f>
        <v>25</v>
      </c>
      <c r="F139">
        <v>24</v>
      </c>
      <c r="G139" t="s">
        <v>865</v>
      </c>
      <c r="H139">
        <v>4</v>
      </c>
      <c r="I139" t="s">
        <v>528</v>
      </c>
      <c r="J139" t="s">
        <v>134</v>
      </c>
      <c r="K139">
        <v>3</v>
      </c>
      <c r="L139" t="s">
        <v>655</v>
      </c>
      <c r="M139" s="333">
        <v>25</v>
      </c>
      <c r="N139" s="195">
        <v>43466</v>
      </c>
      <c r="O139" s="195"/>
      <c r="R139" t="s">
        <v>128</v>
      </c>
      <c r="S139">
        <v>1</v>
      </c>
    </row>
    <row r="140" spans="1:19" x14ac:dyDescent="0.25">
      <c r="A140" t="str">
        <f>TableBEDPR[[#This Row],[Study Package Code]]</f>
        <v>EDPR4003</v>
      </c>
      <c r="B140" s="5">
        <f>TableBEDPR[[#This Row],[Ver]]</f>
        <v>1</v>
      </c>
      <c r="D140" t="str">
        <f>TableBEDPR[[#This Row],[Structure Line]]</f>
        <v>The Literacy Researcher</v>
      </c>
      <c r="E140" s="125">
        <f>TableBEDPR[[#This Row],[Credit Points]]</f>
        <v>25</v>
      </c>
      <c r="F140">
        <v>25</v>
      </c>
      <c r="G140" t="s">
        <v>865</v>
      </c>
      <c r="H140">
        <v>4</v>
      </c>
      <c r="I140" t="s">
        <v>528</v>
      </c>
      <c r="J140" t="s">
        <v>133</v>
      </c>
      <c r="K140">
        <v>1</v>
      </c>
      <c r="L140" t="s">
        <v>656</v>
      </c>
      <c r="M140" s="333">
        <v>25</v>
      </c>
      <c r="N140" s="195">
        <v>43466</v>
      </c>
      <c r="O140" s="195"/>
      <c r="R140" t="s">
        <v>134</v>
      </c>
      <c r="S140">
        <v>3</v>
      </c>
    </row>
    <row r="141" spans="1:19" x14ac:dyDescent="0.25">
      <c r="A141" t="str">
        <f>TableBEDPR[[#This Row],[Study Package Code]]</f>
        <v>EDUC4049</v>
      </c>
      <c r="B141" s="5">
        <f>TableBEDPR[[#This Row],[Ver]]</f>
        <v>1</v>
      </c>
      <c r="D141" t="str">
        <f>TableBEDPR[[#This Row],[Structure Line]]</f>
        <v>The Professional Educator: Transition to the Profession</v>
      </c>
      <c r="E141" s="125">
        <f>TableBEDPR[[#This Row],[Credit Points]]</f>
        <v>25</v>
      </c>
      <c r="F141">
        <v>26</v>
      </c>
      <c r="G141" t="s">
        <v>865</v>
      </c>
      <c r="H141">
        <v>4</v>
      </c>
      <c r="I141" t="s">
        <v>528</v>
      </c>
      <c r="J141" t="s">
        <v>135</v>
      </c>
      <c r="K141">
        <v>1</v>
      </c>
      <c r="L141" t="s">
        <v>717</v>
      </c>
      <c r="M141" s="333">
        <v>25</v>
      </c>
      <c r="N141" s="195">
        <v>43466</v>
      </c>
      <c r="O141" s="195"/>
      <c r="R141" t="s">
        <v>133</v>
      </c>
      <c r="S141">
        <v>1</v>
      </c>
    </row>
    <row r="142" spans="1:19" x14ac:dyDescent="0.25">
      <c r="A142" t="str">
        <f>TableBEDPR[[#This Row],[Study Package Code]]</f>
        <v>EDUC4040</v>
      </c>
      <c r="B142" s="5">
        <f>TableBEDPR[[#This Row],[Ver]]</f>
        <v>1</v>
      </c>
      <c r="D142" t="str">
        <f>TableBEDPR[[#This Row],[Structure Line]]</f>
        <v>Professional Experience 4: The Internship</v>
      </c>
      <c r="E142" s="125">
        <f>TableBEDPR[[#This Row],[Credit Points]]</f>
        <v>100</v>
      </c>
      <c r="F142">
        <v>27</v>
      </c>
      <c r="G142" t="s">
        <v>865</v>
      </c>
      <c r="H142">
        <v>4</v>
      </c>
      <c r="I142" t="s">
        <v>873</v>
      </c>
      <c r="J142" t="s">
        <v>136</v>
      </c>
      <c r="K142">
        <v>1</v>
      </c>
      <c r="L142" t="s">
        <v>711</v>
      </c>
      <c r="M142" s="333">
        <v>100</v>
      </c>
      <c r="N142" s="195">
        <v>43466</v>
      </c>
      <c r="O142" s="195"/>
      <c r="R142" t="s">
        <v>135</v>
      </c>
      <c r="S142">
        <v>1</v>
      </c>
    </row>
    <row r="143" spans="1:19" x14ac:dyDescent="0.25">
      <c r="A143" t="str">
        <f>TableBEDPR[[#This Row],[Study Package Code]]</f>
        <v>STRU-CATHL</v>
      </c>
      <c r="B143" s="5">
        <f>TableBEDPR[[#This Row],[Ver]]</f>
        <v>1</v>
      </c>
      <c r="D143" t="str">
        <f>TableBEDPR[[#This Row],[Structure Line]]</f>
        <v>Catholic Education Stream (BPriEd)</v>
      </c>
      <c r="E143" s="125">
        <f>TableBEDPR[[#This Row],[Credit Points]]</f>
        <v>75</v>
      </c>
      <c r="F143">
        <v>16</v>
      </c>
      <c r="G143" t="s">
        <v>102</v>
      </c>
      <c r="J143" t="s">
        <v>932</v>
      </c>
      <c r="K143" s="333">
        <v>1</v>
      </c>
      <c r="L143" t="s">
        <v>933</v>
      </c>
      <c r="M143" s="333">
        <v>75</v>
      </c>
      <c r="N143" s="195">
        <v>45292</v>
      </c>
      <c r="O143" s="195"/>
      <c r="R143" t="s">
        <v>102</v>
      </c>
      <c r="S143">
        <v>0</v>
      </c>
    </row>
    <row r="144" spans="1:19" x14ac:dyDescent="0.25">
      <c r="A144" t="str">
        <f>TableBEDPR[[#This Row],[Study Package Code]]</f>
        <v>STRU-ENGLL</v>
      </c>
      <c r="B144" s="5">
        <f>TableBEDPR[[#This Row],[Ver]]</f>
        <v>1</v>
      </c>
      <c r="D144" t="str">
        <f>TableBEDPR[[#This Row],[Structure Line]]</f>
        <v>English Language and Literacy Stream (BPriEd)</v>
      </c>
      <c r="E144" s="125">
        <f>TableBEDPR[[#This Row],[Credit Points]]</f>
        <v>75</v>
      </c>
      <c r="F144">
        <v>16</v>
      </c>
      <c r="G144" t="s">
        <v>102</v>
      </c>
      <c r="J144" t="s">
        <v>934</v>
      </c>
      <c r="K144" s="333">
        <v>1</v>
      </c>
      <c r="L144" t="s">
        <v>935</v>
      </c>
      <c r="M144" s="333">
        <v>75</v>
      </c>
      <c r="N144" s="195">
        <v>45292</v>
      </c>
      <c r="O144" s="195"/>
      <c r="R144" t="s">
        <v>136</v>
      </c>
      <c r="S144">
        <v>1</v>
      </c>
    </row>
    <row r="145" spans="1:19" x14ac:dyDescent="0.25">
      <c r="A145" t="str">
        <f>TableBEDPR[[#This Row],[Study Package Code]]</f>
        <v>STRU-INTBC</v>
      </c>
      <c r="B145" s="5">
        <f>TableBEDPR[[#This Row],[Ver]]</f>
        <v>1</v>
      </c>
      <c r="D145" t="str">
        <f>TableBEDPR[[#This Row],[Structure Line]]</f>
        <v>International Baccalaureate Stream (BPriEd)</v>
      </c>
      <c r="E145" s="125">
        <f>TableBEDPR[[#This Row],[Credit Points]]</f>
        <v>75</v>
      </c>
      <c r="F145">
        <v>16</v>
      </c>
      <c r="G145" t="s">
        <v>102</v>
      </c>
      <c r="J145" t="s">
        <v>936</v>
      </c>
      <c r="K145" s="333">
        <v>1</v>
      </c>
      <c r="L145" t="s">
        <v>937</v>
      </c>
      <c r="M145" s="333">
        <v>75</v>
      </c>
      <c r="N145" s="195">
        <v>45292</v>
      </c>
      <c r="O145" s="195"/>
      <c r="R145" t="s">
        <v>171</v>
      </c>
      <c r="S145">
        <v>1</v>
      </c>
    </row>
    <row r="146" spans="1:19" x14ac:dyDescent="0.25">
      <c r="A146" t="str">
        <f>TableBEDPR[[#This Row],[Study Package Code]]</f>
        <v>STRU-ISTEM</v>
      </c>
      <c r="B146" s="5">
        <f>TableBEDPR[[#This Row],[Ver]]</f>
        <v>1</v>
      </c>
      <c r="D146" t="str">
        <f>TableBEDPR[[#This Row],[Structure Line]]</f>
        <v>iSTEM Stream (BPriEd)</v>
      </c>
      <c r="E146" s="125">
        <f>TableBEDPR[[#This Row],[Credit Points]]</f>
        <v>75</v>
      </c>
      <c r="F146">
        <v>16</v>
      </c>
      <c r="G146" t="s">
        <v>102</v>
      </c>
      <c r="J146" t="s">
        <v>938</v>
      </c>
      <c r="K146" s="333">
        <v>1</v>
      </c>
      <c r="L146" t="s">
        <v>939</v>
      </c>
      <c r="M146" s="333">
        <v>75</v>
      </c>
      <c r="N146" s="195">
        <v>45292</v>
      </c>
      <c r="O146" s="195"/>
      <c r="R146" t="s">
        <v>150</v>
      </c>
      <c r="S146">
        <v>1</v>
      </c>
    </row>
    <row r="147" spans="1:19" x14ac:dyDescent="0.25">
      <c r="A147" t="str">
        <f>TableBEDPR[[#This Row],[Study Package Code]]</f>
        <v>STRU-LITNU</v>
      </c>
      <c r="B147" s="5">
        <f>TableBEDPR[[#This Row],[Ver]]</f>
        <v>1</v>
      </c>
      <c r="D147" t="str">
        <f>TableBEDPR[[#This Row],[Structure Line]]</f>
        <v>Literacy and Numeracy in Diverse Populations Stream (BPriEd)</v>
      </c>
      <c r="E147" s="125">
        <f>TableBEDPR[[#This Row],[Credit Points]]</f>
        <v>75</v>
      </c>
      <c r="F147">
        <v>16</v>
      </c>
      <c r="G147" t="s">
        <v>102</v>
      </c>
      <c r="J147" t="s">
        <v>940</v>
      </c>
      <c r="K147" s="333">
        <v>1</v>
      </c>
      <c r="L147" t="s">
        <v>941</v>
      </c>
      <c r="M147" s="333">
        <v>75</v>
      </c>
      <c r="N147" s="195">
        <v>45292</v>
      </c>
      <c r="O147" s="195"/>
      <c r="R147" t="s">
        <v>172</v>
      </c>
      <c r="S147">
        <v>2</v>
      </c>
    </row>
    <row r="148" spans="1:19" x14ac:dyDescent="0.25">
      <c r="A148" t="str">
        <f>TableBEDPR[[#This Row],[Study Package Code]]</f>
        <v>STRU-TECHS</v>
      </c>
      <c r="B148" s="5">
        <f>TableBEDPR[[#This Row],[Ver]]</f>
        <v>1</v>
      </c>
      <c r="D148" t="str">
        <f>TableBEDPR[[#This Row],[Structure Line]]</f>
        <v>Technologies Stream (BPriEd)</v>
      </c>
      <c r="E148" s="125">
        <f>TableBEDPR[[#This Row],[Credit Points]]</f>
        <v>75</v>
      </c>
      <c r="F148">
        <v>16</v>
      </c>
      <c r="G148" t="s">
        <v>102</v>
      </c>
      <c r="J148" t="s">
        <v>942</v>
      </c>
      <c r="K148" s="333">
        <v>1</v>
      </c>
      <c r="L148" t="s">
        <v>943</v>
      </c>
      <c r="M148" s="333">
        <v>75</v>
      </c>
      <c r="N148" s="195">
        <v>45292</v>
      </c>
      <c r="O148" s="195"/>
      <c r="R148" t="s">
        <v>166</v>
      </c>
      <c r="S148">
        <v>1</v>
      </c>
    </row>
    <row r="149" spans="1:19" x14ac:dyDescent="0.25">
      <c r="A149" s="122"/>
      <c r="B149" s="124"/>
      <c r="C149" s="122"/>
      <c r="D149" s="122"/>
      <c r="G149" s="123" t="s">
        <v>855</v>
      </c>
      <c r="H149" s="199">
        <v>45292</v>
      </c>
      <c r="J149" s="197" t="s">
        <v>932</v>
      </c>
      <c r="K149" s="124" t="s">
        <v>200</v>
      </c>
      <c r="L149" s="122" t="s">
        <v>933</v>
      </c>
      <c r="M149" s="122"/>
    </row>
    <row r="150" spans="1:19" ht="31.5" x14ac:dyDescent="0.25">
      <c r="A150" s="159" t="s">
        <v>0</v>
      </c>
      <c r="B150" s="160" t="s">
        <v>60</v>
      </c>
      <c r="C150" s="159" t="s">
        <v>856</v>
      </c>
      <c r="D150" s="159" t="s">
        <v>3</v>
      </c>
      <c r="E150" s="161" t="s">
        <v>857</v>
      </c>
      <c r="F150" s="159" t="s">
        <v>858</v>
      </c>
      <c r="G150" s="159" t="s">
        <v>859</v>
      </c>
      <c r="H150" s="159" t="s">
        <v>860</v>
      </c>
      <c r="I150" s="159" t="s">
        <v>17</v>
      </c>
      <c r="J150" s="159" t="s">
        <v>861</v>
      </c>
      <c r="K150" s="159" t="s">
        <v>1</v>
      </c>
      <c r="L150" s="159" t="s">
        <v>44</v>
      </c>
      <c r="M150" s="159" t="s">
        <v>61</v>
      </c>
      <c r="N150" s="159" t="s">
        <v>862</v>
      </c>
      <c r="O150" s="159" t="s">
        <v>863</v>
      </c>
      <c r="R150" t="s">
        <v>538</v>
      </c>
      <c r="S150" t="s">
        <v>864</v>
      </c>
    </row>
    <row r="151" spans="1:19" x14ac:dyDescent="0.25">
      <c r="A151" t="str">
        <f>TableSTRUCATHL[[#This Row],[Study Package Code]]</f>
        <v>CTED4006</v>
      </c>
      <c r="B151" s="5">
        <f>TableSTRUCATHL[[#This Row],[Ver]]</f>
        <v>1</v>
      </c>
      <c r="D151" t="str">
        <f>TableSTRUCATHL[[#This Row],[Structure Line]]</f>
        <v>Teaching About Jesus in Catholic Schools</v>
      </c>
      <c r="E151" s="125">
        <f>TableSTRUCATHL[[#This Row],[Credit Points]]</f>
        <v>25</v>
      </c>
      <c r="F151">
        <v>1</v>
      </c>
      <c r="G151" t="s">
        <v>865</v>
      </c>
      <c r="H151">
        <v>0</v>
      </c>
      <c r="I151" t="s">
        <v>875</v>
      </c>
      <c r="J151" t="s">
        <v>152</v>
      </c>
      <c r="K151">
        <v>1</v>
      </c>
      <c r="L151" t="s">
        <v>592</v>
      </c>
      <c r="M151" s="333">
        <v>25</v>
      </c>
      <c r="N151" s="195">
        <v>45292</v>
      </c>
      <c r="O151" s="195"/>
    </row>
    <row r="152" spans="1:19" x14ac:dyDescent="0.25">
      <c r="A152" t="str">
        <f>TableSTRUCATHL[[#This Row],[Study Package Code]]</f>
        <v>CTED4001</v>
      </c>
      <c r="B152" s="5">
        <f>TableSTRUCATHL[[#This Row],[Ver]]</f>
        <v>2</v>
      </c>
      <c r="D152" t="str">
        <f>TableSTRUCATHL[[#This Row],[Structure Line]]</f>
        <v>Teaching About Sacraments in Catholic Schools</v>
      </c>
      <c r="E152" s="125">
        <f>TableSTRUCATHL[[#This Row],[Credit Points]]</f>
        <v>25</v>
      </c>
      <c r="F152">
        <v>2</v>
      </c>
      <c r="G152" t="s">
        <v>865</v>
      </c>
      <c r="H152">
        <v>0</v>
      </c>
      <c r="I152" t="s">
        <v>875</v>
      </c>
      <c r="J152" t="s">
        <v>150</v>
      </c>
      <c r="K152">
        <v>2</v>
      </c>
      <c r="L152" t="s">
        <v>585</v>
      </c>
      <c r="M152" s="333">
        <v>25</v>
      </c>
      <c r="N152" s="195">
        <v>45292</v>
      </c>
      <c r="O152" s="195"/>
    </row>
    <row r="153" spans="1:19" x14ac:dyDescent="0.25">
      <c r="A153" t="str">
        <f>TableSTRUCATHL[[#This Row],[Study Package Code]]</f>
        <v>CTED4008</v>
      </c>
      <c r="B153" s="5">
        <f>TableSTRUCATHL[[#This Row],[Ver]]</f>
        <v>1</v>
      </c>
      <c r="D153" t="str">
        <f>TableSTRUCATHL[[#This Row],[Structure Line]]</f>
        <v>Teaching About the Gospels in Catholic Schools</v>
      </c>
      <c r="E153" s="125">
        <f>TableSTRUCATHL[[#This Row],[Credit Points]]</f>
        <v>25</v>
      </c>
      <c r="F153">
        <v>3</v>
      </c>
      <c r="G153" t="s">
        <v>865</v>
      </c>
      <c r="H153">
        <v>0</v>
      </c>
      <c r="I153" t="s">
        <v>875</v>
      </c>
      <c r="J153" t="s">
        <v>154</v>
      </c>
      <c r="K153">
        <v>1</v>
      </c>
      <c r="L153" t="s">
        <v>593</v>
      </c>
      <c r="M153" s="333">
        <v>25</v>
      </c>
      <c r="N153" s="195">
        <v>45292</v>
      </c>
      <c r="O153" s="195"/>
    </row>
    <row r="154" spans="1:19" x14ac:dyDescent="0.25">
      <c r="A154" s="122"/>
      <c r="B154" s="124"/>
      <c r="C154" s="122"/>
      <c r="D154" s="122"/>
      <c r="G154" s="123" t="s">
        <v>855</v>
      </c>
      <c r="H154" s="199">
        <v>45292</v>
      </c>
      <c r="J154" s="197" t="s">
        <v>934</v>
      </c>
      <c r="K154" s="124" t="s">
        <v>200</v>
      </c>
      <c r="L154" s="122" t="s">
        <v>935</v>
      </c>
      <c r="M154" s="122"/>
    </row>
    <row r="155" spans="1:19" ht="31.5" x14ac:dyDescent="0.25">
      <c r="A155" s="159" t="s">
        <v>0</v>
      </c>
      <c r="B155" s="160" t="s">
        <v>60</v>
      </c>
      <c r="C155" s="159" t="s">
        <v>856</v>
      </c>
      <c r="D155" s="159" t="s">
        <v>3</v>
      </c>
      <c r="E155" s="161" t="s">
        <v>857</v>
      </c>
      <c r="F155" s="159" t="s">
        <v>858</v>
      </c>
      <c r="G155" s="159" t="s">
        <v>859</v>
      </c>
      <c r="H155" s="159" t="s">
        <v>860</v>
      </c>
      <c r="I155" s="159" t="s">
        <v>17</v>
      </c>
      <c r="J155" s="159" t="s">
        <v>861</v>
      </c>
      <c r="K155" s="159" t="s">
        <v>1</v>
      </c>
      <c r="L155" s="159" t="s">
        <v>44</v>
      </c>
      <c r="M155" s="159" t="s">
        <v>61</v>
      </c>
      <c r="N155" s="159" t="s">
        <v>862</v>
      </c>
      <c r="O155" s="159" t="s">
        <v>863</v>
      </c>
      <c r="R155" t="s">
        <v>538</v>
      </c>
      <c r="S155" t="s">
        <v>864</v>
      </c>
    </row>
    <row r="156" spans="1:19" x14ac:dyDescent="0.25">
      <c r="A156" t="str">
        <f>TableSTRUENGLL[[#This Row],[Study Package Code]]</f>
        <v>EDUC4023</v>
      </c>
      <c r="B156" s="5">
        <f>TableSTRUENGLL[[#This Row],[Ver]]</f>
        <v>1</v>
      </c>
      <c r="D156" t="str">
        <f>TableSTRUENGLL[[#This Row],[Structure Line]]</f>
        <v>Creating and Responding to Literature</v>
      </c>
      <c r="E156" s="125">
        <f>TableSTRUENGLL[[#This Row],[Credit Points]]</f>
        <v>25</v>
      </c>
      <c r="F156">
        <v>1</v>
      </c>
      <c r="G156" t="s">
        <v>865</v>
      </c>
      <c r="H156">
        <v>0</v>
      </c>
      <c r="I156" t="s">
        <v>875</v>
      </c>
      <c r="J156" t="s">
        <v>148</v>
      </c>
      <c r="K156">
        <v>1</v>
      </c>
      <c r="L156" t="s">
        <v>702</v>
      </c>
      <c r="M156" s="333">
        <v>25</v>
      </c>
      <c r="N156" s="195">
        <v>43282</v>
      </c>
      <c r="O156" s="195"/>
    </row>
    <row r="157" spans="1:19" x14ac:dyDescent="0.25">
      <c r="A157" t="str">
        <f>TableSTRUENGLL[[#This Row],[Study Package Code]]</f>
        <v>EDUC4022</v>
      </c>
      <c r="B157" s="5">
        <f>TableSTRUENGLL[[#This Row],[Ver]]</f>
        <v>1</v>
      </c>
      <c r="D157" t="str">
        <f>TableSTRUENGLL[[#This Row],[Structure Line]]</f>
        <v>Creative Literacies</v>
      </c>
      <c r="E157" s="125">
        <f>TableSTRUENGLL[[#This Row],[Credit Points]]</f>
        <v>25</v>
      </c>
      <c r="F157">
        <v>2</v>
      </c>
      <c r="G157" t="s">
        <v>865</v>
      </c>
      <c r="H157">
        <v>0</v>
      </c>
      <c r="I157" t="s">
        <v>875</v>
      </c>
      <c r="J157" t="s">
        <v>147</v>
      </c>
      <c r="K157">
        <v>1</v>
      </c>
      <c r="L157" t="s">
        <v>701</v>
      </c>
      <c r="M157" s="333">
        <v>25</v>
      </c>
      <c r="N157" s="195">
        <v>43282</v>
      </c>
      <c r="O157" s="195"/>
    </row>
    <row r="158" spans="1:19" x14ac:dyDescent="0.25">
      <c r="A158" t="str">
        <f>TableSTRUENGLL[[#This Row],[Study Package Code]]</f>
        <v>EDUC4036</v>
      </c>
      <c r="B158" s="5">
        <f>TableSTRUENGLL[[#This Row],[Ver]]</f>
        <v>1</v>
      </c>
      <c r="D158" t="str">
        <f>TableSTRUENGLL[[#This Row],[Structure Line]]</f>
        <v>Language and Diversity</v>
      </c>
      <c r="E158" s="125">
        <f>TableSTRUENGLL[[#This Row],[Credit Points]]</f>
        <v>25</v>
      </c>
      <c r="F158">
        <v>3</v>
      </c>
      <c r="G158" t="s">
        <v>865</v>
      </c>
      <c r="H158">
        <v>0</v>
      </c>
      <c r="I158" t="s">
        <v>875</v>
      </c>
      <c r="J158" t="s">
        <v>149</v>
      </c>
      <c r="K158">
        <v>1</v>
      </c>
      <c r="L158" t="s">
        <v>709</v>
      </c>
      <c r="M158" s="333">
        <v>25</v>
      </c>
      <c r="N158" s="195">
        <v>43466</v>
      </c>
      <c r="O158" s="195"/>
    </row>
    <row r="159" spans="1:19" x14ac:dyDescent="0.25">
      <c r="A159" s="122"/>
      <c r="B159" s="124"/>
      <c r="C159" s="122"/>
      <c r="D159" s="122"/>
      <c r="G159" s="123" t="s">
        <v>855</v>
      </c>
      <c r="H159" s="199">
        <v>45292</v>
      </c>
      <c r="J159" s="197" t="s">
        <v>936</v>
      </c>
      <c r="K159" s="124" t="s">
        <v>200</v>
      </c>
      <c r="L159" s="122" t="s">
        <v>937</v>
      </c>
      <c r="M159" s="122"/>
    </row>
    <row r="160" spans="1:19" ht="31.5" x14ac:dyDescent="0.25">
      <c r="A160" s="159" t="s">
        <v>0</v>
      </c>
      <c r="B160" s="160" t="s">
        <v>60</v>
      </c>
      <c r="C160" s="159" t="s">
        <v>856</v>
      </c>
      <c r="D160" s="159" t="s">
        <v>3</v>
      </c>
      <c r="E160" s="161" t="s">
        <v>857</v>
      </c>
      <c r="F160" s="159" t="s">
        <v>858</v>
      </c>
      <c r="G160" s="159" t="s">
        <v>859</v>
      </c>
      <c r="H160" s="159" t="s">
        <v>860</v>
      </c>
      <c r="I160" s="159" t="s">
        <v>17</v>
      </c>
      <c r="J160" s="159" t="s">
        <v>861</v>
      </c>
      <c r="K160" s="159" t="s">
        <v>1</v>
      </c>
      <c r="L160" s="159" t="s">
        <v>44</v>
      </c>
      <c r="M160" s="159" t="s">
        <v>61</v>
      </c>
      <c r="N160" s="159" t="s">
        <v>862</v>
      </c>
      <c r="O160" s="159" t="s">
        <v>863</v>
      </c>
      <c r="R160" t="s">
        <v>538</v>
      </c>
      <c r="S160" t="s">
        <v>864</v>
      </c>
    </row>
    <row r="161" spans="1:19" x14ac:dyDescent="0.25">
      <c r="A161" t="str">
        <f>TableSTRUINTBC[[#This Row],[Study Package Code]]</f>
        <v>EDIB4001</v>
      </c>
      <c r="B161" s="5">
        <f>TableSTRUINTBC[[#This Row],[Ver]]</f>
        <v>1</v>
      </c>
      <c r="D161" t="str">
        <f>TableSTRUINTBC[[#This Row],[Structure Line]]</f>
        <v>International Baccalaureate Primary Years Programme</v>
      </c>
      <c r="E161" s="125">
        <f>TableSTRUINTBC[[#This Row],[Credit Points]]</f>
        <v>25</v>
      </c>
      <c r="F161">
        <v>1</v>
      </c>
      <c r="G161" t="s">
        <v>865</v>
      </c>
      <c r="H161">
        <v>0</v>
      </c>
      <c r="I161" t="s">
        <v>875</v>
      </c>
      <c r="J161" t="s">
        <v>167</v>
      </c>
      <c r="K161">
        <v>1</v>
      </c>
      <c r="L161" t="s">
        <v>633</v>
      </c>
      <c r="M161" s="333">
        <v>25</v>
      </c>
      <c r="N161" s="195">
        <v>42005</v>
      </c>
      <c r="O161" s="195"/>
    </row>
    <row r="162" spans="1:19" x14ac:dyDescent="0.25">
      <c r="A162" t="str">
        <f>TableSTRUINTBC[[#This Row],[Study Package Code]]</f>
        <v>EDIB4000</v>
      </c>
      <c r="B162" s="5">
        <f>TableSTRUINTBC[[#This Row],[Ver]]</f>
        <v>1</v>
      </c>
      <c r="D162" t="str">
        <f>TableSTRUINTBC[[#This Row],[Structure Line]]</f>
        <v>Introduction to the International Baccalaureate Programme</v>
      </c>
      <c r="E162" s="125">
        <f>TableSTRUINTBC[[#This Row],[Credit Points]]</f>
        <v>25</v>
      </c>
      <c r="F162">
        <v>2</v>
      </c>
      <c r="G162" t="s">
        <v>865</v>
      </c>
      <c r="H162">
        <v>0</v>
      </c>
      <c r="I162" t="s">
        <v>875</v>
      </c>
      <c r="J162" t="s">
        <v>166</v>
      </c>
      <c r="K162">
        <v>1</v>
      </c>
      <c r="L162" t="s">
        <v>631</v>
      </c>
      <c r="M162" s="333">
        <v>25</v>
      </c>
      <c r="N162" s="195">
        <v>42005</v>
      </c>
      <c r="O162" s="195"/>
    </row>
    <row r="163" spans="1:19" x14ac:dyDescent="0.25">
      <c r="A163" t="str">
        <f>TableSTRUINTBC[[#This Row],[Study Package Code]]</f>
        <v>EDIB4003</v>
      </c>
      <c r="B163" s="5">
        <f>TableSTRUINTBC[[#This Row],[Ver]]</f>
        <v>1</v>
      </c>
      <c r="D163" t="str">
        <f>TableSTRUINTBC[[#This Row],[Structure Line]]</f>
        <v>The International Baccalaureate in Action</v>
      </c>
      <c r="E163" s="125">
        <f>TableSTRUINTBC[[#This Row],[Credit Points]]</f>
        <v>25</v>
      </c>
      <c r="F163">
        <v>3</v>
      </c>
      <c r="G163" t="s">
        <v>865</v>
      </c>
      <c r="H163">
        <v>0</v>
      </c>
      <c r="I163" t="s">
        <v>875</v>
      </c>
      <c r="J163" t="s">
        <v>168</v>
      </c>
      <c r="K163">
        <v>1</v>
      </c>
      <c r="L163" t="s">
        <v>635</v>
      </c>
      <c r="M163" s="333">
        <v>25</v>
      </c>
      <c r="N163" s="195">
        <v>42005</v>
      </c>
      <c r="O163" s="195"/>
    </row>
    <row r="164" spans="1:19" x14ac:dyDescent="0.25">
      <c r="A164" s="122"/>
      <c r="B164" s="124"/>
      <c r="C164" s="122"/>
      <c r="D164" s="122"/>
      <c r="G164" s="123" t="s">
        <v>855</v>
      </c>
      <c r="H164" s="199">
        <v>45292</v>
      </c>
      <c r="J164" s="197" t="s">
        <v>938</v>
      </c>
      <c r="K164" s="124" t="s">
        <v>200</v>
      </c>
      <c r="L164" s="122" t="s">
        <v>939</v>
      </c>
      <c r="M164" s="122"/>
    </row>
    <row r="165" spans="1:19" ht="31.5" x14ac:dyDescent="0.25">
      <c r="A165" s="159" t="s">
        <v>0</v>
      </c>
      <c r="B165" s="160" t="s">
        <v>60</v>
      </c>
      <c r="C165" s="159" t="s">
        <v>856</v>
      </c>
      <c r="D165" s="159" t="s">
        <v>3</v>
      </c>
      <c r="E165" s="161" t="s">
        <v>857</v>
      </c>
      <c r="F165" s="159" t="s">
        <v>858</v>
      </c>
      <c r="G165" s="159" t="s">
        <v>859</v>
      </c>
      <c r="H165" s="159" t="s">
        <v>860</v>
      </c>
      <c r="I165" s="159" t="s">
        <v>17</v>
      </c>
      <c r="J165" s="159" t="s">
        <v>861</v>
      </c>
      <c r="K165" s="159" t="s">
        <v>1</v>
      </c>
      <c r="L165" s="159" t="s">
        <v>44</v>
      </c>
      <c r="M165" s="159" t="s">
        <v>61</v>
      </c>
      <c r="N165" s="159" t="s">
        <v>862</v>
      </c>
      <c r="O165" s="159" t="s">
        <v>863</v>
      </c>
      <c r="R165" t="s">
        <v>538</v>
      </c>
      <c r="S165" t="s">
        <v>864</v>
      </c>
    </row>
    <row r="166" spans="1:19" x14ac:dyDescent="0.25">
      <c r="A166" t="str">
        <f>TableSTRUISTEM[[#This Row],[Study Package Code]]</f>
        <v>EDUC4021</v>
      </c>
      <c r="B166" s="5">
        <f>TableSTRUISTEM[[#This Row],[Ver]]</f>
        <v>1</v>
      </c>
      <c r="D166" t="str">
        <f>TableSTRUISTEM[[#This Row],[Structure Line]]</f>
        <v>Project-based iSTEM Education</v>
      </c>
      <c r="E166" s="125">
        <f>TableSTRUISTEM[[#This Row],[Credit Points]]</f>
        <v>25</v>
      </c>
      <c r="F166">
        <v>1</v>
      </c>
      <c r="G166" t="s">
        <v>865</v>
      </c>
      <c r="H166">
        <v>0</v>
      </c>
      <c r="I166" t="s">
        <v>875</v>
      </c>
      <c r="J166" t="s">
        <v>142</v>
      </c>
      <c r="K166">
        <v>1</v>
      </c>
      <c r="L166" t="s">
        <v>700</v>
      </c>
      <c r="M166" s="333">
        <v>25</v>
      </c>
      <c r="N166" s="195">
        <v>43282</v>
      </c>
      <c r="O166" s="195"/>
    </row>
    <row r="167" spans="1:19" x14ac:dyDescent="0.25">
      <c r="A167" t="str">
        <f>TableSTRUISTEM[[#This Row],[Study Package Code]]</f>
        <v>EDUC4032</v>
      </c>
      <c r="B167" s="5">
        <f>TableSTRUISTEM[[#This Row],[Ver]]</f>
        <v>1</v>
      </c>
      <c r="D167" t="str">
        <f>TableSTRUISTEM[[#This Row],[Structure Line]]</f>
        <v>iSTEM Education through Digital Stories</v>
      </c>
      <c r="E167" s="125">
        <f>TableSTRUISTEM[[#This Row],[Credit Points]]</f>
        <v>25</v>
      </c>
      <c r="F167">
        <v>2</v>
      </c>
      <c r="G167" t="s">
        <v>865</v>
      </c>
      <c r="H167">
        <v>0</v>
      </c>
      <c r="I167" t="s">
        <v>875</v>
      </c>
      <c r="J167" t="s">
        <v>143</v>
      </c>
      <c r="K167">
        <v>1</v>
      </c>
      <c r="L167" t="s">
        <v>707</v>
      </c>
      <c r="M167" s="333">
        <v>25</v>
      </c>
      <c r="N167" s="195">
        <v>43466</v>
      </c>
      <c r="O167" s="195"/>
    </row>
    <row r="168" spans="1:19" x14ac:dyDescent="0.25">
      <c r="A168" t="str">
        <f>TableSTRUISTEM[[#This Row],[Study Package Code]]</f>
        <v>EDUC4034</v>
      </c>
      <c r="B168" s="5">
        <f>TableSTRUISTEM[[#This Row],[Ver]]</f>
        <v>1</v>
      </c>
      <c r="D168" t="str">
        <f>TableSTRUISTEM[[#This Row],[Structure Line]]</f>
        <v>iSTEM: Social Issues</v>
      </c>
      <c r="E168" s="125">
        <f>TableSTRUISTEM[[#This Row],[Credit Points]]</f>
        <v>25</v>
      </c>
      <c r="F168">
        <v>3</v>
      </c>
      <c r="G168" t="s">
        <v>865</v>
      </c>
      <c r="H168">
        <v>0</v>
      </c>
      <c r="I168" t="s">
        <v>875</v>
      </c>
      <c r="J168" t="s">
        <v>144</v>
      </c>
      <c r="K168">
        <v>1</v>
      </c>
      <c r="L168" t="s">
        <v>708</v>
      </c>
      <c r="M168" s="333">
        <v>25</v>
      </c>
      <c r="N168" s="195">
        <v>43466</v>
      </c>
      <c r="O168" s="195"/>
    </row>
    <row r="169" spans="1:19" x14ac:dyDescent="0.25">
      <c r="A169" s="122"/>
      <c r="B169" s="124"/>
      <c r="C169" s="122"/>
      <c r="D169" s="122"/>
      <c r="G169" s="123" t="s">
        <v>855</v>
      </c>
      <c r="H169" s="199">
        <v>45292</v>
      </c>
      <c r="J169" s="197" t="s">
        <v>940</v>
      </c>
      <c r="K169" s="124" t="s">
        <v>200</v>
      </c>
      <c r="L169" s="122" t="s">
        <v>941</v>
      </c>
      <c r="M169" s="122"/>
    </row>
    <row r="170" spans="1:19" ht="31.5" x14ac:dyDescent="0.25">
      <c r="A170" s="159" t="s">
        <v>0</v>
      </c>
      <c r="B170" s="160" t="s">
        <v>60</v>
      </c>
      <c r="C170" s="159" t="s">
        <v>856</v>
      </c>
      <c r="D170" s="159" t="s">
        <v>3</v>
      </c>
      <c r="E170" s="161" t="s">
        <v>857</v>
      </c>
      <c r="F170" s="159" t="s">
        <v>858</v>
      </c>
      <c r="G170" s="159" t="s">
        <v>859</v>
      </c>
      <c r="H170" s="159" t="s">
        <v>860</v>
      </c>
      <c r="I170" s="159" t="s">
        <v>17</v>
      </c>
      <c r="J170" s="159" t="s">
        <v>861</v>
      </c>
      <c r="K170" s="159" t="s">
        <v>1</v>
      </c>
      <c r="L170" s="159" t="s">
        <v>44</v>
      </c>
      <c r="M170" s="159" t="s">
        <v>61</v>
      </c>
      <c r="N170" s="159" t="s">
        <v>862</v>
      </c>
      <c r="O170" s="159" t="s">
        <v>863</v>
      </c>
      <c r="R170" t="s">
        <v>538</v>
      </c>
      <c r="S170" t="s">
        <v>864</v>
      </c>
    </row>
    <row r="171" spans="1:19" x14ac:dyDescent="0.25">
      <c r="A171" t="str">
        <f>TableSTRULITNU[[#This Row],[Study Package Code]]</f>
        <v>EDUC4042</v>
      </c>
      <c r="B171" s="5">
        <f>TableSTRULITNU[[#This Row],[Ver]]</f>
        <v>1</v>
      </c>
      <c r="D171" t="str">
        <f>TableSTRULITNU[[#This Row],[Structure Line]]</f>
        <v>Alternative Approaches to Teaching Literacy and Numeracy</v>
      </c>
      <c r="E171" s="125">
        <f>TableSTRULITNU[[#This Row],[Credit Points]]</f>
        <v>25</v>
      </c>
      <c r="F171">
        <v>1</v>
      </c>
      <c r="G171" t="s">
        <v>865</v>
      </c>
      <c r="H171">
        <v>0</v>
      </c>
      <c r="I171" t="s">
        <v>875</v>
      </c>
      <c r="J171" t="s">
        <v>155</v>
      </c>
      <c r="K171">
        <v>1</v>
      </c>
      <c r="L171" t="s">
        <v>713</v>
      </c>
      <c r="M171" s="333">
        <v>25</v>
      </c>
      <c r="N171" s="195">
        <v>43466</v>
      </c>
      <c r="O171" s="195"/>
    </row>
    <row r="172" spans="1:19" x14ac:dyDescent="0.25">
      <c r="A172" t="str">
        <f>TableSTRULITNU[[#This Row],[Study Package Code]]</f>
        <v>EDUC4044</v>
      </c>
      <c r="B172" s="5">
        <f>TableSTRULITNU[[#This Row],[Ver]]</f>
        <v>2</v>
      </c>
      <c r="D172" t="str">
        <f>TableSTRULITNU[[#This Row],[Structure Line]]</f>
        <v>Literacy and Numeracy for First Nations Peoples of Australia</v>
      </c>
      <c r="E172" s="125">
        <f>TableSTRULITNU[[#This Row],[Credit Points]]</f>
        <v>25</v>
      </c>
      <c r="F172">
        <v>2</v>
      </c>
      <c r="G172" t="s">
        <v>865</v>
      </c>
      <c r="H172">
        <v>0</v>
      </c>
      <c r="I172" t="s">
        <v>875</v>
      </c>
      <c r="J172" t="s">
        <v>157</v>
      </c>
      <c r="K172">
        <v>2</v>
      </c>
      <c r="L172" t="s">
        <v>714</v>
      </c>
      <c r="M172" s="333">
        <v>25</v>
      </c>
      <c r="N172" s="195">
        <v>44927</v>
      </c>
      <c r="O172" s="195"/>
    </row>
    <row r="173" spans="1:19" x14ac:dyDescent="0.25">
      <c r="A173" t="str">
        <f>TableSTRULITNU[[#This Row],[Study Package Code]]</f>
        <v>EDUC4020</v>
      </c>
      <c r="B173" s="5">
        <f>TableSTRULITNU[[#This Row],[Ver]]</f>
        <v>1</v>
      </c>
      <c r="D173" t="str">
        <f>TableSTRULITNU[[#This Row],[Structure Line]]</f>
        <v>Supporting Literacy and Numeracy Development for Diverse Learners</v>
      </c>
      <c r="E173" s="125">
        <f>TableSTRULITNU[[#This Row],[Credit Points]]</f>
        <v>25</v>
      </c>
      <c r="F173">
        <v>3</v>
      </c>
      <c r="G173" t="s">
        <v>865</v>
      </c>
      <c r="H173">
        <v>0</v>
      </c>
      <c r="I173" t="s">
        <v>875</v>
      </c>
      <c r="J173" t="s">
        <v>153</v>
      </c>
      <c r="K173">
        <v>1</v>
      </c>
      <c r="L173" t="s">
        <v>699</v>
      </c>
      <c r="M173" s="333">
        <v>25</v>
      </c>
      <c r="N173" s="195">
        <v>43282</v>
      </c>
      <c r="O173" s="195"/>
    </row>
    <row r="174" spans="1:19" x14ac:dyDescent="0.25">
      <c r="A174" s="122"/>
      <c r="B174" s="124"/>
      <c r="C174" s="122"/>
      <c r="D174" s="122"/>
      <c r="G174" s="123" t="s">
        <v>855</v>
      </c>
      <c r="H174" s="199">
        <v>45292</v>
      </c>
      <c r="J174" s="197" t="s">
        <v>942</v>
      </c>
      <c r="K174" s="124">
        <v>1</v>
      </c>
      <c r="L174" s="122" t="s">
        <v>943</v>
      </c>
      <c r="M174" s="122"/>
    </row>
    <row r="175" spans="1:19" ht="31.5" x14ac:dyDescent="0.25">
      <c r="A175" s="159" t="s">
        <v>0</v>
      </c>
      <c r="B175" s="160" t="s">
        <v>60</v>
      </c>
      <c r="C175" s="159" t="s">
        <v>856</v>
      </c>
      <c r="D175" s="159" t="s">
        <v>3</v>
      </c>
      <c r="E175" s="161" t="s">
        <v>857</v>
      </c>
      <c r="F175" s="159" t="s">
        <v>858</v>
      </c>
      <c r="G175" s="159" t="s">
        <v>859</v>
      </c>
      <c r="H175" s="159" t="s">
        <v>860</v>
      </c>
      <c r="I175" s="159" t="s">
        <v>17</v>
      </c>
      <c r="J175" s="159" t="s">
        <v>861</v>
      </c>
      <c r="K175" s="159" t="s">
        <v>1</v>
      </c>
      <c r="L175" s="159" t="s">
        <v>44</v>
      </c>
      <c r="M175" s="159" t="s">
        <v>61</v>
      </c>
      <c r="N175" s="159" t="s">
        <v>862</v>
      </c>
      <c r="O175" s="159" t="s">
        <v>863</v>
      </c>
      <c r="R175" t="s">
        <v>538</v>
      </c>
      <c r="S175" t="s">
        <v>864</v>
      </c>
    </row>
    <row r="176" spans="1:19" x14ac:dyDescent="0.25">
      <c r="A176" t="str">
        <f>TableSTRUTECHS[[#This Row],[Study Package Code]]</f>
        <v>EDUC4029</v>
      </c>
      <c r="B176" s="5">
        <f>TableSTRUTECHS[[#This Row],[Ver]]</f>
        <v>1</v>
      </c>
      <c r="D176" t="str">
        <f>TableSTRUTECHS[[#This Row],[Structure Line]]</f>
        <v>Technologies: Coding for Teachers</v>
      </c>
      <c r="E176" s="125">
        <f>TableSTRUTECHS[[#This Row],[Credit Points]]</f>
        <v>25</v>
      </c>
      <c r="F176">
        <v>1</v>
      </c>
      <c r="G176" t="s">
        <v>865</v>
      </c>
      <c r="H176">
        <v>0</v>
      </c>
      <c r="I176" t="s">
        <v>875</v>
      </c>
      <c r="J176" t="s">
        <v>160</v>
      </c>
      <c r="K176">
        <v>1</v>
      </c>
      <c r="L176" t="s">
        <v>703</v>
      </c>
      <c r="M176" s="333">
        <v>25</v>
      </c>
      <c r="N176" s="195">
        <v>43282</v>
      </c>
      <c r="O176" s="195"/>
    </row>
    <row r="177" spans="1:19" x14ac:dyDescent="0.25">
      <c r="A177" t="str">
        <f>TableSTRUTECHS[[#This Row],[Study Package Code]]</f>
        <v>EDUC4038</v>
      </c>
      <c r="B177" s="5">
        <f>TableSTRUTECHS[[#This Row],[Ver]]</f>
        <v>1</v>
      </c>
      <c r="D177" t="str">
        <f>TableSTRUTECHS[[#This Row],[Structure Line]]</f>
        <v>Technologies: Design Solutions</v>
      </c>
      <c r="E177" s="125">
        <f>TableSTRUTECHS[[#This Row],[Credit Points]]</f>
        <v>25</v>
      </c>
      <c r="F177">
        <v>2</v>
      </c>
      <c r="G177" t="s">
        <v>865</v>
      </c>
      <c r="H177">
        <v>0</v>
      </c>
      <c r="I177" t="s">
        <v>875</v>
      </c>
      <c r="J177" t="s">
        <v>161</v>
      </c>
      <c r="K177">
        <v>1</v>
      </c>
      <c r="L177" t="s">
        <v>710</v>
      </c>
      <c r="M177" s="333">
        <v>25</v>
      </c>
      <c r="N177" s="195">
        <v>43466</v>
      </c>
      <c r="O177" s="195"/>
    </row>
    <row r="178" spans="1:19" x14ac:dyDescent="0.25">
      <c r="A178" t="str">
        <f>TableSTRUTECHS[[#This Row],[Study Package Code]]</f>
        <v>EDUC4046</v>
      </c>
      <c r="B178" s="5">
        <f>TableSTRUTECHS[[#This Row],[Ver]]</f>
        <v>1</v>
      </c>
      <c r="D178" t="str">
        <f>TableSTRUTECHS[[#This Row],[Structure Line]]</f>
        <v>Technologies: Digital Solutions</v>
      </c>
      <c r="E178" s="125">
        <f>TableSTRUTECHS[[#This Row],[Credit Points]]</f>
        <v>25</v>
      </c>
      <c r="F178">
        <v>3</v>
      </c>
      <c r="G178" t="s">
        <v>865</v>
      </c>
      <c r="H178">
        <v>0</v>
      </c>
      <c r="I178" t="s">
        <v>875</v>
      </c>
      <c r="J178" t="s">
        <v>162</v>
      </c>
      <c r="K178">
        <v>1</v>
      </c>
      <c r="L178" t="s">
        <v>715</v>
      </c>
      <c r="M178" s="333">
        <v>25</v>
      </c>
      <c r="N178" s="195">
        <v>43466</v>
      </c>
      <c r="O178" s="195"/>
    </row>
    <row r="179" spans="1:19" x14ac:dyDescent="0.25">
      <c r="E179" s="334"/>
      <c r="N179" s="195"/>
      <c r="O179" s="195"/>
    </row>
    <row r="180" spans="1:19" x14ac:dyDescent="0.25">
      <c r="A180" s="122"/>
      <c r="B180" s="124"/>
      <c r="C180" s="122"/>
      <c r="D180" s="122"/>
      <c r="G180" s="123" t="s">
        <v>855</v>
      </c>
      <c r="H180" s="158">
        <v>44197</v>
      </c>
      <c r="J180" s="197" t="s">
        <v>80</v>
      </c>
      <c r="K180" s="124" t="s">
        <v>81</v>
      </c>
      <c r="L180" s="122" t="s">
        <v>79</v>
      </c>
      <c r="M180" s="122"/>
    </row>
    <row r="181" spans="1:19" ht="31.5" x14ac:dyDescent="0.25">
      <c r="A181" s="159" t="s">
        <v>0</v>
      </c>
      <c r="B181" s="160" t="s">
        <v>60</v>
      </c>
      <c r="C181" s="159" t="s">
        <v>856</v>
      </c>
      <c r="D181" s="159" t="s">
        <v>3</v>
      </c>
      <c r="E181" s="161" t="s">
        <v>857</v>
      </c>
      <c r="F181" s="159" t="s">
        <v>858</v>
      </c>
      <c r="G181" s="159" t="s">
        <v>859</v>
      </c>
      <c r="H181" s="159" t="s">
        <v>860</v>
      </c>
      <c r="I181" s="159" t="s">
        <v>17</v>
      </c>
      <c r="J181" s="159" t="s">
        <v>861</v>
      </c>
      <c r="K181" s="159" t="s">
        <v>1</v>
      </c>
      <c r="L181" s="159" t="s">
        <v>44</v>
      </c>
      <c r="M181" s="159" t="s">
        <v>61</v>
      </c>
      <c r="N181" s="159" t="s">
        <v>862</v>
      </c>
      <c r="O181" s="159" t="s">
        <v>863</v>
      </c>
      <c r="R181" t="s">
        <v>538</v>
      </c>
      <c r="S181" t="s">
        <v>864</v>
      </c>
    </row>
    <row r="182" spans="1:19" x14ac:dyDescent="0.25">
      <c r="A182" t="str">
        <f>TableBEDSC[[#This Row],[Study Package Code]]</f>
        <v>EDUC1021</v>
      </c>
      <c r="B182" s="5">
        <f>TableBEDSC[[#This Row],[Ver]]</f>
        <v>1</v>
      </c>
      <c r="D182" t="str">
        <f>TableBEDSC[[#This Row],[Structure Line]]</f>
        <v>Child Development for Educators</v>
      </c>
      <c r="E182" s="125">
        <f>TableBEDSC[[#This Row],[Credit Points]]</f>
        <v>25</v>
      </c>
      <c r="F182">
        <v>1</v>
      </c>
      <c r="G182" t="s">
        <v>865</v>
      </c>
      <c r="H182">
        <v>1</v>
      </c>
      <c r="I182" t="s">
        <v>528</v>
      </c>
      <c r="J182" t="s">
        <v>51</v>
      </c>
      <c r="K182">
        <v>1</v>
      </c>
      <c r="L182" t="s">
        <v>685</v>
      </c>
      <c r="M182">
        <v>25</v>
      </c>
      <c r="N182" s="195">
        <v>43466</v>
      </c>
      <c r="O182" s="195"/>
      <c r="R182" t="s">
        <v>51</v>
      </c>
      <c r="S182">
        <v>1</v>
      </c>
    </row>
    <row r="183" spans="1:19" x14ac:dyDescent="0.25">
      <c r="A183" t="str">
        <f>TableBEDSC[[#This Row],[Study Package Code]]</f>
        <v>EDSC1009</v>
      </c>
      <c r="B183" s="5">
        <f>TableBEDSC[[#This Row],[Ver]]</f>
        <v>1</v>
      </c>
      <c r="D183" t="str">
        <f>TableBEDSC[[#This Row],[Structure Line]]</f>
        <v>Literacy and Numeracy Across the Curriculum</v>
      </c>
      <c r="E183" s="125">
        <f>TableBEDSC[[#This Row],[Credit Points]]</f>
        <v>25</v>
      </c>
      <c r="F183">
        <v>2</v>
      </c>
      <c r="G183" t="s">
        <v>865</v>
      </c>
      <c r="H183">
        <v>1</v>
      </c>
      <c r="I183" t="s">
        <v>528</v>
      </c>
      <c r="J183" t="s">
        <v>140</v>
      </c>
      <c r="K183">
        <v>1</v>
      </c>
      <c r="L183" t="s">
        <v>657</v>
      </c>
      <c r="M183">
        <v>25</v>
      </c>
      <c r="N183" s="195">
        <v>43466</v>
      </c>
      <c r="O183" s="195"/>
      <c r="R183" t="s">
        <v>140</v>
      </c>
      <c r="S183">
        <v>1</v>
      </c>
    </row>
    <row r="184" spans="1:19" x14ac:dyDescent="0.25">
      <c r="A184" t="str">
        <f>TableBEDSC[[#This Row],[Study Package Code]]</f>
        <v>EDUC1019</v>
      </c>
      <c r="B184" s="5">
        <f>TableBEDSC[[#This Row],[Ver]]</f>
        <v>1</v>
      </c>
      <c r="D184" t="str">
        <f>TableBEDSC[[#This Row],[Structure Line]]</f>
        <v>Teaching and Learning in the Digital World</v>
      </c>
      <c r="E184" s="125">
        <f>TableBEDSC[[#This Row],[Credit Points]]</f>
        <v>25</v>
      </c>
      <c r="F184">
        <v>3</v>
      </c>
      <c r="G184" t="s">
        <v>865</v>
      </c>
      <c r="H184">
        <v>1</v>
      </c>
      <c r="I184" t="s">
        <v>528</v>
      </c>
      <c r="J184" t="s">
        <v>54</v>
      </c>
      <c r="K184">
        <v>1</v>
      </c>
      <c r="L184" t="s">
        <v>684</v>
      </c>
      <c r="M184">
        <v>25</v>
      </c>
      <c r="N184" s="195">
        <v>43466</v>
      </c>
      <c r="O184" s="195"/>
      <c r="R184" t="s">
        <v>54</v>
      </c>
      <c r="S184">
        <v>1</v>
      </c>
    </row>
    <row r="185" spans="1:19" x14ac:dyDescent="0.25">
      <c r="A185" t="str">
        <f>TableBEDSC[[#This Row],[Study Package Code]]</f>
        <v>EDUC1017</v>
      </c>
      <c r="B185" s="5">
        <f>TableBEDSC[[#This Row],[Ver]]</f>
        <v>1</v>
      </c>
      <c r="D185" t="str">
        <f>TableBEDSC[[#This Row],[Structure Line]]</f>
        <v>The Professional Educator: Developing Teacher Identity</v>
      </c>
      <c r="E185" s="125">
        <f>TableBEDSC[[#This Row],[Credit Points]]</f>
        <v>25</v>
      </c>
      <c r="F185">
        <v>4</v>
      </c>
      <c r="G185" t="s">
        <v>865</v>
      </c>
      <c r="H185">
        <v>1</v>
      </c>
      <c r="I185" t="s">
        <v>528</v>
      </c>
      <c r="J185" t="s">
        <v>56</v>
      </c>
      <c r="K185">
        <v>1</v>
      </c>
      <c r="L185" t="s">
        <v>683</v>
      </c>
      <c r="M185">
        <v>25</v>
      </c>
      <c r="N185" s="195">
        <v>43466</v>
      </c>
      <c r="O185" s="195"/>
      <c r="R185" t="s">
        <v>56</v>
      </c>
      <c r="S185">
        <v>1</v>
      </c>
    </row>
    <row r="186" spans="1:19" x14ac:dyDescent="0.25">
      <c r="A186" t="str">
        <f>TableBEDSC[[#This Row],[Study Package Code]]</f>
        <v>AltCoreBEDSC</v>
      </c>
      <c r="B186" s="5">
        <f>TableBEDSC[[#This Row],[Ver]]</f>
        <v>0</v>
      </c>
      <c r="D186" t="str">
        <f>TableBEDSC[[#This Row],[Structure Line]]</f>
        <v>Choose your Major</v>
      </c>
      <c r="E186" s="125">
        <f>TableBEDSC[[#This Row],[Credit Points]]</f>
        <v>400</v>
      </c>
      <c r="F186">
        <v>5</v>
      </c>
      <c r="G186" t="s">
        <v>865</v>
      </c>
      <c r="H186">
        <v>1</v>
      </c>
      <c r="I186" t="s">
        <v>529</v>
      </c>
      <c r="J186" t="s">
        <v>545</v>
      </c>
      <c r="K186">
        <v>0</v>
      </c>
      <c r="L186" t="s">
        <v>876</v>
      </c>
      <c r="M186">
        <v>400</v>
      </c>
      <c r="N186" s="195"/>
      <c r="O186" s="195"/>
      <c r="R186" t="s">
        <v>545</v>
      </c>
      <c r="S186">
        <v>0</v>
      </c>
    </row>
    <row r="187" spans="1:19" x14ac:dyDescent="0.25">
      <c r="A187" t="str">
        <f>TableBEDSC[[#This Row],[Study Package Code]]</f>
        <v>EDUC2005</v>
      </c>
      <c r="B187" s="5">
        <f>TableBEDSC[[#This Row],[Ver]]</f>
        <v>1</v>
      </c>
      <c r="D187" t="str">
        <f>TableBEDSC[[#This Row],[Structure Line]]</f>
        <v>Learning Theories, Diversity and Differentiation</v>
      </c>
      <c r="E187" s="125">
        <f>TableBEDSC[[#This Row],[Credit Points]]</f>
        <v>25</v>
      </c>
      <c r="F187">
        <v>6</v>
      </c>
      <c r="G187" t="s">
        <v>865</v>
      </c>
      <c r="H187">
        <v>1</v>
      </c>
      <c r="I187" t="s">
        <v>529</v>
      </c>
      <c r="J187" t="s">
        <v>90</v>
      </c>
      <c r="K187">
        <v>1</v>
      </c>
      <c r="L187" t="s">
        <v>691</v>
      </c>
      <c r="M187">
        <v>25</v>
      </c>
      <c r="N187" s="195">
        <v>43466</v>
      </c>
      <c r="O187" s="195"/>
      <c r="R187" t="s">
        <v>90</v>
      </c>
      <c r="S187">
        <v>1</v>
      </c>
    </row>
    <row r="188" spans="1:19" x14ac:dyDescent="0.25">
      <c r="A188" t="str">
        <f>TableBEDSC[[#This Row],[Study Package Code]]</f>
        <v>EDSC1011</v>
      </c>
      <c r="B188" s="5">
        <f>TableBEDSC[[#This Row],[Ver]]</f>
        <v>1</v>
      </c>
      <c r="D188" t="str">
        <f>TableBEDSC[[#This Row],[Structure Line]]</f>
        <v>Managing the Learning Environment</v>
      </c>
      <c r="E188" s="125">
        <f>TableBEDSC[[#This Row],[Credit Points]]</f>
        <v>25</v>
      </c>
      <c r="F188">
        <v>7</v>
      </c>
      <c r="G188" t="s">
        <v>865</v>
      </c>
      <c r="H188">
        <v>1</v>
      </c>
      <c r="I188" t="s">
        <v>529</v>
      </c>
      <c r="J188" t="s">
        <v>98</v>
      </c>
      <c r="K188">
        <v>1</v>
      </c>
      <c r="L188" t="s">
        <v>658</v>
      </c>
      <c r="M188">
        <v>25</v>
      </c>
      <c r="N188" s="195">
        <v>43647</v>
      </c>
      <c r="O188" s="195"/>
      <c r="R188" t="s">
        <v>98</v>
      </c>
      <c r="S188">
        <v>1</v>
      </c>
    </row>
    <row r="189" spans="1:19" x14ac:dyDescent="0.25">
      <c r="A189" t="str">
        <f>TableBEDSC[[#This Row],[Study Package Code]]</f>
        <v>EDSC2008</v>
      </c>
      <c r="B189" s="5">
        <f>TableBEDSC[[#This Row],[Ver]]</f>
        <v>1</v>
      </c>
      <c r="D189" t="str">
        <f>TableBEDSC[[#This Row],[Structure Line]]</f>
        <v>Secondary Professional Experience 1: Planning</v>
      </c>
      <c r="E189" s="125">
        <f>TableBEDSC[[#This Row],[Credit Points]]</f>
        <v>25</v>
      </c>
      <c r="F189">
        <v>8</v>
      </c>
      <c r="G189" t="s">
        <v>865</v>
      </c>
      <c r="H189">
        <v>2</v>
      </c>
      <c r="I189" t="s">
        <v>528</v>
      </c>
      <c r="J189" t="s">
        <v>217</v>
      </c>
      <c r="K189">
        <v>1</v>
      </c>
      <c r="L189" t="s">
        <v>659</v>
      </c>
      <c r="M189">
        <v>25</v>
      </c>
      <c r="N189" s="195">
        <v>43466</v>
      </c>
      <c r="O189" s="195"/>
      <c r="R189" t="s">
        <v>217</v>
      </c>
      <c r="S189">
        <v>1</v>
      </c>
    </row>
    <row r="190" spans="1:19" x14ac:dyDescent="0.25">
      <c r="A190" t="str">
        <f>TableBEDSC[[#This Row],[Study Package Code]]</f>
        <v>EDSC2009</v>
      </c>
      <c r="B190" s="5">
        <f>TableBEDSC[[#This Row],[Ver]]</f>
        <v>1</v>
      </c>
      <c r="D190" t="str">
        <f>TableBEDSC[[#This Row],[Structure Line]]</f>
        <v>Secondary Professional Experience 2: Assessment and Reporting</v>
      </c>
      <c r="E190" s="125">
        <f>TableBEDSC[[#This Row],[Credit Points]]</f>
        <v>25</v>
      </c>
      <c r="F190">
        <v>9</v>
      </c>
      <c r="G190" t="s">
        <v>865</v>
      </c>
      <c r="H190">
        <v>2</v>
      </c>
      <c r="I190" t="s">
        <v>529</v>
      </c>
      <c r="J190" t="s">
        <v>225</v>
      </c>
      <c r="K190">
        <v>1</v>
      </c>
      <c r="L190" t="s">
        <v>661</v>
      </c>
      <c r="M190">
        <v>25</v>
      </c>
      <c r="N190" s="195">
        <v>43647</v>
      </c>
      <c r="O190" s="195"/>
      <c r="R190" t="s">
        <v>225</v>
      </c>
      <c r="S190">
        <v>1</v>
      </c>
    </row>
    <row r="191" spans="1:19" x14ac:dyDescent="0.25">
      <c r="A191" t="str">
        <f>TableBEDSC[[#This Row],[Study Package Code]]</f>
        <v>EDSC3005</v>
      </c>
      <c r="B191" s="5">
        <f>TableBEDSC[[#This Row],[Ver]]</f>
        <v>1</v>
      </c>
      <c r="D191" t="str">
        <f>TableBEDSC[[#This Row],[Structure Line]]</f>
        <v>Secondary Professional Experience 3: Using Data to Inform Teaching and Learning</v>
      </c>
      <c r="E191" s="125">
        <f>TableBEDSC[[#This Row],[Credit Points]]</f>
        <v>25</v>
      </c>
      <c r="F191">
        <v>10</v>
      </c>
      <c r="G191" t="s">
        <v>865</v>
      </c>
      <c r="H191">
        <v>3</v>
      </c>
      <c r="I191" t="s">
        <v>529</v>
      </c>
      <c r="J191" t="s">
        <v>239</v>
      </c>
      <c r="K191">
        <v>1</v>
      </c>
      <c r="L191" t="s">
        <v>662</v>
      </c>
      <c r="M191">
        <v>25</v>
      </c>
      <c r="N191" s="195">
        <v>43466</v>
      </c>
      <c r="O191" s="195"/>
      <c r="R191" t="s">
        <v>239</v>
      </c>
      <c r="S191">
        <v>1</v>
      </c>
    </row>
    <row r="192" spans="1:19" x14ac:dyDescent="0.25">
      <c r="A192" t="str">
        <f>TableBEDSC[[#This Row],[Study Package Code]]</f>
        <v>INED3001</v>
      </c>
      <c r="B192" s="5">
        <f>TableBEDSC[[#This Row],[Ver]]</f>
        <v>1</v>
      </c>
      <c r="D192" t="str">
        <f>TableBEDSC[[#This Row],[Structure Line]]</f>
        <v>Indigenous Australian Education</v>
      </c>
      <c r="E192" s="125">
        <f>TableBEDSC[[#This Row],[Credit Points]]</f>
        <v>25</v>
      </c>
      <c r="F192">
        <v>11</v>
      </c>
      <c r="G192" t="s">
        <v>865</v>
      </c>
      <c r="H192">
        <v>3</v>
      </c>
      <c r="I192" t="s">
        <v>529</v>
      </c>
      <c r="J192" t="s">
        <v>110</v>
      </c>
      <c r="K192">
        <v>1</v>
      </c>
      <c r="L192" t="s">
        <v>752</v>
      </c>
      <c r="M192">
        <v>25</v>
      </c>
      <c r="N192" s="195">
        <v>42005</v>
      </c>
      <c r="O192" s="195"/>
      <c r="R192" t="s">
        <v>110</v>
      </c>
      <c r="S192">
        <v>1</v>
      </c>
    </row>
    <row r="193" spans="1:19" x14ac:dyDescent="0.25">
      <c r="A193" t="str">
        <f>TableBEDSC[[#This Row],[Study Package Code]]</f>
        <v>EDUC4040</v>
      </c>
      <c r="B193" s="5">
        <f>TableBEDSC[[#This Row],[Ver]]</f>
        <v>1</v>
      </c>
      <c r="D193" t="str">
        <f>TableBEDSC[[#This Row],[Structure Line]]</f>
        <v>Professional Experience 4: The Internship</v>
      </c>
      <c r="E193" s="125">
        <f>TableBEDSC[[#This Row],[Credit Points]]</f>
        <v>100</v>
      </c>
      <c r="F193">
        <v>12</v>
      </c>
      <c r="G193" t="s">
        <v>865</v>
      </c>
      <c r="H193">
        <v>4</v>
      </c>
      <c r="I193" t="s">
        <v>873</v>
      </c>
      <c r="J193" t="s">
        <v>136</v>
      </c>
      <c r="K193">
        <v>1</v>
      </c>
      <c r="L193" t="s">
        <v>711</v>
      </c>
      <c r="M193">
        <v>100</v>
      </c>
      <c r="N193" s="195">
        <v>43466</v>
      </c>
      <c r="O193" s="195"/>
      <c r="R193" t="s">
        <v>136</v>
      </c>
      <c r="S193">
        <v>1</v>
      </c>
    </row>
    <row r="194" spans="1:19" x14ac:dyDescent="0.25">
      <c r="A194" t="str">
        <f>TableBEDSC[[#This Row],[Study Package Code]]</f>
        <v>EDSC3007</v>
      </c>
      <c r="B194" s="5">
        <f>TableBEDSC[[#This Row],[Ver]]</f>
        <v>1</v>
      </c>
      <c r="D194" t="str">
        <f>TableBEDSC[[#This Row],[Structure Line]]</f>
        <v>Curriculum and Culture in Secondary Schools</v>
      </c>
      <c r="E194" s="125">
        <f>TableBEDSC[[#This Row],[Credit Points]]</f>
        <v>25</v>
      </c>
      <c r="F194">
        <v>13</v>
      </c>
      <c r="G194" t="s">
        <v>865</v>
      </c>
      <c r="H194">
        <v>4</v>
      </c>
      <c r="I194" t="s">
        <v>528</v>
      </c>
      <c r="J194" t="s">
        <v>146</v>
      </c>
      <c r="K194">
        <v>1</v>
      </c>
      <c r="L194" t="s">
        <v>664</v>
      </c>
      <c r="M194">
        <v>25</v>
      </c>
      <c r="N194" s="195">
        <v>43466</v>
      </c>
      <c r="O194" s="195"/>
      <c r="R194" t="s">
        <v>146</v>
      </c>
      <c r="S194">
        <v>1</v>
      </c>
    </row>
    <row r="195" spans="1:19" x14ac:dyDescent="0.25">
      <c r="A195" t="str">
        <f>TableBEDSC[[#This Row],[Study Package Code]]</f>
        <v>EDUC4049</v>
      </c>
      <c r="B195" s="5">
        <f>TableBEDSC[[#This Row],[Ver]]</f>
        <v>1</v>
      </c>
      <c r="D195" t="str">
        <f>TableBEDSC[[#This Row],[Structure Line]]</f>
        <v>The Professional Educator: Transition to the Profession</v>
      </c>
      <c r="E195" s="125">
        <f>TableBEDSC[[#This Row],[Credit Points]]</f>
        <v>25</v>
      </c>
      <c r="F195">
        <v>14</v>
      </c>
      <c r="G195" t="s">
        <v>865</v>
      </c>
      <c r="H195">
        <v>4</v>
      </c>
      <c r="I195" t="s">
        <v>528</v>
      </c>
      <c r="J195" t="s">
        <v>135</v>
      </c>
      <c r="K195">
        <v>1</v>
      </c>
      <c r="L195" t="s">
        <v>717</v>
      </c>
      <c r="M195">
        <v>25</v>
      </c>
      <c r="N195" s="195">
        <v>43466</v>
      </c>
      <c r="O195" s="195"/>
      <c r="R195" t="s">
        <v>135</v>
      </c>
      <c r="S195">
        <v>1</v>
      </c>
    </row>
    <row r="196" spans="1:19" x14ac:dyDescent="0.25">
      <c r="A196" t="str">
        <f>TableBEDSC[[#This Row],[Study Package Code]]</f>
        <v>MJRU-ARTDR</v>
      </c>
      <c r="B196" s="5">
        <f>TableBEDSC[[#This Row],[Ver]]</f>
        <v>1</v>
      </c>
      <c r="D196" t="str">
        <f>TableBEDSC[[#This Row],[Structure Line]]</f>
        <v>The Arts Education Major (Drama) (BEd Secondary)</v>
      </c>
      <c r="E196" s="125">
        <f>TableBEDSC[[#This Row],[Credit Points]]</f>
        <v>400</v>
      </c>
      <c r="F196">
        <v>5</v>
      </c>
      <c r="G196" t="s">
        <v>871</v>
      </c>
      <c r="H196">
        <v>1</v>
      </c>
      <c r="I196" t="s">
        <v>529</v>
      </c>
      <c r="J196" t="s">
        <v>192</v>
      </c>
      <c r="K196">
        <v>1</v>
      </c>
      <c r="L196" t="s">
        <v>199</v>
      </c>
      <c r="M196">
        <v>400</v>
      </c>
      <c r="N196" s="195">
        <v>43466</v>
      </c>
      <c r="O196" s="195"/>
      <c r="R196" t="s">
        <v>192</v>
      </c>
      <c r="S196">
        <v>1</v>
      </c>
    </row>
    <row r="197" spans="1:19" x14ac:dyDescent="0.25">
      <c r="A197" t="str">
        <f>TableBEDSC[[#This Row],[Study Package Code]]</f>
        <v>MJRU-ARTME</v>
      </c>
      <c r="B197" s="5">
        <f>TableBEDSC[[#This Row],[Ver]]</f>
        <v>1</v>
      </c>
      <c r="D197" t="str">
        <f>TableBEDSC[[#This Row],[Structure Line]]</f>
        <v>The Arts Education Major (Media Production and Analysis) (BEd Secondary)</v>
      </c>
      <c r="E197" s="125">
        <f>TableBEDSC[[#This Row],[Credit Points]]</f>
        <v>400</v>
      </c>
      <c r="F197">
        <v>5</v>
      </c>
      <c r="G197" t="s">
        <v>871</v>
      </c>
      <c r="H197">
        <v>1</v>
      </c>
      <c r="I197" t="s">
        <v>529</v>
      </c>
      <c r="J197" t="s">
        <v>204</v>
      </c>
      <c r="K197">
        <v>1</v>
      </c>
      <c r="L197" t="s">
        <v>203</v>
      </c>
      <c r="M197">
        <v>400</v>
      </c>
      <c r="N197" s="195">
        <v>43466</v>
      </c>
      <c r="O197" s="195"/>
      <c r="R197" t="s">
        <v>204</v>
      </c>
      <c r="S197">
        <v>1</v>
      </c>
    </row>
    <row r="198" spans="1:19" x14ac:dyDescent="0.25">
      <c r="A198" t="str">
        <f>TableBEDSC[[#This Row],[Study Package Code]]</f>
        <v>MJRU-ARTVA</v>
      </c>
      <c r="B198" s="5">
        <f>TableBEDSC[[#This Row],[Ver]]</f>
        <v>1</v>
      </c>
      <c r="D198" t="str">
        <f>TableBEDSC[[#This Row],[Structure Line]]</f>
        <v>The Arts Education Major (Visual Arts) (BEd Secondary)</v>
      </c>
      <c r="E198" s="125">
        <f>TableBEDSC[[#This Row],[Credit Points]]</f>
        <v>400</v>
      </c>
      <c r="F198">
        <v>5</v>
      </c>
      <c r="G198" t="s">
        <v>871</v>
      </c>
      <c r="H198">
        <v>1</v>
      </c>
      <c r="I198" t="s">
        <v>529</v>
      </c>
      <c r="J198" t="s">
        <v>207</v>
      </c>
      <c r="K198">
        <v>1</v>
      </c>
      <c r="L198" t="s">
        <v>206</v>
      </c>
      <c r="M198">
        <v>400</v>
      </c>
      <c r="N198" s="195">
        <v>43466</v>
      </c>
      <c r="O198" s="195"/>
      <c r="R198" t="s">
        <v>207</v>
      </c>
      <c r="S198">
        <v>1</v>
      </c>
    </row>
    <row r="199" spans="1:19" x14ac:dyDescent="0.25">
      <c r="A199" t="str">
        <f>TableBEDSC[[#This Row],[Study Package Code]]</f>
        <v>MJRU-ENGLT</v>
      </c>
      <c r="B199" s="5">
        <f>TableBEDSC[[#This Row],[Ver]]</f>
        <v>3</v>
      </c>
      <c r="D199" t="str">
        <f>TableBEDSC[[#This Row],[Structure Line]]</f>
        <v>English Education Major (BEd Secondary)</v>
      </c>
      <c r="E199" s="125">
        <f>TableBEDSC[[#This Row],[Credit Points]]</f>
        <v>400</v>
      </c>
      <c r="F199">
        <v>5</v>
      </c>
      <c r="G199" t="s">
        <v>871</v>
      </c>
      <c r="H199">
        <v>1</v>
      </c>
      <c r="I199" t="s">
        <v>529</v>
      </c>
      <c r="J199" t="s">
        <v>211</v>
      </c>
      <c r="K199">
        <v>3</v>
      </c>
      <c r="L199" t="s">
        <v>210</v>
      </c>
      <c r="M199">
        <v>400</v>
      </c>
      <c r="N199" s="195">
        <v>44562</v>
      </c>
      <c r="O199" s="195"/>
      <c r="R199" t="s">
        <v>211</v>
      </c>
      <c r="S199">
        <v>3</v>
      </c>
    </row>
    <row r="200" spans="1:19" x14ac:dyDescent="0.25">
      <c r="A200" t="str">
        <f>TableBEDSC[[#This Row],[Study Package Code]]</f>
        <v>MJRU-HLTPE</v>
      </c>
      <c r="B200" s="5">
        <f>TableBEDSC[[#This Row],[Ver]]</f>
        <v>2</v>
      </c>
      <c r="D200" t="str">
        <f>TableBEDSC[[#This Row],[Structure Line]]</f>
        <v>Health and Physical Education Major (BEd Secondary)</v>
      </c>
      <c r="E200" s="125">
        <f>TableBEDSC[[#This Row],[Credit Points]]</f>
        <v>400</v>
      </c>
      <c r="F200">
        <v>5</v>
      </c>
      <c r="G200" t="s">
        <v>871</v>
      </c>
      <c r="H200">
        <v>1</v>
      </c>
      <c r="I200" t="s">
        <v>529</v>
      </c>
      <c r="J200" t="s">
        <v>215</v>
      </c>
      <c r="K200">
        <v>2</v>
      </c>
      <c r="L200" t="s">
        <v>214</v>
      </c>
      <c r="M200">
        <v>400</v>
      </c>
      <c r="N200" s="195">
        <v>44927</v>
      </c>
      <c r="O200" s="195"/>
      <c r="R200" t="s">
        <v>215</v>
      </c>
      <c r="S200">
        <v>2</v>
      </c>
    </row>
    <row r="201" spans="1:19" x14ac:dyDescent="0.25">
      <c r="A201" t="str">
        <f>TableBEDSC[[#This Row],[Study Package Code]]</f>
        <v>MJRU-HUSEC</v>
      </c>
      <c r="B201" s="5">
        <f>TableBEDSC[[#This Row],[Ver]]</f>
        <v>1</v>
      </c>
      <c r="D201" t="str">
        <f>TableBEDSC[[#This Row],[Structure Line]]</f>
        <v>Humanities and Social Sciences Education Major (Economics) (BEd Secondary)</v>
      </c>
      <c r="E201" s="125">
        <f>TableBEDSC[[#This Row],[Credit Points]]</f>
        <v>400</v>
      </c>
      <c r="F201">
        <v>5</v>
      </c>
      <c r="G201" t="s">
        <v>871</v>
      </c>
      <c r="H201">
        <v>1</v>
      </c>
      <c r="I201" t="s">
        <v>529</v>
      </c>
      <c r="J201" t="s">
        <v>218</v>
      </c>
      <c r="K201">
        <v>1</v>
      </c>
      <c r="L201" t="s">
        <v>183</v>
      </c>
      <c r="M201">
        <v>400</v>
      </c>
      <c r="N201" s="195">
        <v>43466</v>
      </c>
      <c r="O201" s="195"/>
      <c r="R201" t="s">
        <v>218</v>
      </c>
      <c r="S201">
        <v>1</v>
      </c>
    </row>
    <row r="202" spans="1:19" x14ac:dyDescent="0.25">
      <c r="A202" t="str">
        <f>TableBEDSC[[#This Row],[Study Package Code]]</f>
        <v>MJRU-HUSGE</v>
      </c>
      <c r="B202" s="5">
        <f>TableBEDSC[[#This Row],[Ver]]</f>
        <v>1</v>
      </c>
      <c r="D202" t="str">
        <f>TableBEDSC[[#This Row],[Structure Line]]</f>
        <v>Humanities and Social Sciences Education Major (Geography) (BEd Secondary)</v>
      </c>
      <c r="E202" s="125">
        <f>TableBEDSC[[#This Row],[Credit Points]]</f>
        <v>400</v>
      </c>
      <c r="F202">
        <v>5</v>
      </c>
      <c r="G202" t="s">
        <v>871</v>
      </c>
      <c r="H202">
        <v>1</v>
      </c>
      <c r="I202" t="s">
        <v>529</v>
      </c>
      <c r="J202" t="s">
        <v>220</v>
      </c>
      <c r="K202">
        <v>1</v>
      </c>
      <c r="L202" t="s">
        <v>219</v>
      </c>
      <c r="M202">
        <v>400</v>
      </c>
      <c r="N202" s="195">
        <v>43466</v>
      </c>
      <c r="O202" s="195"/>
      <c r="R202" t="s">
        <v>220</v>
      </c>
      <c r="S202">
        <v>1</v>
      </c>
    </row>
    <row r="203" spans="1:19" x14ac:dyDescent="0.25">
      <c r="A203" t="str">
        <f>TableBEDSC[[#This Row],[Study Package Code]]</f>
        <v>MJRU-HUSHI</v>
      </c>
      <c r="B203" s="5">
        <f>TableBEDSC[[#This Row],[Ver]]</f>
        <v>1</v>
      </c>
      <c r="D203" t="str">
        <f>TableBEDSC[[#This Row],[Structure Line]]</f>
        <v>Humanities and Social Sciences Education Major (History) (BEd Secondary)</v>
      </c>
      <c r="E203" s="125">
        <f>TableBEDSC[[#This Row],[Credit Points]]</f>
        <v>400</v>
      </c>
      <c r="F203">
        <v>5</v>
      </c>
      <c r="G203" t="s">
        <v>871</v>
      </c>
      <c r="H203">
        <v>1</v>
      </c>
      <c r="I203" t="s">
        <v>529</v>
      </c>
      <c r="J203" t="s">
        <v>222</v>
      </c>
      <c r="K203">
        <v>1</v>
      </c>
      <c r="L203" t="s">
        <v>221</v>
      </c>
      <c r="M203">
        <v>400</v>
      </c>
      <c r="N203" s="195">
        <v>43466</v>
      </c>
      <c r="O203" s="195"/>
      <c r="R203" t="s">
        <v>222</v>
      </c>
      <c r="S203">
        <v>1</v>
      </c>
    </row>
    <row r="204" spans="1:19" x14ac:dyDescent="0.25">
      <c r="A204" t="str">
        <f>TableBEDSC[[#This Row],[Study Package Code]]</f>
        <v>MJRU-HUSPL</v>
      </c>
      <c r="B204" s="5">
        <f>TableBEDSC[[#This Row],[Ver]]</f>
        <v>2</v>
      </c>
      <c r="D204" t="str">
        <f>TableBEDSC[[#This Row],[Structure Line]]</f>
        <v>Humanities and Social Sciences Education Major (Politics and Law) (BEd Secondary)</v>
      </c>
      <c r="E204" s="125">
        <f>TableBEDSC[[#This Row],[Credit Points]]</f>
        <v>400</v>
      </c>
      <c r="F204">
        <v>5</v>
      </c>
      <c r="G204" t="s">
        <v>871</v>
      </c>
      <c r="H204">
        <v>1</v>
      </c>
      <c r="I204" t="s">
        <v>529</v>
      </c>
      <c r="J204" t="s">
        <v>224</v>
      </c>
      <c r="K204" s="268">
        <v>2</v>
      </c>
      <c r="L204" t="s">
        <v>223</v>
      </c>
      <c r="M204">
        <v>400</v>
      </c>
      <c r="N204" s="267">
        <v>45292</v>
      </c>
      <c r="O204" s="195"/>
      <c r="R204" t="s">
        <v>224</v>
      </c>
      <c r="S204">
        <v>1</v>
      </c>
    </row>
    <row r="205" spans="1:19" x14ac:dyDescent="0.25">
      <c r="A205" t="str">
        <f>TableBEDSC[[#This Row],[Study Package Code]]</f>
        <v>MJRU-MATHT</v>
      </c>
      <c r="B205" s="5">
        <f>TableBEDSC[[#This Row],[Ver]]</f>
        <v>2</v>
      </c>
      <c r="D205" t="str">
        <f>TableBEDSC[[#This Row],[Structure Line]]</f>
        <v>Mathematics Education Major (BEd Secondary)</v>
      </c>
      <c r="E205" s="125">
        <f>TableBEDSC[[#This Row],[Credit Points]]</f>
        <v>400</v>
      </c>
      <c r="F205">
        <v>5</v>
      </c>
      <c r="G205" t="s">
        <v>871</v>
      </c>
      <c r="H205">
        <v>1</v>
      </c>
      <c r="I205" t="s">
        <v>529</v>
      </c>
      <c r="J205" t="s">
        <v>227</v>
      </c>
      <c r="K205">
        <v>2</v>
      </c>
      <c r="L205" t="s">
        <v>226</v>
      </c>
      <c r="M205">
        <v>400</v>
      </c>
      <c r="N205" s="195">
        <v>43466</v>
      </c>
      <c r="O205" s="195"/>
      <c r="R205" t="s">
        <v>227</v>
      </c>
      <c r="S205">
        <v>2</v>
      </c>
    </row>
    <row r="206" spans="1:19" x14ac:dyDescent="0.25">
      <c r="A206" t="str">
        <f>TableBEDSC[[#This Row],[Study Package Code]]</f>
        <v>MJRU-SCIBI</v>
      </c>
      <c r="B206" s="5">
        <f>TableBEDSC[[#This Row],[Ver]]</f>
        <v>1</v>
      </c>
      <c r="D206" t="str">
        <f>TableBEDSC[[#This Row],[Structure Line]]</f>
        <v>Science Education Major (Biology) (BEd Secondary)</v>
      </c>
      <c r="E206" s="125">
        <f>TableBEDSC[[#This Row],[Credit Points]]</f>
        <v>400</v>
      </c>
      <c r="F206">
        <v>5</v>
      </c>
      <c r="G206" t="s">
        <v>871</v>
      </c>
      <c r="H206">
        <v>1</v>
      </c>
      <c r="I206" t="s">
        <v>529</v>
      </c>
      <c r="J206" t="s">
        <v>229</v>
      </c>
      <c r="K206">
        <v>1</v>
      </c>
      <c r="L206" t="s">
        <v>228</v>
      </c>
      <c r="M206">
        <v>400</v>
      </c>
      <c r="N206" s="195">
        <v>43466</v>
      </c>
      <c r="O206" s="195"/>
      <c r="R206" t="s">
        <v>229</v>
      </c>
      <c r="S206">
        <v>1</v>
      </c>
    </row>
    <row r="207" spans="1:19" x14ac:dyDescent="0.25">
      <c r="A207" t="str">
        <f>TableBEDSC[[#This Row],[Study Package Code]]</f>
        <v>MJRU-SCICH</v>
      </c>
      <c r="B207" s="5">
        <f>TableBEDSC[[#This Row],[Ver]]</f>
        <v>1</v>
      </c>
      <c r="D207" t="str">
        <f>TableBEDSC[[#This Row],[Structure Line]]</f>
        <v>Science Education Major (Chemistry) (BEd Secondary)</v>
      </c>
      <c r="E207" s="125">
        <f>TableBEDSC[[#This Row],[Credit Points]]</f>
        <v>400</v>
      </c>
      <c r="F207">
        <v>5</v>
      </c>
      <c r="G207" t="s">
        <v>871</v>
      </c>
      <c r="H207">
        <v>1</v>
      </c>
      <c r="I207" t="s">
        <v>529</v>
      </c>
      <c r="J207" t="s">
        <v>231</v>
      </c>
      <c r="K207">
        <v>1</v>
      </c>
      <c r="L207" t="s">
        <v>230</v>
      </c>
      <c r="M207">
        <v>400</v>
      </c>
      <c r="N207" s="195">
        <v>43466</v>
      </c>
      <c r="O207" s="195"/>
      <c r="R207" t="s">
        <v>231</v>
      </c>
      <c r="S207">
        <v>1</v>
      </c>
    </row>
    <row r="208" spans="1:19" x14ac:dyDescent="0.25">
      <c r="A208" t="str">
        <f>TableBEDSC[[#This Row],[Study Package Code]]</f>
        <v>MJRU-SCIHB</v>
      </c>
      <c r="B208" s="5">
        <f>TableBEDSC[[#This Row],[Ver]]</f>
        <v>2</v>
      </c>
      <c r="D208" t="str">
        <f>TableBEDSC[[#This Row],[Structure Line]]</f>
        <v>Science Education Major (Human Biology) (BEd Secondary)</v>
      </c>
      <c r="E208" s="125">
        <f>TableBEDSC[[#This Row],[Credit Points]]</f>
        <v>400</v>
      </c>
      <c r="F208">
        <v>5</v>
      </c>
      <c r="G208" t="s">
        <v>871</v>
      </c>
      <c r="H208">
        <v>1</v>
      </c>
      <c r="I208" t="s">
        <v>529</v>
      </c>
      <c r="J208" t="s">
        <v>233</v>
      </c>
      <c r="K208">
        <v>2</v>
      </c>
      <c r="L208" t="s">
        <v>232</v>
      </c>
      <c r="M208">
        <v>400</v>
      </c>
      <c r="N208" s="195">
        <v>44927</v>
      </c>
      <c r="O208" s="195"/>
      <c r="R208" t="s">
        <v>233</v>
      </c>
      <c r="S208">
        <v>2</v>
      </c>
    </row>
    <row r="209" spans="1:19" x14ac:dyDescent="0.25">
      <c r="A209" t="str">
        <f>TableBEDSC[[#This Row],[Study Package Code]]</f>
        <v>MJRU-SCIPH</v>
      </c>
      <c r="B209" s="5">
        <f>TableBEDSC[[#This Row],[Ver]]</f>
        <v>1</v>
      </c>
      <c r="D209" t="str">
        <f>TableBEDSC[[#This Row],[Structure Line]]</f>
        <v>Science Education Major (Physics) (BEd Secondary)</v>
      </c>
      <c r="E209" s="125">
        <f>TableBEDSC[[#This Row],[Credit Points]]</f>
        <v>400</v>
      </c>
      <c r="F209">
        <v>5</v>
      </c>
      <c r="G209" t="s">
        <v>871</v>
      </c>
      <c r="H209">
        <v>1</v>
      </c>
      <c r="I209" t="s">
        <v>529</v>
      </c>
      <c r="J209" t="s">
        <v>235</v>
      </c>
      <c r="K209">
        <v>1</v>
      </c>
      <c r="L209" t="s">
        <v>234</v>
      </c>
      <c r="M209">
        <v>400</v>
      </c>
      <c r="N209" s="195">
        <v>43466</v>
      </c>
      <c r="O209" s="195"/>
      <c r="R209" t="s">
        <v>235</v>
      </c>
      <c r="S209">
        <v>1</v>
      </c>
    </row>
    <row r="210" spans="1:19" x14ac:dyDescent="0.25">
      <c r="A210" t="str">
        <f>TableBEDSC[[#This Row],[Study Package Code]]</f>
        <v>MJRU-SCIPS</v>
      </c>
      <c r="B210" s="5">
        <f>TableBEDSC[[#This Row],[Ver]]</f>
        <v>1</v>
      </c>
      <c r="D210" t="str">
        <f>TableBEDSC[[#This Row],[Structure Line]]</f>
        <v>Science Education Major (Psychology) (BEd Secondary)</v>
      </c>
      <c r="E210" s="125">
        <f>TableBEDSC[[#This Row],[Credit Points]]</f>
        <v>400</v>
      </c>
      <c r="F210">
        <v>5</v>
      </c>
      <c r="G210" t="s">
        <v>871</v>
      </c>
      <c r="H210">
        <v>1</v>
      </c>
      <c r="I210" t="s">
        <v>529</v>
      </c>
      <c r="J210" t="s">
        <v>237</v>
      </c>
      <c r="K210">
        <v>1</v>
      </c>
      <c r="L210" t="s">
        <v>236</v>
      </c>
      <c r="M210">
        <v>400</v>
      </c>
      <c r="N210" s="195">
        <v>43466</v>
      </c>
      <c r="O210" s="195"/>
      <c r="R210" t="s">
        <v>237</v>
      </c>
      <c r="S210">
        <v>1</v>
      </c>
    </row>
    <row r="211" spans="1:19" x14ac:dyDescent="0.25">
      <c r="A211" s="269"/>
      <c r="B211" s="270"/>
      <c r="C211" s="269"/>
      <c r="D211" s="269"/>
      <c r="E211" s="271"/>
      <c r="F211" s="272"/>
      <c r="G211" s="273" t="s">
        <v>855</v>
      </c>
      <c r="H211" s="274">
        <v>43466</v>
      </c>
      <c r="I211" s="272"/>
      <c r="J211" s="197" t="s">
        <v>192</v>
      </c>
      <c r="K211" s="270" t="s">
        <v>200</v>
      </c>
      <c r="L211" s="269" t="s">
        <v>199</v>
      </c>
      <c r="M211" s="269"/>
      <c r="N211" s="269"/>
      <c r="O211" s="269"/>
    </row>
    <row r="212" spans="1:19" ht="31.5" x14ac:dyDescent="0.25">
      <c r="A212" s="159" t="s">
        <v>0</v>
      </c>
      <c r="B212" s="160" t="s">
        <v>60</v>
      </c>
      <c r="C212" s="159" t="s">
        <v>856</v>
      </c>
      <c r="D212" s="159" t="s">
        <v>3</v>
      </c>
      <c r="E212" s="161" t="s">
        <v>857</v>
      </c>
      <c r="F212" s="159" t="s">
        <v>858</v>
      </c>
      <c r="G212" s="159" t="s">
        <v>859</v>
      </c>
      <c r="H212" s="159" t="s">
        <v>860</v>
      </c>
      <c r="I212" s="159" t="s">
        <v>17</v>
      </c>
      <c r="J212" s="159" t="s">
        <v>861</v>
      </c>
      <c r="K212" s="159" t="s">
        <v>1</v>
      </c>
      <c r="L212" s="159" t="s">
        <v>44</v>
      </c>
      <c r="M212" s="159" t="s">
        <v>61</v>
      </c>
      <c r="N212" s="159" t="s">
        <v>862</v>
      </c>
      <c r="O212" s="159" t="s">
        <v>863</v>
      </c>
      <c r="R212" t="s">
        <v>538</v>
      </c>
      <c r="S212" t="s">
        <v>864</v>
      </c>
    </row>
    <row r="213" spans="1:19" x14ac:dyDescent="0.25">
      <c r="A213" t="str">
        <f>TableMJRUARTDR[[#This Row],[Study Package Code]]</f>
        <v>THTR1002</v>
      </c>
      <c r="B213" s="5">
        <f>TableMJRUARTDR[[#This Row],[Ver]]</f>
        <v>1</v>
      </c>
      <c r="D213" t="str">
        <f>TableMJRUARTDR[[#This Row],[Structure Line]]</f>
        <v>Devising Fundamentals</v>
      </c>
      <c r="E213" s="125">
        <f>TableMJRUARTDR[[#This Row],[Credit Points]]</f>
        <v>25</v>
      </c>
      <c r="F213">
        <v>1</v>
      </c>
      <c r="G213" t="s">
        <v>865</v>
      </c>
      <c r="H213">
        <v>1</v>
      </c>
      <c r="I213" t="s">
        <v>529</v>
      </c>
      <c r="J213" t="s">
        <v>300</v>
      </c>
      <c r="K213">
        <v>1</v>
      </c>
      <c r="L213" t="s">
        <v>834</v>
      </c>
      <c r="M213">
        <v>25</v>
      </c>
      <c r="N213" s="195">
        <v>43647</v>
      </c>
      <c r="O213" s="195"/>
      <c r="R213" t="s">
        <v>300</v>
      </c>
      <c r="S213">
        <v>1</v>
      </c>
    </row>
    <row r="214" spans="1:19" x14ac:dyDescent="0.25">
      <c r="A214" t="str">
        <f>TableMJRUARTDR[[#This Row],[Study Package Code]]</f>
        <v>Stream</v>
      </c>
      <c r="B214" s="5">
        <f>TableMJRUARTDR[[#This Row],[Ver]]</f>
        <v>0</v>
      </c>
      <c r="D214" t="str">
        <f>TableMJRUARTDR[[#This Row],[Structure Line]]</f>
        <v>Choose your Minor Teaching Area Specialisation</v>
      </c>
      <c r="E214" s="125">
        <f>TableMJRUARTDR[[#This Row],[Credit Points]]</f>
        <v>150</v>
      </c>
      <c r="F214">
        <v>2</v>
      </c>
      <c r="G214" t="s">
        <v>865</v>
      </c>
      <c r="H214">
        <v>1</v>
      </c>
      <c r="I214" t="s">
        <v>529</v>
      </c>
      <c r="J214" t="s">
        <v>828</v>
      </c>
      <c r="K214">
        <v>0</v>
      </c>
      <c r="L214" t="s">
        <v>877</v>
      </c>
      <c r="M214">
        <v>150</v>
      </c>
      <c r="N214" s="195"/>
      <c r="O214" s="195"/>
      <c r="R214" t="s">
        <v>828</v>
      </c>
      <c r="S214">
        <v>0</v>
      </c>
    </row>
    <row r="215" spans="1:19" x14ac:dyDescent="0.25">
      <c r="A215" t="str">
        <f>TableMJRUARTDR[[#This Row],[Study Package Code]]</f>
        <v>THTR1001</v>
      </c>
      <c r="B215" s="5">
        <f>TableMJRUARTDR[[#This Row],[Ver]]</f>
        <v>1</v>
      </c>
      <c r="D215" t="str">
        <f>TableMJRUARTDR[[#This Row],[Structure Line]]</f>
        <v>Acting Fundamentals</v>
      </c>
      <c r="E215" s="125">
        <f>TableMJRUARTDR[[#This Row],[Credit Points]]</f>
        <v>25</v>
      </c>
      <c r="F215">
        <v>3</v>
      </c>
      <c r="G215" t="s">
        <v>865</v>
      </c>
      <c r="H215">
        <v>2</v>
      </c>
      <c r="I215" t="s">
        <v>528</v>
      </c>
      <c r="J215" t="s">
        <v>326</v>
      </c>
      <c r="K215">
        <v>1</v>
      </c>
      <c r="L215" t="s">
        <v>833</v>
      </c>
      <c r="M215">
        <v>25</v>
      </c>
      <c r="N215" s="195">
        <v>42005</v>
      </c>
      <c r="O215" s="195"/>
      <c r="R215" t="s">
        <v>326</v>
      </c>
      <c r="S215">
        <v>1</v>
      </c>
    </row>
    <row r="216" spans="1:19" x14ac:dyDescent="0.25">
      <c r="A216" t="str">
        <f>TableMJRUARTDR[[#This Row],[Study Package Code]]</f>
        <v>EDSC4032</v>
      </c>
      <c r="B216" s="5">
        <f>TableMJRUARTDR[[#This Row],[Ver]]</f>
        <v>1</v>
      </c>
      <c r="D216" t="str">
        <f>TableMJRUARTDR[[#This Row],[Structure Line]]</f>
        <v>Curriculum and Instruction Lower Secondary: The Arts</v>
      </c>
      <c r="E216" s="125">
        <f>TableMJRUARTDR[[#This Row],[Credit Points]]</f>
        <v>25</v>
      </c>
      <c r="F216">
        <v>4</v>
      </c>
      <c r="G216" t="s">
        <v>865</v>
      </c>
      <c r="H216">
        <v>2</v>
      </c>
      <c r="I216" t="s">
        <v>528</v>
      </c>
      <c r="J216" t="s">
        <v>318</v>
      </c>
      <c r="K216">
        <v>1</v>
      </c>
      <c r="L216" t="s">
        <v>680</v>
      </c>
      <c r="M216">
        <v>25</v>
      </c>
      <c r="N216" s="195">
        <v>43466</v>
      </c>
      <c r="O216" s="195"/>
      <c r="R216" t="s">
        <v>318</v>
      </c>
      <c r="S216">
        <v>1</v>
      </c>
    </row>
    <row r="217" spans="1:19" x14ac:dyDescent="0.25">
      <c r="A217" t="str">
        <f>TableMJRUARTDR[[#This Row],[Study Package Code]]</f>
        <v>EDSC4028</v>
      </c>
      <c r="B217" s="5">
        <f>TableMJRUARTDR[[#This Row],[Ver]]</f>
        <v>2</v>
      </c>
      <c r="D217" t="str">
        <f>TableMJRUARTDR[[#This Row],[Structure Line]]</f>
        <v>Curriculum and Instruction Senior Secondary: The Arts</v>
      </c>
      <c r="E217" s="125">
        <f>TableMJRUARTDR[[#This Row],[Credit Points]]</f>
        <v>25</v>
      </c>
      <c r="F217">
        <v>5</v>
      </c>
      <c r="G217" t="s">
        <v>865</v>
      </c>
      <c r="H217">
        <v>2</v>
      </c>
      <c r="I217" t="s">
        <v>529</v>
      </c>
      <c r="J217" t="s">
        <v>341</v>
      </c>
      <c r="K217">
        <v>2</v>
      </c>
      <c r="L217" t="s">
        <v>678</v>
      </c>
      <c r="M217">
        <v>25</v>
      </c>
      <c r="N217" s="195">
        <v>43831</v>
      </c>
      <c r="O217" s="195"/>
      <c r="R217" t="s">
        <v>341</v>
      </c>
      <c r="S217">
        <v>2</v>
      </c>
    </row>
    <row r="218" spans="1:19" x14ac:dyDescent="0.25">
      <c r="A218" t="str">
        <f>TableMJRUARTDR[[#This Row],[Study Package Code]]</f>
        <v>THTR2001</v>
      </c>
      <c r="B218" s="5">
        <f>TableMJRUARTDR[[#This Row],[Ver]]</f>
        <v>1</v>
      </c>
      <c r="D218" t="str">
        <f>TableMJRUARTDR[[#This Row],[Structure Line]]</f>
        <v>Acting</v>
      </c>
      <c r="E218" s="125">
        <f>TableMJRUARTDR[[#This Row],[Credit Points]]</f>
        <v>25</v>
      </c>
      <c r="F218">
        <v>6</v>
      </c>
      <c r="G218" t="s">
        <v>865</v>
      </c>
      <c r="H218">
        <v>2</v>
      </c>
      <c r="I218" t="s">
        <v>529</v>
      </c>
      <c r="J218" t="s">
        <v>348</v>
      </c>
      <c r="K218">
        <v>1</v>
      </c>
      <c r="L218" t="s">
        <v>835</v>
      </c>
      <c r="M218">
        <v>25</v>
      </c>
      <c r="N218" s="195">
        <v>42005</v>
      </c>
      <c r="O218" s="195"/>
      <c r="R218" t="s">
        <v>348</v>
      </c>
      <c r="S218">
        <v>1</v>
      </c>
    </row>
    <row r="219" spans="1:19" x14ac:dyDescent="0.25">
      <c r="A219" t="str">
        <f>TableMJRUARTDR[[#This Row],[Study Package Code]]</f>
        <v>EDSC3009</v>
      </c>
      <c r="B219" s="5">
        <f>TableMJRUARTDR[[#This Row],[Ver]]</f>
        <v>1</v>
      </c>
      <c r="D219" t="str">
        <f>TableMJRUARTDR[[#This Row],[Structure Line]]</f>
        <v>Educating Adolescents: Diversity and Inclusion</v>
      </c>
      <c r="E219" s="125">
        <f>TableMJRUARTDR[[#This Row],[Credit Points]]</f>
        <v>25</v>
      </c>
      <c r="F219">
        <v>7</v>
      </c>
      <c r="G219" t="s">
        <v>865</v>
      </c>
      <c r="H219">
        <v>3</v>
      </c>
      <c r="I219" t="s">
        <v>528</v>
      </c>
      <c r="J219" t="s">
        <v>360</v>
      </c>
      <c r="K219">
        <v>1</v>
      </c>
      <c r="L219" t="s">
        <v>666</v>
      </c>
      <c r="M219">
        <v>25</v>
      </c>
      <c r="N219" s="195">
        <v>43831</v>
      </c>
      <c r="O219" s="195"/>
      <c r="R219" t="s">
        <v>360</v>
      </c>
      <c r="S219">
        <v>1</v>
      </c>
    </row>
    <row r="220" spans="1:19" x14ac:dyDescent="0.25">
      <c r="A220" t="str">
        <f>TableMJRUARTDR[[#This Row],[Study Package Code]]</f>
        <v>THTR2002</v>
      </c>
      <c r="B220" s="5">
        <f>TableMJRUARTDR[[#This Row],[Ver]]</f>
        <v>1</v>
      </c>
      <c r="D220" t="str">
        <f>TableMJRUARTDR[[#This Row],[Structure Line]]</f>
        <v>Technical Theatre Fundamentals</v>
      </c>
      <c r="E220" s="125">
        <f>TableMJRUARTDR[[#This Row],[Credit Points]]</f>
        <v>25</v>
      </c>
      <c r="F220">
        <v>8</v>
      </c>
      <c r="G220" t="s">
        <v>865</v>
      </c>
      <c r="H220">
        <v>3</v>
      </c>
      <c r="I220" t="s">
        <v>528</v>
      </c>
      <c r="J220" t="s">
        <v>364</v>
      </c>
      <c r="K220">
        <v>1</v>
      </c>
      <c r="L220" t="s">
        <v>836</v>
      </c>
      <c r="M220">
        <v>25</v>
      </c>
      <c r="N220" s="195">
        <v>42005</v>
      </c>
      <c r="O220" s="195"/>
      <c r="R220" t="s">
        <v>364</v>
      </c>
      <c r="S220">
        <v>1</v>
      </c>
    </row>
    <row r="221" spans="1:19" x14ac:dyDescent="0.25">
      <c r="A221" t="str">
        <f>TableMJRUARTDR[[#This Row],[Study Package Code]]</f>
        <v>THTR3007</v>
      </c>
      <c r="B221" s="5">
        <f>TableMJRUARTDR[[#This Row],[Ver]]</f>
        <v>2</v>
      </c>
      <c r="D221" t="str">
        <f>TableMJRUARTDR[[#This Row],[Structure Line]]</f>
        <v>Applied Theatre</v>
      </c>
      <c r="E221" s="125">
        <f>TableMJRUARTDR[[#This Row],[Credit Points]]</f>
        <v>25</v>
      </c>
      <c r="F221">
        <v>9</v>
      </c>
      <c r="G221" t="s">
        <v>865</v>
      </c>
      <c r="H221">
        <v>3</v>
      </c>
      <c r="I221" t="s">
        <v>529</v>
      </c>
      <c r="J221" t="s">
        <v>379</v>
      </c>
      <c r="K221">
        <v>2</v>
      </c>
      <c r="L221" t="s">
        <v>840</v>
      </c>
      <c r="M221">
        <v>25</v>
      </c>
      <c r="N221" s="195">
        <v>44927</v>
      </c>
      <c r="O221" s="195"/>
      <c r="R221" t="s">
        <v>379</v>
      </c>
      <c r="S221">
        <v>2</v>
      </c>
    </row>
    <row r="222" spans="1:19" x14ac:dyDescent="0.25">
      <c r="A222" t="str">
        <f>TableMJRUARTDR[[#This Row],[Study Package Code]]</f>
        <v>THTR3000</v>
      </c>
      <c r="B222" s="5">
        <f>TableMJRUARTDR[[#This Row],[Ver]]</f>
        <v>1</v>
      </c>
      <c r="D222" t="str">
        <f>TableMJRUARTDR[[#This Row],[Structure Line]]</f>
        <v>Directing Theatre</v>
      </c>
      <c r="E222" s="125">
        <f>TableMJRUARTDR[[#This Row],[Credit Points]]</f>
        <v>25</v>
      </c>
      <c r="F222">
        <v>10</v>
      </c>
      <c r="G222" t="s">
        <v>865</v>
      </c>
      <c r="H222">
        <v>4</v>
      </c>
      <c r="I222" t="s">
        <v>528</v>
      </c>
      <c r="J222" t="s">
        <v>394</v>
      </c>
      <c r="K222">
        <v>1</v>
      </c>
      <c r="L222" t="s">
        <v>838</v>
      </c>
      <c r="M222">
        <v>25</v>
      </c>
      <c r="N222" s="195">
        <v>42005</v>
      </c>
      <c r="O222" s="195"/>
      <c r="R222" t="s">
        <v>394</v>
      </c>
      <c r="S222">
        <v>1</v>
      </c>
    </row>
    <row r="223" spans="1:19" x14ac:dyDescent="0.25">
      <c r="A223" t="str">
        <f>TableMJRUARTDR[[#This Row],[Study Package Code]]</f>
        <v>Elective</v>
      </c>
      <c r="B223" s="5">
        <f>TableMJRUARTDR[[#This Row],[Ver]]</f>
        <v>0</v>
      </c>
      <c r="D223" t="str">
        <f>TableMJRUARTDR[[#This Row],[Structure Line]]</f>
        <v>Choose an Elective,  If you wish to choose STRU-MATHM Mathematics Education Minor Teaching Area Stream and have not achieved a Mathematics Methods ATAR or Equivalent you should choose MATH1014 as your elective.</v>
      </c>
      <c r="E223" s="125">
        <f>TableMJRUARTDR[[#This Row],[Credit Points]]</f>
        <v>25</v>
      </c>
      <c r="F223">
        <v>11</v>
      </c>
      <c r="G223" t="s">
        <v>121</v>
      </c>
      <c r="H223">
        <v>4</v>
      </c>
      <c r="I223" t="s">
        <v>528</v>
      </c>
      <c r="J223" t="s">
        <v>121</v>
      </c>
      <c r="K223">
        <v>0</v>
      </c>
      <c r="L223" t="s">
        <v>878</v>
      </c>
      <c r="M223">
        <v>25</v>
      </c>
      <c r="N223" s="195"/>
      <c r="O223" s="195"/>
      <c r="R223" t="s">
        <v>121</v>
      </c>
      <c r="S223">
        <v>0</v>
      </c>
    </row>
    <row r="224" spans="1:19" x14ac:dyDescent="0.25">
      <c r="A224" t="str">
        <f>TableMJRUARTDR[[#This Row],[Study Package Code]]</f>
        <v>STRU-BSCIM</v>
      </c>
      <c r="B224" s="5">
        <f>TableMJRUARTDR[[#This Row],[Ver]]</f>
        <v>2</v>
      </c>
      <c r="D224" t="str">
        <f>TableMJRUARTDR[[#This Row],[Structure Line]]</f>
        <v>Biological Sciences Education Minor Teaching Area Stream (BEd Secondary)</v>
      </c>
      <c r="E224" s="125">
        <f>TableMJRUARTDR[[#This Row],[Credit Points]]</f>
        <v>150</v>
      </c>
      <c r="F224">
        <v>2</v>
      </c>
      <c r="G224" t="s">
        <v>102</v>
      </c>
      <c r="H224">
        <v>1</v>
      </c>
      <c r="I224" t="s">
        <v>529</v>
      </c>
      <c r="J224" t="s">
        <v>193</v>
      </c>
      <c r="K224">
        <v>2</v>
      </c>
      <c r="L224" t="s">
        <v>243</v>
      </c>
      <c r="M224">
        <v>150</v>
      </c>
      <c r="N224" s="195">
        <v>43466</v>
      </c>
      <c r="O224" s="195"/>
      <c r="R224" t="s">
        <v>193</v>
      </c>
      <c r="S224">
        <v>2</v>
      </c>
    </row>
    <row r="225" spans="1:19" x14ac:dyDescent="0.25">
      <c r="A225" t="str">
        <f>TableMJRUARTDR[[#This Row],[Study Package Code]]</f>
        <v>STRU-EDART</v>
      </c>
      <c r="B225" s="5">
        <f>TableMJRUARTDR[[#This Row],[Ver]]</f>
        <v>2</v>
      </c>
      <c r="D225" t="str">
        <f>TableMJRUARTDR[[#This Row],[Structure Line]]</f>
        <v>Education Speciality and The Arts Teaching Area Stream (BEd Secondary)</v>
      </c>
      <c r="E225" s="125">
        <f>TableMJRUARTDR[[#This Row],[Credit Points]]</f>
        <v>150</v>
      </c>
      <c r="F225">
        <v>2</v>
      </c>
      <c r="G225" t="s">
        <v>102</v>
      </c>
      <c r="H225">
        <v>1</v>
      </c>
      <c r="I225" t="s">
        <v>529</v>
      </c>
      <c r="J225" t="s">
        <v>195</v>
      </c>
      <c r="K225">
        <v>2</v>
      </c>
      <c r="L225" t="s">
        <v>248</v>
      </c>
      <c r="M225">
        <v>150</v>
      </c>
      <c r="N225" s="195">
        <v>43466</v>
      </c>
      <c r="O225" s="195"/>
      <c r="R225" t="s">
        <v>195</v>
      </c>
      <c r="S225">
        <v>2</v>
      </c>
    </row>
    <row r="226" spans="1:19" x14ac:dyDescent="0.25">
      <c r="A226" t="str">
        <f>TableMJRUARTDR[[#This Row],[Study Package Code]]</f>
        <v>STRU-ENGLM</v>
      </c>
      <c r="B226" s="5">
        <f>TableMJRUARTDR[[#This Row],[Ver]]</f>
        <v>3</v>
      </c>
      <c r="D226" t="str">
        <f>TableMJRUARTDR[[#This Row],[Structure Line]]</f>
        <v>English Education Minor Teaching Area Stream (BEd Secondary)</v>
      </c>
      <c r="E226" s="125">
        <f>TableMJRUARTDR[[#This Row],[Credit Points]]</f>
        <v>150</v>
      </c>
      <c r="F226">
        <v>2</v>
      </c>
      <c r="G226" t="s">
        <v>102</v>
      </c>
      <c r="H226">
        <v>1</v>
      </c>
      <c r="I226" t="s">
        <v>529</v>
      </c>
      <c r="J226" t="s">
        <v>197</v>
      </c>
      <c r="K226">
        <v>3</v>
      </c>
      <c r="L226" t="s">
        <v>260</v>
      </c>
      <c r="M226">
        <v>150</v>
      </c>
      <c r="N226" s="195">
        <v>44562</v>
      </c>
      <c r="O226" s="195"/>
      <c r="R226" t="s">
        <v>197</v>
      </c>
      <c r="S226">
        <v>3</v>
      </c>
    </row>
    <row r="227" spans="1:19" x14ac:dyDescent="0.25">
      <c r="A227" t="str">
        <f>TableMJRUARTDR[[#This Row],[Study Package Code]]</f>
        <v>STRU-HUMAM</v>
      </c>
      <c r="B227" s="5">
        <f>TableMJRUARTDR[[#This Row],[Ver]]</f>
        <v>2</v>
      </c>
      <c r="D227" t="str">
        <f>TableMJRUARTDR[[#This Row],[Structure Line]]</f>
        <v>Humanities and Social Sciences - Humanities Education Minor Teaching Area Stream (BEd Secondary)</v>
      </c>
      <c r="E227" s="125">
        <f>TableMJRUARTDR[[#This Row],[Credit Points]]</f>
        <v>150</v>
      </c>
      <c r="F227">
        <v>2</v>
      </c>
      <c r="G227" t="s">
        <v>102</v>
      </c>
      <c r="H227">
        <v>1</v>
      </c>
      <c r="I227" t="s">
        <v>529</v>
      </c>
      <c r="J227" t="s">
        <v>198</v>
      </c>
      <c r="K227">
        <v>2</v>
      </c>
      <c r="L227" t="s">
        <v>297</v>
      </c>
      <c r="M227">
        <v>150</v>
      </c>
      <c r="N227" s="195">
        <v>43466</v>
      </c>
      <c r="O227" s="195"/>
      <c r="R227" t="s">
        <v>198</v>
      </c>
      <c r="S227">
        <v>2</v>
      </c>
    </row>
    <row r="228" spans="1:19" x14ac:dyDescent="0.25">
      <c r="A228" t="str">
        <f>TableMJRUARTDR[[#This Row],[Study Package Code]]</f>
        <v>STRU-MATHM</v>
      </c>
      <c r="B228" s="5">
        <f>TableMJRUARTDR[[#This Row],[Ver]]</f>
        <v>2</v>
      </c>
      <c r="D228" t="str">
        <f>TableMJRUARTDR[[#This Row],[Structure Line]]</f>
        <v>Mathematics Education Minor Teaching Area Stream (BEd Secondary)</v>
      </c>
      <c r="E228" s="125">
        <f>TableMJRUARTDR[[#This Row],[Credit Points]]</f>
        <v>150</v>
      </c>
      <c r="F228">
        <v>2</v>
      </c>
      <c r="G228" t="s">
        <v>102</v>
      </c>
      <c r="H228">
        <v>1</v>
      </c>
      <c r="I228" t="s">
        <v>529</v>
      </c>
      <c r="J228" t="s">
        <v>202</v>
      </c>
      <c r="K228">
        <v>2</v>
      </c>
      <c r="L228" t="s">
        <v>184</v>
      </c>
      <c r="M228">
        <v>150</v>
      </c>
      <c r="N228" s="195">
        <v>43466</v>
      </c>
      <c r="O228" s="195"/>
      <c r="R228" t="s">
        <v>202</v>
      </c>
      <c r="S228">
        <v>2</v>
      </c>
    </row>
    <row r="229" spans="1:19" x14ac:dyDescent="0.25">
      <c r="A229" t="str">
        <f>TableMJRUARTDR[[#This Row],[Study Package Code]]</f>
        <v>STRU-PARTB</v>
      </c>
      <c r="B229" s="5">
        <f>TableMJRUARTDR[[#This Row],[Ver]]</f>
        <v>2</v>
      </c>
      <c r="D229" t="str">
        <f>TableMJRUARTDR[[#This Row],[Structure Line]]</f>
        <v>Broadening Performing Arts Teaching Area Stream (BEd Secondary)</v>
      </c>
      <c r="E229" s="125">
        <f>TableMJRUARTDR[[#This Row],[Credit Points]]</f>
        <v>150</v>
      </c>
      <c r="F229">
        <v>2</v>
      </c>
      <c r="G229" t="s">
        <v>102</v>
      </c>
      <c r="H229">
        <v>1</v>
      </c>
      <c r="I229" t="s">
        <v>529</v>
      </c>
      <c r="J229" t="s">
        <v>205</v>
      </c>
      <c r="K229">
        <v>2</v>
      </c>
      <c r="L229" t="s">
        <v>345</v>
      </c>
      <c r="M229">
        <v>150</v>
      </c>
      <c r="N229" s="195">
        <v>43466</v>
      </c>
      <c r="O229" s="195"/>
      <c r="R229" t="s">
        <v>205</v>
      </c>
      <c r="S229">
        <v>2</v>
      </c>
    </row>
    <row r="230" spans="1:19" x14ac:dyDescent="0.25">
      <c r="A230" t="str">
        <f>TableMJRUARTDR[[#This Row],[Study Package Code]]</f>
        <v>STRU-PSCIM</v>
      </c>
      <c r="B230" s="5">
        <f>TableMJRUARTDR[[#This Row],[Ver]]</f>
        <v>2</v>
      </c>
      <c r="D230" t="str">
        <f>TableMJRUARTDR[[#This Row],[Structure Line]]</f>
        <v>Physical Sciences Education Minor Teaching Area Stream (BEd Secondary)</v>
      </c>
      <c r="E230" s="125">
        <f>TableMJRUARTDR[[#This Row],[Credit Points]]</f>
        <v>150</v>
      </c>
      <c r="F230">
        <v>2</v>
      </c>
      <c r="G230" t="s">
        <v>102</v>
      </c>
      <c r="H230">
        <v>1</v>
      </c>
      <c r="I230" t="s">
        <v>529</v>
      </c>
      <c r="J230" t="s">
        <v>208</v>
      </c>
      <c r="K230">
        <v>2</v>
      </c>
      <c r="L230" t="s">
        <v>376</v>
      </c>
      <c r="M230">
        <v>150</v>
      </c>
      <c r="N230" s="195">
        <v>43466</v>
      </c>
      <c r="O230" s="195"/>
      <c r="R230" t="s">
        <v>208</v>
      </c>
      <c r="S230">
        <v>2</v>
      </c>
    </row>
    <row r="231" spans="1:19" x14ac:dyDescent="0.25">
      <c r="A231" t="str">
        <f>TableMJRUARTDR[[#This Row],[Study Package Code]]</f>
        <v>STRU-PSYCM</v>
      </c>
      <c r="B231" s="5">
        <f>TableMJRUARTDR[[#This Row],[Ver]]</f>
        <v>2</v>
      </c>
      <c r="D231" t="str">
        <f>TableMJRUARTDR[[#This Row],[Structure Line]]</f>
        <v>Psychology Education Minor Teaching Area Stream (BEd Secondary)</v>
      </c>
      <c r="E231" s="125">
        <f>TableMJRUARTDR[[#This Row],[Credit Points]]</f>
        <v>150</v>
      </c>
      <c r="F231">
        <v>2</v>
      </c>
      <c r="G231" t="s">
        <v>102</v>
      </c>
      <c r="H231">
        <v>1</v>
      </c>
      <c r="I231" t="s">
        <v>529</v>
      </c>
      <c r="J231" t="s">
        <v>212</v>
      </c>
      <c r="K231">
        <v>2</v>
      </c>
      <c r="L231" t="s">
        <v>407</v>
      </c>
      <c r="M231">
        <v>150</v>
      </c>
      <c r="N231" s="195">
        <v>43466</v>
      </c>
      <c r="O231" s="195"/>
      <c r="R231" t="s">
        <v>212</v>
      </c>
      <c r="S231">
        <v>2</v>
      </c>
    </row>
    <row r="232" spans="1:19" x14ac:dyDescent="0.25">
      <c r="A232" t="str">
        <f>TableMJRUARTDR[[#This Row],[Study Package Code]]</f>
        <v>STRU-SOSCM</v>
      </c>
      <c r="B232" s="5">
        <f>TableMJRUARTDR[[#This Row],[Ver]]</f>
        <v>2</v>
      </c>
      <c r="D232" t="str">
        <f>TableMJRUARTDR[[#This Row],[Structure Line]]</f>
        <v>Humanities and Social Sciences - Social Sciences Education Minor Teaching Area Stream (BEd Secondary)</v>
      </c>
      <c r="E232" s="125">
        <f>TableMJRUARTDR[[#This Row],[Credit Points]]</f>
        <v>150</v>
      </c>
      <c r="F232">
        <v>2</v>
      </c>
      <c r="G232" t="s">
        <v>102</v>
      </c>
      <c r="H232">
        <v>1</v>
      </c>
      <c r="I232" t="s">
        <v>529</v>
      </c>
      <c r="J232" t="s">
        <v>216</v>
      </c>
      <c r="K232">
        <v>2</v>
      </c>
      <c r="L232" t="s">
        <v>410</v>
      </c>
      <c r="M232">
        <v>150</v>
      </c>
      <c r="N232" s="195">
        <v>43466</v>
      </c>
      <c r="O232" s="195"/>
      <c r="R232" t="s">
        <v>216</v>
      </c>
      <c r="S232">
        <v>2</v>
      </c>
    </row>
    <row r="233" spans="1:19" x14ac:dyDescent="0.25">
      <c r="A233" s="122"/>
      <c r="B233" s="124"/>
      <c r="C233" s="122"/>
      <c r="D233" s="122"/>
      <c r="G233" s="123" t="s">
        <v>855</v>
      </c>
      <c r="H233" s="158">
        <v>43466</v>
      </c>
      <c r="J233" s="197" t="s">
        <v>204</v>
      </c>
      <c r="K233" s="124" t="s">
        <v>200</v>
      </c>
      <c r="L233" s="122" t="s">
        <v>203</v>
      </c>
      <c r="M233" s="122"/>
    </row>
    <row r="234" spans="1:19" ht="31.5" x14ac:dyDescent="0.25">
      <c r="A234" s="159" t="s">
        <v>0</v>
      </c>
      <c r="B234" s="160" t="s">
        <v>60</v>
      </c>
      <c r="C234" s="159" t="s">
        <v>856</v>
      </c>
      <c r="D234" s="159" t="s">
        <v>3</v>
      </c>
      <c r="E234" s="161" t="s">
        <v>857</v>
      </c>
      <c r="F234" s="159" t="s">
        <v>858</v>
      </c>
      <c r="G234" s="159" t="s">
        <v>859</v>
      </c>
      <c r="H234" s="159" t="s">
        <v>860</v>
      </c>
      <c r="I234" s="159" t="s">
        <v>17</v>
      </c>
      <c r="J234" s="159" t="s">
        <v>861</v>
      </c>
      <c r="K234" s="159" t="s">
        <v>1</v>
      </c>
      <c r="L234" s="159" t="s">
        <v>44</v>
      </c>
      <c r="M234" s="159" t="s">
        <v>61</v>
      </c>
      <c r="N234" s="159" t="s">
        <v>862</v>
      </c>
      <c r="O234" s="159" t="s">
        <v>863</v>
      </c>
      <c r="R234" t="s">
        <v>538</v>
      </c>
      <c r="S234" t="s">
        <v>864</v>
      </c>
    </row>
    <row r="235" spans="1:19" x14ac:dyDescent="0.25">
      <c r="A235" t="str">
        <f>TableMJRUARTME[[#This Row],[Study Package Code]]</f>
        <v>SCST1000</v>
      </c>
      <c r="B235" s="5">
        <f>TableMJRUARTME[[#This Row],[Ver]]</f>
        <v>2</v>
      </c>
      <c r="D235" t="str">
        <f>TableMJRUARTME[[#This Row],[Structure Line]]</f>
        <v>Introduction to Screen Creativity</v>
      </c>
      <c r="E235" s="125">
        <f>TableMJRUARTME[[#This Row],[Credit Points]]</f>
        <v>25</v>
      </c>
      <c r="F235">
        <v>1</v>
      </c>
      <c r="G235" t="s">
        <v>865</v>
      </c>
      <c r="H235">
        <v>1</v>
      </c>
      <c r="I235" t="s">
        <v>529</v>
      </c>
      <c r="J235" t="s">
        <v>301</v>
      </c>
      <c r="K235">
        <v>2</v>
      </c>
      <c r="L235" t="s">
        <v>814</v>
      </c>
      <c r="M235">
        <v>25</v>
      </c>
      <c r="N235" s="195">
        <v>43831</v>
      </c>
      <c r="O235" s="195"/>
      <c r="R235" t="s">
        <v>301</v>
      </c>
      <c r="S235">
        <v>2</v>
      </c>
    </row>
    <row r="236" spans="1:19" x14ac:dyDescent="0.25">
      <c r="A236" t="str">
        <f>TableMJRUARTME[[#This Row],[Study Package Code]]</f>
        <v>Stream</v>
      </c>
      <c r="B236" s="5">
        <f>TableMJRUARTME[[#This Row],[Ver]]</f>
        <v>0</v>
      </c>
      <c r="D236" t="str">
        <f>TableMJRUARTME[[#This Row],[Structure Line]]</f>
        <v>Choose your Minor Teaching Area Specialisation</v>
      </c>
      <c r="E236" s="125">
        <f>TableMJRUARTME[[#This Row],[Credit Points]]</f>
        <v>150</v>
      </c>
      <c r="F236">
        <v>2</v>
      </c>
      <c r="G236" t="s">
        <v>865</v>
      </c>
      <c r="H236">
        <v>1</v>
      </c>
      <c r="I236" t="s">
        <v>529</v>
      </c>
      <c r="J236" t="s">
        <v>828</v>
      </c>
      <c r="K236">
        <v>0</v>
      </c>
      <c r="L236" t="s">
        <v>877</v>
      </c>
      <c r="M236">
        <v>150</v>
      </c>
      <c r="N236" s="195"/>
      <c r="O236" s="195"/>
      <c r="R236" t="s">
        <v>828</v>
      </c>
      <c r="S236">
        <v>0</v>
      </c>
    </row>
    <row r="237" spans="1:19" x14ac:dyDescent="0.25">
      <c r="A237" t="str">
        <f>TableMJRUARTME[[#This Row],[Study Package Code]]</f>
        <v>EDSC4032</v>
      </c>
      <c r="B237" s="5">
        <f>TableMJRUARTME[[#This Row],[Ver]]</f>
        <v>1</v>
      </c>
      <c r="D237" t="str">
        <f>TableMJRUARTME[[#This Row],[Structure Line]]</f>
        <v>Curriculum and Instruction Lower Secondary: The Arts</v>
      </c>
      <c r="E237" s="125">
        <f>TableMJRUARTME[[#This Row],[Credit Points]]</f>
        <v>25</v>
      </c>
      <c r="F237">
        <v>3</v>
      </c>
      <c r="G237" t="s">
        <v>865</v>
      </c>
      <c r="H237">
        <v>2</v>
      </c>
      <c r="I237" t="s">
        <v>528</v>
      </c>
      <c r="J237" t="s">
        <v>318</v>
      </c>
      <c r="K237">
        <v>1</v>
      </c>
      <c r="L237" t="s">
        <v>680</v>
      </c>
      <c r="M237">
        <v>25</v>
      </c>
      <c r="N237" s="195">
        <v>43466</v>
      </c>
      <c r="O237" s="195"/>
      <c r="R237" t="s">
        <v>318</v>
      </c>
      <c r="S237">
        <v>1</v>
      </c>
    </row>
    <row r="238" spans="1:19" x14ac:dyDescent="0.25">
      <c r="A238" t="str">
        <f>TableMJRUARTME[[#This Row],[Study Package Code]]</f>
        <v>SPRO1000</v>
      </c>
      <c r="B238" s="5">
        <f>TableMJRUARTME[[#This Row],[Ver]]</f>
        <v>2</v>
      </c>
      <c r="D238" t="str">
        <f>TableMJRUARTME[[#This Row],[Structure Line]]</f>
        <v>Introduction to Screen Industries</v>
      </c>
      <c r="E238" s="125">
        <f>TableMJRUARTME[[#This Row],[Credit Points]]</f>
        <v>25</v>
      </c>
      <c r="F238">
        <v>4</v>
      </c>
      <c r="G238" t="s">
        <v>865</v>
      </c>
      <c r="H238">
        <v>2</v>
      </c>
      <c r="I238" t="s">
        <v>528</v>
      </c>
      <c r="J238" t="s">
        <v>327</v>
      </c>
      <c r="K238">
        <v>2</v>
      </c>
      <c r="L238" t="s">
        <v>816</v>
      </c>
      <c r="M238">
        <v>25</v>
      </c>
      <c r="N238" s="195">
        <v>43831</v>
      </c>
      <c r="O238" s="195"/>
      <c r="R238" t="s">
        <v>327</v>
      </c>
      <c r="S238">
        <v>2</v>
      </c>
    </row>
    <row r="239" spans="1:19" x14ac:dyDescent="0.25">
      <c r="A239" t="str">
        <f>TableMJRUARTME[[#This Row],[Study Package Code]]</f>
        <v>EDSC4028</v>
      </c>
      <c r="B239" s="5">
        <f>TableMJRUARTME[[#This Row],[Ver]]</f>
        <v>2</v>
      </c>
      <c r="D239" t="str">
        <f>TableMJRUARTME[[#This Row],[Structure Line]]</f>
        <v>Curriculum and Instruction Senior Secondary: The Arts</v>
      </c>
      <c r="E239" s="125">
        <f>TableMJRUARTME[[#This Row],[Credit Points]]</f>
        <v>25</v>
      </c>
      <c r="F239">
        <v>5</v>
      </c>
      <c r="G239" t="s">
        <v>865</v>
      </c>
      <c r="H239">
        <v>2</v>
      </c>
      <c r="I239" t="s">
        <v>529</v>
      </c>
      <c r="J239" t="s">
        <v>341</v>
      </c>
      <c r="K239">
        <v>2</v>
      </c>
      <c r="L239" t="s">
        <v>678</v>
      </c>
      <c r="M239">
        <v>25</v>
      </c>
      <c r="N239" s="195">
        <v>43831</v>
      </c>
      <c r="O239" s="195"/>
      <c r="R239" t="s">
        <v>341</v>
      </c>
      <c r="S239">
        <v>2</v>
      </c>
    </row>
    <row r="240" spans="1:19" x14ac:dyDescent="0.25">
      <c r="A240" t="str">
        <f>TableMJRUARTME[[#This Row],[Study Package Code]]</f>
        <v>SPRO2000</v>
      </c>
      <c r="B240" s="5">
        <f>TableMJRUARTME[[#This Row],[Ver]]</f>
        <v>3</v>
      </c>
      <c r="D240" t="str">
        <f>TableMJRUARTME[[#This Row],[Structure Line]]</f>
        <v>Studio Production</v>
      </c>
      <c r="E240" s="125">
        <f>TableMJRUARTME[[#This Row],[Credit Points]]</f>
        <v>25</v>
      </c>
      <c r="F240">
        <v>6</v>
      </c>
      <c r="G240" t="s">
        <v>865</v>
      </c>
      <c r="H240">
        <v>2</v>
      </c>
      <c r="I240" t="s">
        <v>529</v>
      </c>
      <c r="J240" t="s">
        <v>349</v>
      </c>
      <c r="K240">
        <v>3</v>
      </c>
      <c r="L240" t="s">
        <v>817</v>
      </c>
      <c r="M240">
        <v>25</v>
      </c>
      <c r="N240" s="195">
        <v>44927</v>
      </c>
      <c r="O240" s="195"/>
      <c r="R240" t="s">
        <v>349</v>
      </c>
      <c r="S240">
        <v>3</v>
      </c>
    </row>
    <row r="241" spans="1:19" x14ac:dyDescent="0.25">
      <c r="A241" t="str">
        <f>TableMJRUARTME[[#This Row],[Study Package Code]]</f>
        <v>SPRO2003</v>
      </c>
      <c r="B241" s="5">
        <f>TableMJRUARTME[[#This Row],[Ver]]</f>
        <v>2</v>
      </c>
      <c r="D241" t="str">
        <f>TableMJRUARTME[[#This Row],[Structure Line]]</f>
        <v>Drama Narratives</v>
      </c>
      <c r="E241" s="125">
        <f>TableMJRUARTME[[#This Row],[Credit Points]]</f>
        <v>25</v>
      </c>
      <c r="F241">
        <v>7</v>
      </c>
      <c r="G241" t="s">
        <v>865</v>
      </c>
      <c r="H241">
        <v>3</v>
      </c>
      <c r="I241" t="s">
        <v>528</v>
      </c>
      <c r="J241" t="s">
        <v>365</v>
      </c>
      <c r="K241">
        <v>2</v>
      </c>
      <c r="L241" t="s">
        <v>818</v>
      </c>
      <c r="M241">
        <v>25</v>
      </c>
      <c r="N241" s="195">
        <v>43831</v>
      </c>
      <c r="O241" s="195"/>
      <c r="R241" t="s">
        <v>365</v>
      </c>
      <c r="S241">
        <v>2</v>
      </c>
    </row>
    <row r="242" spans="1:19" x14ac:dyDescent="0.25">
      <c r="A242" t="str">
        <f>TableMJRUARTME[[#This Row],[Study Package Code]]</f>
        <v>EDSC3009</v>
      </c>
      <c r="B242" s="5">
        <f>TableMJRUARTME[[#This Row],[Ver]]</f>
        <v>1</v>
      </c>
      <c r="D242" t="str">
        <f>TableMJRUARTME[[#This Row],[Structure Line]]</f>
        <v>Educating Adolescents: Diversity and Inclusion</v>
      </c>
      <c r="E242" s="125">
        <f>TableMJRUARTME[[#This Row],[Credit Points]]</f>
        <v>25</v>
      </c>
      <c r="F242">
        <v>8</v>
      </c>
      <c r="G242" t="s">
        <v>865</v>
      </c>
      <c r="H242">
        <v>3</v>
      </c>
      <c r="I242" t="s">
        <v>528</v>
      </c>
      <c r="J242" t="s">
        <v>360</v>
      </c>
      <c r="K242">
        <v>1</v>
      </c>
      <c r="L242" t="s">
        <v>666</v>
      </c>
      <c r="M242">
        <v>25</v>
      </c>
      <c r="N242" s="195">
        <v>43831</v>
      </c>
      <c r="O242" s="195"/>
      <c r="R242" t="s">
        <v>360</v>
      </c>
      <c r="S242">
        <v>1</v>
      </c>
    </row>
    <row r="243" spans="1:19" x14ac:dyDescent="0.25">
      <c r="A243" t="str">
        <f>TableMJRUARTME[[#This Row],[Study Package Code]]</f>
        <v>SCST3010</v>
      </c>
      <c r="B243" s="5">
        <f>TableMJRUARTME[[#This Row],[Ver]]</f>
        <v>1</v>
      </c>
      <c r="D243" t="str">
        <f>TableMJRUARTME[[#This Row],[Structure Line]]</f>
        <v>Reading Screens</v>
      </c>
      <c r="E243" s="125">
        <f>TableMJRUARTME[[#This Row],[Credit Points]]</f>
        <v>25</v>
      </c>
      <c r="F243">
        <v>9</v>
      </c>
      <c r="G243" t="s">
        <v>865</v>
      </c>
      <c r="H243">
        <v>3</v>
      </c>
      <c r="I243" t="s">
        <v>529</v>
      </c>
      <c r="J243" t="s">
        <v>380</v>
      </c>
      <c r="K243">
        <v>1</v>
      </c>
      <c r="L243" t="s">
        <v>815</v>
      </c>
      <c r="M243">
        <v>25</v>
      </c>
      <c r="N243" s="195">
        <v>43831</v>
      </c>
      <c r="O243" s="195"/>
      <c r="R243" t="s">
        <v>380</v>
      </c>
      <c r="S243">
        <v>1</v>
      </c>
    </row>
    <row r="244" spans="1:19" x14ac:dyDescent="0.25">
      <c r="A244" t="str">
        <f>TableMJRUARTME[[#This Row],[Study Package Code]]</f>
        <v>SPRO3004</v>
      </c>
      <c r="B244" s="5">
        <f>TableMJRUARTME[[#This Row],[Ver]]</f>
        <v>5</v>
      </c>
      <c r="D244" t="str">
        <f>TableMJRUARTME[[#This Row],[Structure Line]]</f>
        <v>Community Media Production</v>
      </c>
      <c r="E244" s="125">
        <f>TableMJRUARTME[[#This Row],[Credit Points]]</f>
        <v>25</v>
      </c>
      <c r="F244">
        <v>10</v>
      </c>
      <c r="G244" t="s">
        <v>865</v>
      </c>
      <c r="H244">
        <v>4</v>
      </c>
      <c r="I244" t="s">
        <v>528</v>
      </c>
      <c r="J244" t="s">
        <v>395</v>
      </c>
      <c r="K244">
        <v>5</v>
      </c>
      <c r="L244" t="s">
        <v>821</v>
      </c>
      <c r="M244">
        <v>25</v>
      </c>
      <c r="N244" s="195">
        <v>44197</v>
      </c>
      <c r="O244" s="195"/>
      <c r="R244" t="s">
        <v>395</v>
      </c>
      <c r="S244">
        <v>5</v>
      </c>
    </row>
    <row r="245" spans="1:19" x14ac:dyDescent="0.25">
      <c r="A245" t="str">
        <f>TableMJRUARTME[[#This Row],[Study Package Code]]</f>
        <v>Elective</v>
      </c>
      <c r="B245" s="5">
        <f>TableMJRUARTME[[#This Row],[Ver]]</f>
        <v>0</v>
      </c>
      <c r="D245" t="str">
        <f>TableMJRUARTME[[#This Row],[Structure Line]]</f>
        <v>Choose an Elective,  If you wish to choose STRU-MATHM Mathematics Education Minor Teaching Area Stream and have not achieved a Mathematics Methods ATAR or Equivalent you should choose MATH1014 as your elective.</v>
      </c>
      <c r="E245" s="125">
        <f>TableMJRUARTME[[#This Row],[Credit Points]]</f>
        <v>25</v>
      </c>
      <c r="F245">
        <v>11</v>
      </c>
      <c r="G245" t="s">
        <v>121</v>
      </c>
      <c r="H245">
        <v>4</v>
      </c>
      <c r="I245" t="s">
        <v>528</v>
      </c>
      <c r="J245" t="s">
        <v>121</v>
      </c>
      <c r="K245">
        <v>0</v>
      </c>
      <c r="L245" t="s">
        <v>878</v>
      </c>
      <c r="M245">
        <v>25</v>
      </c>
      <c r="N245" s="195"/>
      <c r="O245" s="195"/>
      <c r="R245" t="s">
        <v>121</v>
      </c>
      <c r="S245">
        <v>0</v>
      </c>
    </row>
    <row r="246" spans="1:19" x14ac:dyDescent="0.25">
      <c r="A246" t="str">
        <f>TableMJRUARTME[[#This Row],[Study Package Code]]</f>
        <v>STRU-BSCIM</v>
      </c>
      <c r="B246" s="5">
        <f>TableMJRUARTME[[#This Row],[Ver]]</f>
        <v>2</v>
      </c>
      <c r="D246" t="str">
        <f>TableMJRUARTME[[#This Row],[Structure Line]]</f>
        <v>Biological Sciences Education Minor Teaching Area Stream (BEd Secondary)</v>
      </c>
      <c r="E246" s="125">
        <f>TableMJRUARTME[[#This Row],[Credit Points]]</f>
        <v>150</v>
      </c>
      <c r="F246">
        <v>2</v>
      </c>
      <c r="G246" t="s">
        <v>102</v>
      </c>
      <c r="H246">
        <v>1</v>
      </c>
      <c r="I246" t="s">
        <v>529</v>
      </c>
      <c r="J246" t="s">
        <v>193</v>
      </c>
      <c r="K246">
        <v>2</v>
      </c>
      <c r="L246" t="s">
        <v>243</v>
      </c>
      <c r="M246">
        <v>150</v>
      </c>
      <c r="N246" s="195">
        <v>43466</v>
      </c>
      <c r="O246" s="195"/>
      <c r="R246" t="s">
        <v>193</v>
      </c>
      <c r="S246">
        <v>2</v>
      </c>
    </row>
    <row r="247" spans="1:19" x14ac:dyDescent="0.25">
      <c r="A247" t="str">
        <f>TableMJRUARTME[[#This Row],[Study Package Code]]</f>
        <v>STRU-EDART</v>
      </c>
      <c r="B247" s="5">
        <f>TableMJRUARTME[[#This Row],[Ver]]</f>
        <v>2</v>
      </c>
      <c r="D247" t="str">
        <f>TableMJRUARTME[[#This Row],[Structure Line]]</f>
        <v>Education Speciality and The Arts Teaching Area Stream (BEd Secondary)</v>
      </c>
      <c r="E247" s="125">
        <f>TableMJRUARTME[[#This Row],[Credit Points]]</f>
        <v>150</v>
      </c>
      <c r="F247">
        <v>2</v>
      </c>
      <c r="G247" t="s">
        <v>102</v>
      </c>
      <c r="H247">
        <v>1</v>
      </c>
      <c r="I247" t="s">
        <v>529</v>
      </c>
      <c r="J247" t="s">
        <v>195</v>
      </c>
      <c r="K247">
        <v>2</v>
      </c>
      <c r="L247" t="s">
        <v>248</v>
      </c>
      <c r="M247">
        <v>150</v>
      </c>
      <c r="N247" s="195">
        <v>43466</v>
      </c>
      <c r="O247" s="195"/>
      <c r="R247" t="s">
        <v>195</v>
      </c>
      <c r="S247">
        <v>2</v>
      </c>
    </row>
    <row r="248" spans="1:19" x14ac:dyDescent="0.25">
      <c r="A248" t="str">
        <f>TableMJRUARTME[[#This Row],[Study Package Code]]</f>
        <v>STRU-ENGLM</v>
      </c>
      <c r="B248" s="5">
        <f>TableMJRUARTME[[#This Row],[Ver]]</f>
        <v>3</v>
      </c>
      <c r="D248" t="str">
        <f>TableMJRUARTME[[#This Row],[Structure Line]]</f>
        <v>English Education Minor Teaching Area Stream (BEd Secondary)</v>
      </c>
      <c r="E248" s="125">
        <f>TableMJRUARTME[[#This Row],[Credit Points]]</f>
        <v>150</v>
      </c>
      <c r="F248">
        <v>2</v>
      </c>
      <c r="G248" t="s">
        <v>102</v>
      </c>
      <c r="H248">
        <v>1</v>
      </c>
      <c r="I248" t="s">
        <v>529</v>
      </c>
      <c r="J248" t="s">
        <v>197</v>
      </c>
      <c r="K248">
        <v>3</v>
      </c>
      <c r="L248" t="s">
        <v>260</v>
      </c>
      <c r="M248">
        <v>150</v>
      </c>
      <c r="N248" s="195">
        <v>44562</v>
      </c>
      <c r="O248" s="195"/>
      <c r="R248" t="s">
        <v>197</v>
      </c>
      <c r="S248">
        <v>3</v>
      </c>
    </row>
    <row r="249" spans="1:19" x14ac:dyDescent="0.25">
      <c r="A249" t="str">
        <f>TableMJRUARTME[[#This Row],[Study Package Code]]</f>
        <v>STRU-HUMAM</v>
      </c>
      <c r="B249" s="5">
        <f>TableMJRUARTME[[#This Row],[Ver]]</f>
        <v>2</v>
      </c>
      <c r="D249" t="str">
        <f>TableMJRUARTME[[#This Row],[Structure Line]]</f>
        <v>Humanities and Social Sciences - Humanities Education Minor Teaching Area Stream (BEd Secondary)</v>
      </c>
      <c r="E249" s="125">
        <f>TableMJRUARTME[[#This Row],[Credit Points]]</f>
        <v>150</v>
      </c>
      <c r="F249">
        <v>2</v>
      </c>
      <c r="G249" t="s">
        <v>102</v>
      </c>
      <c r="H249">
        <v>1</v>
      </c>
      <c r="I249" t="s">
        <v>529</v>
      </c>
      <c r="J249" t="s">
        <v>198</v>
      </c>
      <c r="K249">
        <v>2</v>
      </c>
      <c r="L249" t="s">
        <v>297</v>
      </c>
      <c r="M249">
        <v>150</v>
      </c>
      <c r="N249" s="195">
        <v>43466</v>
      </c>
      <c r="O249" s="195"/>
      <c r="R249" t="s">
        <v>198</v>
      </c>
      <c r="S249">
        <v>2</v>
      </c>
    </row>
    <row r="250" spans="1:19" x14ac:dyDescent="0.25">
      <c r="A250" t="str">
        <f>TableMJRUARTME[[#This Row],[Study Package Code]]</f>
        <v>STRU-MATHM</v>
      </c>
      <c r="B250" s="5">
        <f>TableMJRUARTME[[#This Row],[Ver]]</f>
        <v>2</v>
      </c>
      <c r="D250" t="str">
        <f>TableMJRUARTME[[#This Row],[Structure Line]]</f>
        <v>Mathematics Education Minor Teaching Area Stream (BEd Secondary)</v>
      </c>
      <c r="E250" s="125">
        <f>TableMJRUARTME[[#This Row],[Credit Points]]</f>
        <v>150</v>
      </c>
      <c r="F250">
        <v>2</v>
      </c>
      <c r="G250" t="s">
        <v>102</v>
      </c>
      <c r="H250">
        <v>1</v>
      </c>
      <c r="I250" t="s">
        <v>529</v>
      </c>
      <c r="J250" t="s">
        <v>202</v>
      </c>
      <c r="K250">
        <v>2</v>
      </c>
      <c r="L250" t="s">
        <v>184</v>
      </c>
      <c r="M250">
        <v>150</v>
      </c>
      <c r="N250" s="195">
        <v>43466</v>
      </c>
      <c r="O250" s="195"/>
      <c r="R250" t="s">
        <v>202</v>
      </c>
      <c r="S250">
        <v>2</v>
      </c>
    </row>
    <row r="251" spans="1:19" x14ac:dyDescent="0.25">
      <c r="A251" t="str">
        <f>TableMJRUARTME[[#This Row],[Study Package Code]]</f>
        <v>STRU-PARTB</v>
      </c>
      <c r="B251" s="5">
        <f>TableMJRUARTME[[#This Row],[Ver]]</f>
        <v>2</v>
      </c>
      <c r="D251" t="str">
        <f>TableMJRUARTME[[#This Row],[Structure Line]]</f>
        <v>Broadening Performing Arts Teaching Area Stream (BEd Secondary)</v>
      </c>
      <c r="E251" s="125">
        <f>TableMJRUARTME[[#This Row],[Credit Points]]</f>
        <v>150</v>
      </c>
      <c r="F251">
        <v>2</v>
      </c>
      <c r="G251" t="s">
        <v>102</v>
      </c>
      <c r="H251">
        <v>1</v>
      </c>
      <c r="I251" t="s">
        <v>529</v>
      </c>
      <c r="J251" t="s">
        <v>205</v>
      </c>
      <c r="K251">
        <v>2</v>
      </c>
      <c r="L251" t="s">
        <v>345</v>
      </c>
      <c r="M251">
        <v>150</v>
      </c>
      <c r="N251" s="195">
        <v>43466</v>
      </c>
      <c r="O251" s="195"/>
      <c r="R251" t="s">
        <v>205</v>
      </c>
      <c r="S251">
        <v>2</v>
      </c>
    </row>
    <row r="252" spans="1:19" x14ac:dyDescent="0.25">
      <c r="A252" t="str">
        <f>TableMJRUARTME[[#This Row],[Study Package Code]]</f>
        <v>STRU-PSCIM</v>
      </c>
      <c r="B252" s="5">
        <f>TableMJRUARTME[[#This Row],[Ver]]</f>
        <v>2</v>
      </c>
      <c r="D252" t="str">
        <f>TableMJRUARTME[[#This Row],[Structure Line]]</f>
        <v>Physical Sciences Education Minor Teaching Area Stream (BEd Secondary)</v>
      </c>
      <c r="E252" s="125">
        <f>TableMJRUARTME[[#This Row],[Credit Points]]</f>
        <v>150</v>
      </c>
      <c r="F252">
        <v>2</v>
      </c>
      <c r="G252" t="s">
        <v>102</v>
      </c>
      <c r="H252">
        <v>1</v>
      </c>
      <c r="I252" t="s">
        <v>529</v>
      </c>
      <c r="J252" t="s">
        <v>208</v>
      </c>
      <c r="K252">
        <v>2</v>
      </c>
      <c r="L252" t="s">
        <v>376</v>
      </c>
      <c r="M252">
        <v>150</v>
      </c>
      <c r="N252" s="195">
        <v>43466</v>
      </c>
      <c r="O252" s="195"/>
      <c r="R252" t="s">
        <v>208</v>
      </c>
      <c r="S252">
        <v>2</v>
      </c>
    </row>
    <row r="253" spans="1:19" x14ac:dyDescent="0.25">
      <c r="A253" t="str">
        <f>TableMJRUARTME[[#This Row],[Study Package Code]]</f>
        <v>STRU-PSYCM</v>
      </c>
      <c r="B253" s="5">
        <f>TableMJRUARTME[[#This Row],[Ver]]</f>
        <v>2</v>
      </c>
      <c r="D253" t="str">
        <f>TableMJRUARTME[[#This Row],[Structure Line]]</f>
        <v>Psychology Education Minor Teaching Area Stream (BEd Secondary)</v>
      </c>
      <c r="E253" s="125">
        <f>TableMJRUARTME[[#This Row],[Credit Points]]</f>
        <v>150</v>
      </c>
      <c r="F253">
        <v>2</v>
      </c>
      <c r="G253" t="s">
        <v>102</v>
      </c>
      <c r="H253">
        <v>1</v>
      </c>
      <c r="I253" t="s">
        <v>529</v>
      </c>
      <c r="J253" t="s">
        <v>212</v>
      </c>
      <c r="K253">
        <v>2</v>
      </c>
      <c r="L253" t="s">
        <v>407</v>
      </c>
      <c r="M253">
        <v>150</v>
      </c>
      <c r="N253" s="195">
        <v>43466</v>
      </c>
      <c r="O253" s="195"/>
      <c r="R253" t="s">
        <v>212</v>
      </c>
      <c r="S253">
        <v>2</v>
      </c>
    </row>
    <row r="254" spans="1:19" x14ac:dyDescent="0.25">
      <c r="A254" t="str">
        <f>TableMJRUARTME[[#This Row],[Study Package Code]]</f>
        <v>STRU-SOSCM</v>
      </c>
      <c r="B254" s="5">
        <f>TableMJRUARTME[[#This Row],[Ver]]</f>
        <v>2</v>
      </c>
      <c r="D254" t="str">
        <f>TableMJRUARTME[[#This Row],[Structure Line]]</f>
        <v>Humanities and Social Sciences - Social Sciences Education Minor Teaching Area Stream (BEd Secondary)</v>
      </c>
      <c r="E254" s="125">
        <f>TableMJRUARTME[[#This Row],[Credit Points]]</f>
        <v>150</v>
      </c>
      <c r="F254">
        <v>2</v>
      </c>
      <c r="G254" t="s">
        <v>102</v>
      </c>
      <c r="H254">
        <v>1</v>
      </c>
      <c r="I254" t="s">
        <v>529</v>
      </c>
      <c r="J254" t="s">
        <v>216</v>
      </c>
      <c r="K254">
        <v>2</v>
      </c>
      <c r="L254" t="s">
        <v>410</v>
      </c>
      <c r="M254">
        <v>150</v>
      </c>
      <c r="N254" s="195">
        <v>43466</v>
      </c>
      <c r="O254" s="195"/>
      <c r="R254" t="s">
        <v>216</v>
      </c>
      <c r="S254">
        <v>2</v>
      </c>
    </row>
    <row r="255" spans="1:19" x14ac:dyDescent="0.25">
      <c r="A255" s="122"/>
      <c r="B255" s="124"/>
      <c r="C255" s="122"/>
      <c r="D255" s="122"/>
      <c r="G255" s="123" t="s">
        <v>855</v>
      </c>
      <c r="H255" s="158">
        <v>43831</v>
      </c>
      <c r="J255" s="197" t="s">
        <v>207</v>
      </c>
      <c r="K255" s="124" t="s">
        <v>200</v>
      </c>
      <c r="L255" s="197" t="s">
        <v>206</v>
      </c>
      <c r="M255" s="122"/>
    </row>
    <row r="256" spans="1:19" ht="31.5" x14ac:dyDescent="0.25">
      <c r="A256" s="159" t="s">
        <v>0</v>
      </c>
      <c r="B256" s="160" t="s">
        <v>60</v>
      </c>
      <c r="C256" s="159" t="s">
        <v>856</v>
      </c>
      <c r="D256" s="159" t="s">
        <v>3</v>
      </c>
      <c r="E256" s="161" t="s">
        <v>857</v>
      </c>
      <c r="F256" s="159" t="s">
        <v>858</v>
      </c>
      <c r="G256" s="159" t="s">
        <v>859</v>
      </c>
      <c r="H256" s="159" t="s">
        <v>860</v>
      </c>
      <c r="I256" s="159" t="s">
        <v>17</v>
      </c>
      <c r="J256" s="159" t="s">
        <v>861</v>
      </c>
      <c r="K256" s="159" t="s">
        <v>1</v>
      </c>
      <c r="L256" s="159" t="s">
        <v>44</v>
      </c>
      <c r="M256" s="159" t="s">
        <v>61</v>
      </c>
      <c r="N256" s="159" t="s">
        <v>862</v>
      </c>
      <c r="O256" s="159" t="s">
        <v>863</v>
      </c>
      <c r="R256" t="s">
        <v>538</v>
      </c>
      <c r="S256" t="s">
        <v>864</v>
      </c>
    </row>
    <row r="257" spans="1:19" x14ac:dyDescent="0.25">
      <c r="A257" t="str">
        <f>TableMJRUARTVA[[#This Row],[Study Package Code]]</f>
        <v>VISA1004</v>
      </c>
      <c r="B257" s="5">
        <f>TableMJRUARTVA[[#This Row],[Ver]]</f>
        <v>2</v>
      </c>
      <c r="D257" t="str">
        <f>TableMJRUARTVA[[#This Row],[Structure Line]]</f>
        <v>Fine Art Studio Methods</v>
      </c>
      <c r="E257" s="125">
        <f>TableMJRUARTVA[[#This Row],[Credit Points]]</f>
        <v>25</v>
      </c>
      <c r="F257">
        <v>1</v>
      </c>
      <c r="G257" t="s">
        <v>865</v>
      </c>
      <c r="H257">
        <v>1</v>
      </c>
      <c r="I257" t="s">
        <v>529</v>
      </c>
      <c r="J257" t="s">
        <v>302</v>
      </c>
      <c r="K257">
        <v>2</v>
      </c>
      <c r="L257" t="s">
        <v>842</v>
      </c>
      <c r="M257">
        <v>25</v>
      </c>
      <c r="N257" s="195">
        <v>42370</v>
      </c>
      <c r="O257" s="195"/>
      <c r="R257" t="s">
        <v>302</v>
      </c>
      <c r="S257">
        <v>2</v>
      </c>
    </row>
    <row r="258" spans="1:19" x14ac:dyDescent="0.25">
      <c r="A258" t="str">
        <f>TableMJRUARTVA[[#This Row],[Study Package Code]]</f>
        <v>Stream</v>
      </c>
      <c r="B258" s="5">
        <f>TableMJRUARTVA[[#This Row],[Ver]]</f>
        <v>0</v>
      </c>
      <c r="D258" t="str">
        <f>TableMJRUARTVA[[#This Row],[Structure Line]]</f>
        <v>Choose your Minor Teaching Area Specialisation</v>
      </c>
      <c r="E258" s="125">
        <f>TableMJRUARTVA[[#This Row],[Credit Points]]</f>
        <v>150</v>
      </c>
      <c r="F258">
        <v>2</v>
      </c>
      <c r="G258" t="s">
        <v>865</v>
      </c>
      <c r="H258">
        <v>1</v>
      </c>
      <c r="I258" t="s">
        <v>529</v>
      </c>
      <c r="J258" t="s">
        <v>828</v>
      </c>
      <c r="K258">
        <v>0</v>
      </c>
      <c r="L258" t="s">
        <v>877</v>
      </c>
      <c r="M258">
        <v>150</v>
      </c>
      <c r="N258" s="195"/>
      <c r="O258" s="195"/>
      <c r="R258" t="s">
        <v>828</v>
      </c>
      <c r="S258">
        <v>0</v>
      </c>
    </row>
    <row r="259" spans="1:19" x14ac:dyDescent="0.25">
      <c r="A259" t="str">
        <f>TableMJRUARTVA[[#This Row],[Study Package Code]]</f>
        <v>EDSC4032</v>
      </c>
      <c r="B259" s="5">
        <f>TableMJRUARTVA[[#This Row],[Ver]]</f>
        <v>1</v>
      </c>
      <c r="D259" t="str">
        <f>TableMJRUARTVA[[#This Row],[Structure Line]]</f>
        <v>Curriculum and Instruction Lower Secondary: The Arts</v>
      </c>
      <c r="E259" s="125">
        <f>TableMJRUARTVA[[#This Row],[Credit Points]]</f>
        <v>25</v>
      </c>
      <c r="F259">
        <v>3</v>
      </c>
      <c r="G259" t="s">
        <v>865</v>
      </c>
      <c r="H259">
        <v>2</v>
      </c>
      <c r="I259" t="s">
        <v>528</v>
      </c>
      <c r="J259" t="s">
        <v>318</v>
      </c>
      <c r="K259">
        <v>1</v>
      </c>
      <c r="L259" t="s">
        <v>680</v>
      </c>
      <c r="M259">
        <v>25</v>
      </c>
      <c r="N259" s="195">
        <v>43466</v>
      </c>
      <c r="O259" s="195"/>
      <c r="R259" t="s">
        <v>318</v>
      </c>
      <c r="S259">
        <v>1</v>
      </c>
    </row>
    <row r="260" spans="1:19" x14ac:dyDescent="0.25">
      <c r="A260" t="str">
        <f>TableMJRUARTVA[[#This Row],[Study Package Code]]</f>
        <v>VISA1003</v>
      </c>
      <c r="B260" s="5">
        <f>TableMJRUARTVA[[#This Row],[Ver]]</f>
        <v>1</v>
      </c>
      <c r="D260" t="str">
        <f>TableMJRUARTVA[[#This Row],[Structure Line]]</f>
        <v>Drawing</v>
      </c>
      <c r="E260" s="125">
        <f>TableMJRUARTVA[[#This Row],[Credit Points]]</f>
        <v>25</v>
      </c>
      <c r="F260">
        <v>4</v>
      </c>
      <c r="G260" t="s">
        <v>865</v>
      </c>
      <c r="H260">
        <v>2</v>
      </c>
      <c r="I260" t="s">
        <v>528</v>
      </c>
      <c r="J260" t="s">
        <v>328</v>
      </c>
      <c r="K260">
        <v>1</v>
      </c>
      <c r="L260" t="s">
        <v>841</v>
      </c>
      <c r="M260">
        <v>25</v>
      </c>
      <c r="N260" s="195">
        <v>42005</v>
      </c>
      <c r="O260" s="195"/>
      <c r="R260" t="s">
        <v>328</v>
      </c>
      <c r="S260">
        <v>1</v>
      </c>
    </row>
    <row r="261" spans="1:19" x14ac:dyDescent="0.25">
      <c r="A261" t="str">
        <f>TableMJRUARTVA[[#This Row],[Study Package Code]]</f>
        <v>EDSC4028</v>
      </c>
      <c r="B261" s="5">
        <f>TableMJRUARTVA[[#This Row],[Ver]]</f>
        <v>2</v>
      </c>
      <c r="D261" t="str">
        <f>TableMJRUARTVA[[#This Row],[Structure Line]]</f>
        <v>Curriculum and Instruction Senior Secondary: The Arts</v>
      </c>
      <c r="E261" s="125">
        <f>TableMJRUARTVA[[#This Row],[Credit Points]]</f>
        <v>25</v>
      </c>
      <c r="F261">
        <v>5</v>
      </c>
      <c r="G261" t="s">
        <v>865</v>
      </c>
      <c r="H261">
        <v>2</v>
      </c>
      <c r="I261" t="s">
        <v>529</v>
      </c>
      <c r="J261" t="s">
        <v>341</v>
      </c>
      <c r="K261">
        <v>2</v>
      </c>
      <c r="L261" t="s">
        <v>678</v>
      </c>
      <c r="M261">
        <v>25</v>
      </c>
      <c r="N261" s="195">
        <v>43831</v>
      </c>
      <c r="O261" s="195"/>
      <c r="R261" t="s">
        <v>341</v>
      </c>
      <c r="S261">
        <v>2</v>
      </c>
    </row>
    <row r="262" spans="1:19" x14ac:dyDescent="0.25">
      <c r="A262" t="str">
        <f>TableMJRUARTVA[[#This Row],[Study Package Code]]</f>
        <v>VISA2006</v>
      </c>
      <c r="B262" s="5">
        <f>TableMJRUARTVA[[#This Row],[Ver]]</f>
        <v>2</v>
      </c>
      <c r="D262" t="str">
        <f>TableMJRUARTVA[[#This Row],[Structure Line]]</f>
        <v>Fine Art Studio Extension</v>
      </c>
      <c r="E262" s="125">
        <f>TableMJRUARTVA[[#This Row],[Credit Points]]</f>
        <v>25</v>
      </c>
      <c r="F262">
        <v>6</v>
      </c>
      <c r="G262" t="s">
        <v>865</v>
      </c>
      <c r="H262">
        <v>2</v>
      </c>
      <c r="I262" t="s">
        <v>529</v>
      </c>
      <c r="J262" t="s">
        <v>350</v>
      </c>
      <c r="K262">
        <v>2</v>
      </c>
      <c r="L262" t="s">
        <v>844</v>
      </c>
      <c r="M262">
        <v>25</v>
      </c>
      <c r="N262" s="195">
        <v>42370</v>
      </c>
      <c r="O262" s="195"/>
      <c r="R262" t="s">
        <v>350</v>
      </c>
      <c r="S262">
        <v>2</v>
      </c>
    </row>
    <row r="263" spans="1:19" x14ac:dyDescent="0.25">
      <c r="A263" t="str">
        <f>TableMJRUARTVA[[#This Row],[Study Package Code]]</f>
        <v>EDSC3009</v>
      </c>
      <c r="B263" s="5">
        <f>TableMJRUARTVA[[#This Row],[Ver]]</f>
        <v>1</v>
      </c>
      <c r="D263" t="str">
        <f>TableMJRUARTVA[[#This Row],[Structure Line]]</f>
        <v>Educating Adolescents: Diversity and Inclusion</v>
      </c>
      <c r="E263" s="125">
        <f>TableMJRUARTVA[[#This Row],[Credit Points]]</f>
        <v>25</v>
      </c>
      <c r="F263">
        <v>7</v>
      </c>
      <c r="G263" t="s">
        <v>865</v>
      </c>
      <c r="H263">
        <v>3</v>
      </c>
      <c r="I263" t="s">
        <v>528</v>
      </c>
      <c r="J263" t="s">
        <v>360</v>
      </c>
      <c r="K263">
        <v>1</v>
      </c>
      <c r="L263" t="s">
        <v>666</v>
      </c>
      <c r="M263">
        <v>25</v>
      </c>
      <c r="N263" s="195">
        <v>43831</v>
      </c>
      <c r="O263" s="195"/>
      <c r="R263" t="s">
        <v>360</v>
      </c>
      <c r="S263">
        <v>1</v>
      </c>
    </row>
    <row r="264" spans="1:19" x14ac:dyDescent="0.25">
      <c r="A264" t="str">
        <f>TableMJRUARTVA[[#This Row],[Study Package Code]]</f>
        <v>VISA2023</v>
      </c>
      <c r="B264" s="5">
        <f>TableMJRUARTVA[[#This Row],[Ver]]</f>
        <v>2</v>
      </c>
      <c r="D264" t="str">
        <f>TableMJRUARTVA[[#This Row],[Structure Line]]</f>
        <v>Fine Art Theory and Criticism</v>
      </c>
      <c r="E264" s="125">
        <f>TableMJRUARTVA[[#This Row],[Credit Points]]</f>
        <v>25</v>
      </c>
      <c r="F264">
        <v>8</v>
      </c>
      <c r="G264" t="s">
        <v>865</v>
      </c>
      <c r="H264">
        <v>3</v>
      </c>
      <c r="I264" t="s">
        <v>528</v>
      </c>
      <c r="J264" t="s">
        <v>366</v>
      </c>
      <c r="K264">
        <v>2</v>
      </c>
      <c r="L264" t="s">
        <v>847</v>
      </c>
      <c r="M264">
        <v>25</v>
      </c>
      <c r="N264" s="195">
        <v>43831</v>
      </c>
      <c r="O264" s="195"/>
      <c r="R264" t="s">
        <v>366</v>
      </c>
      <c r="S264">
        <v>2</v>
      </c>
    </row>
    <row r="265" spans="1:19" x14ac:dyDescent="0.25">
      <c r="A265" t="str">
        <f>TableMJRUARTVA[[#This Row],[Study Package Code]]</f>
        <v>Elective</v>
      </c>
      <c r="B265" s="5">
        <f>TableMJRUARTVA[[#This Row],[Ver]]</f>
        <v>0</v>
      </c>
      <c r="D265" t="str">
        <f>TableMJRUARTVA[[#This Row],[Structure Line]]</f>
        <v>Choose an Elective,  If you wish to choose STRU-MATHM Mathematics Education Minor Teaching Area Stream and have not achieved a Mathematics Methods ATAR or Equivalent you should choose MATH1014 as your elective.</v>
      </c>
      <c r="E265" s="125">
        <f>TableMJRUARTVA[[#This Row],[Credit Points]]</f>
        <v>25</v>
      </c>
      <c r="F265">
        <v>9</v>
      </c>
      <c r="G265" t="s">
        <v>121</v>
      </c>
      <c r="H265">
        <v>3</v>
      </c>
      <c r="I265" t="s">
        <v>529</v>
      </c>
      <c r="J265" t="s">
        <v>121</v>
      </c>
      <c r="K265">
        <v>0</v>
      </c>
      <c r="L265" t="s">
        <v>878</v>
      </c>
      <c r="M265">
        <v>25</v>
      </c>
      <c r="N265" s="195"/>
      <c r="O265" s="195"/>
      <c r="R265" t="s">
        <v>409</v>
      </c>
      <c r="S265">
        <v>2</v>
      </c>
    </row>
    <row r="266" spans="1:19" x14ac:dyDescent="0.25">
      <c r="A266" t="str">
        <f>TableMJRUARTVA[[#This Row],[Study Package Code]]</f>
        <v>VISA3010</v>
      </c>
      <c r="B266" s="5">
        <f>TableMJRUARTVA[[#This Row],[Ver]]</f>
        <v>2</v>
      </c>
      <c r="D266" t="str">
        <f>TableMJRUARTVA[[#This Row],[Structure Line]]</f>
        <v>Fine Art Studio Practice</v>
      </c>
      <c r="E266" s="125">
        <f>TableMJRUARTVA[[#This Row],[Credit Points]]</f>
        <v>25</v>
      </c>
      <c r="F266">
        <v>10</v>
      </c>
      <c r="G266" t="s">
        <v>865</v>
      </c>
      <c r="H266">
        <v>4</v>
      </c>
      <c r="I266" t="s">
        <v>528</v>
      </c>
      <c r="J266" t="s">
        <v>396</v>
      </c>
      <c r="K266">
        <v>2</v>
      </c>
      <c r="L266" t="s">
        <v>850</v>
      </c>
      <c r="M266">
        <v>25</v>
      </c>
      <c r="N266" s="195">
        <v>42370</v>
      </c>
      <c r="O266" s="195"/>
      <c r="R266" t="s">
        <v>396</v>
      </c>
      <c r="S266">
        <v>2</v>
      </c>
    </row>
    <row r="267" spans="1:19" x14ac:dyDescent="0.25">
      <c r="A267" t="str">
        <f>TableMJRUARTVA[[#This Row],[Study Package Code]]</f>
        <v>VISA3006</v>
      </c>
      <c r="B267" s="5">
        <f>TableMJRUARTVA[[#This Row],[Ver]]</f>
        <v>2</v>
      </c>
      <c r="D267" t="str">
        <f>TableMJRUARTVA[[#This Row],[Structure Line]]</f>
        <v>Fine Art Concepts and Contexts</v>
      </c>
      <c r="E267" s="125">
        <f>TableMJRUARTVA[[#This Row],[Credit Points]]</f>
        <v>25</v>
      </c>
      <c r="F267">
        <v>11</v>
      </c>
      <c r="G267" t="s">
        <v>865</v>
      </c>
      <c r="H267">
        <v>4</v>
      </c>
      <c r="I267" t="s">
        <v>528</v>
      </c>
      <c r="J267" t="s">
        <v>409</v>
      </c>
      <c r="K267">
        <v>2</v>
      </c>
      <c r="L267" t="s">
        <v>848</v>
      </c>
      <c r="M267">
        <v>25</v>
      </c>
      <c r="N267" s="195">
        <v>43831</v>
      </c>
      <c r="O267" s="195"/>
      <c r="R267" t="s">
        <v>121</v>
      </c>
      <c r="S267">
        <v>0</v>
      </c>
    </row>
    <row r="268" spans="1:19" x14ac:dyDescent="0.25">
      <c r="A268" t="str">
        <f>TableMJRUARTVA[[#This Row],[Study Package Code]]</f>
        <v>STRU-BSCIM</v>
      </c>
      <c r="B268" s="5">
        <f>TableMJRUARTVA[[#This Row],[Ver]]</f>
        <v>2</v>
      </c>
      <c r="D268" t="str">
        <f>TableMJRUARTVA[[#This Row],[Structure Line]]</f>
        <v>Biological Sciences Education Minor Teaching Area Stream (BEd Secondary)</v>
      </c>
      <c r="E268" s="125">
        <f>TableMJRUARTVA[[#This Row],[Credit Points]]</f>
        <v>150</v>
      </c>
      <c r="F268">
        <v>2</v>
      </c>
      <c r="G268" t="s">
        <v>102</v>
      </c>
      <c r="H268">
        <v>1</v>
      </c>
      <c r="I268" t="s">
        <v>529</v>
      </c>
      <c r="J268" t="s">
        <v>193</v>
      </c>
      <c r="K268">
        <v>2</v>
      </c>
      <c r="L268" t="s">
        <v>243</v>
      </c>
      <c r="M268">
        <v>150</v>
      </c>
      <c r="N268" s="195">
        <v>43466</v>
      </c>
      <c r="O268" s="195"/>
      <c r="R268" t="s">
        <v>193</v>
      </c>
      <c r="S268">
        <v>2</v>
      </c>
    </row>
    <row r="269" spans="1:19" x14ac:dyDescent="0.25">
      <c r="A269" t="str">
        <f>TableMJRUARTVA[[#This Row],[Study Package Code]]</f>
        <v>STRU-EDART</v>
      </c>
      <c r="B269" s="5">
        <f>TableMJRUARTVA[[#This Row],[Ver]]</f>
        <v>2</v>
      </c>
      <c r="D269" t="str">
        <f>TableMJRUARTVA[[#This Row],[Structure Line]]</f>
        <v>Education Speciality and The Arts Teaching Area Stream (BEd Secondary)</v>
      </c>
      <c r="E269" s="125">
        <f>TableMJRUARTVA[[#This Row],[Credit Points]]</f>
        <v>150</v>
      </c>
      <c r="F269">
        <v>2</v>
      </c>
      <c r="G269" t="s">
        <v>102</v>
      </c>
      <c r="H269">
        <v>1</v>
      </c>
      <c r="I269" t="s">
        <v>529</v>
      </c>
      <c r="J269" t="s">
        <v>195</v>
      </c>
      <c r="K269">
        <v>2</v>
      </c>
      <c r="L269" t="s">
        <v>248</v>
      </c>
      <c r="M269">
        <v>150</v>
      </c>
      <c r="N269" s="195">
        <v>43466</v>
      </c>
      <c r="O269" s="195"/>
      <c r="R269" t="s">
        <v>195</v>
      </c>
      <c r="S269">
        <v>2</v>
      </c>
    </row>
    <row r="270" spans="1:19" x14ac:dyDescent="0.25">
      <c r="A270" t="str">
        <f>TableMJRUARTVA[[#This Row],[Study Package Code]]</f>
        <v>STRU-ENGLM</v>
      </c>
      <c r="B270" s="5">
        <f>TableMJRUARTVA[[#This Row],[Ver]]</f>
        <v>3</v>
      </c>
      <c r="D270" t="str">
        <f>TableMJRUARTVA[[#This Row],[Structure Line]]</f>
        <v>English Education Minor Teaching Area Stream (BEd Secondary)</v>
      </c>
      <c r="E270" s="125">
        <f>TableMJRUARTVA[[#This Row],[Credit Points]]</f>
        <v>150</v>
      </c>
      <c r="F270">
        <v>2</v>
      </c>
      <c r="G270" t="s">
        <v>102</v>
      </c>
      <c r="H270">
        <v>1</v>
      </c>
      <c r="I270" t="s">
        <v>529</v>
      </c>
      <c r="J270" t="s">
        <v>197</v>
      </c>
      <c r="K270">
        <v>3</v>
      </c>
      <c r="L270" t="s">
        <v>260</v>
      </c>
      <c r="M270">
        <v>150</v>
      </c>
      <c r="N270" s="195">
        <v>44562</v>
      </c>
      <c r="O270" s="195"/>
      <c r="R270" t="s">
        <v>197</v>
      </c>
      <c r="S270">
        <v>3</v>
      </c>
    </row>
    <row r="271" spans="1:19" x14ac:dyDescent="0.25">
      <c r="A271" t="str">
        <f>TableMJRUARTVA[[#This Row],[Study Package Code]]</f>
        <v>STRU-HUMAM</v>
      </c>
      <c r="B271" s="5">
        <f>TableMJRUARTVA[[#This Row],[Ver]]</f>
        <v>2</v>
      </c>
      <c r="D271" t="str">
        <f>TableMJRUARTVA[[#This Row],[Structure Line]]</f>
        <v>Humanities and Social Sciences - Humanities Education Minor Teaching Area Stream (BEd Secondary)</v>
      </c>
      <c r="E271" s="125">
        <f>TableMJRUARTVA[[#This Row],[Credit Points]]</f>
        <v>150</v>
      </c>
      <c r="F271">
        <v>2</v>
      </c>
      <c r="G271" t="s">
        <v>102</v>
      </c>
      <c r="H271">
        <v>1</v>
      </c>
      <c r="I271" t="s">
        <v>529</v>
      </c>
      <c r="J271" t="s">
        <v>198</v>
      </c>
      <c r="K271">
        <v>2</v>
      </c>
      <c r="L271" t="s">
        <v>297</v>
      </c>
      <c r="M271">
        <v>150</v>
      </c>
      <c r="N271" s="195">
        <v>43466</v>
      </c>
      <c r="O271" s="195"/>
      <c r="R271" t="s">
        <v>198</v>
      </c>
      <c r="S271">
        <v>2</v>
      </c>
    </row>
    <row r="272" spans="1:19" x14ac:dyDescent="0.25">
      <c r="A272" t="str">
        <f>TableMJRUARTVA[[#This Row],[Study Package Code]]</f>
        <v>STRU-MATHM</v>
      </c>
      <c r="B272" s="5">
        <f>TableMJRUARTVA[[#This Row],[Ver]]</f>
        <v>2</v>
      </c>
      <c r="D272" t="str">
        <f>TableMJRUARTVA[[#This Row],[Structure Line]]</f>
        <v>Mathematics Education Minor Teaching Area Stream (BEd Secondary)</v>
      </c>
      <c r="E272" s="125">
        <f>TableMJRUARTVA[[#This Row],[Credit Points]]</f>
        <v>150</v>
      </c>
      <c r="F272">
        <v>2</v>
      </c>
      <c r="G272" t="s">
        <v>102</v>
      </c>
      <c r="H272">
        <v>1</v>
      </c>
      <c r="I272" t="s">
        <v>529</v>
      </c>
      <c r="J272" t="s">
        <v>202</v>
      </c>
      <c r="K272">
        <v>2</v>
      </c>
      <c r="L272" t="s">
        <v>184</v>
      </c>
      <c r="M272">
        <v>150</v>
      </c>
      <c r="N272" s="195">
        <v>43466</v>
      </c>
      <c r="O272" s="195"/>
      <c r="R272" t="s">
        <v>202</v>
      </c>
      <c r="S272">
        <v>2</v>
      </c>
    </row>
    <row r="273" spans="1:19" x14ac:dyDescent="0.25">
      <c r="A273" t="str">
        <f>TableMJRUARTVA[[#This Row],[Study Package Code]]</f>
        <v>STRU-PSCIM</v>
      </c>
      <c r="B273" s="5">
        <f>TableMJRUARTVA[[#This Row],[Ver]]</f>
        <v>2</v>
      </c>
      <c r="D273" t="str">
        <f>TableMJRUARTVA[[#This Row],[Structure Line]]</f>
        <v>Physical Sciences Education Minor Teaching Area Stream (BEd Secondary)</v>
      </c>
      <c r="E273" s="125">
        <f>TableMJRUARTVA[[#This Row],[Credit Points]]</f>
        <v>150</v>
      </c>
      <c r="F273">
        <v>2</v>
      </c>
      <c r="G273" t="s">
        <v>102</v>
      </c>
      <c r="H273">
        <v>1</v>
      </c>
      <c r="I273" t="s">
        <v>529</v>
      </c>
      <c r="J273" t="s">
        <v>208</v>
      </c>
      <c r="K273">
        <v>2</v>
      </c>
      <c r="L273" t="s">
        <v>376</v>
      </c>
      <c r="M273">
        <v>150</v>
      </c>
      <c r="N273" s="195">
        <v>43466</v>
      </c>
      <c r="O273" s="195"/>
      <c r="R273" t="s">
        <v>208</v>
      </c>
      <c r="S273">
        <v>2</v>
      </c>
    </row>
    <row r="274" spans="1:19" x14ac:dyDescent="0.25">
      <c r="A274" t="str">
        <f>TableMJRUARTVA[[#This Row],[Study Package Code]]</f>
        <v>STRU-PSYCM</v>
      </c>
      <c r="B274" s="5">
        <f>TableMJRUARTVA[[#This Row],[Ver]]</f>
        <v>2</v>
      </c>
      <c r="D274" t="str">
        <f>TableMJRUARTVA[[#This Row],[Structure Line]]</f>
        <v>Psychology Education Minor Teaching Area Stream (BEd Secondary)</v>
      </c>
      <c r="E274" s="125">
        <f>TableMJRUARTVA[[#This Row],[Credit Points]]</f>
        <v>150</v>
      </c>
      <c r="F274">
        <v>2</v>
      </c>
      <c r="G274" t="s">
        <v>102</v>
      </c>
      <c r="H274">
        <v>1</v>
      </c>
      <c r="I274" t="s">
        <v>529</v>
      </c>
      <c r="J274" t="s">
        <v>212</v>
      </c>
      <c r="K274">
        <v>2</v>
      </c>
      <c r="L274" t="s">
        <v>407</v>
      </c>
      <c r="M274">
        <v>150</v>
      </c>
      <c r="N274" s="195">
        <v>43466</v>
      </c>
      <c r="O274" s="195"/>
      <c r="R274" t="s">
        <v>212</v>
      </c>
      <c r="S274">
        <v>2</v>
      </c>
    </row>
    <row r="275" spans="1:19" x14ac:dyDescent="0.25">
      <c r="A275" t="str">
        <f>TableMJRUARTVA[[#This Row],[Study Package Code]]</f>
        <v>STRU-SOSCM</v>
      </c>
      <c r="B275" s="5">
        <f>TableMJRUARTVA[[#This Row],[Ver]]</f>
        <v>2</v>
      </c>
      <c r="D275" t="str">
        <f>TableMJRUARTVA[[#This Row],[Structure Line]]</f>
        <v>Humanities and Social Sciences - Social Sciences Education Minor Teaching Area Stream (BEd Secondary)</v>
      </c>
      <c r="E275" s="125">
        <f>TableMJRUARTVA[[#This Row],[Credit Points]]</f>
        <v>150</v>
      </c>
      <c r="F275">
        <v>2</v>
      </c>
      <c r="G275" t="s">
        <v>102</v>
      </c>
      <c r="H275">
        <v>1</v>
      </c>
      <c r="I275" t="s">
        <v>529</v>
      </c>
      <c r="J275" t="s">
        <v>216</v>
      </c>
      <c r="K275">
        <v>2</v>
      </c>
      <c r="L275" t="s">
        <v>410</v>
      </c>
      <c r="M275">
        <v>150</v>
      </c>
      <c r="N275" s="195">
        <v>43466</v>
      </c>
      <c r="O275" s="195"/>
      <c r="R275" t="s">
        <v>216</v>
      </c>
      <c r="S275">
        <v>2</v>
      </c>
    </row>
    <row r="276" spans="1:19" x14ac:dyDescent="0.25">
      <c r="A276" t="str">
        <f>TableMJRUARTVA[[#This Row],[Study Package Code]]</f>
        <v>STRU-VARTB</v>
      </c>
      <c r="B276" s="5">
        <f>TableMJRUARTVA[[#This Row],[Ver]]</f>
        <v>2</v>
      </c>
      <c r="D276" t="str">
        <f>TableMJRUARTVA[[#This Row],[Structure Line]]</f>
        <v>Broadening Visual Arts Teaching Area Stream (BEd Secondary)</v>
      </c>
      <c r="E276" s="125">
        <f>TableMJRUARTVA[[#This Row],[Credit Points]]</f>
        <v>150</v>
      </c>
      <c r="F276">
        <v>2</v>
      </c>
      <c r="G276" t="s">
        <v>102</v>
      </c>
      <c r="H276">
        <v>1</v>
      </c>
      <c r="I276" t="s">
        <v>529</v>
      </c>
      <c r="J276" t="s">
        <v>249</v>
      </c>
      <c r="K276">
        <v>2</v>
      </c>
      <c r="L276" t="s">
        <v>411</v>
      </c>
      <c r="M276">
        <v>150</v>
      </c>
      <c r="N276" s="195">
        <v>43466</v>
      </c>
      <c r="O276" s="195"/>
      <c r="R276" t="s">
        <v>249</v>
      </c>
      <c r="S276">
        <v>2</v>
      </c>
    </row>
    <row r="277" spans="1:19" x14ac:dyDescent="0.25">
      <c r="A277" s="122"/>
      <c r="B277" s="124"/>
      <c r="C277" s="122"/>
      <c r="D277" s="122"/>
      <c r="G277" s="123" t="s">
        <v>855</v>
      </c>
      <c r="H277" s="199">
        <v>44197</v>
      </c>
      <c r="J277" s="197" t="s">
        <v>211</v>
      </c>
      <c r="K277" s="124" t="s">
        <v>77</v>
      </c>
      <c r="L277" s="122" t="s">
        <v>210</v>
      </c>
      <c r="M277" s="122"/>
    </row>
    <row r="278" spans="1:19" ht="31.5" x14ac:dyDescent="0.25">
      <c r="A278" s="159" t="s">
        <v>0</v>
      </c>
      <c r="B278" s="160" t="s">
        <v>60</v>
      </c>
      <c r="C278" s="159" t="s">
        <v>856</v>
      </c>
      <c r="D278" s="159" t="s">
        <v>3</v>
      </c>
      <c r="E278" s="161" t="s">
        <v>857</v>
      </c>
      <c r="F278" s="159" t="s">
        <v>858</v>
      </c>
      <c r="G278" s="159" t="s">
        <v>859</v>
      </c>
      <c r="H278" s="159" t="s">
        <v>860</v>
      </c>
      <c r="I278" s="159" t="s">
        <v>17</v>
      </c>
      <c r="J278" s="159" t="s">
        <v>861</v>
      </c>
      <c r="K278" s="159" t="s">
        <v>1</v>
      </c>
      <c r="L278" s="159" t="s">
        <v>44</v>
      </c>
      <c r="M278" s="159" t="s">
        <v>61</v>
      </c>
      <c r="N278" s="159" t="s">
        <v>862</v>
      </c>
      <c r="O278" s="159" t="s">
        <v>863</v>
      </c>
      <c r="R278" t="s">
        <v>538</v>
      </c>
      <c r="S278" t="s">
        <v>864</v>
      </c>
    </row>
    <row r="279" spans="1:19" x14ac:dyDescent="0.25">
      <c r="A279" t="str">
        <f>TableMJRUENGLT[[#This Row],[Study Package Code]]</f>
        <v>Stream</v>
      </c>
      <c r="B279" s="5">
        <f>TableMJRUENGLT[[#This Row],[Ver]]</f>
        <v>0</v>
      </c>
      <c r="D279" t="str">
        <f>TableMJRUENGLT[[#This Row],[Structure Line]]</f>
        <v>Choose your Minor Teaching Area Specialisation</v>
      </c>
      <c r="E279" s="125">
        <f>TableMJRUENGLT[[#This Row],[Credit Points]]</f>
        <v>150</v>
      </c>
      <c r="F279">
        <v>1</v>
      </c>
      <c r="G279" t="s">
        <v>865</v>
      </c>
      <c r="H279">
        <v>1</v>
      </c>
      <c r="I279" t="s">
        <v>529</v>
      </c>
      <c r="J279" t="s">
        <v>828</v>
      </c>
      <c r="K279">
        <v>0</v>
      </c>
      <c r="L279" t="s">
        <v>877</v>
      </c>
      <c r="M279">
        <v>150</v>
      </c>
      <c r="N279" s="195"/>
      <c r="O279" s="195"/>
      <c r="R279" t="s">
        <v>828</v>
      </c>
      <c r="S279">
        <v>0</v>
      </c>
    </row>
    <row r="280" spans="1:19" x14ac:dyDescent="0.25">
      <c r="A280" t="str">
        <f>TableMJRUENGLT[[#This Row],[Study Package Code]]</f>
        <v>CWRI1003</v>
      </c>
      <c r="B280" s="5">
        <f>TableMJRUENGLT[[#This Row],[Ver]]</f>
        <v>2</v>
      </c>
      <c r="D280" t="str">
        <f>TableMJRUENGLT[[#This Row],[Structure Line]]</f>
        <v>Engaging Narrative</v>
      </c>
      <c r="E280" s="125">
        <f>TableMJRUENGLT[[#This Row],[Credit Points]]</f>
        <v>25</v>
      </c>
      <c r="F280">
        <v>2</v>
      </c>
      <c r="G280" t="s">
        <v>865</v>
      </c>
      <c r="H280">
        <v>1</v>
      </c>
      <c r="I280" t="s">
        <v>529</v>
      </c>
      <c r="J280" t="s">
        <v>303</v>
      </c>
      <c r="K280">
        <v>2</v>
      </c>
      <c r="L280" t="s">
        <v>594</v>
      </c>
      <c r="M280">
        <v>25</v>
      </c>
      <c r="N280" s="195">
        <v>43831</v>
      </c>
      <c r="O280" s="195"/>
      <c r="R280" t="s">
        <v>303</v>
      </c>
      <c r="S280">
        <v>2</v>
      </c>
    </row>
    <row r="281" spans="1:19" x14ac:dyDescent="0.25">
      <c r="A281" t="str">
        <f>TableMJRUENGLT[[#This Row],[Study Package Code]]</f>
        <v>EDSC4030</v>
      </c>
      <c r="B281" s="5">
        <f>TableMJRUENGLT[[#This Row],[Ver]]</f>
        <v>1</v>
      </c>
      <c r="D281" t="str">
        <f>TableMJRUENGLT[[#This Row],[Structure Line]]</f>
        <v>Curriculum and Instruction Lower Secondary: English</v>
      </c>
      <c r="E281" s="125">
        <f>TableMJRUENGLT[[#This Row],[Credit Points]]</f>
        <v>25</v>
      </c>
      <c r="F281">
        <v>3</v>
      </c>
      <c r="G281" t="s">
        <v>865</v>
      </c>
      <c r="H281">
        <v>2</v>
      </c>
      <c r="I281" t="s">
        <v>528</v>
      </c>
      <c r="J281" t="s">
        <v>319</v>
      </c>
      <c r="K281">
        <v>1</v>
      </c>
      <c r="L281" t="s">
        <v>679</v>
      </c>
      <c r="M281">
        <v>25</v>
      </c>
      <c r="N281" s="195">
        <v>43466</v>
      </c>
      <c r="O281" s="195"/>
      <c r="R281" t="s">
        <v>319</v>
      </c>
      <c r="S281">
        <v>1</v>
      </c>
    </row>
    <row r="282" spans="1:19" x14ac:dyDescent="0.25">
      <c r="A282" t="str">
        <f>TableMJRUENGLT[[#This Row],[Study Package Code]]</f>
        <v>LCST1004</v>
      </c>
      <c r="B282" s="5">
        <f>TableMJRUENGLT[[#This Row],[Ver]]</f>
        <v>1</v>
      </c>
      <c r="D282" t="str">
        <f>TableMJRUENGLT[[#This Row],[Structure Line]]</f>
        <v>Introduction to Cultural Studies</v>
      </c>
      <c r="E282" s="125">
        <f>TableMJRUENGLT[[#This Row],[Credit Points]]</f>
        <v>25</v>
      </c>
      <c r="F282">
        <v>4</v>
      </c>
      <c r="G282" t="s">
        <v>865</v>
      </c>
      <c r="H282">
        <v>2</v>
      </c>
      <c r="I282" t="s">
        <v>528</v>
      </c>
      <c r="J282" t="s">
        <v>329</v>
      </c>
      <c r="K282">
        <v>1</v>
      </c>
      <c r="L282" t="s">
        <v>757</v>
      </c>
      <c r="M282">
        <v>25</v>
      </c>
      <c r="N282" s="195">
        <v>42370</v>
      </c>
      <c r="O282" s="195"/>
      <c r="R282" t="s">
        <v>329</v>
      </c>
      <c r="S282">
        <v>1</v>
      </c>
    </row>
    <row r="283" spans="1:19" x14ac:dyDescent="0.25">
      <c r="A283" t="str">
        <f>TableMJRUENGLT[[#This Row],[Study Package Code]]</f>
        <v>EDSC4018</v>
      </c>
      <c r="B283" s="5">
        <f>TableMJRUENGLT[[#This Row],[Ver]]</f>
        <v>2</v>
      </c>
      <c r="D283" t="str">
        <f>TableMJRUENGLT[[#This Row],[Structure Line]]</f>
        <v>Curriculum and Instruction Senior Secondary: English</v>
      </c>
      <c r="E283" s="125">
        <f>TableMJRUENGLT[[#This Row],[Credit Points]]</f>
        <v>25</v>
      </c>
      <c r="F283">
        <v>5</v>
      </c>
      <c r="G283" t="s">
        <v>865</v>
      </c>
      <c r="H283">
        <v>2</v>
      </c>
      <c r="I283" t="s">
        <v>529</v>
      </c>
      <c r="J283" t="s">
        <v>342</v>
      </c>
      <c r="K283">
        <v>2</v>
      </c>
      <c r="L283" t="s">
        <v>669</v>
      </c>
      <c r="M283">
        <v>25</v>
      </c>
      <c r="N283" s="195">
        <v>43831</v>
      </c>
      <c r="O283" s="195"/>
      <c r="R283" t="s">
        <v>342</v>
      </c>
      <c r="S283">
        <v>2</v>
      </c>
    </row>
    <row r="284" spans="1:19" x14ac:dyDescent="0.25">
      <c r="A284" t="str">
        <f>TableMJRUENGLT[[#This Row],[Study Package Code]]</f>
        <v>LCST2007</v>
      </c>
      <c r="B284" s="5">
        <f>TableMJRUENGLT[[#This Row],[Ver]]</f>
        <v>1</v>
      </c>
      <c r="D284" t="str">
        <f>TableMJRUENGLT[[#This Row],[Structure Line]]</f>
        <v>Reading Gender</v>
      </c>
      <c r="E284" s="125">
        <f>TableMJRUENGLT[[#This Row],[Credit Points]]</f>
        <v>25</v>
      </c>
      <c r="F284">
        <v>6</v>
      </c>
      <c r="G284" t="s">
        <v>865</v>
      </c>
      <c r="H284">
        <v>2</v>
      </c>
      <c r="I284" t="s">
        <v>529</v>
      </c>
      <c r="J284" t="s">
        <v>351</v>
      </c>
      <c r="K284">
        <v>1</v>
      </c>
      <c r="L284" t="s">
        <v>761</v>
      </c>
      <c r="M284">
        <v>25</v>
      </c>
      <c r="N284" s="195">
        <v>44562</v>
      </c>
      <c r="O284" s="195"/>
      <c r="R284" t="s">
        <v>351</v>
      </c>
      <c r="S284">
        <v>1</v>
      </c>
    </row>
    <row r="285" spans="1:19" x14ac:dyDescent="0.25">
      <c r="A285" t="str">
        <f>TableMJRUENGLT[[#This Row],[Study Package Code]]</f>
        <v>LCST2006</v>
      </c>
      <c r="B285" s="5">
        <f>TableMJRUENGLT[[#This Row],[Ver]]</f>
        <v>1</v>
      </c>
      <c r="D285" t="str">
        <f>TableMJRUENGLT[[#This Row],[Structure Line]]</f>
        <v>Classic Texts</v>
      </c>
      <c r="E285" s="125">
        <f>TableMJRUENGLT[[#This Row],[Credit Points]]</f>
        <v>25</v>
      </c>
      <c r="F285">
        <v>7</v>
      </c>
      <c r="G285" t="s">
        <v>865</v>
      </c>
      <c r="H285">
        <v>3</v>
      </c>
      <c r="I285" t="s">
        <v>528</v>
      </c>
      <c r="J285" t="s">
        <v>367</v>
      </c>
      <c r="K285">
        <v>1</v>
      </c>
      <c r="L285" t="s">
        <v>760</v>
      </c>
      <c r="M285">
        <v>25</v>
      </c>
      <c r="N285" s="195">
        <v>44562</v>
      </c>
      <c r="O285" s="195">
        <v>45291</v>
      </c>
      <c r="R285" t="s">
        <v>367</v>
      </c>
      <c r="S285">
        <v>1</v>
      </c>
    </row>
    <row r="286" spans="1:19" x14ac:dyDescent="0.25">
      <c r="A286" t="str">
        <f>TableMJRUENGLT[[#This Row],[Study Package Code]]</f>
        <v>EDSC3009</v>
      </c>
      <c r="B286" s="5">
        <f>TableMJRUENGLT[[#This Row],[Ver]]</f>
        <v>1</v>
      </c>
      <c r="D286" t="str">
        <f>TableMJRUENGLT[[#This Row],[Structure Line]]</f>
        <v>Educating Adolescents: Diversity and Inclusion</v>
      </c>
      <c r="E286" s="125">
        <f>TableMJRUENGLT[[#This Row],[Credit Points]]</f>
        <v>25</v>
      </c>
      <c r="F286">
        <v>8</v>
      </c>
      <c r="G286" t="s">
        <v>865</v>
      </c>
      <c r="H286">
        <v>3</v>
      </c>
      <c r="I286" t="s">
        <v>528</v>
      </c>
      <c r="J286" t="s">
        <v>360</v>
      </c>
      <c r="K286">
        <v>1</v>
      </c>
      <c r="L286" t="s">
        <v>666</v>
      </c>
      <c r="M286">
        <v>25</v>
      </c>
      <c r="N286" s="195">
        <v>43831</v>
      </c>
      <c r="O286" s="195"/>
      <c r="R286" t="s">
        <v>360</v>
      </c>
      <c r="S286">
        <v>1</v>
      </c>
    </row>
    <row r="287" spans="1:19" x14ac:dyDescent="0.25">
      <c r="A287" t="str">
        <f>TableMJRUENGLT[[#This Row],[Study Package Code]]</f>
        <v>LCST3007</v>
      </c>
      <c r="B287" s="5">
        <f>TableMJRUENGLT[[#This Row],[Ver]]</f>
        <v>1</v>
      </c>
      <c r="D287" t="str">
        <f>TableMJRUENGLT[[#This Row],[Structure Line]]</f>
        <v>Textual Futures</v>
      </c>
      <c r="E287" s="125">
        <f>TableMJRUENGLT[[#This Row],[Credit Points]]</f>
        <v>25</v>
      </c>
      <c r="F287">
        <v>9</v>
      </c>
      <c r="G287" t="s">
        <v>865</v>
      </c>
      <c r="H287">
        <v>3</v>
      </c>
      <c r="I287" t="s">
        <v>529</v>
      </c>
      <c r="J287" t="s">
        <v>381</v>
      </c>
      <c r="K287">
        <v>1</v>
      </c>
      <c r="L287" t="s">
        <v>763</v>
      </c>
      <c r="M287">
        <v>25</v>
      </c>
      <c r="N287" s="195">
        <v>44562</v>
      </c>
      <c r="O287" s="195"/>
      <c r="R287" t="s">
        <v>381</v>
      </c>
      <c r="S287">
        <v>1</v>
      </c>
    </row>
    <row r="288" spans="1:19" x14ac:dyDescent="0.25">
      <c r="A288" t="str">
        <f>TableMJRUENGLT[[#This Row],[Study Package Code]]</f>
        <v>LCST3006</v>
      </c>
      <c r="B288" s="5">
        <f>TableMJRUENGLT[[#This Row],[Ver]]</f>
        <v>1</v>
      </c>
      <c r="D288" t="str">
        <f>TableMJRUENGLT[[#This Row],[Structure Line]]</f>
        <v>Decolonising Place</v>
      </c>
      <c r="E288" s="125">
        <f>TableMJRUENGLT[[#This Row],[Credit Points]]</f>
        <v>25</v>
      </c>
      <c r="F288">
        <v>10</v>
      </c>
      <c r="G288" t="s">
        <v>865</v>
      </c>
      <c r="H288">
        <v>4</v>
      </c>
      <c r="I288" t="s">
        <v>528</v>
      </c>
      <c r="J288" t="s">
        <v>397</v>
      </c>
      <c r="K288">
        <v>1</v>
      </c>
      <c r="L288" t="s">
        <v>762</v>
      </c>
      <c r="M288">
        <v>25</v>
      </c>
      <c r="N288" s="195">
        <v>44562</v>
      </c>
      <c r="O288" s="195"/>
      <c r="R288" t="s">
        <v>397</v>
      </c>
      <c r="S288">
        <v>1</v>
      </c>
    </row>
    <row r="289" spans="1:19" x14ac:dyDescent="0.25">
      <c r="A289" t="str">
        <f>TableMJRUENGLT[[#This Row],[Study Package Code]]</f>
        <v>Elective</v>
      </c>
      <c r="B289" s="5">
        <f>TableMJRUENGLT[[#This Row],[Ver]]</f>
        <v>0</v>
      </c>
      <c r="D289" t="str">
        <f>TableMJRUENGLT[[#This Row],[Structure Line]]</f>
        <v>Choose an Elective,  If you wish to choose STRU-MATHM Mathematics Education Minor Teaching Area Stream and have not achieved a Mathematics Methods ATAR or Equivalent you should choose MATH1014 as your elective.</v>
      </c>
      <c r="E289" s="125">
        <f>TableMJRUENGLT[[#This Row],[Credit Points]]</f>
        <v>25</v>
      </c>
      <c r="F289">
        <v>11</v>
      </c>
      <c r="G289" t="s">
        <v>121</v>
      </c>
      <c r="H289">
        <v>4</v>
      </c>
      <c r="I289" t="s">
        <v>528</v>
      </c>
      <c r="J289" t="s">
        <v>121</v>
      </c>
      <c r="K289">
        <v>0</v>
      </c>
      <c r="L289" t="s">
        <v>878</v>
      </c>
      <c r="M289">
        <v>25</v>
      </c>
      <c r="N289" s="195"/>
      <c r="O289" s="195"/>
      <c r="R289" t="s">
        <v>121</v>
      </c>
      <c r="S289">
        <v>0</v>
      </c>
    </row>
    <row r="290" spans="1:19" x14ac:dyDescent="0.25">
      <c r="A290" t="str">
        <f>TableMJRUENGLT[[#This Row],[Study Package Code]]</f>
        <v>STRU-BSCIM</v>
      </c>
      <c r="B290" s="5">
        <f>TableMJRUENGLT[[#This Row],[Ver]]</f>
        <v>2</v>
      </c>
      <c r="D290" t="str">
        <f>TableMJRUENGLT[[#This Row],[Structure Line]]</f>
        <v>Biological Sciences Education Minor Teaching Area Stream (BEd Secondary)</v>
      </c>
      <c r="E290" s="125">
        <f>TableMJRUENGLT[[#This Row],[Credit Points]]</f>
        <v>150</v>
      </c>
      <c r="F290">
        <v>1</v>
      </c>
      <c r="G290" t="s">
        <v>865</v>
      </c>
      <c r="H290">
        <v>1</v>
      </c>
      <c r="I290" t="s">
        <v>529</v>
      </c>
      <c r="J290" t="s">
        <v>193</v>
      </c>
      <c r="K290">
        <v>2</v>
      </c>
      <c r="L290" t="s">
        <v>243</v>
      </c>
      <c r="M290">
        <v>150</v>
      </c>
      <c r="N290" s="195">
        <v>43466</v>
      </c>
      <c r="O290" s="195"/>
      <c r="R290" t="s">
        <v>193</v>
      </c>
      <c r="S290">
        <v>2</v>
      </c>
    </row>
    <row r="291" spans="1:19" x14ac:dyDescent="0.25">
      <c r="A291" t="str">
        <f>TableMJRUENGLT[[#This Row],[Study Package Code]]</f>
        <v>STRU-EDENG</v>
      </c>
      <c r="B291" s="5">
        <f>TableMJRUENGLT[[#This Row],[Ver]]</f>
        <v>2</v>
      </c>
      <c r="D291" t="str">
        <f>TableMJRUENGLT[[#This Row],[Structure Line]]</f>
        <v>Education Specialty and English Teaching Area Stream (BEd Secondary)</v>
      </c>
      <c r="E291" s="125">
        <f>TableMJRUENGLT[[#This Row],[Credit Points]]</f>
        <v>150</v>
      </c>
      <c r="F291">
        <v>1</v>
      </c>
      <c r="G291" t="s">
        <v>865</v>
      </c>
      <c r="H291">
        <v>1</v>
      </c>
      <c r="I291" t="s">
        <v>529</v>
      </c>
      <c r="J291" t="s">
        <v>251</v>
      </c>
      <c r="K291">
        <v>2</v>
      </c>
      <c r="L291" t="s">
        <v>879</v>
      </c>
      <c r="M291">
        <v>150</v>
      </c>
      <c r="N291" s="195">
        <v>43466</v>
      </c>
      <c r="O291" s="195">
        <v>45291</v>
      </c>
      <c r="R291" t="s">
        <v>251</v>
      </c>
      <c r="S291">
        <v>2</v>
      </c>
    </row>
    <row r="292" spans="1:19" x14ac:dyDescent="0.25">
      <c r="A292" t="str">
        <f>TableMJRUENGLT[[#This Row],[Study Package Code]]</f>
        <v>STRU-EDENG</v>
      </c>
      <c r="B292" s="5">
        <f>TableMJRUENGLT[[#This Row],[Ver]]</f>
        <v>3</v>
      </c>
      <c r="D292" t="str">
        <f>TableMJRUENGLT[[#This Row],[Structure Line]]</f>
        <v>Education Speciality and English Teaching Area Stream (BEd Secondary)</v>
      </c>
      <c r="E292" s="125">
        <f>TableMJRUENGLT[[#This Row],[Credit Points]]</f>
        <v>150</v>
      </c>
      <c r="F292">
        <v>1</v>
      </c>
      <c r="G292" t="s">
        <v>865</v>
      </c>
      <c r="H292">
        <v>1</v>
      </c>
      <c r="I292" t="s">
        <v>529</v>
      </c>
      <c r="J292" t="s">
        <v>251</v>
      </c>
      <c r="K292">
        <v>3</v>
      </c>
      <c r="L292" t="s">
        <v>250</v>
      </c>
      <c r="M292">
        <v>150</v>
      </c>
      <c r="N292" s="195">
        <v>45292</v>
      </c>
      <c r="O292" s="195"/>
    </row>
    <row r="293" spans="1:19" x14ac:dyDescent="0.25">
      <c r="A293" t="str">
        <f>TableMJRUENGLT[[#This Row],[Study Package Code]]</f>
        <v>STRU-ENGLB</v>
      </c>
      <c r="B293" s="5">
        <f>TableMJRUENGLT[[#This Row],[Ver]]</f>
        <v>3</v>
      </c>
      <c r="D293" t="str">
        <f>TableMJRUENGLT[[#This Row],[Structure Line]]</f>
        <v>Broadening English Teaching Area Stream (BEd Secondary)</v>
      </c>
      <c r="E293" s="125">
        <f>TableMJRUENGLT[[#This Row],[Credit Points]]</f>
        <v>150</v>
      </c>
      <c r="F293">
        <v>1</v>
      </c>
      <c r="G293" t="s">
        <v>865</v>
      </c>
      <c r="H293">
        <v>1</v>
      </c>
      <c r="I293" t="s">
        <v>529</v>
      </c>
      <c r="J293" t="s">
        <v>256</v>
      </c>
      <c r="K293">
        <v>3</v>
      </c>
      <c r="L293" t="s">
        <v>259</v>
      </c>
      <c r="M293">
        <v>150</v>
      </c>
      <c r="N293" s="195">
        <v>44562</v>
      </c>
      <c r="O293" s="195"/>
      <c r="R293" t="s">
        <v>256</v>
      </c>
      <c r="S293">
        <v>3</v>
      </c>
    </row>
    <row r="294" spans="1:19" x14ac:dyDescent="0.25">
      <c r="A294" t="str">
        <f>TableMJRUENGLT[[#This Row],[Study Package Code]]</f>
        <v>STRU-HUMAM</v>
      </c>
      <c r="B294" s="5">
        <f>TableMJRUENGLT[[#This Row],[Ver]]</f>
        <v>2</v>
      </c>
      <c r="D294" t="str">
        <f>TableMJRUENGLT[[#This Row],[Structure Line]]</f>
        <v>Humanities and Social Sciences - Humanities Education Minor Teaching Area Stream (BEd Secondary)</v>
      </c>
      <c r="E294" s="125">
        <f>TableMJRUENGLT[[#This Row],[Credit Points]]</f>
        <v>150</v>
      </c>
      <c r="F294">
        <v>1</v>
      </c>
      <c r="G294" t="s">
        <v>865</v>
      </c>
      <c r="H294">
        <v>1</v>
      </c>
      <c r="I294" t="s">
        <v>529</v>
      </c>
      <c r="J294" t="s">
        <v>198</v>
      </c>
      <c r="K294">
        <v>2</v>
      </c>
      <c r="L294" t="s">
        <v>297</v>
      </c>
      <c r="M294">
        <v>150</v>
      </c>
      <c r="N294" s="195">
        <v>43466</v>
      </c>
      <c r="O294" s="195"/>
      <c r="R294" t="s">
        <v>198</v>
      </c>
      <c r="S294">
        <v>2</v>
      </c>
    </row>
    <row r="295" spans="1:19" x14ac:dyDescent="0.25">
      <c r="A295" t="str">
        <f>TableMJRUENGLT[[#This Row],[Study Package Code]]</f>
        <v>STRU-MATHM</v>
      </c>
      <c r="B295" s="5">
        <f>TableMJRUENGLT[[#This Row],[Ver]]</f>
        <v>2</v>
      </c>
      <c r="D295" t="str">
        <f>TableMJRUENGLT[[#This Row],[Structure Line]]</f>
        <v>Mathematics Education Minor Teaching Area Stream (BEd Secondary)</v>
      </c>
      <c r="E295" s="125">
        <f>TableMJRUENGLT[[#This Row],[Credit Points]]</f>
        <v>150</v>
      </c>
      <c r="F295">
        <v>1</v>
      </c>
      <c r="G295" t="s">
        <v>865</v>
      </c>
      <c r="H295">
        <v>1</v>
      </c>
      <c r="I295" t="s">
        <v>529</v>
      </c>
      <c r="J295" t="s">
        <v>202</v>
      </c>
      <c r="K295">
        <v>2</v>
      </c>
      <c r="L295" t="s">
        <v>184</v>
      </c>
      <c r="M295">
        <v>150</v>
      </c>
      <c r="N295" s="195">
        <v>43466</v>
      </c>
      <c r="O295" s="195"/>
      <c r="R295" t="s">
        <v>202</v>
      </c>
      <c r="S295">
        <v>2</v>
      </c>
    </row>
    <row r="296" spans="1:19" x14ac:dyDescent="0.25">
      <c r="A296" t="str">
        <f>TableMJRUENGLT[[#This Row],[Study Package Code]]</f>
        <v>STRU-PARTM</v>
      </c>
      <c r="B296" s="5">
        <f>TableMJRUENGLT[[#This Row],[Ver]]</f>
        <v>2</v>
      </c>
      <c r="D296" t="str">
        <f>TableMJRUENGLT[[#This Row],[Structure Line]]</f>
        <v>The Arts - Performing Arts Education Minor Teaching Area Stream (BEd Secondary)</v>
      </c>
      <c r="E296" s="125">
        <f>TableMJRUENGLT[[#This Row],[Credit Points]]</f>
        <v>150</v>
      </c>
      <c r="F296">
        <v>1</v>
      </c>
      <c r="G296" t="s">
        <v>865</v>
      </c>
      <c r="H296">
        <v>1</v>
      </c>
      <c r="I296" t="s">
        <v>529</v>
      </c>
      <c r="J296" t="s">
        <v>261</v>
      </c>
      <c r="K296">
        <v>2</v>
      </c>
      <c r="L296" t="s">
        <v>359</v>
      </c>
      <c r="M296">
        <v>150</v>
      </c>
      <c r="N296" s="195">
        <v>43466</v>
      </c>
      <c r="O296" s="195"/>
      <c r="R296" t="s">
        <v>261</v>
      </c>
      <c r="S296">
        <v>2</v>
      </c>
    </row>
    <row r="297" spans="1:19" x14ac:dyDescent="0.25">
      <c r="A297" t="str">
        <f>TableMJRUENGLT[[#This Row],[Study Package Code]]</f>
        <v>STRU-PSCIM</v>
      </c>
      <c r="B297" s="5">
        <f>TableMJRUENGLT[[#This Row],[Ver]]</f>
        <v>2</v>
      </c>
      <c r="D297" t="str">
        <f>TableMJRUENGLT[[#This Row],[Structure Line]]</f>
        <v>Physical Sciences Education Minor Teaching Area Stream (BEd Secondary)</v>
      </c>
      <c r="E297" s="125">
        <f>TableMJRUENGLT[[#This Row],[Credit Points]]</f>
        <v>150</v>
      </c>
      <c r="F297">
        <v>1</v>
      </c>
      <c r="G297" t="s">
        <v>865</v>
      </c>
      <c r="H297">
        <v>1</v>
      </c>
      <c r="I297" t="s">
        <v>529</v>
      </c>
      <c r="J297" t="s">
        <v>208</v>
      </c>
      <c r="K297">
        <v>2</v>
      </c>
      <c r="L297" t="s">
        <v>376</v>
      </c>
      <c r="M297">
        <v>150</v>
      </c>
      <c r="N297" s="195">
        <v>43466</v>
      </c>
      <c r="O297" s="195"/>
      <c r="R297" t="s">
        <v>208</v>
      </c>
      <c r="S297">
        <v>2</v>
      </c>
    </row>
    <row r="298" spans="1:19" x14ac:dyDescent="0.25">
      <c r="A298" t="str">
        <f>TableMJRUENGLT[[#This Row],[Study Package Code]]</f>
        <v>STRU-PSYCM</v>
      </c>
      <c r="B298" s="5">
        <f>TableMJRUENGLT[[#This Row],[Ver]]</f>
        <v>2</v>
      </c>
      <c r="D298" t="str">
        <f>TableMJRUENGLT[[#This Row],[Structure Line]]</f>
        <v>Psychology Education Minor Teaching Area Stream (BEd Secondary)</v>
      </c>
      <c r="E298" s="125">
        <f>TableMJRUENGLT[[#This Row],[Credit Points]]</f>
        <v>150</v>
      </c>
      <c r="F298">
        <v>1</v>
      </c>
      <c r="G298" t="s">
        <v>865</v>
      </c>
      <c r="H298">
        <v>1</v>
      </c>
      <c r="I298" t="s">
        <v>529</v>
      </c>
      <c r="J298" t="s">
        <v>212</v>
      </c>
      <c r="K298">
        <v>2</v>
      </c>
      <c r="L298" t="s">
        <v>407</v>
      </c>
      <c r="M298">
        <v>150</v>
      </c>
      <c r="N298" s="195">
        <v>43466</v>
      </c>
      <c r="O298" s="195"/>
      <c r="R298" t="s">
        <v>212</v>
      </c>
      <c r="S298">
        <v>2</v>
      </c>
    </row>
    <row r="299" spans="1:19" x14ac:dyDescent="0.25">
      <c r="A299" t="str">
        <f>TableMJRUENGLT[[#This Row],[Study Package Code]]</f>
        <v>STRU-SOSCM</v>
      </c>
      <c r="B299" s="5">
        <f>TableMJRUENGLT[[#This Row],[Ver]]</f>
        <v>2</v>
      </c>
      <c r="D299" t="str">
        <f>TableMJRUENGLT[[#This Row],[Structure Line]]</f>
        <v>Humanities and Social Sciences - Social Sciences Education Minor Teaching Area Stream (BEd Secondary)</v>
      </c>
      <c r="E299" s="125">
        <f>TableMJRUENGLT[[#This Row],[Credit Points]]</f>
        <v>150</v>
      </c>
      <c r="F299">
        <v>1</v>
      </c>
      <c r="G299" t="s">
        <v>865</v>
      </c>
      <c r="H299">
        <v>1</v>
      </c>
      <c r="I299" t="s">
        <v>529</v>
      </c>
      <c r="J299" t="s">
        <v>216</v>
      </c>
      <c r="K299">
        <v>2</v>
      </c>
      <c r="L299" t="s">
        <v>410</v>
      </c>
      <c r="M299">
        <v>150</v>
      </c>
      <c r="N299" s="195">
        <v>43466</v>
      </c>
      <c r="O299" s="195"/>
      <c r="R299" t="s">
        <v>216</v>
      </c>
      <c r="S299">
        <v>2</v>
      </c>
    </row>
    <row r="300" spans="1:19" x14ac:dyDescent="0.25">
      <c r="A300" t="str">
        <f>TableMJRUENGLT[[#This Row],[Study Package Code]]</f>
        <v>STRU-VARTM</v>
      </c>
      <c r="B300" s="5">
        <f>TableMJRUENGLT[[#This Row],[Ver]]</f>
        <v>2</v>
      </c>
      <c r="D300" t="str">
        <f>TableMJRUENGLT[[#This Row],[Structure Line]]</f>
        <v>The Arts - Visual Arts Education Minor Teaching Area Stream (BEd Secondary)</v>
      </c>
      <c r="E300" s="125">
        <f>TableMJRUENGLT[[#This Row],[Credit Points]]</f>
        <v>150</v>
      </c>
      <c r="F300">
        <v>1</v>
      </c>
      <c r="G300" t="s">
        <v>865</v>
      </c>
      <c r="H300">
        <v>1</v>
      </c>
      <c r="I300" t="s">
        <v>529</v>
      </c>
      <c r="J300" t="s">
        <v>315</v>
      </c>
      <c r="K300">
        <v>2</v>
      </c>
      <c r="L300" t="s">
        <v>413</v>
      </c>
      <c r="M300">
        <v>150</v>
      </c>
      <c r="N300" s="195">
        <v>43466</v>
      </c>
      <c r="O300" s="195"/>
      <c r="R300" t="s">
        <v>315</v>
      </c>
      <c r="S300">
        <v>2</v>
      </c>
    </row>
    <row r="301" spans="1:19" x14ac:dyDescent="0.25">
      <c r="A301" s="122"/>
      <c r="B301" s="124"/>
      <c r="C301" s="122"/>
      <c r="D301" s="122"/>
      <c r="G301" s="123" t="s">
        <v>855</v>
      </c>
      <c r="H301" s="199">
        <v>44927</v>
      </c>
      <c r="J301" s="197" t="s">
        <v>215</v>
      </c>
      <c r="K301" s="124" t="s">
        <v>67</v>
      </c>
      <c r="L301" s="122" t="s">
        <v>214</v>
      </c>
      <c r="M301" s="122"/>
    </row>
    <row r="302" spans="1:19" ht="31.5" x14ac:dyDescent="0.25">
      <c r="A302" s="159" t="s">
        <v>0</v>
      </c>
      <c r="B302" s="160" t="s">
        <v>60</v>
      </c>
      <c r="C302" s="159" t="s">
        <v>856</v>
      </c>
      <c r="D302" s="159" t="s">
        <v>3</v>
      </c>
      <c r="E302" s="161" t="s">
        <v>857</v>
      </c>
      <c r="F302" s="159" t="s">
        <v>858</v>
      </c>
      <c r="G302" s="159" t="s">
        <v>859</v>
      </c>
      <c r="H302" s="159" t="s">
        <v>860</v>
      </c>
      <c r="I302" s="159" t="s">
        <v>17</v>
      </c>
      <c r="J302" s="159" t="s">
        <v>861</v>
      </c>
      <c r="K302" s="159" t="s">
        <v>1</v>
      </c>
      <c r="L302" s="159" t="s">
        <v>44</v>
      </c>
      <c r="M302" s="159" t="s">
        <v>61</v>
      </c>
      <c r="N302" s="159" t="s">
        <v>862</v>
      </c>
      <c r="O302" s="159" t="s">
        <v>863</v>
      </c>
      <c r="R302" t="s">
        <v>538</v>
      </c>
      <c r="S302" t="s">
        <v>864</v>
      </c>
    </row>
    <row r="303" spans="1:19" x14ac:dyDescent="0.25">
      <c r="A303" t="str">
        <f>TableMJRUHLTPE[[#This Row],[Study Package Code]]</f>
        <v>HUMB1002</v>
      </c>
      <c r="B303" s="5">
        <f>TableMJRUHLTPE[[#This Row],[Ver]]</f>
        <v>1</v>
      </c>
      <c r="D303" t="str">
        <f>TableMJRUHLTPE[[#This Row],[Structure Line]]</f>
        <v>Functional Anatomy</v>
      </c>
      <c r="E303" s="125">
        <f>TableMJRUHLTPE[[#This Row],[Credit Points]]</f>
        <v>25</v>
      </c>
      <c r="F303">
        <v>1</v>
      </c>
      <c r="G303" t="s">
        <v>865</v>
      </c>
      <c r="H303">
        <v>1</v>
      </c>
      <c r="I303" t="s">
        <v>529</v>
      </c>
      <c r="J303" t="s">
        <v>298</v>
      </c>
      <c r="K303">
        <v>1</v>
      </c>
      <c r="L303" t="s">
        <v>737</v>
      </c>
      <c r="M303">
        <v>25</v>
      </c>
      <c r="N303" s="195">
        <v>42005</v>
      </c>
      <c r="O303" s="195"/>
      <c r="R303" t="s">
        <v>298</v>
      </c>
      <c r="S303">
        <v>1</v>
      </c>
    </row>
    <row r="304" spans="1:19" x14ac:dyDescent="0.25">
      <c r="A304" t="str">
        <f>TableMJRUHLTPE[[#This Row],[Study Package Code]]</f>
        <v>PUBH1000</v>
      </c>
      <c r="B304" s="5">
        <f>TableMJRUHLTPE[[#This Row],[Ver]]</f>
        <v>1</v>
      </c>
      <c r="D304" t="str">
        <f>TableMJRUHLTPE[[#This Row],[Structure Line]]</f>
        <v>Introduction to Public Health</v>
      </c>
      <c r="E304" s="125">
        <f>TableMJRUHLTPE[[#This Row],[Credit Points]]</f>
        <v>25</v>
      </c>
      <c r="F304">
        <v>2</v>
      </c>
      <c r="G304" t="s">
        <v>865</v>
      </c>
      <c r="H304">
        <v>1</v>
      </c>
      <c r="I304" t="s">
        <v>529</v>
      </c>
      <c r="J304" t="s">
        <v>473</v>
      </c>
      <c r="K304">
        <v>1</v>
      </c>
      <c r="L304" t="s">
        <v>808</v>
      </c>
      <c r="M304">
        <v>25</v>
      </c>
      <c r="N304" s="195">
        <v>42005</v>
      </c>
      <c r="O304" s="195"/>
      <c r="R304" t="s">
        <v>473</v>
      </c>
      <c r="S304">
        <v>1</v>
      </c>
    </row>
    <row r="305" spans="1:19" x14ac:dyDescent="0.25">
      <c r="A305" t="str">
        <f>TableMJRUHLTPE[[#This Row],[Study Package Code]]</f>
        <v>EDSC4034</v>
      </c>
      <c r="B305" s="5">
        <f>TableMJRUHLTPE[[#This Row],[Ver]]</f>
        <v>1</v>
      </c>
      <c r="D305" t="str">
        <f>TableMJRUHLTPE[[#This Row],[Structure Line]]</f>
        <v>Curriculum and Instruction Lower Secondary: Health and Physical Education</v>
      </c>
      <c r="E305" s="125">
        <f>TableMJRUHLTPE[[#This Row],[Credit Points]]</f>
        <v>25</v>
      </c>
      <c r="F305">
        <v>3</v>
      </c>
      <c r="G305" t="s">
        <v>865</v>
      </c>
      <c r="H305">
        <v>2</v>
      </c>
      <c r="I305" t="s">
        <v>528</v>
      </c>
      <c r="J305" t="s">
        <v>316</v>
      </c>
      <c r="K305">
        <v>1</v>
      </c>
      <c r="L305" t="s">
        <v>681</v>
      </c>
      <c r="M305">
        <v>25</v>
      </c>
      <c r="N305" s="195">
        <v>44197</v>
      </c>
      <c r="O305" s="195"/>
      <c r="R305" t="s">
        <v>316</v>
      </c>
      <c r="S305">
        <v>1</v>
      </c>
    </row>
    <row r="306" spans="1:19" x14ac:dyDescent="0.25">
      <c r="A306" t="str">
        <f>TableMJRUHLTPE[[#This Row],[Study Package Code]]</f>
        <v>EDPR2016</v>
      </c>
      <c r="B306" s="5">
        <f>TableMJRUHLTPE[[#This Row],[Ver]]</f>
        <v>1</v>
      </c>
      <c r="D306" t="str">
        <f>TableMJRUHLTPE[[#This Row],[Structure Line]]</f>
        <v>Health and Physical Education</v>
      </c>
      <c r="E306" s="125">
        <f>TableMJRUHLTPE[[#This Row],[Credit Points]]</f>
        <v>25</v>
      </c>
      <c r="F306">
        <v>4</v>
      </c>
      <c r="G306" t="s">
        <v>865</v>
      </c>
      <c r="H306">
        <v>2</v>
      </c>
      <c r="I306" t="s">
        <v>528</v>
      </c>
      <c r="J306" t="s">
        <v>85</v>
      </c>
      <c r="K306">
        <v>1</v>
      </c>
      <c r="L306" t="s">
        <v>642</v>
      </c>
      <c r="M306">
        <v>25</v>
      </c>
      <c r="N306" s="195">
        <v>43466</v>
      </c>
      <c r="O306" s="195"/>
      <c r="R306" t="s">
        <v>85</v>
      </c>
      <c r="S306">
        <v>1</v>
      </c>
    </row>
    <row r="307" spans="1:19" x14ac:dyDescent="0.25">
      <c r="A307" t="str">
        <f>TableMJRUHLTPE[[#This Row],[Study Package Code]]</f>
        <v>HUMB1006</v>
      </c>
      <c r="B307" s="5">
        <f>TableMJRUHLTPE[[#This Row],[Ver]]</f>
        <v>1</v>
      </c>
      <c r="D307" t="str">
        <f>TableMJRUHLTPE[[#This Row],[Structure Line]]</f>
        <v>Human Physiology for Exercise Science</v>
      </c>
      <c r="E307" s="125">
        <f>TableMJRUHLTPE[[#This Row],[Credit Points]]</f>
        <v>25</v>
      </c>
      <c r="F307">
        <v>5</v>
      </c>
      <c r="G307" t="s">
        <v>865</v>
      </c>
      <c r="H307">
        <v>2</v>
      </c>
      <c r="I307" t="s">
        <v>528</v>
      </c>
      <c r="J307" t="s">
        <v>476</v>
      </c>
      <c r="K307">
        <v>1</v>
      </c>
      <c r="L307" t="s">
        <v>739</v>
      </c>
      <c r="M307">
        <v>25</v>
      </c>
      <c r="N307" s="195">
        <v>43101</v>
      </c>
      <c r="O307" s="195"/>
      <c r="R307" t="s">
        <v>476</v>
      </c>
      <c r="S307">
        <v>1</v>
      </c>
    </row>
    <row r="308" spans="1:19" x14ac:dyDescent="0.25">
      <c r="A308" t="str">
        <f>TableMJRUHLTPE[[#This Row],[Study Package Code]]</f>
        <v>EDSC4035</v>
      </c>
      <c r="B308" s="5">
        <f>TableMJRUHLTPE[[#This Row],[Ver]]</f>
        <v>1</v>
      </c>
      <c r="D308" t="str">
        <f>TableMJRUHLTPE[[#This Row],[Structure Line]]</f>
        <v>Curriculum and Instruction Senior Secondary: Health and Physical Education</v>
      </c>
      <c r="E308" s="125">
        <f>TableMJRUHLTPE[[#This Row],[Credit Points]]</f>
        <v>25</v>
      </c>
      <c r="F308">
        <v>6</v>
      </c>
      <c r="G308" t="s">
        <v>865</v>
      </c>
      <c r="H308">
        <v>2</v>
      </c>
      <c r="I308" t="s">
        <v>529</v>
      </c>
      <c r="J308" t="s">
        <v>339</v>
      </c>
      <c r="K308">
        <v>1</v>
      </c>
      <c r="L308" t="s">
        <v>682</v>
      </c>
      <c r="M308">
        <v>25</v>
      </c>
      <c r="N308" s="195">
        <v>44197</v>
      </c>
      <c r="O308" s="195"/>
      <c r="R308" t="s">
        <v>339</v>
      </c>
      <c r="S308">
        <v>1</v>
      </c>
    </row>
    <row r="309" spans="1:19" x14ac:dyDescent="0.25">
      <c r="A309" t="str">
        <f>TableMJRUHLTPE[[#This Row],[Study Package Code]]</f>
        <v>REHT2001</v>
      </c>
      <c r="B309" s="5">
        <f>TableMJRUHLTPE[[#This Row],[Ver]]</f>
        <v>1</v>
      </c>
      <c r="D309" t="str">
        <f>TableMJRUHLTPE[[#This Row],[Structure Line]]</f>
        <v>Motor Learning</v>
      </c>
      <c r="E309" s="125">
        <f>TableMJRUHLTPE[[#This Row],[Credit Points]]</f>
        <v>25</v>
      </c>
      <c r="F309">
        <v>7</v>
      </c>
      <c r="G309" t="s">
        <v>865</v>
      </c>
      <c r="H309">
        <v>2</v>
      </c>
      <c r="I309" t="s">
        <v>529</v>
      </c>
      <c r="J309" t="s">
        <v>346</v>
      </c>
      <c r="K309">
        <v>1</v>
      </c>
      <c r="L309" t="s">
        <v>810</v>
      </c>
      <c r="M309">
        <v>25</v>
      </c>
      <c r="N309" s="195">
        <v>43466</v>
      </c>
      <c r="O309" s="195"/>
      <c r="R309" t="s">
        <v>346</v>
      </c>
      <c r="S309">
        <v>1</v>
      </c>
    </row>
    <row r="310" spans="1:19" x14ac:dyDescent="0.25">
      <c r="A310" t="str">
        <f>TableMJRUHLTPE[[#This Row],[Study Package Code]]</f>
        <v>REHT1001</v>
      </c>
      <c r="B310" s="5">
        <f>TableMJRUHLTPE[[#This Row],[Ver]]</f>
        <v>2</v>
      </c>
      <c r="D310" t="str">
        <f>TableMJRUHLTPE[[#This Row],[Structure Line]]</f>
        <v>Physical Activity, Exercise and Fitness Assessment</v>
      </c>
      <c r="E310" s="125">
        <f>TableMJRUHLTPE[[#This Row],[Credit Points]]</f>
        <v>25</v>
      </c>
      <c r="F310">
        <v>8</v>
      </c>
      <c r="G310" t="s">
        <v>865</v>
      </c>
      <c r="H310">
        <v>2</v>
      </c>
      <c r="I310" t="s">
        <v>529</v>
      </c>
      <c r="J310" t="s">
        <v>487</v>
      </c>
      <c r="K310">
        <v>2</v>
      </c>
      <c r="L310" t="s">
        <v>809</v>
      </c>
      <c r="M310">
        <v>25</v>
      </c>
      <c r="N310" s="195">
        <v>44562</v>
      </c>
      <c r="O310" s="195"/>
      <c r="R310" t="s">
        <v>487</v>
      </c>
      <c r="S310">
        <v>2</v>
      </c>
    </row>
    <row r="311" spans="1:19" x14ac:dyDescent="0.25">
      <c r="A311" t="str">
        <f>TableMJRUHLTPE[[#This Row],[Study Package Code]]</f>
        <v>HUMV2000</v>
      </c>
      <c r="B311" s="5">
        <f>TableMJRUHLTPE[[#This Row],[Ver]]</f>
        <v>1</v>
      </c>
      <c r="D311" t="str">
        <f>TableMJRUHLTPE[[#This Row],[Structure Line]]</f>
        <v>Biomechanics</v>
      </c>
      <c r="E311" s="125">
        <f>TableMJRUHLTPE[[#This Row],[Credit Points]]</f>
        <v>25</v>
      </c>
      <c r="F311">
        <v>9</v>
      </c>
      <c r="G311" t="s">
        <v>865</v>
      </c>
      <c r="H311">
        <v>3</v>
      </c>
      <c r="I311" t="s">
        <v>528</v>
      </c>
      <c r="J311" t="s">
        <v>363</v>
      </c>
      <c r="K311">
        <v>1</v>
      </c>
      <c r="L311" t="s">
        <v>748</v>
      </c>
      <c r="M311">
        <v>25</v>
      </c>
      <c r="N311" s="195">
        <v>42005</v>
      </c>
      <c r="O311" s="195"/>
      <c r="R311" t="s">
        <v>363</v>
      </c>
      <c r="S311">
        <v>1</v>
      </c>
    </row>
    <row r="312" spans="1:19" x14ac:dyDescent="0.25">
      <c r="A312" t="str">
        <f>TableMJRUHLTPE[[#This Row],[Study Package Code]]</f>
        <v>EDSC3009</v>
      </c>
      <c r="B312" s="5">
        <f>TableMJRUHLTPE[[#This Row],[Ver]]</f>
        <v>1</v>
      </c>
      <c r="D312" t="str">
        <f>TableMJRUHLTPE[[#This Row],[Structure Line]]</f>
        <v>Educating Adolescents: Diversity and Inclusion</v>
      </c>
      <c r="E312" s="125">
        <f>TableMJRUHLTPE[[#This Row],[Credit Points]]</f>
        <v>25</v>
      </c>
      <c r="F312">
        <v>10</v>
      </c>
      <c r="G312" t="s">
        <v>865</v>
      </c>
      <c r="H312">
        <v>3</v>
      </c>
      <c r="I312" t="s">
        <v>528</v>
      </c>
      <c r="J312" t="s">
        <v>360</v>
      </c>
      <c r="K312">
        <v>1</v>
      </c>
      <c r="L312" t="s">
        <v>666</v>
      </c>
      <c r="M312">
        <v>25</v>
      </c>
      <c r="N312" s="195">
        <v>43831</v>
      </c>
      <c r="O312" s="195"/>
      <c r="R312" t="s">
        <v>360</v>
      </c>
      <c r="S312">
        <v>1</v>
      </c>
    </row>
    <row r="313" spans="1:19" x14ac:dyDescent="0.25">
      <c r="A313" t="str">
        <f>TableMJRUHLTPE[[#This Row],[Study Package Code]]</f>
        <v>REHT2003</v>
      </c>
      <c r="B313" s="5">
        <f>TableMJRUHLTPE[[#This Row],[Ver]]</f>
        <v>1</v>
      </c>
      <c r="D313" t="str">
        <f>TableMJRUHLTPE[[#This Row],[Structure Line]]</f>
        <v>Exercise Delivery</v>
      </c>
      <c r="E313" s="125">
        <f>TableMJRUHLTPE[[#This Row],[Credit Points]]</f>
        <v>25</v>
      </c>
      <c r="F313">
        <v>11</v>
      </c>
      <c r="G313" t="s">
        <v>865</v>
      </c>
      <c r="H313">
        <v>3</v>
      </c>
      <c r="I313" t="s">
        <v>528</v>
      </c>
      <c r="J313" t="s">
        <v>494</v>
      </c>
      <c r="K313">
        <v>1</v>
      </c>
      <c r="L313" t="s">
        <v>811</v>
      </c>
      <c r="M313">
        <v>25</v>
      </c>
      <c r="N313" s="195">
        <v>44562</v>
      </c>
      <c r="O313" s="195"/>
      <c r="R313" t="s">
        <v>494</v>
      </c>
      <c r="S313">
        <v>1</v>
      </c>
    </row>
    <row r="314" spans="1:19" x14ac:dyDescent="0.25">
      <c r="A314" t="str">
        <f>TableMJRUHLTPE[[#This Row],[Study Package Code]]</f>
        <v>HUMB2006</v>
      </c>
      <c r="B314" s="5">
        <f>TableMJRUHLTPE[[#This Row],[Ver]]</f>
        <v>1</v>
      </c>
      <c r="D314" t="str">
        <f>TableMJRUHLTPE[[#This Row],[Structure Line]]</f>
        <v>Exercise Physiology</v>
      </c>
      <c r="E314" s="125">
        <f>TableMJRUHLTPE[[#This Row],[Credit Points]]</f>
        <v>25</v>
      </c>
      <c r="F314">
        <v>12</v>
      </c>
      <c r="G314" t="s">
        <v>865</v>
      </c>
      <c r="H314">
        <v>3</v>
      </c>
      <c r="I314" t="s">
        <v>528</v>
      </c>
      <c r="J314" t="s">
        <v>506</v>
      </c>
      <c r="K314">
        <v>1</v>
      </c>
      <c r="L314" t="s">
        <v>741</v>
      </c>
      <c r="M314">
        <v>25</v>
      </c>
      <c r="N314" s="195">
        <v>42005</v>
      </c>
      <c r="O314" s="195"/>
      <c r="R314" t="s">
        <v>506</v>
      </c>
      <c r="S314">
        <v>1</v>
      </c>
    </row>
    <row r="315" spans="1:19" x14ac:dyDescent="0.25">
      <c r="A315" t="str">
        <f>TableMJRUHLTPE[[#This Row],[Study Package Code]]</f>
        <v>REHT3002</v>
      </c>
      <c r="B315" s="5">
        <f>TableMJRUHLTPE[[#This Row],[Ver]]</f>
        <v>2</v>
      </c>
      <c r="D315" t="str">
        <f>TableMJRUHLTPE[[#This Row],[Structure Line]]</f>
        <v>Exercise Prescription</v>
      </c>
      <c r="E315" s="125">
        <f>TableMJRUHLTPE[[#This Row],[Credit Points]]</f>
        <v>25</v>
      </c>
      <c r="F315">
        <v>13</v>
      </c>
      <c r="G315" t="s">
        <v>865</v>
      </c>
      <c r="H315">
        <v>3</v>
      </c>
      <c r="I315" t="s">
        <v>529</v>
      </c>
      <c r="J315" t="s">
        <v>377</v>
      </c>
      <c r="K315">
        <v>2</v>
      </c>
      <c r="L315" t="s">
        <v>812</v>
      </c>
      <c r="M315">
        <v>25</v>
      </c>
      <c r="N315" s="195">
        <v>44562</v>
      </c>
      <c r="O315" s="195"/>
      <c r="R315" t="s">
        <v>377</v>
      </c>
      <c r="S315">
        <v>2</v>
      </c>
    </row>
    <row r="316" spans="1:19" x14ac:dyDescent="0.25">
      <c r="A316" t="str">
        <f>TableMJRUHLTPE[[#This Row],[Study Package Code]]</f>
        <v>HLPR2003</v>
      </c>
      <c r="B316" s="5">
        <f>TableMJRUHLTPE[[#This Row],[Ver]]</f>
        <v>1</v>
      </c>
      <c r="D316" t="str">
        <f>TableMJRUHLTPE[[#This Row],[Structure Line]]</f>
        <v>Promoting Mental Health and Social Inclusion</v>
      </c>
      <c r="E316" s="125">
        <f>TableMJRUHLTPE[[#This Row],[Credit Points]]</f>
        <v>25</v>
      </c>
      <c r="F316">
        <v>14</v>
      </c>
      <c r="G316" t="s">
        <v>865</v>
      </c>
      <c r="H316">
        <v>3</v>
      </c>
      <c r="I316" t="s">
        <v>529</v>
      </c>
      <c r="J316" t="s">
        <v>510</v>
      </c>
      <c r="K316">
        <v>1</v>
      </c>
      <c r="L316" t="s">
        <v>734</v>
      </c>
      <c r="M316">
        <v>25</v>
      </c>
      <c r="N316" s="195">
        <v>42005</v>
      </c>
      <c r="O316" s="195"/>
      <c r="R316" t="s">
        <v>510</v>
      </c>
      <c r="S316">
        <v>1</v>
      </c>
    </row>
    <row r="317" spans="1:19" x14ac:dyDescent="0.25">
      <c r="A317" t="str">
        <f>TableMJRUHLTPE[[#This Row],[Study Package Code]]</f>
        <v>PSYC3006</v>
      </c>
      <c r="B317" s="5">
        <f>TableMJRUHLTPE[[#This Row],[Ver]]</f>
        <v>3</v>
      </c>
      <c r="D317" t="str">
        <f>TableMJRUHLTPE[[#This Row],[Structure Line]]</f>
        <v>Behaviour Change for Exercise and Health</v>
      </c>
      <c r="E317" s="125">
        <f>TableMJRUHLTPE[[#This Row],[Credit Points]]</f>
        <v>25</v>
      </c>
      <c r="F317">
        <v>15</v>
      </c>
      <c r="G317" t="s">
        <v>865</v>
      </c>
      <c r="H317">
        <v>4</v>
      </c>
      <c r="I317" t="s">
        <v>528</v>
      </c>
      <c r="J317" t="s">
        <v>392</v>
      </c>
      <c r="K317">
        <v>3</v>
      </c>
      <c r="L317" t="s">
        <v>805</v>
      </c>
      <c r="M317">
        <v>25</v>
      </c>
      <c r="N317" s="195">
        <v>44197</v>
      </c>
      <c r="O317" s="195"/>
      <c r="R317" t="s">
        <v>392</v>
      </c>
      <c r="S317">
        <v>3</v>
      </c>
    </row>
    <row r="318" spans="1:19" x14ac:dyDescent="0.25">
      <c r="A318" t="str">
        <f>TableMJRUHLTPE[[#This Row],[Study Package Code]]</f>
        <v>EDUC4012</v>
      </c>
      <c r="B318" s="5">
        <f>TableMJRUHLTPE[[#This Row],[Ver]]</f>
        <v>2</v>
      </c>
      <c r="D318" t="str">
        <f>TableMJRUHLTPE[[#This Row],[Structure Line]]</f>
        <v>Relationships and Sexuality Education</v>
      </c>
      <c r="E318" s="125">
        <f>TableMJRUHLTPE[[#This Row],[Credit Points]]</f>
        <v>25</v>
      </c>
      <c r="F318">
        <v>16</v>
      </c>
      <c r="G318" t="s">
        <v>865</v>
      </c>
      <c r="H318">
        <v>4</v>
      </c>
      <c r="I318" t="s">
        <v>528</v>
      </c>
      <c r="J318" t="s">
        <v>156</v>
      </c>
      <c r="K318">
        <v>2</v>
      </c>
      <c r="L318" t="s">
        <v>697</v>
      </c>
      <c r="M318">
        <v>25</v>
      </c>
      <c r="N318" s="195">
        <v>44927</v>
      </c>
      <c r="O318" s="195"/>
      <c r="R318" t="s">
        <v>156</v>
      </c>
      <c r="S318">
        <v>2</v>
      </c>
    </row>
    <row r="319" spans="1:19" x14ac:dyDescent="0.25">
      <c r="A319" s="122"/>
      <c r="B319" s="124"/>
      <c r="C319" s="122"/>
      <c r="D319" s="122"/>
      <c r="G319" s="123" t="s">
        <v>855</v>
      </c>
      <c r="H319" s="199">
        <v>43466</v>
      </c>
      <c r="J319" s="197" t="s">
        <v>218</v>
      </c>
      <c r="K319" s="124" t="s">
        <v>200</v>
      </c>
      <c r="L319" s="122" t="s">
        <v>183</v>
      </c>
      <c r="M319" s="122"/>
    </row>
    <row r="320" spans="1:19" ht="31.5" x14ac:dyDescent="0.25">
      <c r="A320" s="159" t="s">
        <v>0</v>
      </c>
      <c r="B320" s="160" t="s">
        <v>60</v>
      </c>
      <c r="C320" s="159" t="s">
        <v>856</v>
      </c>
      <c r="D320" s="159" t="s">
        <v>3</v>
      </c>
      <c r="E320" s="161" t="s">
        <v>857</v>
      </c>
      <c r="F320" s="159" t="s">
        <v>858</v>
      </c>
      <c r="G320" s="159" t="s">
        <v>859</v>
      </c>
      <c r="H320" s="159" t="s">
        <v>860</v>
      </c>
      <c r="I320" s="159" t="s">
        <v>17</v>
      </c>
      <c r="J320" s="159" t="s">
        <v>861</v>
      </c>
      <c r="K320" s="159" t="s">
        <v>1</v>
      </c>
      <c r="L320" s="159" t="s">
        <v>44</v>
      </c>
      <c r="M320" s="159" t="s">
        <v>61</v>
      </c>
      <c r="N320" s="159" t="s">
        <v>862</v>
      </c>
      <c r="O320" s="159" t="s">
        <v>863</v>
      </c>
      <c r="R320" t="s">
        <v>538</v>
      </c>
      <c r="S320" t="s">
        <v>864</v>
      </c>
    </row>
    <row r="321" spans="1:19" x14ac:dyDescent="0.25">
      <c r="A321" t="str">
        <f>TableMJRUHUSEC[[#This Row],[Study Package Code]]</f>
        <v>ECON1000</v>
      </c>
      <c r="B321" s="5">
        <f>TableMJRUHUSEC[[#This Row],[Ver]]</f>
        <v>1</v>
      </c>
      <c r="D321" t="str">
        <f>TableMJRUHUSEC[[#This Row],[Structure Line]]</f>
        <v>Introductory Economics</v>
      </c>
      <c r="E321" s="125">
        <f>TableMJRUHUSEC[[#This Row],[Credit Points]]</f>
        <v>25</v>
      </c>
      <c r="F321">
        <v>1</v>
      </c>
      <c r="G321" t="s">
        <v>865</v>
      </c>
      <c r="H321">
        <v>1</v>
      </c>
      <c r="I321" t="s">
        <v>529</v>
      </c>
      <c r="J321" t="s">
        <v>304</v>
      </c>
      <c r="K321">
        <v>1</v>
      </c>
      <c r="L321" t="s">
        <v>599</v>
      </c>
      <c r="M321">
        <v>25</v>
      </c>
      <c r="N321" s="195">
        <v>42005</v>
      </c>
      <c r="O321" s="195"/>
      <c r="R321" t="s">
        <v>304</v>
      </c>
      <c r="S321">
        <v>1</v>
      </c>
    </row>
    <row r="322" spans="1:19" x14ac:dyDescent="0.25">
      <c r="A322" t="str">
        <f>TableMJRUHUSEC[[#This Row],[Study Package Code]]</f>
        <v>ECON2004</v>
      </c>
      <c r="B322" s="5">
        <f>TableMJRUHUSEC[[#This Row],[Ver]]</f>
        <v>1</v>
      </c>
      <c r="D322" t="str">
        <f>TableMJRUHUSEC[[#This Row],[Structure Line]]</f>
        <v>Microeconomic Principles</v>
      </c>
      <c r="E322" s="125">
        <f>TableMJRUHUSEC[[#This Row],[Credit Points]]</f>
        <v>25</v>
      </c>
      <c r="F322">
        <v>2</v>
      </c>
      <c r="G322" t="s">
        <v>865</v>
      </c>
      <c r="H322">
        <v>2</v>
      </c>
      <c r="I322" t="s">
        <v>528</v>
      </c>
      <c r="J322" t="s">
        <v>330</v>
      </c>
      <c r="K322">
        <v>1</v>
      </c>
      <c r="L322" t="s">
        <v>601</v>
      </c>
      <c r="M322">
        <v>25</v>
      </c>
      <c r="N322" s="195">
        <v>42005</v>
      </c>
      <c r="O322" s="195"/>
      <c r="R322" t="s">
        <v>330</v>
      </c>
      <c r="S322">
        <v>1</v>
      </c>
    </row>
    <row r="323" spans="1:19" x14ac:dyDescent="0.25">
      <c r="A323" t="str">
        <f>TableMJRUHUSEC[[#This Row],[Study Package Code]]</f>
        <v>EDSC4024</v>
      </c>
      <c r="B323" s="5">
        <f>TableMJRUHUSEC[[#This Row],[Ver]]</f>
        <v>1</v>
      </c>
      <c r="D323" t="str">
        <f>TableMJRUHUSEC[[#This Row],[Structure Line]]</f>
        <v>Curriculum and Instruction Lower Secondary: Humanities and Social Sciences</v>
      </c>
      <c r="E323" s="125">
        <f>TableMJRUHUSEC[[#This Row],[Credit Points]]</f>
        <v>25</v>
      </c>
      <c r="F323">
        <v>3</v>
      </c>
      <c r="G323" t="s">
        <v>865</v>
      </c>
      <c r="H323">
        <v>2</v>
      </c>
      <c r="I323" t="s">
        <v>528</v>
      </c>
      <c r="J323" t="s">
        <v>320</v>
      </c>
      <c r="K323">
        <v>1</v>
      </c>
      <c r="L323" t="s">
        <v>676</v>
      </c>
      <c r="M323">
        <v>25</v>
      </c>
      <c r="N323" s="195">
        <v>43466</v>
      </c>
      <c r="O323" s="195"/>
      <c r="R323" t="s">
        <v>320</v>
      </c>
      <c r="S323">
        <v>1</v>
      </c>
    </row>
    <row r="324" spans="1:19" x14ac:dyDescent="0.25">
      <c r="A324" t="str">
        <f>TableMJRUHUSEC[[#This Row],[Study Package Code]]</f>
        <v>EDSC4026</v>
      </c>
      <c r="B324" s="5">
        <f>TableMJRUHUSEC[[#This Row],[Ver]]</f>
        <v>2</v>
      </c>
      <c r="D324" t="str">
        <f>TableMJRUHUSEC[[#This Row],[Structure Line]]</f>
        <v>Curriculum and Instruction Senior Secondary: Humanities and Social Sciences</v>
      </c>
      <c r="E324" s="125">
        <f>TableMJRUHUSEC[[#This Row],[Credit Points]]</f>
        <v>25</v>
      </c>
      <c r="F324">
        <v>4</v>
      </c>
      <c r="G324" t="s">
        <v>865</v>
      </c>
      <c r="H324">
        <v>2</v>
      </c>
      <c r="I324" t="s">
        <v>529</v>
      </c>
      <c r="J324" t="s">
        <v>343</v>
      </c>
      <c r="K324">
        <v>2</v>
      </c>
      <c r="L324" t="s">
        <v>677</v>
      </c>
      <c r="M324">
        <v>25</v>
      </c>
      <c r="N324" s="195">
        <v>43831</v>
      </c>
      <c r="O324" s="195"/>
      <c r="R324" t="s">
        <v>343</v>
      </c>
      <c r="S324">
        <v>2</v>
      </c>
    </row>
    <row r="325" spans="1:19" x14ac:dyDescent="0.25">
      <c r="A325" t="str">
        <f>TableMJRUHUSEC[[#This Row],[Study Package Code]]</f>
        <v>ECON2001</v>
      </c>
      <c r="B325" s="5">
        <f>TableMJRUHUSEC[[#This Row],[Ver]]</f>
        <v>1</v>
      </c>
      <c r="D325" t="str">
        <f>TableMJRUHUSEC[[#This Row],[Structure Line]]</f>
        <v>Macroeconomic Principles</v>
      </c>
      <c r="E325" s="125">
        <f>TableMJRUHUSEC[[#This Row],[Credit Points]]</f>
        <v>25</v>
      </c>
      <c r="F325">
        <v>5</v>
      </c>
      <c r="G325" t="s">
        <v>865</v>
      </c>
      <c r="H325">
        <v>2</v>
      </c>
      <c r="I325" t="s">
        <v>529</v>
      </c>
      <c r="J325" t="s">
        <v>352</v>
      </c>
      <c r="K325">
        <v>1</v>
      </c>
      <c r="L325" t="s">
        <v>600</v>
      </c>
      <c r="M325">
        <v>25</v>
      </c>
      <c r="N325" s="195">
        <v>42005</v>
      </c>
      <c r="O325" s="195"/>
      <c r="R325" t="s">
        <v>352</v>
      </c>
      <c r="S325">
        <v>1</v>
      </c>
    </row>
    <row r="326" spans="1:19" x14ac:dyDescent="0.25">
      <c r="A326" t="str">
        <f>TableMJRUHUSEC[[#This Row],[Study Package Code]]</f>
        <v>ECON2006</v>
      </c>
      <c r="B326" s="5">
        <f>TableMJRUHUSEC[[#This Row],[Ver]]</f>
        <v>1</v>
      </c>
      <c r="D326" t="str">
        <f>TableMJRUHUSEC[[#This Row],[Structure Line]]</f>
        <v>Applied Economics</v>
      </c>
      <c r="E326" s="125">
        <f>TableMJRUHUSEC[[#This Row],[Credit Points]]</f>
        <v>25</v>
      </c>
      <c r="F326">
        <v>6</v>
      </c>
      <c r="G326" t="s">
        <v>865</v>
      </c>
      <c r="H326">
        <v>3</v>
      </c>
      <c r="I326" t="s">
        <v>528</v>
      </c>
      <c r="J326" t="s">
        <v>368</v>
      </c>
      <c r="K326">
        <v>1</v>
      </c>
      <c r="L326" t="s">
        <v>602</v>
      </c>
      <c r="M326">
        <v>25</v>
      </c>
      <c r="N326" s="195">
        <v>42370</v>
      </c>
      <c r="O326" s="195"/>
      <c r="R326" t="s">
        <v>368</v>
      </c>
      <c r="S326">
        <v>1</v>
      </c>
    </row>
    <row r="327" spans="1:19" x14ac:dyDescent="0.25">
      <c r="A327" t="str">
        <f>TableMJRUHUSEC[[#This Row],[Study Package Code]]</f>
        <v>EDSC3009</v>
      </c>
      <c r="B327" s="5">
        <f>TableMJRUHUSEC[[#This Row],[Ver]]</f>
        <v>1</v>
      </c>
      <c r="D327" t="str">
        <f>TableMJRUHUSEC[[#This Row],[Structure Line]]</f>
        <v>Educating Adolescents: Diversity and Inclusion</v>
      </c>
      <c r="E327" s="125">
        <f>TableMJRUHUSEC[[#This Row],[Credit Points]]</f>
        <v>25</v>
      </c>
      <c r="F327">
        <v>7</v>
      </c>
      <c r="G327" t="s">
        <v>865</v>
      </c>
      <c r="H327">
        <v>3</v>
      </c>
      <c r="I327" t="s">
        <v>528</v>
      </c>
      <c r="J327" t="s">
        <v>360</v>
      </c>
      <c r="K327">
        <v>1</v>
      </c>
      <c r="L327" t="s">
        <v>666</v>
      </c>
      <c r="M327">
        <v>25</v>
      </c>
      <c r="N327" s="195">
        <v>43831</v>
      </c>
      <c r="O327" s="195"/>
      <c r="R327" t="s">
        <v>360</v>
      </c>
      <c r="S327">
        <v>1</v>
      </c>
    </row>
    <row r="328" spans="1:19" x14ac:dyDescent="0.25">
      <c r="A328" t="str">
        <f>TableMJRUHUSEC[[#This Row],[Study Package Code]]</f>
        <v>ECON3004</v>
      </c>
      <c r="B328" s="5">
        <f>TableMJRUHUSEC[[#This Row],[Ver]]</f>
        <v>1</v>
      </c>
      <c r="D328" t="str">
        <f>TableMJRUHUSEC[[#This Row],[Structure Line]]</f>
        <v>Macroeconomic Theory</v>
      </c>
      <c r="E328" s="125">
        <f>TableMJRUHUSEC[[#This Row],[Credit Points]]</f>
        <v>25</v>
      </c>
      <c r="F328">
        <v>8</v>
      </c>
      <c r="G328" t="s">
        <v>865</v>
      </c>
      <c r="H328">
        <v>3</v>
      </c>
      <c r="I328" t="s">
        <v>529</v>
      </c>
      <c r="J328" t="s">
        <v>382</v>
      </c>
      <c r="K328">
        <v>1</v>
      </c>
      <c r="L328" t="s">
        <v>604</v>
      </c>
      <c r="M328">
        <v>25</v>
      </c>
      <c r="N328" s="195">
        <v>42005</v>
      </c>
      <c r="O328" s="195"/>
      <c r="R328" t="s">
        <v>382</v>
      </c>
      <c r="S328">
        <v>1</v>
      </c>
    </row>
    <row r="329" spans="1:19" x14ac:dyDescent="0.25">
      <c r="A329" t="str">
        <f>TableMJRUHUSEC[[#This Row],[Study Package Code]]</f>
        <v>ECON3007</v>
      </c>
      <c r="B329" s="5">
        <f>TableMJRUHUSEC[[#This Row],[Ver]]</f>
        <v>1</v>
      </c>
      <c r="D329" t="str">
        <f>TableMJRUHUSEC[[#This Row],[Structure Line]]</f>
        <v>Advanced Applied Economics</v>
      </c>
      <c r="E329" s="125">
        <f>TableMJRUHUSEC[[#This Row],[Credit Points]]</f>
        <v>25</v>
      </c>
      <c r="F329">
        <v>9</v>
      </c>
      <c r="G329" t="s">
        <v>865</v>
      </c>
      <c r="H329">
        <v>4</v>
      </c>
      <c r="I329" t="s">
        <v>528</v>
      </c>
      <c r="J329" t="s">
        <v>398</v>
      </c>
      <c r="K329">
        <v>1</v>
      </c>
      <c r="L329" t="s">
        <v>605</v>
      </c>
      <c r="M329">
        <v>25</v>
      </c>
      <c r="N329" s="195">
        <v>42370</v>
      </c>
      <c r="O329" s="195"/>
      <c r="R329" t="s">
        <v>398</v>
      </c>
      <c r="S329">
        <v>1</v>
      </c>
    </row>
    <row r="330" spans="1:19" x14ac:dyDescent="0.25">
      <c r="A330" t="str">
        <f>TableMJRUHUSEC[[#This Row],[Study Package Code]]</f>
        <v>Elective</v>
      </c>
      <c r="B330" s="5">
        <f>TableMJRUHUSEC[[#This Row],[Ver]]</f>
        <v>0</v>
      </c>
      <c r="D330" t="str">
        <f>TableMJRUHUSEC[[#This Row],[Structure Line]]</f>
        <v>Choose an Elective,  If you wish to choose STRU-MATHM Mathematics Education Minor Teaching Area Stream and have not achieved a Mathematics Methods ATAR or Equivalent you should choose MATH1014 as your elective.</v>
      </c>
      <c r="E330" s="125">
        <f>TableMJRUHUSEC[[#This Row],[Credit Points]]</f>
        <v>25</v>
      </c>
      <c r="F330">
        <v>10</v>
      </c>
      <c r="G330" t="s">
        <v>121</v>
      </c>
      <c r="H330">
        <v>4</v>
      </c>
      <c r="I330" t="s">
        <v>528</v>
      </c>
      <c r="J330" t="s">
        <v>121</v>
      </c>
      <c r="K330">
        <v>0</v>
      </c>
      <c r="L330" t="s">
        <v>878</v>
      </c>
      <c r="M330">
        <v>25</v>
      </c>
      <c r="N330" s="195"/>
      <c r="O330" s="195"/>
      <c r="R330" t="s">
        <v>121</v>
      </c>
      <c r="S330">
        <v>0</v>
      </c>
    </row>
    <row r="331" spans="1:19" x14ac:dyDescent="0.25">
      <c r="A331" t="str">
        <f>TableMJRUHUSEC[[#This Row],[Study Package Code]]</f>
        <v>Stream</v>
      </c>
      <c r="B331" s="5">
        <f>TableMJRUHUSEC[[#This Row],[Ver]]</f>
        <v>0</v>
      </c>
      <c r="D331" t="str">
        <f>TableMJRUHUSEC[[#This Row],[Structure Line]]</f>
        <v>Choose your Minor Teaching Area Specialisation</v>
      </c>
      <c r="E331" s="125">
        <f>TableMJRUHUSEC[[#This Row],[Credit Points]]</f>
        <v>150</v>
      </c>
      <c r="F331">
        <v>11</v>
      </c>
      <c r="G331" t="s">
        <v>865</v>
      </c>
      <c r="H331">
        <v>1</v>
      </c>
      <c r="I331" t="s">
        <v>529</v>
      </c>
      <c r="J331" t="s">
        <v>828</v>
      </c>
      <c r="K331">
        <v>0</v>
      </c>
      <c r="L331" t="s">
        <v>877</v>
      </c>
      <c r="M331">
        <v>150</v>
      </c>
      <c r="N331" s="195"/>
      <c r="O331" s="195"/>
      <c r="R331" t="s">
        <v>828</v>
      </c>
      <c r="S331">
        <v>0</v>
      </c>
    </row>
    <row r="332" spans="1:19" x14ac:dyDescent="0.25">
      <c r="A332" t="str">
        <f>TableMJRUHUSEC[[#This Row],[Study Package Code]]</f>
        <v>STRU-BSCIM</v>
      </c>
      <c r="B332" s="5">
        <f>TableMJRUHUSEC[[#This Row],[Ver]]</f>
        <v>2</v>
      </c>
      <c r="D332" t="str">
        <f>TableMJRUHUSEC[[#This Row],[Structure Line]]</f>
        <v>Biological Sciences Education Minor Teaching Area Stream (BEd Secondary)</v>
      </c>
      <c r="E332" s="125">
        <f>TableMJRUHUSEC[[#This Row],[Credit Points]]</f>
        <v>150</v>
      </c>
      <c r="F332">
        <v>11</v>
      </c>
      <c r="G332" t="s">
        <v>102</v>
      </c>
      <c r="H332">
        <v>1</v>
      </c>
      <c r="I332" t="s">
        <v>529</v>
      </c>
      <c r="J332" t="s">
        <v>193</v>
      </c>
      <c r="K332">
        <v>2</v>
      </c>
      <c r="L332" t="s">
        <v>243</v>
      </c>
      <c r="M332">
        <v>150</v>
      </c>
      <c r="N332" s="195">
        <v>43466</v>
      </c>
      <c r="O332" s="195"/>
      <c r="R332" t="s">
        <v>193</v>
      </c>
      <c r="S332">
        <v>2</v>
      </c>
    </row>
    <row r="333" spans="1:19" x14ac:dyDescent="0.25">
      <c r="A333" t="str">
        <f>TableMJRUHUSEC[[#This Row],[Study Package Code]]</f>
        <v>STRU-ECOB1</v>
      </c>
      <c r="B333" s="5">
        <f>TableMJRUHUSEC[[#This Row],[Ver]]</f>
        <v>1</v>
      </c>
      <c r="D333" t="str">
        <f>TableMJRUHUSEC[[#This Row],[Structure Line]]</f>
        <v>Broadening Humanities and Social Sciences for Economics Teaching Area Stream (BEd Secondary)</v>
      </c>
      <c r="E333" s="125">
        <f>TableMJRUHUSEC[[#This Row],[Credit Points]]</f>
        <v>150</v>
      </c>
      <c r="F333">
        <v>11</v>
      </c>
      <c r="G333" t="s">
        <v>102</v>
      </c>
      <c r="H333">
        <v>1</v>
      </c>
      <c r="I333" t="s">
        <v>529</v>
      </c>
      <c r="J333" t="s">
        <v>247</v>
      </c>
      <c r="K333">
        <v>1</v>
      </c>
      <c r="L333" t="s">
        <v>246</v>
      </c>
      <c r="M333">
        <v>150</v>
      </c>
      <c r="N333" s="195">
        <v>43466</v>
      </c>
      <c r="O333" s="195"/>
      <c r="R333" t="s">
        <v>247</v>
      </c>
      <c r="S333">
        <v>1</v>
      </c>
    </row>
    <row r="334" spans="1:19" x14ac:dyDescent="0.25">
      <c r="A334" t="str">
        <f>TableMJRUHUSEC[[#This Row],[Study Package Code]]</f>
        <v>STRU-EDHAS</v>
      </c>
      <c r="B334" s="5">
        <f>TableMJRUHUSEC[[#This Row],[Ver]]</f>
        <v>2</v>
      </c>
      <c r="D334" t="str">
        <f>TableMJRUHUSEC[[#This Row],[Structure Line]]</f>
        <v>Education Speciality and Humanities and Social Science Teaching Area Stream (BEd Secondary)</v>
      </c>
      <c r="E334" s="125">
        <f>TableMJRUHUSEC[[#This Row],[Credit Points]]</f>
        <v>150</v>
      </c>
      <c r="F334">
        <v>11</v>
      </c>
      <c r="G334" t="s">
        <v>102</v>
      </c>
      <c r="H334">
        <v>1</v>
      </c>
      <c r="I334" t="s">
        <v>529</v>
      </c>
      <c r="J334" t="s">
        <v>253</v>
      </c>
      <c r="K334">
        <v>2</v>
      </c>
      <c r="L334" t="s">
        <v>252</v>
      </c>
      <c r="M334">
        <v>150</v>
      </c>
      <c r="N334" s="195">
        <v>43466</v>
      </c>
      <c r="O334" s="195"/>
      <c r="R334" t="s">
        <v>253</v>
      </c>
      <c r="S334">
        <v>2</v>
      </c>
    </row>
    <row r="335" spans="1:19" x14ac:dyDescent="0.25">
      <c r="A335" t="str">
        <f>TableMJRUHUSEC[[#This Row],[Study Package Code]]</f>
        <v>STRU-ENGLM</v>
      </c>
      <c r="B335" s="5">
        <f>TableMJRUHUSEC[[#This Row],[Ver]]</f>
        <v>3</v>
      </c>
      <c r="D335" t="str">
        <f>TableMJRUHUSEC[[#This Row],[Structure Line]]</f>
        <v>English Education Minor Teaching Area Stream (BEd Secondary)</v>
      </c>
      <c r="E335" s="125">
        <f>TableMJRUHUSEC[[#This Row],[Credit Points]]</f>
        <v>150</v>
      </c>
      <c r="F335">
        <v>11</v>
      </c>
      <c r="G335" t="s">
        <v>102</v>
      </c>
      <c r="H335">
        <v>1</v>
      </c>
      <c r="I335" t="s">
        <v>529</v>
      </c>
      <c r="J335" t="s">
        <v>197</v>
      </c>
      <c r="K335">
        <v>3</v>
      </c>
      <c r="L335" t="s">
        <v>260</v>
      </c>
      <c r="M335">
        <v>150</v>
      </c>
      <c r="N335" s="195">
        <v>44562</v>
      </c>
      <c r="O335" s="195"/>
      <c r="R335" t="s">
        <v>197</v>
      </c>
      <c r="S335">
        <v>3</v>
      </c>
    </row>
    <row r="336" spans="1:19" x14ac:dyDescent="0.25">
      <c r="A336" t="str">
        <f>TableMJRUHUSEC[[#This Row],[Study Package Code]]</f>
        <v>STRU-MATHM</v>
      </c>
      <c r="B336" s="5">
        <f>TableMJRUHUSEC[[#This Row],[Ver]]</f>
        <v>2</v>
      </c>
      <c r="D336" t="str">
        <f>TableMJRUHUSEC[[#This Row],[Structure Line]]</f>
        <v>Mathematics Education Minor Teaching Area Stream (BEd Secondary)</v>
      </c>
      <c r="E336" s="125">
        <f>TableMJRUHUSEC[[#This Row],[Credit Points]]</f>
        <v>150</v>
      </c>
      <c r="F336">
        <v>11</v>
      </c>
      <c r="G336" t="s">
        <v>102</v>
      </c>
      <c r="H336">
        <v>1</v>
      </c>
      <c r="I336" t="s">
        <v>529</v>
      </c>
      <c r="J336" t="s">
        <v>202</v>
      </c>
      <c r="K336">
        <v>2</v>
      </c>
      <c r="L336" t="s">
        <v>184</v>
      </c>
      <c r="M336">
        <v>150</v>
      </c>
      <c r="N336" s="195">
        <v>43466</v>
      </c>
      <c r="O336" s="195"/>
      <c r="R336" t="s">
        <v>202</v>
      </c>
      <c r="S336">
        <v>2</v>
      </c>
    </row>
    <row r="337" spans="1:19" x14ac:dyDescent="0.25">
      <c r="A337" t="str">
        <f>TableMJRUHUSEC[[#This Row],[Study Package Code]]</f>
        <v>STRU-PARTM</v>
      </c>
      <c r="B337" s="5">
        <f>TableMJRUHUSEC[[#This Row],[Ver]]</f>
        <v>2</v>
      </c>
      <c r="D337" t="str">
        <f>TableMJRUHUSEC[[#This Row],[Structure Line]]</f>
        <v>The Arts - Performing Arts Education Minor Teaching Area Stream (BEd Secondary)</v>
      </c>
      <c r="E337" s="125">
        <f>TableMJRUHUSEC[[#This Row],[Credit Points]]</f>
        <v>150</v>
      </c>
      <c r="F337">
        <v>11</v>
      </c>
      <c r="G337" t="s">
        <v>102</v>
      </c>
      <c r="H337">
        <v>1</v>
      </c>
      <c r="I337" t="s">
        <v>529</v>
      </c>
      <c r="J337" t="s">
        <v>261</v>
      </c>
      <c r="K337">
        <v>2</v>
      </c>
      <c r="L337" t="s">
        <v>359</v>
      </c>
      <c r="M337">
        <v>150</v>
      </c>
      <c r="N337" s="195">
        <v>43466</v>
      </c>
      <c r="O337" s="195"/>
      <c r="R337" t="s">
        <v>261</v>
      </c>
      <c r="S337">
        <v>2</v>
      </c>
    </row>
    <row r="338" spans="1:19" x14ac:dyDescent="0.25">
      <c r="A338" t="str">
        <f>TableMJRUHUSEC[[#This Row],[Study Package Code]]</f>
        <v>STRU-PSCIM</v>
      </c>
      <c r="B338" s="5">
        <f>TableMJRUHUSEC[[#This Row],[Ver]]</f>
        <v>2</v>
      </c>
      <c r="D338" t="str">
        <f>TableMJRUHUSEC[[#This Row],[Structure Line]]</f>
        <v>Physical Sciences Education Minor Teaching Area Stream (BEd Secondary)</v>
      </c>
      <c r="E338" s="125">
        <f>TableMJRUHUSEC[[#This Row],[Credit Points]]</f>
        <v>150</v>
      </c>
      <c r="F338">
        <v>11</v>
      </c>
      <c r="G338" t="s">
        <v>102</v>
      </c>
      <c r="H338">
        <v>1</v>
      </c>
      <c r="I338" t="s">
        <v>529</v>
      </c>
      <c r="J338" t="s">
        <v>208</v>
      </c>
      <c r="K338">
        <v>2</v>
      </c>
      <c r="L338" t="s">
        <v>376</v>
      </c>
      <c r="M338">
        <v>150</v>
      </c>
      <c r="N338" s="195">
        <v>43466</v>
      </c>
      <c r="O338" s="195"/>
      <c r="R338" t="s">
        <v>208</v>
      </c>
      <c r="S338">
        <v>2</v>
      </c>
    </row>
    <row r="339" spans="1:19" x14ac:dyDescent="0.25">
      <c r="A339" t="str">
        <f>TableMJRUHUSEC[[#This Row],[Study Package Code]]</f>
        <v>STRU-PSYCM</v>
      </c>
      <c r="B339" s="5">
        <f>TableMJRUHUSEC[[#This Row],[Ver]]</f>
        <v>2</v>
      </c>
      <c r="D339" t="str">
        <f>TableMJRUHUSEC[[#This Row],[Structure Line]]</f>
        <v>Psychology Education Minor Teaching Area Stream (BEd Secondary)</v>
      </c>
      <c r="E339" s="125">
        <f>TableMJRUHUSEC[[#This Row],[Credit Points]]</f>
        <v>150</v>
      </c>
      <c r="F339">
        <v>11</v>
      </c>
      <c r="G339" t="s">
        <v>102</v>
      </c>
      <c r="H339">
        <v>1</v>
      </c>
      <c r="I339" t="s">
        <v>529</v>
      </c>
      <c r="J339" t="s">
        <v>212</v>
      </c>
      <c r="K339">
        <v>2</v>
      </c>
      <c r="L339" t="s">
        <v>407</v>
      </c>
      <c r="M339">
        <v>150</v>
      </c>
      <c r="N339" s="195">
        <v>43466</v>
      </c>
      <c r="O339" s="195"/>
      <c r="R339" t="s">
        <v>212</v>
      </c>
      <c r="S339">
        <v>2</v>
      </c>
    </row>
    <row r="340" spans="1:19" x14ac:dyDescent="0.25">
      <c r="A340" t="str">
        <f>TableMJRUHUSEC[[#This Row],[Study Package Code]]</f>
        <v>STRU-VARTM</v>
      </c>
      <c r="B340" s="5">
        <f>TableMJRUHUSEC[[#This Row],[Ver]]</f>
        <v>2</v>
      </c>
      <c r="D340" t="str">
        <f>TableMJRUHUSEC[[#This Row],[Structure Line]]</f>
        <v>The Arts - Visual Arts Education Minor Teaching Area Stream (BEd Secondary)</v>
      </c>
      <c r="E340" s="125">
        <f>TableMJRUHUSEC[[#This Row],[Credit Points]]</f>
        <v>150</v>
      </c>
      <c r="F340">
        <v>11</v>
      </c>
      <c r="G340" t="s">
        <v>102</v>
      </c>
      <c r="H340">
        <v>1</v>
      </c>
      <c r="I340" t="s">
        <v>529</v>
      </c>
      <c r="J340" t="s">
        <v>315</v>
      </c>
      <c r="K340">
        <v>2</v>
      </c>
      <c r="L340" t="s">
        <v>413</v>
      </c>
      <c r="M340">
        <v>150</v>
      </c>
      <c r="N340" s="195">
        <v>43466</v>
      </c>
      <c r="O340" s="195"/>
      <c r="R340" t="s">
        <v>315</v>
      </c>
      <c r="S340">
        <v>2</v>
      </c>
    </row>
    <row r="341" spans="1:19" x14ac:dyDescent="0.25">
      <c r="A341" s="122"/>
      <c r="B341" s="124"/>
      <c r="C341" s="122"/>
      <c r="D341" s="122"/>
      <c r="G341" s="123" t="s">
        <v>855</v>
      </c>
      <c r="H341" s="199">
        <v>43466</v>
      </c>
      <c r="J341" s="197" t="s">
        <v>220</v>
      </c>
      <c r="K341" s="124" t="s">
        <v>200</v>
      </c>
      <c r="L341" s="122" t="s">
        <v>219</v>
      </c>
      <c r="M341" s="122"/>
    </row>
    <row r="342" spans="1:19" ht="31.5" x14ac:dyDescent="0.25">
      <c r="A342" s="159" t="s">
        <v>0</v>
      </c>
      <c r="B342" s="160" t="s">
        <v>60</v>
      </c>
      <c r="C342" s="159" t="s">
        <v>856</v>
      </c>
      <c r="D342" s="159" t="s">
        <v>3</v>
      </c>
      <c r="E342" s="161" t="s">
        <v>857</v>
      </c>
      <c r="F342" s="159" t="s">
        <v>858</v>
      </c>
      <c r="G342" s="159" t="s">
        <v>859</v>
      </c>
      <c r="H342" s="159" t="s">
        <v>860</v>
      </c>
      <c r="I342" s="159" t="s">
        <v>17</v>
      </c>
      <c r="J342" s="159" t="s">
        <v>861</v>
      </c>
      <c r="K342" s="159" t="s">
        <v>1</v>
      </c>
      <c r="L342" s="159" t="s">
        <v>44</v>
      </c>
      <c r="M342" s="159" t="s">
        <v>61</v>
      </c>
      <c r="N342" s="159" t="s">
        <v>862</v>
      </c>
      <c r="O342" s="159" t="s">
        <v>863</v>
      </c>
      <c r="R342" t="s">
        <v>538</v>
      </c>
      <c r="S342" t="s">
        <v>864</v>
      </c>
    </row>
    <row r="343" spans="1:19" x14ac:dyDescent="0.25">
      <c r="A343" t="str">
        <f>TableMJRUHUSGE[[#This Row],[Study Package Code]]</f>
        <v>PHGY1000</v>
      </c>
      <c r="B343" s="5">
        <f>TableMJRUHUSGE[[#This Row],[Ver]]</f>
        <v>1</v>
      </c>
      <c r="D343" t="str">
        <f>TableMJRUHUSGE[[#This Row],[Structure Line]]</f>
        <v>Physical Geography</v>
      </c>
      <c r="E343" s="125">
        <f>TableMJRUHUSGE[[#This Row],[Credit Points]]</f>
        <v>25</v>
      </c>
      <c r="F343">
        <v>1</v>
      </c>
      <c r="G343" t="s">
        <v>865</v>
      </c>
      <c r="H343">
        <v>1</v>
      </c>
      <c r="I343" t="s">
        <v>529</v>
      </c>
      <c r="J343" t="s">
        <v>305</v>
      </c>
      <c r="K343">
        <v>1</v>
      </c>
      <c r="L343" t="s">
        <v>787</v>
      </c>
      <c r="M343">
        <v>25</v>
      </c>
      <c r="N343" s="195">
        <v>42005</v>
      </c>
      <c r="O343" s="195"/>
      <c r="R343" t="s">
        <v>305</v>
      </c>
      <c r="S343">
        <v>1</v>
      </c>
    </row>
    <row r="344" spans="1:19" x14ac:dyDescent="0.25">
      <c r="A344" t="str">
        <f>TableMJRUHUSGE[[#This Row],[Study Package Code]]</f>
        <v>EDSC4024</v>
      </c>
      <c r="B344" s="5">
        <f>TableMJRUHUSGE[[#This Row],[Ver]]</f>
        <v>1</v>
      </c>
      <c r="D344" t="str">
        <f>TableMJRUHUSGE[[#This Row],[Structure Line]]</f>
        <v>Curriculum and Instruction Lower Secondary: Humanities and Social Sciences</v>
      </c>
      <c r="E344" s="125">
        <f>TableMJRUHUSGE[[#This Row],[Credit Points]]</f>
        <v>25</v>
      </c>
      <c r="F344">
        <v>2</v>
      </c>
      <c r="G344" t="s">
        <v>865</v>
      </c>
      <c r="H344">
        <v>2</v>
      </c>
      <c r="I344" t="s">
        <v>528</v>
      </c>
      <c r="J344" t="s">
        <v>320</v>
      </c>
      <c r="K344">
        <v>1</v>
      </c>
      <c r="L344" t="s">
        <v>676</v>
      </c>
      <c r="M344">
        <v>25</v>
      </c>
      <c r="N344" s="195">
        <v>43466</v>
      </c>
      <c r="O344" s="195"/>
      <c r="R344" t="s">
        <v>320</v>
      </c>
      <c r="S344">
        <v>1</v>
      </c>
    </row>
    <row r="345" spans="1:19" x14ac:dyDescent="0.25">
      <c r="A345" t="str">
        <f>TableMJRUHUSGE[[#This Row],[Study Package Code]]</f>
        <v>GEOG1000</v>
      </c>
      <c r="B345" s="5">
        <f>TableMJRUHUSGE[[#This Row],[Ver]]</f>
        <v>1</v>
      </c>
      <c r="D345" t="str">
        <f>TableMJRUHUSGE[[#This Row],[Structure Line]]</f>
        <v>Human Geography</v>
      </c>
      <c r="E345" s="125">
        <f>TableMJRUHUSGE[[#This Row],[Credit Points]]</f>
        <v>25</v>
      </c>
      <c r="F345">
        <v>3</v>
      </c>
      <c r="G345" t="s">
        <v>865</v>
      </c>
      <c r="H345">
        <v>2</v>
      </c>
      <c r="I345" t="s">
        <v>528</v>
      </c>
      <c r="J345" t="s">
        <v>331</v>
      </c>
      <c r="K345">
        <v>1</v>
      </c>
      <c r="L345" t="s">
        <v>726</v>
      </c>
      <c r="M345">
        <v>25</v>
      </c>
      <c r="N345" s="195">
        <v>42005</v>
      </c>
      <c r="O345" s="195"/>
      <c r="R345" t="s">
        <v>331</v>
      </c>
      <c r="S345">
        <v>1</v>
      </c>
    </row>
    <row r="346" spans="1:19" x14ac:dyDescent="0.25">
      <c r="A346" t="str">
        <f>TableMJRUHUSGE[[#This Row],[Study Package Code]]</f>
        <v>EDSC4026</v>
      </c>
      <c r="B346" s="5">
        <f>TableMJRUHUSGE[[#This Row],[Ver]]</f>
        <v>2</v>
      </c>
      <c r="D346" t="str">
        <f>TableMJRUHUSGE[[#This Row],[Structure Line]]</f>
        <v>Curriculum and Instruction Senior Secondary: Humanities and Social Sciences</v>
      </c>
      <c r="E346" s="125">
        <f>TableMJRUHUSGE[[#This Row],[Credit Points]]</f>
        <v>25</v>
      </c>
      <c r="F346">
        <v>4</v>
      </c>
      <c r="G346" t="s">
        <v>865</v>
      </c>
      <c r="H346">
        <v>2</v>
      </c>
      <c r="I346" t="s">
        <v>529</v>
      </c>
      <c r="J346" t="s">
        <v>343</v>
      </c>
      <c r="K346">
        <v>2</v>
      </c>
      <c r="L346" t="s">
        <v>677</v>
      </c>
      <c r="M346">
        <v>25</v>
      </c>
      <c r="N346" s="195">
        <v>43831</v>
      </c>
      <c r="O346" s="195"/>
      <c r="R346" t="s">
        <v>343</v>
      </c>
      <c r="S346">
        <v>2</v>
      </c>
    </row>
    <row r="347" spans="1:19" x14ac:dyDescent="0.25">
      <c r="A347" t="str">
        <f>TableMJRUHUSGE[[#This Row],[Study Package Code]]</f>
        <v>PHGY2000</v>
      </c>
      <c r="B347" s="5">
        <f>TableMJRUHUSGE[[#This Row],[Ver]]</f>
        <v>1</v>
      </c>
      <c r="D347" t="str">
        <f>TableMJRUHUSGE[[#This Row],[Structure Line]]</f>
        <v>Natural Hazards</v>
      </c>
      <c r="E347" s="125">
        <f>TableMJRUHUSGE[[#This Row],[Credit Points]]</f>
        <v>25</v>
      </c>
      <c r="F347">
        <v>5</v>
      </c>
      <c r="G347" t="s">
        <v>865</v>
      </c>
      <c r="H347">
        <v>2</v>
      </c>
      <c r="I347" t="s">
        <v>529</v>
      </c>
      <c r="J347" t="s">
        <v>353</v>
      </c>
      <c r="K347">
        <v>1</v>
      </c>
      <c r="L347" t="s">
        <v>788</v>
      </c>
      <c r="M347">
        <v>25</v>
      </c>
      <c r="N347" s="195">
        <v>42005</v>
      </c>
      <c r="O347" s="195"/>
      <c r="R347" t="s">
        <v>353</v>
      </c>
      <c r="S347">
        <v>1</v>
      </c>
    </row>
    <row r="348" spans="1:19" x14ac:dyDescent="0.25">
      <c r="A348" t="str">
        <f>TableMJRUHUSGE[[#This Row],[Study Package Code]]</f>
        <v>GEOG2001</v>
      </c>
      <c r="B348" s="5">
        <f>TableMJRUHUSGE[[#This Row],[Ver]]</f>
        <v>1</v>
      </c>
      <c r="D348" t="str">
        <f>TableMJRUHUSGE[[#This Row],[Structure Line]]</f>
        <v>Geographies of Food Security</v>
      </c>
      <c r="E348" s="125">
        <f>TableMJRUHUSGE[[#This Row],[Credit Points]]</f>
        <v>25</v>
      </c>
      <c r="F348">
        <v>6</v>
      </c>
      <c r="G348" t="s">
        <v>865</v>
      </c>
      <c r="H348">
        <v>3</v>
      </c>
      <c r="I348" t="s">
        <v>528</v>
      </c>
      <c r="J348" t="s">
        <v>369</v>
      </c>
      <c r="K348">
        <v>1</v>
      </c>
      <c r="L348" t="s">
        <v>727</v>
      </c>
      <c r="M348">
        <v>25</v>
      </c>
      <c r="N348" s="195">
        <v>42005</v>
      </c>
      <c r="O348" s="195"/>
      <c r="R348" t="s">
        <v>369</v>
      </c>
      <c r="S348">
        <v>1</v>
      </c>
    </row>
    <row r="349" spans="1:19" x14ac:dyDescent="0.25">
      <c r="A349" t="str">
        <f>TableMJRUHUSGE[[#This Row],[Study Package Code]]</f>
        <v>EDSC3009</v>
      </c>
      <c r="B349" s="5">
        <f>TableMJRUHUSGE[[#This Row],[Ver]]</f>
        <v>1</v>
      </c>
      <c r="D349" t="str">
        <f>TableMJRUHUSGE[[#This Row],[Structure Line]]</f>
        <v>Educating Adolescents: Diversity and Inclusion</v>
      </c>
      <c r="E349" s="125">
        <f>TableMJRUHUSGE[[#This Row],[Credit Points]]</f>
        <v>25</v>
      </c>
      <c r="F349">
        <v>7</v>
      </c>
      <c r="G349" t="s">
        <v>865</v>
      </c>
      <c r="H349">
        <v>3</v>
      </c>
      <c r="I349" t="s">
        <v>528</v>
      </c>
      <c r="J349" t="s">
        <v>360</v>
      </c>
      <c r="K349">
        <v>1</v>
      </c>
      <c r="L349" t="s">
        <v>666</v>
      </c>
      <c r="M349">
        <v>25</v>
      </c>
      <c r="N349" s="195">
        <v>43831</v>
      </c>
      <c r="O349" s="195"/>
      <c r="R349" t="s">
        <v>360</v>
      </c>
      <c r="S349">
        <v>1</v>
      </c>
    </row>
    <row r="350" spans="1:19" x14ac:dyDescent="0.25">
      <c r="A350" t="str">
        <f>TableMJRUHUSGE[[#This Row],[Study Package Code]]</f>
        <v>PHGY3000</v>
      </c>
      <c r="B350" s="5">
        <f>TableMJRUHUSGE[[#This Row],[Ver]]</f>
        <v>3</v>
      </c>
      <c r="D350" t="str">
        <f>TableMJRUHUSGE[[#This Row],[Structure Line]]</f>
        <v>Cultural Landscapes</v>
      </c>
      <c r="E350" s="125">
        <f>TableMJRUHUSGE[[#This Row],[Credit Points]]</f>
        <v>25</v>
      </c>
      <c r="F350">
        <v>8</v>
      </c>
      <c r="G350" t="s">
        <v>865</v>
      </c>
      <c r="H350">
        <v>3</v>
      </c>
      <c r="I350" t="s">
        <v>529</v>
      </c>
      <c r="J350" t="s">
        <v>383</v>
      </c>
      <c r="K350">
        <v>3</v>
      </c>
      <c r="L350" t="s">
        <v>789</v>
      </c>
      <c r="M350">
        <v>25</v>
      </c>
      <c r="N350" s="195">
        <v>44562</v>
      </c>
      <c r="O350" s="195"/>
      <c r="R350" t="s">
        <v>383</v>
      </c>
      <c r="S350">
        <v>3</v>
      </c>
    </row>
    <row r="351" spans="1:19" x14ac:dyDescent="0.25">
      <c r="A351" t="str">
        <f>TableMJRUHUSGE[[#This Row],[Study Package Code]]</f>
        <v>GEOG3001</v>
      </c>
      <c r="B351" s="5">
        <f>TableMJRUHUSGE[[#This Row],[Ver]]</f>
        <v>1</v>
      </c>
      <c r="D351" t="str">
        <f>TableMJRUHUSGE[[#This Row],[Structure Line]]</f>
        <v>Sustainable Livelihoods</v>
      </c>
      <c r="E351" s="125">
        <f>TableMJRUHUSGE[[#This Row],[Credit Points]]</f>
        <v>25</v>
      </c>
      <c r="F351">
        <v>9</v>
      </c>
      <c r="G351" t="s">
        <v>865</v>
      </c>
      <c r="H351">
        <v>4</v>
      </c>
      <c r="I351" t="s">
        <v>528</v>
      </c>
      <c r="J351" t="s">
        <v>399</v>
      </c>
      <c r="K351">
        <v>1</v>
      </c>
      <c r="L351" t="s">
        <v>728</v>
      </c>
      <c r="M351">
        <v>25</v>
      </c>
      <c r="N351" s="195">
        <v>42005</v>
      </c>
      <c r="O351" s="195"/>
      <c r="R351" t="s">
        <v>399</v>
      </c>
      <c r="S351">
        <v>1</v>
      </c>
    </row>
    <row r="352" spans="1:19" x14ac:dyDescent="0.25">
      <c r="A352" t="str">
        <f>TableMJRUHUSGE[[#This Row],[Study Package Code]]</f>
        <v>Elective</v>
      </c>
      <c r="B352" s="5">
        <f>TableMJRUHUSGE[[#This Row],[Ver]]</f>
        <v>0</v>
      </c>
      <c r="D352" t="str">
        <f>TableMJRUHUSGE[[#This Row],[Structure Line]]</f>
        <v>Choose an Elective,  If you wish to choose STRU-MATHM Mathematics Education Minor Teaching Area Stream and have not achieved a Mathematics Methods ATAR or Equivalent you should choose MATH1014 as your elective.</v>
      </c>
      <c r="E352" s="125">
        <f>TableMJRUHUSGE[[#This Row],[Credit Points]]</f>
        <v>25</v>
      </c>
      <c r="F352">
        <v>10</v>
      </c>
      <c r="G352" t="s">
        <v>121</v>
      </c>
      <c r="H352">
        <v>4</v>
      </c>
      <c r="I352" t="s">
        <v>528</v>
      </c>
      <c r="J352" t="s">
        <v>121</v>
      </c>
      <c r="K352">
        <v>0</v>
      </c>
      <c r="L352" t="s">
        <v>878</v>
      </c>
      <c r="M352">
        <v>25</v>
      </c>
      <c r="N352" s="195"/>
      <c r="O352" s="195"/>
      <c r="R352" t="s">
        <v>121</v>
      </c>
      <c r="S352">
        <v>0</v>
      </c>
    </row>
    <row r="353" spans="1:19" x14ac:dyDescent="0.25">
      <c r="A353" t="str">
        <f>TableMJRUHUSGE[[#This Row],[Study Package Code]]</f>
        <v>Stream</v>
      </c>
      <c r="B353" s="5">
        <f>TableMJRUHUSGE[[#This Row],[Ver]]</f>
        <v>0</v>
      </c>
      <c r="D353" t="str">
        <f>TableMJRUHUSGE[[#This Row],[Structure Line]]</f>
        <v>Choose your Minor Teaching Area Specialisation</v>
      </c>
      <c r="E353" s="125">
        <f>TableMJRUHUSGE[[#This Row],[Credit Points]]</f>
        <v>150</v>
      </c>
      <c r="F353">
        <v>11</v>
      </c>
      <c r="G353" t="s">
        <v>865</v>
      </c>
      <c r="H353">
        <v>1</v>
      </c>
      <c r="I353" t="s">
        <v>529</v>
      </c>
      <c r="J353" t="s">
        <v>828</v>
      </c>
      <c r="K353">
        <v>0</v>
      </c>
      <c r="L353" t="s">
        <v>877</v>
      </c>
      <c r="M353">
        <v>150</v>
      </c>
      <c r="N353" s="195"/>
      <c r="O353" s="195"/>
      <c r="R353" t="s">
        <v>828</v>
      </c>
      <c r="S353">
        <v>0</v>
      </c>
    </row>
    <row r="354" spans="1:19" x14ac:dyDescent="0.25">
      <c r="A354" t="str">
        <f>TableMJRUHUSGE[[#This Row],[Study Package Code]]</f>
        <v>STRU-BSCIM</v>
      </c>
      <c r="B354" s="5">
        <f>TableMJRUHUSGE[[#This Row],[Ver]]</f>
        <v>2</v>
      </c>
      <c r="D354" t="str">
        <f>TableMJRUHUSGE[[#This Row],[Structure Line]]</f>
        <v>Biological Sciences Education Minor Teaching Area Stream (BEd Secondary)</v>
      </c>
      <c r="E354" s="125">
        <f>TableMJRUHUSGE[[#This Row],[Credit Points]]</f>
        <v>150</v>
      </c>
      <c r="F354">
        <v>11</v>
      </c>
      <c r="G354" t="s">
        <v>102</v>
      </c>
      <c r="H354">
        <v>1</v>
      </c>
      <c r="I354" t="s">
        <v>529</v>
      </c>
      <c r="J354" t="s">
        <v>193</v>
      </c>
      <c r="K354">
        <v>2</v>
      </c>
      <c r="L354" t="s">
        <v>243</v>
      </c>
      <c r="M354">
        <v>150</v>
      </c>
      <c r="N354" s="195">
        <v>43466</v>
      </c>
      <c r="O354" s="195"/>
      <c r="R354" t="s">
        <v>193</v>
      </c>
      <c r="S354">
        <v>2</v>
      </c>
    </row>
    <row r="355" spans="1:19" x14ac:dyDescent="0.25">
      <c r="A355" t="str">
        <f>TableMJRUHUSGE[[#This Row],[Study Package Code]]</f>
        <v>STRU-EDHAS</v>
      </c>
      <c r="B355" s="5">
        <f>TableMJRUHUSGE[[#This Row],[Ver]]</f>
        <v>2</v>
      </c>
      <c r="D355" t="str">
        <f>TableMJRUHUSGE[[#This Row],[Structure Line]]</f>
        <v>Education Speciality and Humanities and Social Science Teaching Area Stream (BEd Secondary)</v>
      </c>
      <c r="E355" s="125">
        <f>TableMJRUHUSGE[[#This Row],[Credit Points]]</f>
        <v>150</v>
      </c>
      <c r="F355">
        <v>11</v>
      </c>
      <c r="G355" t="s">
        <v>102</v>
      </c>
      <c r="H355">
        <v>1</v>
      </c>
      <c r="I355" t="s">
        <v>529</v>
      </c>
      <c r="J355" t="s">
        <v>253</v>
      </c>
      <c r="K355">
        <v>2</v>
      </c>
      <c r="L355" t="s">
        <v>252</v>
      </c>
      <c r="M355">
        <v>150</v>
      </c>
      <c r="N355" s="195">
        <v>43466</v>
      </c>
      <c r="O355" s="195"/>
      <c r="R355" t="s">
        <v>253</v>
      </c>
      <c r="S355">
        <v>2</v>
      </c>
    </row>
    <row r="356" spans="1:19" x14ac:dyDescent="0.25">
      <c r="A356" t="str">
        <f>TableMJRUHUSGE[[#This Row],[Study Package Code]]</f>
        <v>STRU-ENGLM</v>
      </c>
      <c r="B356" s="5">
        <f>TableMJRUHUSGE[[#This Row],[Ver]]</f>
        <v>3</v>
      </c>
      <c r="D356" t="str">
        <f>TableMJRUHUSGE[[#This Row],[Structure Line]]</f>
        <v>English Education Minor Teaching Area Stream (BEd Secondary)</v>
      </c>
      <c r="E356" s="125">
        <f>TableMJRUHUSGE[[#This Row],[Credit Points]]</f>
        <v>150</v>
      </c>
      <c r="F356">
        <v>11</v>
      </c>
      <c r="G356" t="s">
        <v>102</v>
      </c>
      <c r="H356">
        <v>1</v>
      </c>
      <c r="I356" t="s">
        <v>529</v>
      </c>
      <c r="J356" t="s">
        <v>197</v>
      </c>
      <c r="K356">
        <v>3</v>
      </c>
      <c r="L356" t="s">
        <v>260</v>
      </c>
      <c r="M356">
        <v>150</v>
      </c>
      <c r="N356" s="195">
        <v>44562</v>
      </c>
      <c r="O356" s="195"/>
      <c r="R356" t="s">
        <v>197</v>
      </c>
      <c r="S356">
        <v>3</v>
      </c>
    </row>
    <row r="357" spans="1:19" x14ac:dyDescent="0.25">
      <c r="A357" t="str">
        <f>TableMJRUHUSGE[[#This Row],[Study Package Code]]</f>
        <v>STRU-GEOB1</v>
      </c>
      <c r="B357" s="5">
        <f>TableMJRUHUSGE[[#This Row],[Ver]]</f>
        <v>1</v>
      </c>
      <c r="D357" t="str">
        <f>TableMJRUHUSGE[[#This Row],[Structure Line]]</f>
        <v>Broadening Humanities and Social Sciences for Geography Teaching Area Stream (BEd Secondary)</v>
      </c>
      <c r="E357" s="125">
        <f>TableMJRUHUSGE[[#This Row],[Credit Points]]</f>
        <v>150</v>
      </c>
      <c r="F357">
        <v>11</v>
      </c>
      <c r="G357" t="s">
        <v>102</v>
      </c>
      <c r="H357">
        <v>1</v>
      </c>
      <c r="I357" t="s">
        <v>529</v>
      </c>
      <c r="J357" t="s">
        <v>263</v>
      </c>
      <c r="K357">
        <v>1</v>
      </c>
      <c r="L357" t="s">
        <v>262</v>
      </c>
      <c r="M357">
        <v>150</v>
      </c>
      <c r="N357" s="195">
        <v>43466</v>
      </c>
      <c r="O357" s="195"/>
      <c r="R357" t="s">
        <v>263</v>
      </c>
      <c r="S357">
        <v>1</v>
      </c>
    </row>
    <row r="358" spans="1:19" x14ac:dyDescent="0.25">
      <c r="A358" t="str">
        <f>TableMJRUHUSGE[[#This Row],[Study Package Code]]</f>
        <v>STRU-MATHM</v>
      </c>
      <c r="B358" s="5">
        <f>TableMJRUHUSGE[[#This Row],[Ver]]</f>
        <v>2</v>
      </c>
      <c r="D358" t="str">
        <f>TableMJRUHUSGE[[#This Row],[Structure Line]]</f>
        <v>Mathematics Education Minor Teaching Area Stream (BEd Secondary)</v>
      </c>
      <c r="E358" s="125">
        <f>TableMJRUHUSGE[[#This Row],[Credit Points]]</f>
        <v>150</v>
      </c>
      <c r="F358">
        <v>11</v>
      </c>
      <c r="G358" t="s">
        <v>102</v>
      </c>
      <c r="H358">
        <v>1</v>
      </c>
      <c r="I358" t="s">
        <v>529</v>
      </c>
      <c r="J358" t="s">
        <v>202</v>
      </c>
      <c r="K358">
        <v>2</v>
      </c>
      <c r="L358" t="s">
        <v>184</v>
      </c>
      <c r="M358">
        <v>150</v>
      </c>
      <c r="N358" s="195">
        <v>43466</v>
      </c>
      <c r="O358" s="195"/>
      <c r="R358" t="s">
        <v>202</v>
      </c>
      <c r="S358">
        <v>2</v>
      </c>
    </row>
    <row r="359" spans="1:19" x14ac:dyDescent="0.25">
      <c r="A359" t="str">
        <f>TableMJRUHUSGE[[#This Row],[Study Package Code]]</f>
        <v>STRU-PARTM</v>
      </c>
      <c r="B359" s="5">
        <f>TableMJRUHUSGE[[#This Row],[Ver]]</f>
        <v>2</v>
      </c>
      <c r="D359" t="str">
        <f>TableMJRUHUSGE[[#This Row],[Structure Line]]</f>
        <v>The Arts - Performing Arts Education Minor Teaching Area Stream (BEd Secondary)</v>
      </c>
      <c r="E359" s="125">
        <f>TableMJRUHUSGE[[#This Row],[Credit Points]]</f>
        <v>150</v>
      </c>
      <c r="F359">
        <v>11</v>
      </c>
      <c r="G359" t="s">
        <v>102</v>
      </c>
      <c r="H359">
        <v>1</v>
      </c>
      <c r="I359" t="s">
        <v>529</v>
      </c>
      <c r="J359" t="s">
        <v>261</v>
      </c>
      <c r="K359">
        <v>2</v>
      </c>
      <c r="L359" t="s">
        <v>359</v>
      </c>
      <c r="M359">
        <v>150</v>
      </c>
      <c r="N359" s="195">
        <v>43466</v>
      </c>
      <c r="O359" s="195"/>
      <c r="R359" t="s">
        <v>261</v>
      </c>
      <c r="S359">
        <v>2</v>
      </c>
    </row>
    <row r="360" spans="1:19" x14ac:dyDescent="0.25">
      <c r="A360" t="str">
        <f>TableMJRUHUSGE[[#This Row],[Study Package Code]]</f>
        <v>STRU-PSCIM</v>
      </c>
      <c r="B360" s="5">
        <f>TableMJRUHUSGE[[#This Row],[Ver]]</f>
        <v>2</v>
      </c>
      <c r="D360" t="str">
        <f>TableMJRUHUSGE[[#This Row],[Structure Line]]</f>
        <v>Physical Sciences Education Minor Teaching Area Stream (BEd Secondary)</v>
      </c>
      <c r="E360" s="125">
        <f>TableMJRUHUSGE[[#This Row],[Credit Points]]</f>
        <v>150</v>
      </c>
      <c r="F360">
        <v>11</v>
      </c>
      <c r="G360" t="s">
        <v>102</v>
      </c>
      <c r="H360">
        <v>1</v>
      </c>
      <c r="I360" t="s">
        <v>529</v>
      </c>
      <c r="J360" t="s">
        <v>208</v>
      </c>
      <c r="K360">
        <v>2</v>
      </c>
      <c r="L360" t="s">
        <v>376</v>
      </c>
      <c r="M360">
        <v>150</v>
      </c>
      <c r="N360" s="195">
        <v>43466</v>
      </c>
      <c r="O360" s="195"/>
      <c r="R360" t="s">
        <v>208</v>
      </c>
      <c r="S360">
        <v>2</v>
      </c>
    </row>
    <row r="361" spans="1:19" x14ac:dyDescent="0.25">
      <c r="A361" t="str">
        <f>TableMJRUHUSGE[[#This Row],[Study Package Code]]</f>
        <v>STRU-PSYCM</v>
      </c>
      <c r="B361" s="5">
        <f>TableMJRUHUSGE[[#This Row],[Ver]]</f>
        <v>2</v>
      </c>
      <c r="D361" t="str">
        <f>TableMJRUHUSGE[[#This Row],[Structure Line]]</f>
        <v>Psychology Education Minor Teaching Area Stream (BEd Secondary)</v>
      </c>
      <c r="E361" s="125">
        <f>TableMJRUHUSGE[[#This Row],[Credit Points]]</f>
        <v>150</v>
      </c>
      <c r="F361">
        <v>11</v>
      </c>
      <c r="G361" t="s">
        <v>102</v>
      </c>
      <c r="H361">
        <v>1</v>
      </c>
      <c r="I361" t="s">
        <v>529</v>
      </c>
      <c r="J361" t="s">
        <v>212</v>
      </c>
      <c r="K361">
        <v>2</v>
      </c>
      <c r="L361" t="s">
        <v>407</v>
      </c>
      <c r="M361">
        <v>150</v>
      </c>
      <c r="N361" s="195">
        <v>43466</v>
      </c>
      <c r="O361" s="195"/>
      <c r="R361" t="s">
        <v>212</v>
      </c>
      <c r="S361">
        <v>2</v>
      </c>
    </row>
    <row r="362" spans="1:19" x14ac:dyDescent="0.25">
      <c r="A362" t="str">
        <f>TableMJRUHUSGE[[#This Row],[Study Package Code]]</f>
        <v>STRU-VARTM</v>
      </c>
      <c r="B362" s="5">
        <f>TableMJRUHUSGE[[#This Row],[Ver]]</f>
        <v>2</v>
      </c>
      <c r="D362" t="str">
        <f>TableMJRUHUSGE[[#This Row],[Structure Line]]</f>
        <v>The Arts - Visual Arts Education Minor Teaching Area Stream (BEd Secondary)</v>
      </c>
      <c r="E362" s="125">
        <f>TableMJRUHUSGE[[#This Row],[Credit Points]]</f>
        <v>150</v>
      </c>
      <c r="F362">
        <v>11</v>
      </c>
      <c r="G362" t="s">
        <v>102</v>
      </c>
      <c r="H362">
        <v>1</v>
      </c>
      <c r="I362" t="s">
        <v>529</v>
      </c>
      <c r="J362" t="s">
        <v>315</v>
      </c>
      <c r="K362">
        <v>2</v>
      </c>
      <c r="L362" t="s">
        <v>413</v>
      </c>
      <c r="M362">
        <v>150</v>
      </c>
      <c r="N362" s="195">
        <v>43466</v>
      </c>
      <c r="O362" s="195"/>
      <c r="R362" t="s">
        <v>315</v>
      </c>
      <c r="S362">
        <v>2</v>
      </c>
    </row>
    <row r="363" spans="1:19" x14ac:dyDescent="0.25">
      <c r="A363" s="122"/>
      <c r="B363" s="124"/>
      <c r="C363" s="122"/>
      <c r="D363" s="122"/>
      <c r="G363" s="123" t="s">
        <v>855</v>
      </c>
      <c r="H363" s="199">
        <v>43466</v>
      </c>
      <c r="J363" s="197" t="s">
        <v>222</v>
      </c>
      <c r="K363" s="124" t="s">
        <v>200</v>
      </c>
      <c r="L363" s="122" t="s">
        <v>221</v>
      </c>
      <c r="M363" s="122"/>
    </row>
    <row r="364" spans="1:19" ht="31.5" x14ac:dyDescent="0.25">
      <c r="A364" s="159" t="s">
        <v>0</v>
      </c>
      <c r="B364" s="160" t="s">
        <v>60</v>
      </c>
      <c r="C364" s="159" t="s">
        <v>856</v>
      </c>
      <c r="D364" s="159" t="s">
        <v>3</v>
      </c>
      <c r="E364" s="161" t="s">
        <v>857</v>
      </c>
      <c r="F364" s="159" t="s">
        <v>858</v>
      </c>
      <c r="G364" s="159" t="s">
        <v>859</v>
      </c>
      <c r="H364" s="159" t="s">
        <v>860</v>
      </c>
      <c r="I364" s="159" t="s">
        <v>17</v>
      </c>
      <c r="J364" s="159" t="s">
        <v>861</v>
      </c>
      <c r="K364" s="159" t="s">
        <v>1</v>
      </c>
      <c r="L364" s="159" t="s">
        <v>44</v>
      </c>
      <c r="M364" s="159" t="s">
        <v>61</v>
      </c>
      <c r="N364" s="159" t="s">
        <v>862</v>
      </c>
      <c r="O364" s="159" t="s">
        <v>863</v>
      </c>
      <c r="R364" t="s">
        <v>538</v>
      </c>
      <c r="S364" t="s">
        <v>864</v>
      </c>
    </row>
    <row r="365" spans="1:19" x14ac:dyDescent="0.25">
      <c r="A365" t="str">
        <f>TableMJRUHUSHI[[#This Row],[Study Package Code]]</f>
        <v>INTR1001</v>
      </c>
      <c r="B365" s="5">
        <f>TableMJRUHUSHI[[#This Row],[Ver]]</f>
        <v>1</v>
      </c>
      <c r="D365" t="str">
        <f>TableMJRUHUSHI[[#This Row],[Structure Line]]</f>
        <v>Australia and Asia Transformed</v>
      </c>
      <c r="E365" s="125">
        <f>TableMJRUHUSHI[[#This Row],[Credit Points]]</f>
        <v>25</v>
      </c>
      <c r="F365">
        <v>1</v>
      </c>
      <c r="G365" t="s">
        <v>865</v>
      </c>
      <c r="H365">
        <v>1</v>
      </c>
      <c r="I365" t="s">
        <v>529</v>
      </c>
      <c r="J365" t="s">
        <v>306</v>
      </c>
      <c r="K365">
        <v>1</v>
      </c>
      <c r="L365" t="s">
        <v>756</v>
      </c>
      <c r="M365">
        <v>25</v>
      </c>
      <c r="N365" s="195">
        <v>42736</v>
      </c>
      <c r="O365" s="267">
        <v>45291</v>
      </c>
      <c r="R365" t="s">
        <v>306</v>
      </c>
      <c r="S365">
        <v>1</v>
      </c>
    </row>
    <row r="366" spans="1:19" x14ac:dyDescent="0.25">
      <c r="A366" t="str">
        <f>TableMJRUHUSHI[[#This Row],[Study Package Code]]</f>
        <v>EDSC4024</v>
      </c>
      <c r="B366" s="5">
        <f>TableMJRUHUSHI[[#This Row],[Ver]]</f>
        <v>1</v>
      </c>
      <c r="D366" t="str">
        <f>TableMJRUHUSHI[[#This Row],[Structure Line]]</f>
        <v>Curriculum and Instruction Lower Secondary: Humanities and Social Sciences</v>
      </c>
      <c r="E366" s="125">
        <f>TableMJRUHUSHI[[#This Row],[Credit Points]]</f>
        <v>25</v>
      </c>
      <c r="F366">
        <v>2</v>
      </c>
      <c r="G366" t="s">
        <v>865</v>
      </c>
      <c r="H366">
        <v>2</v>
      </c>
      <c r="I366" t="s">
        <v>528</v>
      </c>
      <c r="J366" t="s">
        <v>320</v>
      </c>
      <c r="K366">
        <v>1</v>
      </c>
      <c r="L366" t="s">
        <v>676</v>
      </c>
      <c r="M366">
        <v>25</v>
      </c>
      <c r="N366" s="195">
        <v>43466</v>
      </c>
      <c r="O366" s="195"/>
      <c r="R366" t="s">
        <v>320</v>
      </c>
      <c r="S366">
        <v>1</v>
      </c>
    </row>
    <row r="367" spans="1:19" x14ac:dyDescent="0.25">
      <c r="A367" t="str">
        <f>TableMJRUHUSHI[[#This Row],[Study Package Code]]</f>
        <v>HIST1000</v>
      </c>
      <c r="B367" s="5">
        <f>TableMJRUHUSHI[[#This Row],[Ver]]</f>
        <v>1</v>
      </c>
      <c r="D367" t="str">
        <f>TableMJRUHUSHI[[#This Row],[Structure Line]]</f>
        <v>Legacies of Empire</v>
      </c>
      <c r="E367" s="125">
        <f>TableMJRUHUSHI[[#This Row],[Credit Points]]</f>
        <v>25</v>
      </c>
      <c r="F367">
        <v>3</v>
      </c>
      <c r="G367" t="s">
        <v>865</v>
      </c>
      <c r="H367">
        <v>2</v>
      </c>
      <c r="I367" t="s">
        <v>528</v>
      </c>
      <c r="J367" t="s">
        <v>332</v>
      </c>
      <c r="K367">
        <v>1</v>
      </c>
      <c r="L367" t="s">
        <v>729</v>
      </c>
      <c r="M367">
        <v>25</v>
      </c>
      <c r="N367" s="195">
        <v>42736</v>
      </c>
      <c r="O367" s="195"/>
      <c r="R367" t="s">
        <v>332</v>
      </c>
      <c r="S367">
        <v>1</v>
      </c>
    </row>
    <row r="368" spans="1:19" x14ac:dyDescent="0.25">
      <c r="A368" t="str">
        <f>TableMJRUHUSHI[[#This Row],[Study Package Code]]</f>
        <v>EDSC4026</v>
      </c>
      <c r="B368" s="5">
        <f>TableMJRUHUSHI[[#This Row],[Ver]]</f>
        <v>2</v>
      </c>
      <c r="D368" t="str">
        <f>TableMJRUHUSHI[[#This Row],[Structure Line]]</f>
        <v>Curriculum and Instruction Senior Secondary: Humanities and Social Sciences</v>
      </c>
      <c r="E368" s="125">
        <f>TableMJRUHUSHI[[#This Row],[Credit Points]]</f>
        <v>25</v>
      </c>
      <c r="F368">
        <v>4</v>
      </c>
      <c r="G368" t="s">
        <v>865</v>
      </c>
      <c r="H368">
        <v>2</v>
      </c>
      <c r="I368" t="s">
        <v>529</v>
      </c>
      <c r="J368" t="s">
        <v>343</v>
      </c>
      <c r="K368">
        <v>2</v>
      </c>
      <c r="L368" t="s">
        <v>677</v>
      </c>
      <c r="M368">
        <v>25</v>
      </c>
      <c r="N368" s="195">
        <v>43831</v>
      </c>
      <c r="O368" s="195"/>
      <c r="R368" t="s">
        <v>343</v>
      </c>
      <c r="S368">
        <v>2</v>
      </c>
    </row>
    <row r="369" spans="1:19" x14ac:dyDescent="0.25">
      <c r="A369" t="str">
        <f>TableMJRUHUSHI[[#This Row],[Study Package Code]]</f>
        <v>HIST2000</v>
      </c>
      <c r="B369" s="5">
        <f>TableMJRUHUSHI[[#This Row],[Ver]]</f>
        <v>2</v>
      </c>
      <c r="D369" t="str">
        <f>TableMJRUHUSHI[[#This Row],[Structure Line]]</f>
        <v>Social Change in Contemporary Australian History</v>
      </c>
      <c r="E369" s="125">
        <f>TableMJRUHUSHI[[#This Row],[Credit Points]]</f>
        <v>25</v>
      </c>
      <c r="F369">
        <v>5</v>
      </c>
      <c r="G369" t="s">
        <v>865</v>
      </c>
      <c r="H369">
        <v>2</v>
      </c>
      <c r="I369" t="s">
        <v>529</v>
      </c>
      <c r="J369" t="s">
        <v>354</v>
      </c>
      <c r="K369">
        <v>2</v>
      </c>
      <c r="L369" t="s">
        <v>730</v>
      </c>
      <c r="M369">
        <v>25</v>
      </c>
      <c r="N369" s="195">
        <v>44562</v>
      </c>
      <c r="O369" s="195"/>
      <c r="R369" t="s">
        <v>354</v>
      </c>
      <c r="S369">
        <v>2</v>
      </c>
    </row>
    <row r="370" spans="1:19" x14ac:dyDescent="0.25">
      <c r="A370" t="str">
        <f>TableMJRUHUSHI[[#This Row],[Study Package Code]]</f>
        <v>HIST2001</v>
      </c>
      <c r="B370" s="5">
        <f>TableMJRUHUSHI[[#This Row],[Ver]]</f>
        <v>2</v>
      </c>
      <c r="D370" t="str">
        <f>TableMJRUHUSHI[[#This Row],[Structure Line]]</f>
        <v>Democracy and Dictatorship</v>
      </c>
      <c r="E370" s="125">
        <f>TableMJRUHUSHI[[#This Row],[Credit Points]]</f>
        <v>25</v>
      </c>
      <c r="F370">
        <v>6</v>
      </c>
      <c r="G370" t="s">
        <v>865</v>
      </c>
      <c r="H370">
        <v>3</v>
      </c>
      <c r="I370" t="s">
        <v>528</v>
      </c>
      <c r="J370" t="s">
        <v>370</v>
      </c>
      <c r="K370">
        <v>2</v>
      </c>
      <c r="L370" t="s">
        <v>731</v>
      </c>
      <c r="M370">
        <v>25</v>
      </c>
      <c r="N370" s="195">
        <v>44927</v>
      </c>
      <c r="O370" s="195"/>
      <c r="R370" t="s">
        <v>370</v>
      </c>
      <c r="S370">
        <v>2</v>
      </c>
    </row>
    <row r="371" spans="1:19" x14ac:dyDescent="0.25">
      <c r="A371" t="str">
        <f>TableMJRUHUSHI[[#This Row],[Study Package Code]]</f>
        <v>EDSC3009</v>
      </c>
      <c r="B371" s="5">
        <f>TableMJRUHUSHI[[#This Row],[Ver]]</f>
        <v>1</v>
      </c>
      <c r="D371" t="str">
        <f>TableMJRUHUSHI[[#This Row],[Structure Line]]</f>
        <v>Educating Adolescents: Diversity and Inclusion</v>
      </c>
      <c r="E371" s="125">
        <f>TableMJRUHUSHI[[#This Row],[Credit Points]]</f>
        <v>25</v>
      </c>
      <c r="F371">
        <v>7</v>
      </c>
      <c r="G371" t="s">
        <v>865</v>
      </c>
      <c r="H371">
        <v>3</v>
      </c>
      <c r="I371" t="s">
        <v>528</v>
      </c>
      <c r="J371" t="s">
        <v>360</v>
      </c>
      <c r="K371">
        <v>1</v>
      </c>
      <c r="L371" t="s">
        <v>666</v>
      </c>
      <c r="M371">
        <v>25</v>
      </c>
      <c r="N371" s="195">
        <v>43831</v>
      </c>
      <c r="O371" s="195"/>
      <c r="R371" t="s">
        <v>360</v>
      </c>
      <c r="S371">
        <v>1</v>
      </c>
    </row>
    <row r="372" spans="1:19" x14ac:dyDescent="0.25">
      <c r="A372" t="str">
        <f>TableMJRUHUSHI[[#This Row],[Study Package Code]]</f>
        <v>HIST3001</v>
      </c>
      <c r="B372" s="5">
        <f>TableMJRUHUSHI[[#This Row],[Ver]]</f>
        <v>3</v>
      </c>
      <c r="D372" t="str">
        <f>TableMJRUHUSHI[[#This Row],[Structure Line]]</f>
        <v>Competition, Cooperation and Conflict since 1945</v>
      </c>
      <c r="E372" s="125">
        <f>TableMJRUHUSHI[[#This Row],[Credit Points]]</f>
        <v>25</v>
      </c>
      <c r="F372">
        <v>8</v>
      </c>
      <c r="G372" t="s">
        <v>865</v>
      </c>
      <c r="H372">
        <v>3</v>
      </c>
      <c r="I372" t="s">
        <v>529</v>
      </c>
      <c r="J372" t="s">
        <v>384</v>
      </c>
      <c r="K372">
        <v>3</v>
      </c>
      <c r="L372" t="s">
        <v>732</v>
      </c>
      <c r="M372">
        <v>25</v>
      </c>
      <c r="N372" s="195">
        <v>44927</v>
      </c>
      <c r="O372" s="195"/>
      <c r="R372" t="s">
        <v>384</v>
      </c>
      <c r="S372">
        <v>3</v>
      </c>
    </row>
    <row r="373" spans="1:19" x14ac:dyDescent="0.25">
      <c r="A373" t="str">
        <f>TableMJRUHUSHI[[#This Row],[Study Package Code]]</f>
        <v>HIST3003</v>
      </c>
      <c r="B373" s="5">
        <f>TableMJRUHUSHI[[#This Row],[Ver]]</f>
        <v>1</v>
      </c>
      <c r="D373" t="str">
        <f>TableMJRUHUSHI[[#This Row],[Structure Line]]</f>
        <v>Australians at War</v>
      </c>
      <c r="E373" s="125">
        <f>TableMJRUHUSHI[[#This Row],[Credit Points]]</f>
        <v>25</v>
      </c>
      <c r="F373">
        <v>9</v>
      </c>
      <c r="G373" t="s">
        <v>865</v>
      </c>
      <c r="H373">
        <v>4</v>
      </c>
      <c r="I373" t="s">
        <v>528</v>
      </c>
      <c r="J373" t="s">
        <v>400</v>
      </c>
      <c r="K373">
        <v>1</v>
      </c>
      <c r="L373" t="s">
        <v>733</v>
      </c>
      <c r="M373">
        <v>25</v>
      </c>
      <c r="N373" s="195">
        <v>42736</v>
      </c>
      <c r="O373" s="195"/>
      <c r="R373" t="s">
        <v>400</v>
      </c>
      <c r="S373">
        <v>1</v>
      </c>
    </row>
    <row r="374" spans="1:19" x14ac:dyDescent="0.25">
      <c r="A374" t="str">
        <f>TableMJRUHUSHI[[#This Row],[Study Package Code]]</f>
        <v>Elective</v>
      </c>
      <c r="B374" s="5">
        <f>TableMJRUHUSHI[[#This Row],[Ver]]</f>
        <v>0</v>
      </c>
      <c r="D374" t="str">
        <f>TableMJRUHUSHI[[#This Row],[Structure Line]]</f>
        <v>Choose an Elective,  If you wish to choose STRU-MATHM Mathematics Education Minor Teaching Area Stream and have not achieved a Mathematics Methods ATAR or Equivalent you should choose MATH1014 as your elective.</v>
      </c>
      <c r="E374" s="125">
        <f>TableMJRUHUSHI[[#This Row],[Credit Points]]</f>
        <v>25</v>
      </c>
      <c r="F374">
        <v>10</v>
      </c>
      <c r="G374" t="s">
        <v>121</v>
      </c>
      <c r="H374">
        <v>4</v>
      </c>
      <c r="I374" t="s">
        <v>528</v>
      </c>
      <c r="J374" t="s">
        <v>121</v>
      </c>
      <c r="K374">
        <v>0</v>
      </c>
      <c r="L374" t="s">
        <v>878</v>
      </c>
      <c r="M374">
        <v>25</v>
      </c>
      <c r="N374" s="195"/>
      <c r="O374" s="195"/>
      <c r="R374" t="s">
        <v>121</v>
      </c>
      <c r="S374">
        <v>0</v>
      </c>
    </row>
    <row r="375" spans="1:19" x14ac:dyDescent="0.25">
      <c r="A375" t="str">
        <f>TableMJRUHUSHI[[#This Row],[Study Package Code]]</f>
        <v>Stream</v>
      </c>
      <c r="B375" s="5">
        <f>TableMJRUHUSHI[[#This Row],[Ver]]</f>
        <v>0</v>
      </c>
      <c r="D375" t="str">
        <f>TableMJRUHUSHI[[#This Row],[Structure Line]]</f>
        <v>Choose your Minor Teaching Area Specialisation</v>
      </c>
      <c r="E375" s="125">
        <f>TableMJRUHUSHI[[#This Row],[Credit Points]]</f>
        <v>150</v>
      </c>
      <c r="F375">
        <v>11</v>
      </c>
      <c r="G375" t="s">
        <v>865</v>
      </c>
      <c r="H375">
        <v>1</v>
      </c>
      <c r="I375" t="s">
        <v>529</v>
      </c>
      <c r="J375" t="s">
        <v>828</v>
      </c>
      <c r="K375">
        <v>0</v>
      </c>
      <c r="L375" t="s">
        <v>877</v>
      </c>
      <c r="M375">
        <v>150</v>
      </c>
      <c r="N375" s="195"/>
      <c r="O375" s="195"/>
      <c r="R375" t="s">
        <v>828</v>
      </c>
      <c r="S375">
        <v>0</v>
      </c>
    </row>
    <row r="376" spans="1:19" x14ac:dyDescent="0.25">
      <c r="A376" t="str">
        <f>TableMJRUHUSHI[[#This Row],[Study Package Code]]</f>
        <v>STRU-BSCIM</v>
      </c>
      <c r="B376" s="5">
        <f>TableMJRUHUSHI[[#This Row],[Ver]]</f>
        <v>2</v>
      </c>
      <c r="D376" t="str">
        <f>TableMJRUHUSHI[[#This Row],[Structure Line]]</f>
        <v>Biological Sciences Education Minor Teaching Area Stream (BEd Secondary)</v>
      </c>
      <c r="E376" s="125">
        <f>TableMJRUHUSHI[[#This Row],[Credit Points]]</f>
        <v>150</v>
      </c>
      <c r="F376">
        <v>11</v>
      </c>
      <c r="G376" t="s">
        <v>102</v>
      </c>
      <c r="H376">
        <v>1</v>
      </c>
      <c r="I376" t="s">
        <v>529</v>
      </c>
      <c r="J376" t="s">
        <v>193</v>
      </c>
      <c r="K376">
        <v>2</v>
      </c>
      <c r="L376" t="s">
        <v>243</v>
      </c>
      <c r="M376">
        <v>150</v>
      </c>
      <c r="N376" s="195">
        <v>43466</v>
      </c>
      <c r="O376" s="195"/>
      <c r="R376" t="s">
        <v>193</v>
      </c>
      <c r="S376">
        <v>2</v>
      </c>
    </row>
    <row r="377" spans="1:19" x14ac:dyDescent="0.25">
      <c r="A377" t="str">
        <f>TableMJRUHUSHI[[#This Row],[Study Package Code]]</f>
        <v>STRU-EDHAS</v>
      </c>
      <c r="B377" s="5">
        <f>TableMJRUHUSHI[[#This Row],[Ver]]</f>
        <v>2</v>
      </c>
      <c r="D377" t="str">
        <f>TableMJRUHUSHI[[#This Row],[Structure Line]]</f>
        <v>Education Speciality and Humanities and Social Science Teaching Area Stream (BEd Secondary)</v>
      </c>
      <c r="E377" s="125">
        <f>TableMJRUHUSHI[[#This Row],[Credit Points]]</f>
        <v>150</v>
      </c>
      <c r="F377">
        <v>11</v>
      </c>
      <c r="G377" t="s">
        <v>102</v>
      </c>
      <c r="H377">
        <v>1</v>
      </c>
      <c r="I377" t="s">
        <v>529</v>
      </c>
      <c r="J377" t="s">
        <v>253</v>
      </c>
      <c r="K377">
        <v>2</v>
      </c>
      <c r="L377" t="s">
        <v>252</v>
      </c>
      <c r="M377">
        <v>150</v>
      </c>
      <c r="N377" s="195">
        <v>43466</v>
      </c>
      <c r="O377" s="195"/>
      <c r="R377" t="s">
        <v>253</v>
      </c>
      <c r="S377">
        <v>2</v>
      </c>
    </row>
    <row r="378" spans="1:19" x14ac:dyDescent="0.25">
      <c r="A378" t="str">
        <f>TableMJRUHUSHI[[#This Row],[Study Package Code]]</f>
        <v>STRU-ENGLM</v>
      </c>
      <c r="B378" s="5">
        <f>TableMJRUHUSHI[[#This Row],[Ver]]</f>
        <v>3</v>
      </c>
      <c r="D378" t="str">
        <f>TableMJRUHUSHI[[#This Row],[Structure Line]]</f>
        <v>English Education Minor Teaching Area Stream (BEd Secondary)</v>
      </c>
      <c r="E378" s="125">
        <f>TableMJRUHUSHI[[#This Row],[Credit Points]]</f>
        <v>150</v>
      </c>
      <c r="F378">
        <v>11</v>
      </c>
      <c r="G378" t="s">
        <v>102</v>
      </c>
      <c r="H378">
        <v>1</v>
      </c>
      <c r="I378" t="s">
        <v>529</v>
      </c>
      <c r="J378" t="s">
        <v>197</v>
      </c>
      <c r="K378">
        <v>3</v>
      </c>
      <c r="L378" t="s">
        <v>260</v>
      </c>
      <c r="M378">
        <v>150</v>
      </c>
      <c r="N378" s="195">
        <v>44562</v>
      </c>
      <c r="O378" s="195"/>
      <c r="R378" t="s">
        <v>197</v>
      </c>
      <c r="S378">
        <v>3</v>
      </c>
    </row>
    <row r="379" spans="1:19" x14ac:dyDescent="0.25">
      <c r="A379" t="str">
        <f>TableMJRUHUSHI[[#This Row],[Study Package Code]]</f>
        <v>STRU-HISB1</v>
      </c>
      <c r="B379" s="5">
        <f>TableMJRUHUSHI[[#This Row],[Ver]]</f>
        <v>1</v>
      </c>
      <c r="D379" t="str">
        <f>TableMJRUHUSHI[[#This Row],[Structure Line]]</f>
        <v>Broadening Humanities and Social Sciences for History Teaching Area Stream (BEd Secondary)</v>
      </c>
      <c r="E379" s="125">
        <f>TableMJRUHUSHI[[#This Row],[Credit Points]]</f>
        <v>150</v>
      </c>
      <c r="F379">
        <v>11</v>
      </c>
      <c r="G379" t="s">
        <v>102</v>
      </c>
      <c r="H379">
        <v>1</v>
      </c>
      <c r="I379" t="s">
        <v>529</v>
      </c>
      <c r="J379" t="s">
        <v>265</v>
      </c>
      <c r="K379">
        <v>1</v>
      </c>
      <c r="L379" t="s">
        <v>264</v>
      </c>
      <c r="M379">
        <v>150</v>
      </c>
      <c r="N379" s="195">
        <v>43466</v>
      </c>
      <c r="O379" s="195"/>
      <c r="R379" t="s">
        <v>265</v>
      </c>
      <c r="S379">
        <v>1</v>
      </c>
    </row>
    <row r="380" spans="1:19" x14ac:dyDescent="0.25">
      <c r="A380" t="str">
        <f>TableMJRUHUSHI[[#This Row],[Study Package Code]]</f>
        <v>STRU-MATHM</v>
      </c>
      <c r="B380" s="5">
        <f>TableMJRUHUSHI[[#This Row],[Ver]]</f>
        <v>2</v>
      </c>
      <c r="D380" t="str">
        <f>TableMJRUHUSHI[[#This Row],[Structure Line]]</f>
        <v>Mathematics Education Minor Teaching Area Stream (BEd Secondary)</v>
      </c>
      <c r="E380" s="125">
        <f>TableMJRUHUSHI[[#This Row],[Credit Points]]</f>
        <v>150</v>
      </c>
      <c r="F380">
        <v>11</v>
      </c>
      <c r="G380" t="s">
        <v>102</v>
      </c>
      <c r="H380">
        <v>1</v>
      </c>
      <c r="I380" t="s">
        <v>529</v>
      </c>
      <c r="J380" t="s">
        <v>202</v>
      </c>
      <c r="K380">
        <v>2</v>
      </c>
      <c r="L380" t="s">
        <v>184</v>
      </c>
      <c r="M380">
        <v>150</v>
      </c>
      <c r="N380" s="195">
        <v>43466</v>
      </c>
      <c r="O380" s="195"/>
      <c r="R380" t="s">
        <v>202</v>
      </c>
      <c r="S380">
        <v>2</v>
      </c>
    </row>
    <row r="381" spans="1:19" x14ac:dyDescent="0.25">
      <c r="A381" t="str">
        <f>TableMJRUHUSHI[[#This Row],[Study Package Code]]</f>
        <v>STRU-PARTM</v>
      </c>
      <c r="B381" s="5">
        <f>TableMJRUHUSHI[[#This Row],[Ver]]</f>
        <v>2</v>
      </c>
      <c r="D381" t="str">
        <f>TableMJRUHUSHI[[#This Row],[Structure Line]]</f>
        <v>The Arts - Performing Arts Education Minor Teaching Area Stream (BEd Secondary)</v>
      </c>
      <c r="E381" s="125">
        <f>TableMJRUHUSHI[[#This Row],[Credit Points]]</f>
        <v>150</v>
      </c>
      <c r="F381">
        <v>11</v>
      </c>
      <c r="G381" t="s">
        <v>102</v>
      </c>
      <c r="H381">
        <v>1</v>
      </c>
      <c r="I381" t="s">
        <v>529</v>
      </c>
      <c r="J381" t="s">
        <v>261</v>
      </c>
      <c r="K381">
        <v>2</v>
      </c>
      <c r="L381" t="s">
        <v>359</v>
      </c>
      <c r="M381">
        <v>150</v>
      </c>
      <c r="N381" s="195">
        <v>43466</v>
      </c>
      <c r="O381" s="195"/>
      <c r="R381" t="s">
        <v>261</v>
      </c>
      <c r="S381">
        <v>2</v>
      </c>
    </row>
    <row r="382" spans="1:19" x14ac:dyDescent="0.25">
      <c r="A382" t="str">
        <f>TableMJRUHUSHI[[#This Row],[Study Package Code]]</f>
        <v>STRU-PSCIM</v>
      </c>
      <c r="B382" s="5">
        <f>TableMJRUHUSHI[[#This Row],[Ver]]</f>
        <v>2</v>
      </c>
      <c r="D382" t="str">
        <f>TableMJRUHUSHI[[#This Row],[Structure Line]]</f>
        <v>Physical Sciences Education Minor Teaching Area Stream (BEd Secondary)</v>
      </c>
      <c r="E382" s="125">
        <f>TableMJRUHUSHI[[#This Row],[Credit Points]]</f>
        <v>150</v>
      </c>
      <c r="F382">
        <v>11</v>
      </c>
      <c r="G382" t="s">
        <v>102</v>
      </c>
      <c r="H382">
        <v>1</v>
      </c>
      <c r="I382" t="s">
        <v>529</v>
      </c>
      <c r="J382" t="s">
        <v>208</v>
      </c>
      <c r="K382">
        <v>2</v>
      </c>
      <c r="L382" t="s">
        <v>376</v>
      </c>
      <c r="M382">
        <v>150</v>
      </c>
      <c r="N382" s="195">
        <v>43466</v>
      </c>
      <c r="O382" s="195"/>
      <c r="R382" t="s">
        <v>208</v>
      </c>
      <c r="S382">
        <v>2</v>
      </c>
    </row>
    <row r="383" spans="1:19" x14ac:dyDescent="0.25">
      <c r="A383" t="str">
        <f>TableMJRUHUSHI[[#This Row],[Study Package Code]]</f>
        <v>STRU-PSYCM</v>
      </c>
      <c r="B383" s="5">
        <f>TableMJRUHUSHI[[#This Row],[Ver]]</f>
        <v>2</v>
      </c>
      <c r="D383" t="str">
        <f>TableMJRUHUSHI[[#This Row],[Structure Line]]</f>
        <v>Psychology Education Minor Teaching Area Stream (BEd Secondary)</v>
      </c>
      <c r="E383" s="125">
        <f>TableMJRUHUSHI[[#This Row],[Credit Points]]</f>
        <v>150</v>
      </c>
      <c r="F383">
        <v>11</v>
      </c>
      <c r="G383" t="s">
        <v>102</v>
      </c>
      <c r="H383">
        <v>1</v>
      </c>
      <c r="I383" t="s">
        <v>529</v>
      </c>
      <c r="J383" t="s">
        <v>212</v>
      </c>
      <c r="K383">
        <v>2</v>
      </c>
      <c r="L383" t="s">
        <v>407</v>
      </c>
      <c r="M383">
        <v>150</v>
      </c>
      <c r="N383" s="195">
        <v>43466</v>
      </c>
      <c r="O383" s="195"/>
      <c r="R383" t="s">
        <v>212</v>
      </c>
      <c r="S383">
        <v>2</v>
      </c>
    </row>
    <row r="384" spans="1:19" x14ac:dyDescent="0.25">
      <c r="A384" t="str">
        <f>TableMJRUHUSHI[[#This Row],[Study Package Code]]</f>
        <v>STRU-VARTM</v>
      </c>
      <c r="B384" s="5">
        <f>TableMJRUHUSHI[[#This Row],[Ver]]</f>
        <v>2</v>
      </c>
      <c r="D384" t="str">
        <f>TableMJRUHUSHI[[#This Row],[Structure Line]]</f>
        <v>The Arts - Visual Arts Education Minor Teaching Area Stream (BEd Secondary)</v>
      </c>
      <c r="E384" s="125">
        <f>TableMJRUHUSHI[[#This Row],[Credit Points]]</f>
        <v>150</v>
      </c>
      <c r="F384">
        <v>11</v>
      </c>
      <c r="G384" t="s">
        <v>102</v>
      </c>
      <c r="H384">
        <v>1</v>
      </c>
      <c r="I384" t="s">
        <v>529</v>
      </c>
      <c r="J384" t="s">
        <v>315</v>
      </c>
      <c r="K384">
        <v>2</v>
      </c>
      <c r="L384" t="s">
        <v>413</v>
      </c>
      <c r="M384">
        <v>150</v>
      </c>
      <c r="N384" s="195">
        <v>43466</v>
      </c>
      <c r="O384" s="195"/>
      <c r="R384" t="s">
        <v>315</v>
      </c>
      <c r="S384">
        <v>2</v>
      </c>
    </row>
    <row r="385" spans="1:19" x14ac:dyDescent="0.25">
      <c r="A385" s="122"/>
      <c r="B385" s="124"/>
      <c r="C385" s="122"/>
      <c r="D385" s="122"/>
      <c r="G385" s="123" t="s">
        <v>855</v>
      </c>
      <c r="H385" s="199">
        <v>45292</v>
      </c>
      <c r="J385" s="197" t="s">
        <v>224</v>
      </c>
      <c r="K385" s="124" t="s">
        <v>67</v>
      </c>
      <c r="L385" s="122" t="s">
        <v>223</v>
      </c>
      <c r="M385" s="122"/>
    </row>
    <row r="386" spans="1:19" ht="31.5" x14ac:dyDescent="0.25">
      <c r="A386" s="159" t="s">
        <v>0</v>
      </c>
      <c r="B386" s="160" t="s">
        <v>60</v>
      </c>
      <c r="C386" s="159" t="s">
        <v>856</v>
      </c>
      <c r="D386" s="159" t="s">
        <v>3</v>
      </c>
      <c r="E386" s="161" t="s">
        <v>857</v>
      </c>
      <c r="F386" s="159" t="s">
        <v>858</v>
      </c>
      <c r="G386" s="159" t="s">
        <v>859</v>
      </c>
      <c r="H386" s="159" t="s">
        <v>860</v>
      </c>
      <c r="I386" s="159" t="s">
        <v>17</v>
      </c>
      <c r="J386" s="159" t="s">
        <v>861</v>
      </c>
      <c r="K386" s="159" t="s">
        <v>1</v>
      </c>
      <c r="L386" s="159" t="s">
        <v>44</v>
      </c>
      <c r="M386" s="159" t="s">
        <v>61</v>
      </c>
      <c r="N386" s="159" t="s">
        <v>862</v>
      </c>
      <c r="O386" s="159" t="s">
        <v>863</v>
      </c>
      <c r="R386" t="s">
        <v>538</v>
      </c>
      <c r="S386" t="s">
        <v>864</v>
      </c>
    </row>
    <row r="387" spans="1:19" x14ac:dyDescent="0.25">
      <c r="A387" t="str">
        <f>TableMJRUHUSPL[[#This Row],[Study Package Code]]</f>
        <v>ANTH1001</v>
      </c>
      <c r="B387" s="5">
        <f>TableMJRUHUSPL[[#This Row],[Ver]]</f>
        <v>2</v>
      </c>
      <c r="D387" t="str">
        <f>TableMJRUHUSPL[[#This Row],[Structure Line]]</f>
        <v>Society and Culture in a Globalising World</v>
      </c>
      <c r="E387" s="125">
        <f>TableMJRUHUSPL[[#This Row],[Credit Points]]</f>
        <v>25</v>
      </c>
      <c r="F387">
        <v>1</v>
      </c>
      <c r="G387" t="s">
        <v>865</v>
      </c>
      <c r="H387">
        <v>1</v>
      </c>
      <c r="I387" t="s">
        <v>529</v>
      </c>
      <c r="J387" t="s">
        <v>307</v>
      </c>
      <c r="K387">
        <v>2</v>
      </c>
      <c r="L387" t="s">
        <v>554</v>
      </c>
      <c r="M387">
        <v>25</v>
      </c>
      <c r="N387" s="195">
        <v>42736</v>
      </c>
      <c r="O387" s="195"/>
      <c r="R387" t="s">
        <v>307</v>
      </c>
      <c r="S387">
        <v>2</v>
      </c>
    </row>
    <row r="388" spans="1:19" x14ac:dyDescent="0.25">
      <c r="A388" t="str">
        <f>TableMJRUHUSPL[[#This Row],[Study Package Code]]</f>
        <v>BLAW1002</v>
      </c>
      <c r="B388" s="5">
        <f>TableMJRUHUSPL[[#This Row],[Ver]]</f>
        <v>1</v>
      </c>
      <c r="D388" t="str">
        <f>TableMJRUHUSPL[[#This Row],[Structure Line]]</f>
        <v>Markets and Legal Frameworks</v>
      </c>
      <c r="E388" s="125">
        <f>TableMJRUHUSPL[[#This Row],[Credit Points]]</f>
        <v>25</v>
      </c>
      <c r="F388">
        <v>2</v>
      </c>
      <c r="G388" t="s">
        <v>865</v>
      </c>
      <c r="H388">
        <v>2</v>
      </c>
      <c r="I388" t="s">
        <v>528</v>
      </c>
      <c r="J388" t="s">
        <v>333</v>
      </c>
      <c r="K388">
        <v>1</v>
      </c>
      <c r="L388" t="s">
        <v>560</v>
      </c>
      <c r="M388">
        <v>25</v>
      </c>
      <c r="N388" s="195">
        <v>43831</v>
      </c>
      <c r="O388" s="195"/>
      <c r="R388" t="s">
        <v>333</v>
      </c>
      <c r="S388">
        <v>1</v>
      </c>
    </row>
    <row r="389" spans="1:19" x14ac:dyDescent="0.25">
      <c r="A389" t="str">
        <f>TableMJRUHUSPL[[#This Row],[Study Package Code]]</f>
        <v>EDSC4024</v>
      </c>
      <c r="B389" s="5">
        <f>TableMJRUHUSPL[[#This Row],[Ver]]</f>
        <v>1</v>
      </c>
      <c r="D389" t="str">
        <f>TableMJRUHUSPL[[#This Row],[Structure Line]]</f>
        <v>Curriculum and Instruction Lower Secondary: Humanities and Social Sciences</v>
      </c>
      <c r="E389" s="125">
        <f>TableMJRUHUSPL[[#This Row],[Credit Points]]</f>
        <v>25</v>
      </c>
      <c r="F389">
        <v>3</v>
      </c>
      <c r="G389" t="s">
        <v>865</v>
      </c>
      <c r="H389">
        <v>2</v>
      </c>
      <c r="I389" t="s">
        <v>528</v>
      </c>
      <c r="J389" t="s">
        <v>320</v>
      </c>
      <c r="K389">
        <v>1</v>
      </c>
      <c r="L389" t="s">
        <v>676</v>
      </c>
      <c r="M389">
        <v>25</v>
      </c>
      <c r="N389" s="195">
        <v>43466</v>
      </c>
      <c r="O389" s="195"/>
      <c r="R389" t="s">
        <v>320</v>
      </c>
      <c r="S389">
        <v>1</v>
      </c>
    </row>
    <row r="390" spans="1:19" x14ac:dyDescent="0.25">
      <c r="A390" t="str">
        <f>TableMJRUHUSPL[[#This Row],[Study Package Code]]</f>
        <v>EDSC4026</v>
      </c>
      <c r="B390" s="5">
        <f>TableMJRUHUSPL[[#This Row],[Ver]]</f>
        <v>2</v>
      </c>
      <c r="D390" t="str">
        <f>TableMJRUHUSPL[[#This Row],[Structure Line]]</f>
        <v>Curriculum and Instruction Senior Secondary: Humanities and Social Sciences</v>
      </c>
      <c r="E390" s="125">
        <f>TableMJRUHUSPL[[#This Row],[Credit Points]]</f>
        <v>25</v>
      </c>
      <c r="F390">
        <v>4</v>
      </c>
      <c r="G390" t="s">
        <v>865</v>
      </c>
      <c r="H390">
        <v>2</v>
      </c>
      <c r="I390" t="s">
        <v>529</v>
      </c>
      <c r="J390" t="s">
        <v>343</v>
      </c>
      <c r="K390">
        <v>2</v>
      </c>
      <c r="L390" t="s">
        <v>677</v>
      </c>
      <c r="M390">
        <v>25</v>
      </c>
      <c r="N390" s="195">
        <v>43831</v>
      </c>
      <c r="O390" s="195"/>
      <c r="R390" t="s">
        <v>343</v>
      </c>
      <c r="S390">
        <v>2</v>
      </c>
    </row>
    <row r="391" spans="1:19" x14ac:dyDescent="0.25">
      <c r="A391" t="str">
        <f>TableMJRUHUSPL[[#This Row],[Study Package Code]]</f>
        <v>ANTH3003</v>
      </c>
      <c r="B391" s="5">
        <f>TableMJRUHUSPL[[#This Row],[Ver]]</f>
        <v>1</v>
      </c>
      <c r="D391" t="str">
        <f>TableMJRUHUSPL[[#This Row],[Structure Line]]</f>
        <v>Human Rights and Social Justice</v>
      </c>
      <c r="E391" s="125">
        <f>TableMJRUHUSPL[[#This Row],[Credit Points]]</f>
        <v>25</v>
      </c>
      <c r="F391">
        <v>5</v>
      </c>
      <c r="G391" t="s">
        <v>865</v>
      </c>
      <c r="H391">
        <v>2</v>
      </c>
      <c r="I391" t="s">
        <v>529</v>
      </c>
      <c r="J391" t="s">
        <v>355</v>
      </c>
      <c r="K391">
        <v>1</v>
      </c>
      <c r="L391" t="s">
        <v>555</v>
      </c>
      <c r="M391">
        <v>25</v>
      </c>
      <c r="N391" s="195">
        <v>42005</v>
      </c>
      <c r="O391" s="195"/>
      <c r="R391" t="s">
        <v>355</v>
      </c>
      <c r="S391">
        <v>1</v>
      </c>
    </row>
    <row r="392" spans="1:19" x14ac:dyDescent="0.25">
      <c r="A392" t="str">
        <f>TableMJRUHUSPL[[#This Row],[Study Package Code]]</f>
        <v>AltCoreMJRUHUSPL</v>
      </c>
      <c r="B392" s="5">
        <f>TableMJRUHUSPL[[#This Row],[Ver]]</f>
        <v>0</v>
      </c>
      <c r="D392" t="str">
        <f>TableMJRUHUSPL[[#This Row],[Structure Line]]</f>
        <v>Choose INDS2004 or INDS2001</v>
      </c>
      <c r="E392" s="125">
        <f>TableMJRUHUSPL[[#This Row],[Credit Points]]</f>
        <v>25</v>
      </c>
      <c r="F392">
        <v>6</v>
      </c>
      <c r="G392" t="s">
        <v>865</v>
      </c>
      <c r="H392">
        <v>3</v>
      </c>
      <c r="I392" t="s">
        <v>528</v>
      </c>
      <c r="J392" t="s">
        <v>371</v>
      </c>
      <c r="K392">
        <v>0</v>
      </c>
      <c r="L392" t="s">
        <v>880</v>
      </c>
      <c r="M392">
        <v>25</v>
      </c>
      <c r="N392" s="195"/>
      <c r="O392" s="195"/>
      <c r="R392" t="s">
        <v>371</v>
      </c>
      <c r="S392">
        <v>0</v>
      </c>
    </row>
    <row r="393" spans="1:19" x14ac:dyDescent="0.25">
      <c r="A393" t="str">
        <f>TableMJRUHUSPL[[#This Row],[Study Package Code]]</f>
        <v>EDSC3009</v>
      </c>
      <c r="B393" s="5">
        <f>TableMJRUHUSPL[[#This Row],[Ver]]</f>
        <v>1</v>
      </c>
      <c r="D393" t="str">
        <f>TableMJRUHUSPL[[#This Row],[Structure Line]]</f>
        <v>Educating Adolescents: Diversity and Inclusion</v>
      </c>
      <c r="E393" s="125">
        <f>TableMJRUHUSPL[[#This Row],[Credit Points]]</f>
        <v>25</v>
      </c>
      <c r="F393">
        <v>7</v>
      </c>
      <c r="G393" t="s">
        <v>865</v>
      </c>
      <c r="H393">
        <v>3</v>
      </c>
      <c r="I393" t="s">
        <v>528</v>
      </c>
      <c r="J393" t="s">
        <v>360</v>
      </c>
      <c r="K393">
        <v>1</v>
      </c>
      <c r="L393" t="s">
        <v>666</v>
      </c>
      <c r="M393">
        <v>25</v>
      </c>
      <c r="N393" s="195">
        <v>43831</v>
      </c>
      <c r="O393" s="195"/>
      <c r="R393" t="s">
        <v>360</v>
      </c>
      <c r="S393">
        <v>1</v>
      </c>
    </row>
    <row r="394" spans="1:19" x14ac:dyDescent="0.25">
      <c r="A394" t="str">
        <f>TableMJRUHUSPL[[#This Row],[Study Package Code]]</f>
        <v>POLS3000</v>
      </c>
      <c r="B394" s="5">
        <f>TableMJRUHUSPL[[#This Row],[Ver]]</f>
        <v>1</v>
      </c>
      <c r="D394" t="str">
        <f>TableMJRUHUSPL[[#This Row],[Structure Line]]</f>
        <v>International Political Economy</v>
      </c>
      <c r="E394" s="125">
        <f>TableMJRUHUSPL[[#This Row],[Credit Points]]</f>
        <v>25</v>
      </c>
      <c r="F394">
        <v>8</v>
      </c>
      <c r="G394" t="s">
        <v>865</v>
      </c>
      <c r="H394">
        <v>3</v>
      </c>
      <c r="I394" t="s">
        <v>529</v>
      </c>
      <c r="J394" t="s">
        <v>385</v>
      </c>
      <c r="K394">
        <v>1</v>
      </c>
      <c r="L394" t="s">
        <v>797</v>
      </c>
      <c r="M394">
        <v>25</v>
      </c>
      <c r="N394" s="195">
        <v>42005</v>
      </c>
      <c r="O394" s="195"/>
      <c r="R394" t="s">
        <v>385</v>
      </c>
      <c r="S394">
        <v>1</v>
      </c>
    </row>
    <row r="395" spans="1:19" x14ac:dyDescent="0.25">
      <c r="A395" t="str">
        <f>TableMJRUHUSPL[[#This Row],[Study Package Code]]</f>
        <v>BLAW2011</v>
      </c>
      <c r="B395" s="5">
        <f>TableMJRUHUSPL[[#This Row],[Ver]]</f>
        <v>1</v>
      </c>
      <c r="D395" t="str">
        <f>TableMJRUHUSPL[[#This Row],[Structure Line]]</f>
        <v>Safety and Environmental Health Law</v>
      </c>
      <c r="E395" s="125">
        <f>TableMJRUHUSPL[[#This Row],[Credit Points]]</f>
        <v>25</v>
      </c>
      <c r="F395">
        <v>9</v>
      </c>
      <c r="G395" t="s">
        <v>865</v>
      </c>
      <c r="H395">
        <v>4</v>
      </c>
      <c r="I395" t="s">
        <v>528</v>
      </c>
      <c r="J395" t="s">
        <v>401</v>
      </c>
      <c r="K395">
        <v>1</v>
      </c>
      <c r="L395" t="s">
        <v>564</v>
      </c>
      <c r="M395">
        <v>25</v>
      </c>
      <c r="N395" s="195">
        <v>42005</v>
      </c>
      <c r="O395" s="195"/>
      <c r="R395" t="s">
        <v>561</v>
      </c>
      <c r="S395">
        <v>1</v>
      </c>
    </row>
    <row r="396" spans="1:19" x14ac:dyDescent="0.25">
      <c r="A396" t="str">
        <f>TableMJRUHUSPL[[#This Row],[Study Package Code]]</f>
        <v>Elective</v>
      </c>
      <c r="B396" s="5">
        <f>TableMJRUHUSPL[[#This Row],[Ver]]</f>
        <v>0</v>
      </c>
      <c r="D396" t="str">
        <f>TableMJRUHUSPL[[#This Row],[Structure Line]]</f>
        <v>Choose an Elective,  If you wish to choose STRU-MATHM Mathematics Education Minor Teaching Area Stream and have not achieved a Mathematics Methods ATAR or Equivalent you should choose MATH1014 as your elective.</v>
      </c>
      <c r="E396" s="125">
        <f>TableMJRUHUSPL[[#This Row],[Credit Points]]</f>
        <v>25</v>
      </c>
      <c r="F396">
        <v>10</v>
      </c>
      <c r="G396" t="s">
        <v>121</v>
      </c>
      <c r="H396">
        <v>4</v>
      </c>
      <c r="I396" t="s">
        <v>528</v>
      </c>
      <c r="J396" t="s">
        <v>121</v>
      </c>
      <c r="K396">
        <v>0</v>
      </c>
      <c r="L396" t="s">
        <v>878</v>
      </c>
      <c r="M396">
        <v>25</v>
      </c>
      <c r="N396" s="195"/>
      <c r="O396" s="195"/>
      <c r="R396" t="s">
        <v>121</v>
      </c>
      <c r="S396">
        <v>0</v>
      </c>
    </row>
    <row r="397" spans="1:19" x14ac:dyDescent="0.25">
      <c r="A397" t="str">
        <f>TableMJRUHUSPL[[#This Row],[Study Package Code]]</f>
        <v>Stream</v>
      </c>
      <c r="B397" s="5">
        <f>TableMJRUHUSPL[[#This Row],[Ver]]</f>
        <v>0</v>
      </c>
      <c r="D397" t="str">
        <f>TableMJRUHUSPL[[#This Row],[Structure Line]]</f>
        <v>Select one second specialisation stream to the total value of:</v>
      </c>
      <c r="E397" s="125">
        <f>TableMJRUHUSPL[[#This Row],[Credit Points]]</f>
        <v>150</v>
      </c>
      <c r="F397">
        <v>11</v>
      </c>
      <c r="G397" t="s">
        <v>865</v>
      </c>
      <c r="H397">
        <v>1</v>
      </c>
      <c r="I397" t="s">
        <v>529</v>
      </c>
      <c r="J397" t="s">
        <v>828</v>
      </c>
      <c r="K397">
        <v>0</v>
      </c>
      <c r="L397" t="s">
        <v>881</v>
      </c>
      <c r="M397">
        <v>150</v>
      </c>
      <c r="N397" s="195"/>
      <c r="O397" s="195"/>
      <c r="R397" t="s">
        <v>828</v>
      </c>
      <c r="S397">
        <v>0</v>
      </c>
    </row>
    <row r="398" spans="1:19" x14ac:dyDescent="0.25">
      <c r="A398" t="str">
        <f>TableMJRUHUSPL[[#This Row],[Study Package Code]]</f>
        <v>INDS2001</v>
      </c>
      <c r="B398" s="5">
        <f>TableMJRUHUSPL[[#This Row],[Ver]]</f>
        <v>1</v>
      </c>
      <c r="D398" t="str">
        <f>TableMJRUHUSPL[[#This Row],[Structure Line]]</f>
        <v>Indigenous Australian Land and Environments</v>
      </c>
      <c r="E398" s="125">
        <f>TableMJRUHUSPL[[#This Row],[Credit Points]]</f>
        <v>25</v>
      </c>
      <c r="F398">
        <v>6</v>
      </c>
      <c r="G398" t="s">
        <v>871</v>
      </c>
      <c r="H398">
        <v>3</v>
      </c>
      <c r="I398" t="s">
        <v>528</v>
      </c>
      <c r="J398" t="s">
        <v>414</v>
      </c>
      <c r="K398">
        <v>1</v>
      </c>
      <c r="L398" t="s">
        <v>750</v>
      </c>
      <c r="M398">
        <v>25</v>
      </c>
      <c r="N398" s="195">
        <v>42005</v>
      </c>
      <c r="O398" s="195"/>
      <c r="R398" t="s">
        <v>414</v>
      </c>
      <c r="S398">
        <v>1</v>
      </c>
    </row>
    <row r="399" spans="1:19" x14ac:dyDescent="0.25">
      <c r="A399" t="str">
        <f>TableMJRUHUSPL[[#This Row],[Study Package Code]]</f>
        <v>INDS2004</v>
      </c>
      <c r="B399" s="5">
        <f>TableMJRUHUSPL[[#This Row],[Ver]]</f>
        <v>2</v>
      </c>
      <c r="D399" t="str">
        <f>TableMJRUHUSPL[[#This Row],[Structure Line]]</f>
        <v>Listening to Country: First Nations’ Perspectives</v>
      </c>
      <c r="E399" s="125">
        <f>TableMJRUHUSPL[[#This Row],[Credit Points]]</f>
        <v>25</v>
      </c>
      <c r="F399">
        <v>6</v>
      </c>
      <c r="G399" t="s">
        <v>871</v>
      </c>
      <c r="H399">
        <v>3</v>
      </c>
      <c r="I399" t="s">
        <v>528</v>
      </c>
      <c r="J399" t="s">
        <v>417</v>
      </c>
      <c r="K399">
        <v>2</v>
      </c>
      <c r="L399" t="s">
        <v>751</v>
      </c>
      <c r="M399">
        <v>25</v>
      </c>
      <c r="N399" s="195">
        <v>44562</v>
      </c>
      <c r="O399" s="195"/>
      <c r="R399" t="s">
        <v>417</v>
      </c>
      <c r="S399">
        <v>2</v>
      </c>
    </row>
    <row r="400" spans="1:19" x14ac:dyDescent="0.25">
      <c r="A400" t="str">
        <f>TableMJRUHUSPL[[#This Row],[Study Package Code]]</f>
        <v>STRU-BSCIM</v>
      </c>
      <c r="B400" s="5">
        <f>TableMJRUHUSPL[[#This Row],[Ver]]</f>
        <v>2</v>
      </c>
      <c r="D400" t="str">
        <f>TableMJRUHUSPL[[#This Row],[Structure Line]]</f>
        <v>Biological Sciences Education Minor Teaching Area Stream (BEd Secondary)</v>
      </c>
      <c r="E400" s="125">
        <f>TableMJRUHUSPL[[#This Row],[Credit Points]]</f>
        <v>150</v>
      </c>
      <c r="F400">
        <v>11</v>
      </c>
      <c r="G400" t="s">
        <v>102</v>
      </c>
      <c r="H400">
        <v>1</v>
      </c>
      <c r="I400" t="s">
        <v>529</v>
      </c>
      <c r="J400" t="s">
        <v>193</v>
      </c>
      <c r="K400">
        <v>2</v>
      </c>
      <c r="L400" t="s">
        <v>243</v>
      </c>
      <c r="M400">
        <v>150</v>
      </c>
      <c r="N400" s="195">
        <v>43466</v>
      </c>
      <c r="O400" s="195"/>
      <c r="R400" t="s">
        <v>193</v>
      </c>
      <c r="S400">
        <v>2</v>
      </c>
    </row>
    <row r="401" spans="1:19" x14ac:dyDescent="0.25">
      <c r="A401" t="str">
        <f>TableMJRUHUSPL[[#This Row],[Study Package Code]]</f>
        <v>STRU-EDHAS</v>
      </c>
      <c r="B401" s="5">
        <f>TableMJRUHUSPL[[#This Row],[Ver]]</f>
        <v>2</v>
      </c>
      <c r="D401" t="str">
        <f>TableMJRUHUSPL[[#This Row],[Structure Line]]</f>
        <v>Education Speciality and Humanities and Social Science Teaching Area Stream (BEd Secondary)</v>
      </c>
      <c r="E401" s="125">
        <f>TableMJRUHUSPL[[#This Row],[Credit Points]]</f>
        <v>150</v>
      </c>
      <c r="F401">
        <v>11</v>
      </c>
      <c r="G401" t="s">
        <v>102</v>
      </c>
      <c r="H401">
        <v>1</v>
      </c>
      <c r="I401" t="s">
        <v>529</v>
      </c>
      <c r="J401" t="s">
        <v>253</v>
      </c>
      <c r="K401">
        <v>2</v>
      </c>
      <c r="L401" t="s">
        <v>252</v>
      </c>
      <c r="M401">
        <v>150</v>
      </c>
      <c r="N401" s="195">
        <v>43466</v>
      </c>
      <c r="O401" s="195"/>
      <c r="R401" t="s">
        <v>253</v>
      </c>
      <c r="S401">
        <v>2</v>
      </c>
    </row>
    <row r="402" spans="1:19" x14ac:dyDescent="0.25">
      <c r="A402" t="str">
        <f>TableMJRUHUSPL[[#This Row],[Study Package Code]]</f>
        <v>STRU-ENGLM</v>
      </c>
      <c r="B402" s="5">
        <f>TableMJRUHUSPL[[#This Row],[Ver]]</f>
        <v>3</v>
      </c>
      <c r="D402" t="str">
        <f>TableMJRUHUSPL[[#This Row],[Structure Line]]</f>
        <v>English Education Minor Teaching Area Stream (BEd Secondary)</v>
      </c>
      <c r="E402" s="125">
        <f>TableMJRUHUSPL[[#This Row],[Credit Points]]</f>
        <v>150</v>
      </c>
      <c r="F402">
        <v>11</v>
      </c>
      <c r="G402" t="s">
        <v>102</v>
      </c>
      <c r="H402">
        <v>1</v>
      </c>
      <c r="I402" t="s">
        <v>529</v>
      </c>
      <c r="J402" t="s">
        <v>197</v>
      </c>
      <c r="K402">
        <v>3</v>
      </c>
      <c r="L402" t="s">
        <v>260</v>
      </c>
      <c r="M402">
        <v>150</v>
      </c>
      <c r="N402" s="195">
        <v>44562</v>
      </c>
      <c r="O402" s="195"/>
      <c r="R402" t="s">
        <v>197</v>
      </c>
      <c r="S402">
        <v>3</v>
      </c>
    </row>
    <row r="403" spans="1:19" x14ac:dyDescent="0.25">
      <c r="A403" t="str">
        <f>TableMJRUHUSPL[[#This Row],[Study Package Code]]</f>
        <v>STRU-MATHM</v>
      </c>
      <c r="B403" s="5">
        <f>TableMJRUHUSPL[[#This Row],[Ver]]</f>
        <v>2</v>
      </c>
      <c r="D403" t="str">
        <f>TableMJRUHUSPL[[#This Row],[Structure Line]]</f>
        <v>Mathematics Education Minor Teaching Area Stream (BEd Secondary)</v>
      </c>
      <c r="E403" s="125">
        <f>TableMJRUHUSPL[[#This Row],[Credit Points]]</f>
        <v>150</v>
      </c>
      <c r="F403">
        <v>11</v>
      </c>
      <c r="G403" t="s">
        <v>102</v>
      </c>
      <c r="H403">
        <v>1</v>
      </c>
      <c r="I403" t="s">
        <v>529</v>
      </c>
      <c r="J403" t="s">
        <v>202</v>
      </c>
      <c r="K403">
        <v>2</v>
      </c>
      <c r="L403" t="s">
        <v>184</v>
      </c>
      <c r="M403">
        <v>150</v>
      </c>
      <c r="N403" s="195">
        <v>43466</v>
      </c>
      <c r="O403" s="195"/>
      <c r="R403" t="s">
        <v>202</v>
      </c>
      <c r="S403">
        <v>2</v>
      </c>
    </row>
    <row r="404" spans="1:19" x14ac:dyDescent="0.25">
      <c r="A404" t="str">
        <f>TableMJRUHUSPL[[#This Row],[Study Package Code]]</f>
        <v>STRU-PARTM</v>
      </c>
      <c r="B404" s="5">
        <f>TableMJRUHUSPL[[#This Row],[Ver]]</f>
        <v>2</v>
      </c>
      <c r="D404" t="str">
        <f>TableMJRUHUSPL[[#This Row],[Structure Line]]</f>
        <v>The Arts - Performing Arts Education Minor Teaching Area Stream (BEd Secondary)</v>
      </c>
      <c r="E404" s="125">
        <f>TableMJRUHUSPL[[#This Row],[Credit Points]]</f>
        <v>150</v>
      </c>
      <c r="F404">
        <v>11</v>
      </c>
      <c r="G404" t="s">
        <v>102</v>
      </c>
      <c r="H404">
        <v>1</v>
      </c>
      <c r="I404" t="s">
        <v>529</v>
      </c>
      <c r="J404" t="s">
        <v>261</v>
      </c>
      <c r="K404">
        <v>2</v>
      </c>
      <c r="L404" t="s">
        <v>359</v>
      </c>
      <c r="M404">
        <v>150</v>
      </c>
      <c r="N404" s="195">
        <v>43466</v>
      </c>
      <c r="O404" s="195"/>
      <c r="R404" t="s">
        <v>261</v>
      </c>
      <c r="S404">
        <v>2</v>
      </c>
    </row>
    <row r="405" spans="1:19" x14ac:dyDescent="0.25">
      <c r="A405" t="str">
        <f>TableMJRUHUSPL[[#This Row],[Study Package Code]]</f>
        <v>STRU-POLB1</v>
      </c>
      <c r="B405" s="5">
        <f>TableMJRUHUSPL[[#This Row],[Ver]]</f>
        <v>1</v>
      </c>
      <c r="D405" t="str">
        <f>TableMJRUHUSPL[[#This Row],[Structure Line]]</f>
        <v>Broadening Humanities and Social Sciences for Politics and Law Teaching Area Stream (BEd Secondary)</v>
      </c>
      <c r="E405" s="125">
        <f>TableMJRUHUSPL[[#This Row],[Credit Points]]</f>
        <v>150</v>
      </c>
      <c r="F405">
        <v>11</v>
      </c>
      <c r="G405" t="s">
        <v>102</v>
      </c>
      <c r="H405">
        <v>1</v>
      </c>
      <c r="I405" t="s">
        <v>529</v>
      </c>
      <c r="J405" t="s">
        <v>362</v>
      </c>
      <c r="K405">
        <v>1</v>
      </c>
      <c r="L405" t="s">
        <v>361</v>
      </c>
      <c r="M405">
        <v>150</v>
      </c>
      <c r="N405" s="195">
        <v>43466</v>
      </c>
      <c r="O405" s="195"/>
      <c r="R405" t="s">
        <v>362</v>
      </c>
      <c r="S405">
        <v>1</v>
      </c>
    </row>
    <row r="406" spans="1:19" x14ac:dyDescent="0.25">
      <c r="A406" t="str">
        <f>TableMJRUHUSPL[[#This Row],[Study Package Code]]</f>
        <v>STRU-PSCIM</v>
      </c>
      <c r="B406" s="5">
        <f>TableMJRUHUSPL[[#This Row],[Ver]]</f>
        <v>2</v>
      </c>
      <c r="D406" t="str">
        <f>TableMJRUHUSPL[[#This Row],[Structure Line]]</f>
        <v>Physical Sciences Education Minor Teaching Area Stream (BEd Secondary)</v>
      </c>
      <c r="E406" s="125">
        <f>TableMJRUHUSPL[[#This Row],[Credit Points]]</f>
        <v>150</v>
      </c>
      <c r="F406">
        <v>11</v>
      </c>
      <c r="G406" t="s">
        <v>102</v>
      </c>
      <c r="H406">
        <v>1</v>
      </c>
      <c r="I406" t="s">
        <v>529</v>
      </c>
      <c r="J406" t="s">
        <v>208</v>
      </c>
      <c r="K406">
        <v>2</v>
      </c>
      <c r="L406" t="s">
        <v>376</v>
      </c>
      <c r="M406">
        <v>150</v>
      </c>
      <c r="N406" s="195">
        <v>43466</v>
      </c>
      <c r="O406" s="195"/>
      <c r="R406" t="s">
        <v>208</v>
      </c>
      <c r="S406">
        <v>2</v>
      </c>
    </row>
    <row r="407" spans="1:19" x14ac:dyDescent="0.25">
      <c r="A407" t="str">
        <f>TableMJRUHUSPL[[#This Row],[Study Package Code]]</f>
        <v>STRU-PSYCM</v>
      </c>
      <c r="B407" s="5">
        <f>TableMJRUHUSPL[[#This Row],[Ver]]</f>
        <v>2</v>
      </c>
      <c r="D407" t="str">
        <f>TableMJRUHUSPL[[#This Row],[Structure Line]]</f>
        <v>Psychology Education Minor Teaching Area Stream (BEd Secondary)</v>
      </c>
      <c r="E407" s="125">
        <f>TableMJRUHUSPL[[#This Row],[Credit Points]]</f>
        <v>150</v>
      </c>
      <c r="F407">
        <v>11</v>
      </c>
      <c r="G407" t="s">
        <v>102</v>
      </c>
      <c r="H407">
        <v>1</v>
      </c>
      <c r="I407" t="s">
        <v>529</v>
      </c>
      <c r="J407" t="s">
        <v>212</v>
      </c>
      <c r="K407">
        <v>2</v>
      </c>
      <c r="L407" t="s">
        <v>407</v>
      </c>
      <c r="M407">
        <v>150</v>
      </c>
      <c r="N407" s="195">
        <v>43466</v>
      </c>
      <c r="O407" s="195"/>
      <c r="R407" t="s">
        <v>212</v>
      </c>
      <c r="S407">
        <v>2</v>
      </c>
    </row>
    <row r="408" spans="1:19" x14ac:dyDescent="0.25">
      <c r="A408" t="str">
        <f>TableMJRUHUSPL[[#This Row],[Study Package Code]]</f>
        <v>STRU-VARTM</v>
      </c>
      <c r="B408" s="5">
        <f>TableMJRUHUSPL[[#This Row],[Ver]]</f>
        <v>2</v>
      </c>
      <c r="D408" t="str">
        <f>TableMJRUHUSPL[[#This Row],[Structure Line]]</f>
        <v>The Arts - Visual Arts Education Minor Teaching Area Stream (BEd Secondary)</v>
      </c>
      <c r="E408" s="125">
        <f>TableMJRUHUSPL[[#This Row],[Credit Points]]</f>
        <v>150</v>
      </c>
      <c r="F408">
        <v>11</v>
      </c>
      <c r="G408" t="s">
        <v>102</v>
      </c>
      <c r="H408">
        <v>1</v>
      </c>
      <c r="I408" t="s">
        <v>529</v>
      </c>
      <c r="J408" t="s">
        <v>315</v>
      </c>
      <c r="K408">
        <v>2</v>
      </c>
      <c r="L408" t="s">
        <v>413</v>
      </c>
      <c r="M408">
        <v>150</v>
      </c>
      <c r="N408" s="195">
        <v>43466</v>
      </c>
      <c r="O408" s="195"/>
      <c r="R408" t="s">
        <v>315</v>
      </c>
      <c r="S408">
        <v>2</v>
      </c>
    </row>
    <row r="409" spans="1:19" x14ac:dyDescent="0.25">
      <c r="A409" s="122"/>
      <c r="B409" s="124"/>
      <c r="C409" s="122"/>
      <c r="D409" s="122"/>
      <c r="G409" s="123" t="s">
        <v>855</v>
      </c>
      <c r="H409" s="199">
        <v>43101</v>
      </c>
      <c r="J409" s="197" t="s">
        <v>227</v>
      </c>
      <c r="K409" s="124" t="s">
        <v>67</v>
      </c>
      <c r="L409" s="122" t="s">
        <v>226</v>
      </c>
      <c r="M409" s="122"/>
    </row>
    <row r="410" spans="1:19" ht="31.5" x14ac:dyDescent="0.25">
      <c r="A410" s="159" t="s">
        <v>0</v>
      </c>
      <c r="B410" s="160" t="s">
        <v>60</v>
      </c>
      <c r="C410" s="159" t="s">
        <v>856</v>
      </c>
      <c r="D410" s="159" t="s">
        <v>3</v>
      </c>
      <c r="E410" s="161" t="s">
        <v>857</v>
      </c>
      <c r="F410" s="159" t="s">
        <v>858</v>
      </c>
      <c r="G410" s="159" t="s">
        <v>859</v>
      </c>
      <c r="H410" s="159" t="s">
        <v>860</v>
      </c>
      <c r="I410" s="159" t="s">
        <v>17</v>
      </c>
      <c r="J410" s="159" t="s">
        <v>861</v>
      </c>
      <c r="K410" s="159" t="s">
        <v>1</v>
      </c>
      <c r="L410" s="159" t="s">
        <v>44</v>
      </c>
      <c r="M410" s="159" t="s">
        <v>61</v>
      </c>
      <c r="N410" s="159" t="s">
        <v>862</v>
      </c>
      <c r="O410" s="159" t="s">
        <v>863</v>
      </c>
      <c r="R410" t="s">
        <v>538</v>
      </c>
      <c r="S410" t="s">
        <v>864</v>
      </c>
    </row>
    <row r="411" spans="1:19" x14ac:dyDescent="0.25">
      <c r="A411" t="str">
        <f>TableMJRUMATHT[[#This Row],[Study Package Code]]</f>
        <v>MATH1016</v>
      </c>
      <c r="B411" s="5">
        <f>TableMJRUMATHT[[#This Row],[Ver]]</f>
        <v>1</v>
      </c>
      <c r="D411" t="str">
        <f>TableMJRUMATHT[[#This Row],[Structure Line]]</f>
        <v>Calculus 1</v>
      </c>
      <c r="E411" s="125">
        <f>TableMJRUMATHT[[#This Row],[Credit Points]]</f>
        <v>25</v>
      </c>
      <c r="F411">
        <v>1</v>
      </c>
      <c r="G411" t="s">
        <v>865</v>
      </c>
      <c r="H411">
        <v>1</v>
      </c>
      <c r="I411" t="s">
        <v>529</v>
      </c>
      <c r="J411" t="s">
        <v>308</v>
      </c>
      <c r="K411">
        <v>1</v>
      </c>
      <c r="L411" t="s">
        <v>767</v>
      </c>
      <c r="M411">
        <v>25</v>
      </c>
      <c r="N411" s="195">
        <v>42736</v>
      </c>
      <c r="O411" s="195"/>
      <c r="R411" t="s">
        <v>308</v>
      </c>
      <c r="S411">
        <v>1</v>
      </c>
    </row>
    <row r="412" spans="1:19" x14ac:dyDescent="0.25">
      <c r="A412" t="str">
        <f>TableMJRUMATHT[[#This Row],[Study Package Code]]</f>
        <v>EDSC4020</v>
      </c>
      <c r="B412" s="5">
        <f>TableMJRUMATHT[[#This Row],[Ver]]</f>
        <v>1</v>
      </c>
      <c r="D412" t="str">
        <f>TableMJRUMATHT[[#This Row],[Structure Line]]</f>
        <v>Curriculum and Instruction Lower Secondary: Mathematics</v>
      </c>
      <c r="E412" s="125">
        <f>TableMJRUMATHT[[#This Row],[Credit Points]]</f>
        <v>25</v>
      </c>
      <c r="F412">
        <v>2</v>
      </c>
      <c r="G412" t="s">
        <v>865</v>
      </c>
      <c r="H412">
        <v>2</v>
      </c>
      <c r="I412" t="s">
        <v>528</v>
      </c>
      <c r="J412" t="s">
        <v>321</v>
      </c>
      <c r="K412">
        <v>1</v>
      </c>
      <c r="L412" t="s">
        <v>670</v>
      </c>
      <c r="M412">
        <v>25</v>
      </c>
      <c r="N412" s="195">
        <v>43466</v>
      </c>
      <c r="O412" s="195"/>
      <c r="R412" t="s">
        <v>321</v>
      </c>
      <c r="S412">
        <v>1</v>
      </c>
    </row>
    <row r="413" spans="1:19" x14ac:dyDescent="0.25">
      <c r="A413" t="str">
        <f>TableMJRUMATHT[[#This Row],[Study Package Code]]</f>
        <v>STAT1005</v>
      </c>
      <c r="B413" s="5">
        <f>TableMJRUMATHT[[#This Row],[Ver]]</f>
        <v>1</v>
      </c>
      <c r="D413" t="str">
        <f>TableMJRUMATHT[[#This Row],[Structure Line]]</f>
        <v>Introduction to Probability and Data Analysis</v>
      </c>
      <c r="E413" s="125">
        <f>TableMJRUMATHT[[#This Row],[Credit Points]]</f>
        <v>25</v>
      </c>
      <c r="F413">
        <v>3</v>
      </c>
      <c r="G413" t="s">
        <v>865</v>
      </c>
      <c r="H413">
        <v>2</v>
      </c>
      <c r="I413" t="s">
        <v>528</v>
      </c>
      <c r="J413" t="s">
        <v>334</v>
      </c>
      <c r="K413">
        <v>1</v>
      </c>
      <c r="L413" t="s">
        <v>823</v>
      </c>
      <c r="M413">
        <v>25</v>
      </c>
      <c r="N413" s="195">
        <v>43831</v>
      </c>
      <c r="O413" s="195"/>
      <c r="R413" t="s">
        <v>334</v>
      </c>
      <c r="S413">
        <v>1</v>
      </c>
    </row>
    <row r="414" spans="1:19" x14ac:dyDescent="0.25">
      <c r="A414" t="str">
        <f>TableMJRUMATHT[[#This Row],[Study Package Code]]</f>
        <v>EDSC4021</v>
      </c>
      <c r="B414" s="5">
        <f>TableMJRUMATHT[[#This Row],[Ver]]</f>
        <v>2</v>
      </c>
      <c r="D414" t="str">
        <f>TableMJRUMATHT[[#This Row],[Structure Line]]</f>
        <v>Curriculum and Instruction Senior Secondary: Mathematics</v>
      </c>
      <c r="E414" s="125">
        <f>TableMJRUMATHT[[#This Row],[Credit Points]]</f>
        <v>25</v>
      </c>
      <c r="F414">
        <v>4</v>
      </c>
      <c r="G414" t="s">
        <v>865</v>
      </c>
      <c r="H414">
        <v>2</v>
      </c>
      <c r="I414" t="s">
        <v>529</v>
      </c>
      <c r="J414" t="s">
        <v>344</v>
      </c>
      <c r="K414">
        <v>2</v>
      </c>
      <c r="L414" t="s">
        <v>673</v>
      </c>
      <c r="M414">
        <v>25</v>
      </c>
      <c r="N414" s="195">
        <v>43831</v>
      </c>
      <c r="O414" s="195"/>
      <c r="R414" t="s">
        <v>344</v>
      </c>
      <c r="S414">
        <v>2</v>
      </c>
    </row>
    <row r="415" spans="1:19" x14ac:dyDescent="0.25">
      <c r="A415" t="str">
        <f>TableMJRUMATHT[[#This Row],[Study Package Code]]</f>
        <v>MATH2000</v>
      </c>
      <c r="B415" s="5">
        <f>TableMJRUMATHT[[#This Row],[Ver]]</f>
        <v>1</v>
      </c>
      <c r="D415" t="str">
        <f>TableMJRUMATHT[[#This Row],[Structure Line]]</f>
        <v>Network Optimisation</v>
      </c>
      <c r="E415" s="125">
        <f>TableMJRUMATHT[[#This Row],[Credit Points]]</f>
        <v>25</v>
      </c>
      <c r="F415">
        <v>5</v>
      </c>
      <c r="G415" t="s">
        <v>865</v>
      </c>
      <c r="H415">
        <v>2</v>
      </c>
      <c r="I415" t="s">
        <v>529</v>
      </c>
      <c r="J415" t="s">
        <v>347</v>
      </c>
      <c r="K415">
        <v>1</v>
      </c>
      <c r="L415" t="s">
        <v>768</v>
      </c>
      <c r="M415">
        <v>25</v>
      </c>
      <c r="N415" s="195">
        <v>42005</v>
      </c>
      <c r="O415" s="195"/>
      <c r="R415" t="s">
        <v>347</v>
      </c>
      <c r="S415">
        <v>1</v>
      </c>
    </row>
    <row r="416" spans="1:19" x14ac:dyDescent="0.25">
      <c r="A416" t="str">
        <f>TableMJRUMATHT[[#This Row],[Study Package Code]]</f>
        <v>MATH2009</v>
      </c>
      <c r="B416" s="5">
        <f>TableMJRUMATHT[[#This Row],[Ver]]</f>
        <v>2</v>
      </c>
      <c r="D416" t="str">
        <f>TableMJRUMATHT[[#This Row],[Structure Line]]</f>
        <v>Calculus 2</v>
      </c>
      <c r="E416" s="125">
        <f>TableMJRUMATHT[[#This Row],[Credit Points]]</f>
        <v>25</v>
      </c>
      <c r="F416">
        <v>6</v>
      </c>
      <c r="G416" t="s">
        <v>865</v>
      </c>
      <c r="H416">
        <v>3</v>
      </c>
      <c r="I416" t="s">
        <v>528</v>
      </c>
      <c r="J416" t="s">
        <v>325</v>
      </c>
      <c r="K416">
        <v>2</v>
      </c>
      <c r="L416" t="s">
        <v>769</v>
      </c>
      <c r="M416">
        <v>25</v>
      </c>
      <c r="N416" s="195">
        <v>42736</v>
      </c>
      <c r="O416" s="195"/>
      <c r="R416" t="s">
        <v>325</v>
      </c>
      <c r="S416">
        <v>2</v>
      </c>
    </row>
    <row r="417" spans="1:19" x14ac:dyDescent="0.25">
      <c r="A417" t="str">
        <f>TableMJRUMATHT[[#This Row],[Study Package Code]]</f>
        <v>EDSC3009</v>
      </c>
      <c r="B417" s="5">
        <f>TableMJRUMATHT[[#This Row],[Ver]]</f>
        <v>1</v>
      </c>
      <c r="D417" t="str">
        <f>TableMJRUMATHT[[#This Row],[Structure Line]]</f>
        <v>Educating Adolescents: Diversity and Inclusion</v>
      </c>
      <c r="E417" s="125">
        <f>TableMJRUMATHT[[#This Row],[Credit Points]]</f>
        <v>25</v>
      </c>
      <c r="F417">
        <v>7</v>
      </c>
      <c r="G417" t="s">
        <v>865</v>
      </c>
      <c r="H417">
        <v>3</v>
      </c>
      <c r="I417" t="s">
        <v>528</v>
      </c>
      <c r="J417" t="s">
        <v>360</v>
      </c>
      <c r="K417">
        <v>1</v>
      </c>
      <c r="L417" t="s">
        <v>666</v>
      </c>
      <c r="M417">
        <v>25</v>
      </c>
      <c r="N417" s="195">
        <v>43831</v>
      </c>
      <c r="O417" s="195"/>
      <c r="R417" t="s">
        <v>360</v>
      </c>
      <c r="S417">
        <v>1</v>
      </c>
    </row>
    <row r="418" spans="1:19" x14ac:dyDescent="0.25">
      <c r="A418" t="str">
        <f>TableMJRUMATHT[[#This Row],[Study Package Code]]</f>
        <v>MATH3001</v>
      </c>
      <c r="B418" s="5">
        <f>TableMJRUMATHT[[#This Row],[Ver]]</f>
        <v>1</v>
      </c>
      <c r="D418" t="str">
        <f>TableMJRUMATHT[[#This Row],[Structure Line]]</f>
        <v>Applied Mathematical Modelling</v>
      </c>
      <c r="E418" s="125">
        <f>TableMJRUMATHT[[#This Row],[Credit Points]]</f>
        <v>25</v>
      </c>
      <c r="F418">
        <v>8</v>
      </c>
      <c r="G418" t="s">
        <v>865</v>
      </c>
      <c r="H418">
        <v>3</v>
      </c>
      <c r="I418" t="s">
        <v>529</v>
      </c>
      <c r="J418" t="s">
        <v>378</v>
      </c>
      <c r="K418">
        <v>1</v>
      </c>
      <c r="L418" t="s">
        <v>770</v>
      </c>
      <c r="M418">
        <v>25</v>
      </c>
      <c r="N418" s="195">
        <v>42005</v>
      </c>
      <c r="O418" s="195"/>
      <c r="R418" t="s">
        <v>378</v>
      </c>
      <c r="S418">
        <v>1</v>
      </c>
    </row>
    <row r="419" spans="1:19" x14ac:dyDescent="0.25">
      <c r="A419" t="str">
        <f>TableMJRUMATHT[[#This Row],[Study Package Code]]</f>
        <v>MATH3011</v>
      </c>
      <c r="B419" s="5">
        <f>TableMJRUMATHT[[#This Row],[Ver]]</f>
        <v>1</v>
      </c>
      <c r="D419" t="str">
        <f>TableMJRUMATHT[[#This Row],[Structure Line]]</f>
        <v>Present and Future Mathematics</v>
      </c>
      <c r="E419" s="125">
        <f>TableMJRUMATHT[[#This Row],[Credit Points]]</f>
        <v>25</v>
      </c>
      <c r="F419">
        <v>9</v>
      </c>
      <c r="G419" t="s">
        <v>865</v>
      </c>
      <c r="H419">
        <v>4</v>
      </c>
      <c r="I419" t="s">
        <v>528</v>
      </c>
      <c r="J419" t="s">
        <v>402</v>
      </c>
      <c r="K419">
        <v>1</v>
      </c>
      <c r="L419" t="s">
        <v>771</v>
      </c>
      <c r="M419">
        <v>25</v>
      </c>
      <c r="N419" s="195">
        <v>44562</v>
      </c>
      <c r="O419" s="195"/>
      <c r="R419" t="s">
        <v>402</v>
      </c>
      <c r="S419">
        <v>1</v>
      </c>
    </row>
    <row r="420" spans="1:19" x14ac:dyDescent="0.25">
      <c r="A420" t="str">
        <f>TableMJRUMATHT[[#This Row],[Study Package Code]]</f>
        <v>Stream</v>
      </c>
      <c r="B420" s="5">
        <f>TableMJRUMATHT[[#This Row],[Ver]]</f>
        <v>0</v>
      </c>
      <c r="D420" t="str">
        <f>TableMJRUMATHT[[#This Row],[Structure Line]]</f>
        <v>Choose your Minor Teaching Area Specialisation</v>
      </c>
      <c r="E420" s="125">
        <f>TableMJRUMATHT[[#This Row],[Credit Points]]</f>
        <v>150</v>
      </c>
      <c r="F420">
        <v>10</v>
      </c>
      <c r="G420" t="s">
        <v>102</v>
      </c>
      <c r="H420">
        <v>1</v>
      </c>
      <c r="I420" t="s">
        <v>529</v>
      </c>
      <c r="J420" t="s">
        <v>828</v>
      </c>
      <c r="K420">
        <v>0</v>
      </c>
      <c r="L420" t="s">
        <v>877</v>
      </c>
      <c r="M420">
        <v>150</v>
      </c>
      <c r="N420" s="195"/>
      <c r="O420" s="195"/>
      <c r="R420" t="s">
        <v>828</v>
      </c>
      <c r="S420">
        <v>0</v>
      </c>
    </row>
    <row r="421" spans="1:19" x14ac:dyDescent="0.25">
      <c r="A421" t="str">
        <f>TableMJRUMATHT[[#This Row],[Study Package Code]]</f>
        <v>Elective</v>
      </c>
      <c r="B421" s="5">
        <f>TableMJRUMATHT[[#This Row],[Ver]]</f>
        <v>0</v>
      </c>
      <c r="D421" t="str">
        <f>TableMJRUMATHT[[#This Row],[Structure Line]]</f>
        <v>Choose an Elective,  If you wish to choose STRU-MATHM Mathematics Education Minor Teaching Area Stream and have not achieved a Mathematics Methods ATAR or Equivalent you should choose MATH1014 as your elective.</v>
      </c>
      <c r="E421" s="125">
        <f>TableMJRUMATHT[[#This Row],[Credit Points]]</f>
        <v>25</v>
      </c>
      <c r="F421">
        <v>11</v>
      </c>
      <c r="G421" t="s">
        <v>121</v>
      </c>
      <c r="H421">
        <v>4</v>
      </c>
      <c r="I421" t="s">
        <v>528</v>
      </c>
      <c r="J421" t="s">
        <v>121</v>
      </c>
      <c r="K421">
        <v>0</v>
      </c>
      <c r="L421" t="s">
        <v>878</v>
      </c>
      <c r="M421">
        <v>25</v>
      </c>
      <c r="N421" s="195"/>
      <c r="O421" s="195"/>
      <c r="R421" t="s">
        <v>121</v>
      </c>
      <c r="S421">
        <v>0</v>
      </c>
    </row>
    <row r="422" spans="1:19" x14ac:dyDescent="0.25">
      <c r="A422" t="str">
        <f>TableMJRUMATHT[[#This Row],[Study Package Code]]</f>
        <v>STRU-BSCIM</v>
      </c>
      <c r="B422" s="5">
        <f>TableMJRUMATHT[[#This Row],[Ver]]</f>
        <v>2</v>
      </c>
      <c r="D422" t="str">
        <f>TableMJRUMATHT[[#This Row],[Structure Line]]</f>
        <v>Biological Sciences Education Minor Teaching Area Stream (BEd Secondary)</v>
      </c>
      <c r="E422" s="125">
        <f>TableMJRUMATHT[[#This Row],[Credit Points]]</f>
        <v>150</v>
      </c>
      <c r="F422">
        <v>10</v>
      </c>
      <c r="G422" t="s">
        <v>102</v>
      </c>
      <c r="H422">
        <v>1</v>
      </c>
      <c r="I422" t="s">
        <v>529</v>
      </c>
      <c r="J422" t="s">
        <v>193</v>
      </c>
      <c r="K422">
        <v>2</v>
      </c>
      <c r="L422" t="s">
        <v>243</v>
      </c>
      <c r="M422">
        <v>150</v>
      </c>
      <c r="N422" s="195">
        <v>43466</v>
      </c>
      <c r="O422" s="195"/>
      <c r="R422" t="s">
        <v>193</v>
      </c>
      <c r="S422">
        <v>2</v>
      </c>
    </row>
    <row r="423" spans="1:19" x14ac:dyDescent="0.25">
      <c r="A423" t="str">
        <f>TableMJRUMATHT[[#This Row],[Study Package Code]]</f>
        <v>STRU-EDMAT</v>
      </c>
      <c r="B423" s="5">
        <f>TableMJRUMATHT[[#This Row],[Ver]]</f>
        <v>2</v>
      </c>
      <c r="D423" t="str">
        <f>TableMJRUMATHT[[#This Row],[Structure Line]]</f>
        <v>Education Speciality and Mathematics Teaching Area Stream (BEd Secondary)</v>
      </c>
      <c r="E423" s="125">
        <f>TableMJRUMATHT[[#This Row],[Credit Points]]</f>
        <v>150</v>
      </c>
      <c r="F423">
        <v>10</v>
      </c>
      <c r="G423" t="s">
        <v>102</v>
      </c>
      <c r="H423">
        <v>1</v>
      </c>
      <c r="I423" t="s">
        <v>529</v>
      </c>
      <c r="J423" t="s">
        <v>255</v>
      </c>
      <c r="K423">
        <v>2</v>
      </c>
      <c r="L423" t="s">
        <v>254</v>
      </c>
      <c r="M423">
        <v>150</v>
      </c>
      <c r="N423" s="195">
        <v>43466</v>
      </c>
      <c r="O423" s="195"/>
      <c r="R423" t="s">
        <v>255</v>
      </c>
      <c r="S423">
        <v>2</v>
      </c>
    </row>
    <row r="424" spans="1:19" x14ac:dyDescent="0.25">
      <c r="A424" t="str">
        <f>TableMJRUMATHT[[#This Row],[Study Package Code]]</f>
        <v>STRU-ENGLM</v>
      </c>
      <c r="B424" s="5">
        <f>TableMJRUMATHT[[#This Row],[Ver]]</f>
        <v>3</v>
      </c>
      <c r="D424" t="str">
        <f>TableMJRUMATHT[[#This Row],[Structure Line]]</f>
        <v>English Education Minor Teaching Area Stream (BEd Secondary)</v>
      </c>
      <c r="E424" s="125">
        <f>TableMJRUMATHT[[#This Row],[Credit Points]]</f>
        <v>150</v>
      </c>
      <c r="F424">
        <v>10</v>
      </c>
      <c r="G424" t="s">
        <v>102</v>
      </c>
      <c r="H424">
        <v>1</v>
      </c>
      <c r="I424" t="s">
        <v>529</v>
      </c>
      <c r="J424" t="s">
        <v>197</v>
      </c>
      <c r="K424">
        <v>3</v>
      </c>
      <c r="L424" t="s">
        <v>260</v>
      </c>
      <c r="M424">
        <v>150</v>
      </c>
      <c r="N424" s="195">
        <v>44562</v>
      </c>
      <c r="O424" s="195"/>
      <c r="R424" t="s">
        <v>197</v>
      </c>
      <c r="S424">
        <v>3</v>
      </c>
    </row>
    <row r="425" spans="1:19" x14ac:dyDescent="0.25">
      <c r="A425" t="str">
        <f>TableMJRUMATHT[[#This Row],[Study Package Code]]</f>
        <v>STRU-HUMAM</v>
      </c>
      <c r="B425" s="5">
        <f>TableMJRUMATHT[[#This Row],[Ver]]</f>
        <v>2</v>
      </c>
      <c r="D425" t="str">
        <f>TableMJRUMATHT[[#This Row],[Structure Line]]</f>
        <v>Humanities and Social Sciences - Humanities Education Minor Teaching Area Stream (BEd Secondary)</v>
      </c>
      <c r="E425" s="125">
        <f>TableMJRUMATHT[[#This Row],[Credit Points]]</f>
        <v>150</v>
      </c>
      <c r="F425">
        <v>10</v>
      </c>
      <c r="G425" t="s">
        <v>102</v>
      </c>
      <c r="H425">
        <v>1</v>
      </c>
      <c r="I425" t="s">
        <v>529</v>
      </c>
      <c r="J425" t="s">
        <v>198</v>
      </c>
      <c r="K425">
        <v>2</v>
      </c>
      <c r="L425" t="s">
        <v>297</v>
      </c>
      <c r="M425">
        <v>150</v>
      </c>
      <c r="N425" s="195">
        <v>43466</v>
      </c>
      <c r="O425" s="195"/>
      <c r="R425" t="s">
        <v>198</v>
      </c>
      <c r="S425">
        <v>2</v>
      </c>
    </row>
    <row r="426" spans="1:19" x14ac:dyDescent="0.25">
      <c r="A426" t="str">
        <f>TableMJRUMATHT[[#This Row],[Study Package Code]]</f>
        <v>STRU-MATHB</v>
      </c>
      <c r="B426" s="5">
        <f>TableMJRUMATHT[[#This Row],[Ver]]</f>
        <v>2</v>
      </c>
      <c r="D426" t="str">
        <f>TableMJRUMATHT[[#This Row],[Structure Line]]</f>
        <v>Broadening Mathematics Teaching Area Stream (BEd Secondary)</v>
      </c>
      <c r="E426" s="125">
        <f>TableMJRUMATHT[[#This Row],[Credit Points]]</f>
        <v>150</v>
      </c>
      <c r="F426">
        <v>10</v>
      </c>
      <c r="G426" t="s">
        <v>102</v>
      </c>
      <c r="H426">
        <v>1</v>
      </c>
      <c r="I426" t="s">
        <v>529</v>
      </c>
      <c r="J426" t="s">
        <v>323</v>
      </c>
      <c r="K426">
        <v>2</v>
      </c>
      <c r="L426" t="s">
        <v>322</v>
      </c>
      <c r="M426">
        <v>150</v>
      </c>
      <c r="N426" s="195">
        <v>43466</v>
      </c>
      <c r="O426" s="195">
        <v>45291</v>
      </c>
      <c r="R426" t="s">
        <v>323</v>
      </c>
      <c r="S426">
        <v>2</v>
      </c>
    </row>
    <row r="427" spans="1:19" x14ac:dyDescent="0.25">
      <c r="A427" t="str">
        <f>TableMJRUMATHT[[#This Row],[Study Package Code]]</f>
        <v>STRU-PARTM</v>
      </c>
      <c r="B427" s="5">
        <f>TableMJRUMATHT[[#This Row],[Ver]]</f>
        <v>2</v>
      </c>
      <c r="D427" t="str">
        <f>TableMJRUMATHT[[#This Row],[Structure Line]]</f>
        <v>The Arts - Performing Arts Education Minor Teaching Area Stream (BEd Secondary)</v>
      </c>
      <c r="E427" s="125">
        <f>TableMJRUMATHT[[#This Row],[Credit Points]]</f>
        <v>150</v>
      </c>
      <c r="F427">
        <v>10</v>
      </c>
      <c r="G427" t="s">
        <v>102</v>
      </c>
      <c r="H427">
        <v>1</v>
      </c>
      <c r="I427" t="s">
        <v>529</v>
      </c>
      <c r="J427" t="s">
        <v>261</v>
      </c>
      <c r="K427">
        <v>2</v>
      </c>
      <c r="L427" t="s">
        <v>359</v>
      </c>
      <c r="M427">
        <v>150</v>
      </c>
      <c r="N427" s="195">
        <v>43466</v>
      </c>
      <c r="O427" s="195"/>
      <c r="R427" t="s">
        <v>261</v>
      </c>
      <c r="S427">
        <v>2</v>
      </c>
    </row>
    <row r="428" spans="1:19" x14ac:dyDescent="0.25">
      <c r="A428" t="str">
        <f>TableMJRUMATHT[[#This Row],[Study Package Code]]</f>
        <v>STRU-PSCIM</v>
      </c>
      <c r="B428" s="5">
        <f>TableMJRUMATHT[[#This Row],[Ver]]</f>
        <v>2</v>
      </c>
      <c r="D428" t="str">
        <f>TableMJRUMATHT[[#This Row],[Structure Line]]</f>
        <v>Physical Sciences Education Minor Teaching Area Stream (BEd Secondary)</v>
      </c>
      <c r="E428" s="125">
        <f>TableMJRUMATHT[[#This Row],[Credit Points]]</f>
        <v>150</v>
      </c>
      <c r="F428">
        <v>10</v>
      </c>
      <c r="G428" t="s">
        <v>102</v>
      </c>
      <c r="H428">
        <v>1</v>
      </c>
      <c r="I428" t="s">
        <v>529</v>
      </c>
      <c r="J428" t="s">
        <v>208</v>
      </c>
      <c r="K428">
        <v>2</v>
      </c>
      <c r="L428" t="s">
        <v>376</v>
      </c>
      <c r="M428">
        <v>150</v>
      </c>
      <c r="N428" s="195">
        <v>43466</v>
      </c>
      <c r="O428" s="195"/>
      <c r="R428" t="s">
        <v>208</v>
      </c>
      <c r="S428">
        <v>2</v>
      </c>
    </row>
    <row r="429" spans="1:19" x14ac:dyDescent="0.25">
      <c r="A429" t="str">
        <f>TableMJRUMATHT[[#This Row],[Study Package Code]]</f>
        <v>STRU-PSYCM</v>
      </c>
      <c r="B429" s="5">
        <f>TableMJRUMATHT[[#This Row],[Ver]]</f>
        <v>2</v>
      </c>
      <c r="D429" t="str">
        <f>TableMJRUMATHT[[#This Row],[Structure Line]]</f>
        <v>Psychology Education Minor Teaching Area Stream (BEd Secondary)</v>
      </c>
      <c r="E429" s="125">
        <f>TableMJRUMATHT[[#This Row],[Credit Points]]</f>
        <v>150</v>
      </c>
      <c r="F429">
        <v>10</v>
      </c>
      <c r="G429" t="s">
        <v>102</v>
      </c>
      <c r="H429">
        <v>1</v>
      </c>
      <c r="I429" t="s">
        <v>529</v>
      </c>
      <c r="J429" t="s">
        <v>212</v>
      </c>
      <c r="K429">
        <v>2</v>
      </c>
      <c r="L429" t="s">
        <v>407</v>
      </c>
      <c r="M429">
        <v>150</v>
      </c>
      <c r="N429" s="195">
        <v>43466</v>
      </c>
      <c r="O429" s="195"/>
      <c r="R429" t="s">
        <v>212</v>
      </c>
      <c r="S429">
        <v>2</v>
      </c>
    </row>
    <row r="430" spans="1:19" x14ac:dyDescent="0.25">
      <c r="A430" t="str">
        <f>TableMJRUMATHT[[#This Row],[Study Package Code]]</f>
        <v>STRU-SOSCM</v>
      </c>
      <c r="B430" s="5">
        <f>TableMJRUMATHT[[#This Row],[Ver]]</f>
        <v>2</v>
      </c>
      <c r="D430" t="str">
        <f>TableMJRUMATHT[[#This Row],[Structure Line]]</f>
        <v>Humanities and Social Sciences - Social Sciences Education Minor Teaching Area Stream (BEd Secondary)</v>
      </c>
      <c r="E430" s="125">
        <f>TableMJRUMATHT[[#This Row],[Credit Points]]</f>
        <v>150</v>
      </c>
      <c r="F430">
        <v>10</v>
      </c>
      <c r="G430" t="s">
        <v>102</v>
      </c>
      <c r="H430">
        <v>1</v>
      </c>
      <c r="I430" t="s">
        <v>529</v>
      </c>
      <c r="J430" t="s">
        <v>216</v>
      </c>
      <c r="K430">
        <v>2</v>
      </c>
      <c r="L430" t="s">
        <v>410</v>
      </c>
      <c r="M430">
        <v>150</v>
      </c>
      <c r="N430" s="195">
        <v>43466</v>
      </c>
      <c r="O430" s="195"/>
      <c r="R430" t="s">
        <v>216</v>
      </c>
      <c r="S430">
        <v>2</v>
      </c>
    </row>
    <row r="431" spans="1:19" x14ac:dyDescent="0.25">
      <c r="A431" t="str">
        <f>TableMJRUMATHT[[#This Row],[Study Package Code]]</f>
        <v>STRU-VARTM</v>
      </c>
      <c r="B431" s="5">
        <f>TableMJRUMATHT[[#This Row],[Ver]]</f>
        <v>2</v>
      </c>
      <c r="D431" t="str">
        <f>TableMJRUMATHT[[#This Row],[Structure Line]]</f>
        <v>The Arts - Visual Arts Education Minor Teaching Area Stream (BEd Secondary)</v>
      </c>
      <c r="E431" s="125">
        <f>TableMJRUMATHT[[#This Row],[Credit Points]]</f>
        <v>150</v>
      </c>
      <c r="F431">
        <v>10</v>
      </c>
      <c r="G431" t="s">
        <v>102</v>
      </c>
      <c r="H431">
        <v>1</v>
      </c>
      <c r="I431" t="s">
        <v>529</v>
      </c>
      <c r="J431" t="s">
        <v>315</v>
      </c>
      <c r="K431">
        <v>2</v>
      </c>
      <c r="L431" t="s">
        <v>413</v>
      </c>
      <c r="M431">
        <v>150</v>
      </c>
      <c r="N431" s="195">
        <v>43466</v>
      </c>
      <c r="O431" s="195"/>
      <c r="R431" t="s">
        <v>315</v>
      </c>
      <c r="S431">
        <v>2</v>
      </c>
    </row>
    <row r="432" spans="1:19" x14ac:dyDescent="0.25">
      <c r="A432" s="122"/>
      <c r="B432" s="124"/>
      <c r="C432" s="122"/>
      <c r="D432" s="122"/>
      <c r="G432" s="123" t="s">
        <v>855</v>
      </c>
      <c r="H432" s="199">
        <v>43466</v>
      </c>
      <c r="J432" s="197" t="s">
        <v>229</v>
      </c>
      <c r="K432" s="124" t="s">
        <v>200</v>
      </c>
      <c r="L432" s="122" t="s">
        <v>228</v>
      </c>
      <c r="M432" s="122"/>
    </row>
    <row r="433" spans="1:19" ht="31.5" x14ac:dyDescent="0.25">
      <c r="A433" s="159" t="s">
        <v>0</v>
      </c>
      <c r="B433" s="160" t="s">
        <v>60</v>
      </c>
      <c r="C433" s="159" t="s">
        <v>856</v>
      </c>
      <c r="D433" s="159" t="s">
        <v>3</v>
      </c>
      <c r="E433" s="161" t="s">
        <v>857</v>
      </c>
      <c r="F433" s="159" t="s">
        <v>858</v>
      </c>
      <c r="G433" s="159" t="s">
        <v>859</v>
      </c>
      <c r="H433" s="159" t="s">
        <v>860</v>
      </c>
      <c r="I433" s="159" t="s">
        <v>17</v>
      </c>
      <c r="J433" s="159" t="s">
        <v>861</v>
      </c>
      <c r="K433" s="159" t="s">
        <v>1</v>
      </c>
      <c r="L433" s="159" t="s">
        <v>44</v>
      </c>
      <c r="M433" s="159" t="s">
        <v>61</v>
      </c>
      <c r="N433" s="159" t="s">
        <v>862</v>
      </c>
      <c r="O433" s="159" t="s">
        <v>863</v>
      </c>
      <c r="R433" t="s">
        <v>538</v>
      </c>
      <c r="S433" t="s">
        <v>864</v>
      </c>
    </row>
    <row r="434" spans="1:19" x14ac:dyDescent="0.25">
      <c r="A434" t="str">
        <f>TableMJRUSCIBI[[#This Row],[Study Package Code]]</f>
        <v>AGRI1000</v>
      </c>
      <c r="B434" s="5">
        <f>TableMJRUSCIBI[[#This Row],[Ver]]</f>
        <v>1</v>
      </c>
      <c r="D434" t="str">
        <f>TableMJRUSCIBI[[#This Row],[Structure Line]]</f>
        <v>Land and Water Resources</v>
      </c>
      <c r="E434" s="125">
        <f>TableMJRUSCIBI[[#This Row],[Credit Points]]</f>
        <v>25</v>
      </c>
      <c r="F434">
        <v>1</v>
      </c>
      <c r="G434" t="s">
        <v>865</v>
      </c>
      <c r="H434">
        <v>1</v>
      </c>
      <c r="I434" t="s">
        <v>529</v>
      </c>
      <c r="J434" t="s">
        <v>309</v>
      </c>
      <c r="K434">
        <v>1</v>
      </c>
      <c r="L434" t="s">
        <v>543</v>
      </c>
      <c r="M434">
        <v>25</v>
      </c>
      <c r="N434" s="195">
        <v>42005</v>
      </c>
      <c r="O434" s="195"/>
      <c r="R434" t="s">
        <v>309</v>
      </c>
      <c r="S434">
        <v>1</v>
      </c>
    </row>
    <row r="435" spans="1:19" x14ac:dyDescent="0.25">
      <c r="A435" t="str">
        <f>TableMJRUSCIBI[[#This Row],[Study Package Code]]</f>
        <v>Stream</v>
      </c>
      <c r="B435" s="5">
        <f>TableMJRUSCIBI[[#This Row],[Ver]]</f>
        <v>0</v>
      </c>
      <c r="D435" t="str">
        <f>TableMJRUSCIBI[[#This Row],[Structure Line]]</f>
        <v>Choose your Minor Teaching Area Specialisation</v>
      </c>
      <c r="E435" s="125">
        <f>TableMJRUSCIBI[[#This Row],[Credit Points]]</f>
        <v>150</v>
      </c>
      <c r="F435">
        <v>2</v>
      </c>
      <c r="G435" t="s">
        <v>865</v>
      </c>
      <c r="H435">
        <v>1</v>
      </c>
      <c r="I435" t="s">
        <v>529</v>
      </c>
      <c r="J435" t="s">
        <v>828</v>
      </c>
      <c r="K435">
        <v>0</v>
      </c>
      <c r="L435" t="s">
        <v>877</v>
      </c>
      <c r="M435">
        <v>150</v>
      </c>
      <c r="N435" s="195"/>
      <c r="O435" s="195"/>
      <c r="R435" t="s">
        <v>828</v>
      </c>
      <c r="S435">
        <v>0</v>
      </c>
    </row>
    <row r="436" spans="1:19" x14ac:dyDescent="0.25">
      <c r="A436" t="str">
        <f>TableMJRUSCIBI[[#This Row],[Study Package Code]]</f>
        <v>EDSC4022</v>
      </c>
      <c r="B436" s="5">
        <f>TableMJRUSCIBI[[#This Row],[Ver]]</f>
        <v>1</v>
      </c>
      <c r="D436" t="str">
        <f>TableMJRUSCIBI[[#This Row],[Structure Line]]</f>
        <v>Curriculum and Instruction Lower Secondary: Science</v>
      </c>
      <c r="E436" s="125">
        <f>TableMJRUSCIBI[[#This Row],[Credit Points]]</f>
        <v>25</v>
      </c>
      <c r="F436">
        <v>3</v>
      </c>
      <c r="G436" t="s">
        <v>865</v>
      </c>
      <c r="H436">
        <v>2</v>
      </c>
      <c r="I436" t="s">
        <v>528</v>
      </c>
      <c r="J436" t="s">
        <v>317</v>
      </c>
      <c r="K436">
        <v>1</v>
      </c>
      <c r="L436" t="s">
        <v>674</v>
      </c>
      <c r="M436">
        <v>25</v>
      </c>
      <c r="N436" s="195">
        <v>43466</v>
      </c>
      <c r="O436" s="195"/>
      <c r="R436" t="s">
        <v>317</v>
      </c>
      <c r="S436">
        <v>1</v>
      </c>
    </row>
    <row r="437" spans="1:19" x14ac:dyDescent="0.25">
      <c r="A437" t="str">
        <f>TableMJRUSCIBI[[#This Row],[Study Package Code]]</f>
        <v>BIOL1005</v>
      </c>
      <c r="B437" s="5">
        <f>TableMJRUSCIBI[[#This Row],[Ver]]</f>
        <v>1</v>
      </c>
      <c r="D437" t="str">
        <f>TableMJRUSCIBI[[#This Row],[Structure Line]]</f>
        <v>Foundations of Biology</v>
      </c>
      <c r="E437" s="125">
        <f>TableMJRUSCIBI[[#This Row],[Credit Points]]</f>
        <v>25</v>
      </c>
      <c r="F437">
        <v>4</v>
      </c>
      <c r="G437" t="s">
        <v>865</v>
      </c>
      <c r="H437">
        <v>2</v>
      </c>
      <c r="I437" t="s">
        <v>528</v>
      </c>
      <c r="J437" t="s">
        <v>335</v>
      </c>
      <c r="K437">
        <v>1</v>
      </c>
      <c r="L437" t="s">
        <v>559</v>
      </c>
      <c r="M437">
        <v>25</v>
      </c>
      <c r="N437" s="195">
        <v>44562</v>
      </c>
      <c r="O437" s="195"/>
      <c r="R437" t="s">
        <v>335</v>
      </c>
      <c r="S437">
        <v>1</v>
      </c>
    </row>
    <row r="438" spans="1:19" x14ac:dyDescent="0.25">
      <c r="A438" t="str">
        <f>TableMJRUSCIBI[[#This Row],[Study Package Code]]</f>
        <v>EDSC4023</v>
      </c>
      <c r="B438" s="5">
        <f>TableMJRUSCIBI[[#This Row],[Ver]]</f>
        <v>2</v>
      </c>
      <c r="D438" t="str">
        <f>TableMJRUSCIBI[[#This Row],[Structure Line]]</f>
        <v>Curriculum and Instruction Senior Secondary: Science</v>
      </c>
      <c r="E438" s="125">
        <f>TableMJRUSCIBI[[#This Row],[Credit Points]]</f>
        <v>25</v>
      </c>
      <c r="F438">
        <v>5</v>
      </c>
      <c r="G438" t="s">
        <v>865</v>
      </c>
      <c r="H438">
        <v>2</v>
      </c>
      <c r="I438" t="s">
        <v>529</v>
      </c>
      <c r="J438" t="s">
        <v>340</v>
      </c>
      <c r="K438">
        <v>2</v>
      </c>
      <c r="L438" t="s">
        <v>675</v>
      </c>
      <c r="M438">
        <v>25</v>
      </c>
      <c r="N438" s="195">
        <v>43831</v>
      </c>
      <c r="O438" s="195"/>
      <c r="R438" t="s">
        <v>340</v>
      </c>
      <c r="S438">
        <v>2</v>
      </c>
    </row>
    <row r="439" spans="1:19" x14ac:dyDescent="0.25">
      <c r="A439" t="str">
        <f>TableMJRUSCIBI[[#This Row],[Study Package Code]]</f>
        <v>BOTA2000</v>
      </c>
      <c r="B439" s="5">
        <f>TableMJRUSCIBI[[#This Row],[Ver]]</f>
        <v>1</v>
      </c>
      <c r="D439" t="str">
        <f>TableMJRUSCIBI[[#This Row],[Structure Line]]</f>
        <v>Plant Diversity and Adaptation</v>
      </c>
      <c r="E439" s="125">
        <f>TableMJRUSCIBI[[#This Row],[Credit Points]]</f>
        <v>25</v>
      </c>
      <c r="F439">
        <v>6</v>
      </c>
      <c r="G439" t="s">
        <v>865</v>
      </c>
      <c r="H439">
        <v>2</v>
      </c>
      <c r="I439" t="s">
        <v>529</v>
      </c>
      <c r="J439" t="s">
        <v>356</v>
      </c>
      <c r="K439">
        <v>1</v>
      </c>
      <c r="L439" t="s">
        <v>566</v>
      </c>
      <c r="M439">
        <v>25</v>
      </c>
      <c r="N439" s="195">
        <v>42005</v>
      </c>
      <c r="O439" s="195"/>
      <c r="R439" t="s">
        <v>356</v>
      </c>
      <c r="S439">
        <v>1</v>
      </c>
    </row>
    <row r="440" spans="1:19" x14ac:dyDescent="0.25">
      <c r="A440" t="str">
        <f>TableMJRUSCIBI[[#This Row],[Study Package Code]]</f>
        <v>EDSC3009</v>
      </c>
      <c r="B440" s="5">
        <f>TableMJRUSCIBI[[#This Row],[Ver]]</f>
        <v>1</v>
      </c>
      <c r="D440" t="str">
        <f>TableMJRUSCIBI[[#This Row],[Structure Line]]</f>
        <v>Educating Adolescents: Diversity and Inclusion</v>
      </c>
      <c r="E440" s="125">
        <f>TableMJRUSCIBI[[#This Row],[Credit Points]]</f>
        <v>25</v>
      </c>
      <c r="F440">
        <v>7</v>
      </c>
      <c r="G440" t="s">
        <v>865</v>
      </c>
      <c r="H440">
        <v>3</v>
      </c>
      <c r="I440" t="s">
        <v>528</v>
      </c>
      <c r="J440" t="s">
        <v>360</v>
      </c>
      <c r="K440">
        <v>1</v>
      </c>
      <c r="L440" t="s">
        <v>666</v>
      </c>
      <c r="M440">
        <v>25</v>
      </c>
      <c r="N440" s="195">
        <v>43831</v>
      </c>
      <c r="O440" s="195"/>
      <c r="R440" t="s">
        <v>360</v>
      </c>
      <c r="S440">
        <v>1</v>
      </c>
    </row>
    <row r="441" spans="1:19" x14ac:dyDescent="0.25">
      <c r="A441" t="str">
        <f>TableMJRUSCIBI[[#This Row],[Study Package Code]]</f>
        <v>AltCoreMJRUSCIBI</v>
      </c>
      <c r="B441" s="5">
        <f>TableMJRUSCIBI[[#This Row],[Ver]]</f>
        <v>0</v>
      </c>
      <c r="D441" t="str">
        <f>TableMJRUSCIBI[[#This Row],[Structure Line]]</f>
        <v>Choose ECEV2000 or ZOOL2000</v>
      </c>
      <c r="E441" s="125">
        <f>TableMJRUSCIBI[[#This Row],[Credit Points]]</f>
        <v>25</v>
      </c>
      <c r="F441">
        <v>8</v>
      </c>
      <c r="G441" t="s">
        <v>865</v>
      </c>
      <c r="H441">
        <v>3</v>
      </c>
      <c r="I441" t="s">
        <v>528</v>
      </c>
      <c r="J441" t="s">
        <v>372</v>
      </c>
      <c r="K441">
        <v>0</v>
      </c>
      <c r="L441" t="s">
        <v>882</v>
      </c>
      <c r="M441">
        <v>25</v>
      </c>
      <c r="N441" s="195"/>
      <c r="O441" s="195"/>
      <c r="R441" t="s">
        <v>372</v>
      </c>
      <c r="S441">
        <v>0</v>
      </c>
    </row>
    <row r="442" spans="1:19" x14ac:dyDescent="0.25">
      <c r="A442" t="str">
        <f>TableMJRUSCIBI[[#This Row],[Study Package Code]]</f>
        <v>ENST3002</v>
      </c>
      <c r="B442" s="5">
        <f>TableMJRUSCIBI[[#This Row],[Ver]]</f>
        <v>1</v>
      </c>
      <c r="D442" t="str">
        <f>TableMJRUSCIBI[[#This Row],[Structure Line]]</f>
        <v>Environmental Restoration</v>
      </c>
      <c r="E442" s="125">
        <f>TableMJRUSCIBI[[#This Row],[Credit Points]]</f>
        <v>25</v>
      </c>
      <c r="F442">
        <v>9</v>
      </c>
      <c r="G442" t="s">
        <v>865</v>
      </c>
      <c r="H442">
        <v>3</v>
      </c>
      <c r="I442" t="s">
        <v>529</v>
      </c>
      <c r="J442" t="s">
        <v>386</v>
      </c>
      <c r="K442">
        <v>1</v>
      </c>
      <c r="L442" t="s">
        <v>722</v>
      </c>
      <c r="M442">
        <v>25</v>
      </c>
      <c r="N442" s="195">
        <v>42005</v>
      </c>
      <c r="O442" s="195"/>
      <c r="R442" t="s">
        <v>386</v>
      </c>
      <c r="S442">
        <v>1</v>
      </c>
    </row>
    <row r="443" spans="1:19" x14ac:dyDescent="0.25">
      <c r="A443" t="str">
        <f>TableMJRUSCIBI[[#This Row],[Study Package Code]]</f>
        <v>ERTH3000</v>
      </c>
      <c r="B443" s="5">
        <f>TableMJRUSCIBI[[#This Row],[Ver]]</f>
        <v>1</v>
      </c>
      <c r="D443" t="str">
        <f>TableMJRUSCIBI[[#This Row],[Structure Line]]</f>
        <v>Habitat and Landform Mapping</v>
      </c>
      <c r="E443" s="125">
        <f>TableMJRUSCIBI[[#This Row],[Credit Points]]</f>
        <v>25</v>
      </c>
      <c r="F443">
        <v>10</v>
      </c>
      <c r="G443" t="s">
        <v>865</v>
      </c>
      <c r="H443">
        <v>4</v>
      </c>
      <c r="I443" t="s">
        <v>528</v>
      </c>
      <c r="J443" t="s">
        <v>403</v>
      </c>
      <c r="K443">
        <v>1</v>
      </c>
      <c r="L443" t="s">
        <v>725</v>
      </c>
      <c r="M443">
        <v>25</v>
      </c>
      <c r="N443" s="195">
        <v>42005</v>
      </c>
      <c r="O443" s="195"/>
      <c r="R443" t="s">
        <v>403</v>
      </c>
      <c r="S443">
        <v>1</v>
      </c>
    </row>
    <row r="444" spans="1:19" x14ac:dyDescent="0.25">
      <c r="A444" t="str">
        <f>TableMJRUSCIBI[[#This Row],[Study Package Code]]</f>
        <v>Elective</v>
      </c>
      <c r="B444" s="5">
        <f>TableMJRUSCIBI[[#This Row],[Ver]]</f>
        <v>0</v>
      </c>
      <c r="D444" t="str">
        <f>TableMJRUSCIBI[[#This Row],[Structure Line]]</f>
        <v>Choose an Elective,  If you wish to choose STRU-MATHM Mathematics Education Minor Teaching Area Stream and have not achieved a Mathematics Methods ATAR or Equivalent you should choose MATH1014 as your elective.</v>
      </c>
      <c r="E444" s="125">
        <f>TableMJRUSCIBI[[#This Row],[Credit Points]]</f>
        <v>25</v>
      </c>
      <c r="F444">
        <v>11</v>
      </c>
      <c r="G444" t="s">
        <v>121</v>
      </c>
      <c r="H444">
        <v>4</v>
      </c>
      <c r="I444" t="s">
        <v>528</v>
      </c>
      <c r="J444" t="s">
        <v>121</v>
      </c>
      <c r="K444">
        <v>0</v>
      </c>
      <c r="L444" t="s">
        <v>878</v>
      </c>
      <c r="M444">
        <v>25</v>
      </c>
      <c r="N444" s="195"/>
      <c r="O444" s="195"/>
      <c r="R444" t="s">
        <v>121</v>
      </c>
      <c r="S444">
        <v>0</v>
      </c>
    </row>
    <row r="445" spans="1:19" x14ac:dyDescent="0.25">
      <c r="A445" t="str">
        <f>TableMJRUSCIBI[[#This Row],[Study Package Code]]</f>
        <v>STRU-BIOLB</v>
      </c>
      <c r="B445" s="5">
        <f>TableMJRUSCIBI[[#This Row],[Ver]]</f>
        <v>3</v>
      </c>
      <c r="D445" t="str">
        <f>TableMJRUSCIBI[[#This Row],[Structure Line]]</f>
        <v>Broadening Biology Teaching Area Stream (BEd Secondary)</v>
      </c>
      <c r="E445" s="125">
        <f>TableMJRUSCIBI[[#This Row],[Credit Points]]</f>
        <v>150</v>
      </c>
      <c r="F445">
        <v>2</v>
      </c>
      <c r="G445" t="s">
        <v>102</v>
      </c>
      <c r="H445">
        <v>1</v>
      </c>
      <c r="I445" t="s">
        <v>529</v>
      </c>
      <c r="J445" t="s">
        <v>241</v>
      </c>
      <c r="K445">
        <v>3</v>
      </c>
      <c r="L445" t="s">
        <v>240</v>
      </c>
      <c r="M445">
        <v>150</v>
      </c>
      <c r="N445" s="195">
        <v>44927</v>
      </c>
      <c r="O445" s="195"/>
      <c r="R445" t="s">
        <v>241</v>
      </c>
      <c r="S445">
        <v>3</v>
      </c>
    </row>
    <row r="446" spans="1:19" x14ac:dyDescent="0.25">
      <c r="A446" t="str">
        <f>TableMJRUSCIBI[[#This Row],[Study Package Code]]</f>
        <v>STRU-EDSCI</v>
      </c>
      <c r="B446" s="5">
        <f>TableMJRUSCIBI[[#This Row],[Ver]]</f>
        <v>2</v>
      </c>
      <c r="D446" t="str">
        <f>TableMJRUSCIBI[[#This Row],[Structure Line]]</f>
        <v>Education Specialty and Science Teaching Area Stream (BEd Secondary)</v>
      </c>
      <c r="E446" s="125">
        <f>TableMJRUSCIBI[[#This Row],[Credit Points]]</f>
        <v>150</v>
      </c>
      <c r="F446">
        <v>2</v>
      </c>
      <c r="G446" t="s">
        <v>102</v>
      </c>
      <c r="H446">
        <v>1</v>
      </c>
      <c r="I446" t="s">
        <v>529</v>
      </c>
      <c r="J446" t="s">
        <v>258</v>
      </c>
      <c r="K446">
        <v>2</v>
      </c>
      <c r="L446" t="s">
        <v>257</v>
      </c>
      <c r="M446">
        <v>150</v>
      </c>
      <c r="N446" s="195">
        <v>43466</v>
      </c>
      <c r="O446" s="195"/>
      <c r="R446" t="s">
        <v>258</v>
      </c>
      <c r="S446">
        <v>2</v>
      </c>
    </row>
    <row r="447" spans="1:19" x14ac:dyDescent="0.25">
      <c r="A447" t="str">
        <f>TableMJRUSCIBI[[#This Row],[Study Package Code]]</f>
        <v>STRU-ENGLM</v>
      </c>
      <c r="B447" s="5">
        <f>TableMJRUSCIBI[[#This Row],[Ver]]</f>
        <v>3</v>
      </c>
      <c r="D447" t="str">
        <f>TableMJRUSCIBI[[#This Row],[Structure Line]]</f>
        <v>English Education Minor Teaching Area Stream (BEd Secondary)</v>
      </c>
      <c r="E447" s="125">
        <f>TableMJRUSCIBI[[#This Row],[Credit Points]]</f>
        <v>150</v>
      </c>
      <c r="F447">
        <v>2</v>
      </c>
      <c r="G447" t="s">
        <v>102</v>
      </c>
      <c r="H447">
        <v>1</v>
      </c>
      <c r="I447" t="s">
        <v>529</v>
      </c>
      <c r="J447" t="s">
        <v>197</v>
      </c>
      <c r="K447">
        <v>3</v>
      </c>
      <c r="L447" t="s">
        <v>260</v>
      </c>
      <c r="M447">
        <v>150</v>
      </c>
      <c r="N447" s="195">
        <v>44562</v>
      </c>
      <c r="O447" s="195"/>
      <c r="R447" t="s">
        <v>197</v>
      </c>
      <c r="S447">
        <v>3</v>
      </c>
    </row>
    <row r="448" spans="1:19" x14ac:dyDescent="0.25">
      <c r="A448" t="str">
        <f>TableMJRUSCIBI[[#This Row],[Study Package Code]]</f>
        <v>STRU-HUMAM</v>
      </c>
      <c r="B448" s="5">
        <f>TableMJRUSCIBI[[#This Row],[Ver]]</f>
        <v>2</v>
      </c>
      <c r="D448" t="str">
        <f>TableMJRUSCIBI[[#This Row],[Structure Line]]</f>
        <v>Humanities and Social Sciences - Humanities Education Minor Teaching Area Stream (BEd Secondary)</v>
      </c>
      <c r="E448" s="125">
        <f>TableMJRUSCIBI[[#This Row],[Credit Points]]</f>
        <v>150</v>
      </c>
      <c r="F448">
        <v>2</v>
      </c>
      <c r="G448" t="s">
        <v>102</v>
      </c>
      <c r="H448">
        <v>1</v>
      </c>
      <c r="I448" t="s">
        <v>529</v>
      </c>
      <c r="J448" t="s">
        <v>198</v>
      </c>
      <c r="K448">
        <v>2</v>
      </c>
      <c r="L448" t="s">
        <v>297</v>
      </c>
      <c r="M448">
        <v>150</v>
      </c>
      <c r="N448" s="195">
        <v>43466</v>
      </c>
      <c r="O448" s="195"/>
      <c r="R448" t="s">
        <v>198</v>
      </c>
      <c r="S448">
        <v>2</v>
      </c>
    </row>
    <row r="449" spans="1:19" x14ac:dyDescent="0.25">
      <c r="A449" t="str">
        <f>TableMJRUSCIBI[[#This Row],[Study Package Code]]</f>
        <v>STRU-MATHM</v>
      </c>
      <c r="B449" s="5">
        <f>TableMJRUSCIBI[[#This Row],[Ver]]</f>
        <v>2</v>
      </c>
      <c r="D449" t="str">
        <f>TableMJRUSCIBI[[#This Row],[Structure Line]]</f>
        <v>Mathematics Education Minor Teaching Area Stream (BEd Secondary)</v>
      </c>
      <c r="E449" s="125">
        <f>TableMJRUSCIBI[[#This Row],[Credit Points]]</f>
        <v>150</v>
      </c>
      <c r="F449">
        <v>2</v>
      </c>
      <c r="G449" t="s">
        <v>102</v>
      </c>
      <c r="H449">
        <v>1</v>
      </c>
      <c r="I449" t="s">
        <v>529</v>
      </c>
      <c r="J449" t="s">
        <v>202</v>
      </c>
      <c r="K449">
        <v>2</v>
      </c>
      <c r="L449" t="s">
        <v>184</v>
      </c>
      <c r="M449">
        <v>150</v>
      </c>
      <c r="N449" s="195">
        <v>43466</v>
      </c>
      <c r="O449" s="195"/>
      <c r="R449" t="s">
        <v>202</v>
      </c>
      <c r="S449">
        <v>2</v>
      </c>
    </row>
    <row r="450" spans="1:19" x14ac:dyDescent="0.25">
      <c r="A450" t="str">
        <f>TableMJRUSCIBI[[#This Row],[Study Package Code]]</f>
        <v>STRU-PARTM</v>
      </c>
      <c r="B450" s="5">
        <f>TableMJRUSCIBI[[#This Row],[Ver]]</f>
        <v>2</v>
      </c>
      <c r="D450" t="str">
        <f>TableMJRUSCIBI[[#This Row],[Structure Line]]</f>
        <v>The Arts - Performing Arts Education Minor Teaching Area Stream (BEd Secondary)</v>
      </c>
      <c r="E450" s="125">
        <f>TableMJRUSCIBI[[#This Row],[Credit Points]]</f>
        <v>150</v>
      </c>
      <c r="F450">
        <v>2</v>
      </c>
      <c r="G450" t="s">
        <v>102</v>
      </c>
      <c r="H450">
        <v>1</v>
      </c>
      <c r="I450" t="s">
        <v>529</v>
      </c>
      <c r="J450" t="s">
        <v>261</v>
      </c>
      <c r="K450">
        <v>2</v>
      </c>
      <c r="L450" t="s">
        <v>359</v>
      </c>
      <c r="M450">
        <v>150</v>
      </c>
      <c r="N450" s="195">
        <v>43466</v>
      </c>
      <c r="O450" s="195"/>
      <c r="R450" t="s">
        <v>261</v>
      </c>
      <c r="S450">
        <v>2</v>
      </c>
    </row>
    <row r="451" spans="1:19" x14ac:dyDescent="0.25">
      <c r="A451" t="str">
        <f>TableMJRUSCIBI[[#This Row],[Study Package Code]]</f>
        <v>STRU-SOSCM</v>
      </c>
      <c r="B451" s="5">
        <f>TableMJRUSCIBI[[#This Row],[Ver]]</f>
        <v>2</v>
      </c>
      <c r="D451" t="str">
        <f>TableMJRUSCIBI[[#This Row],[Structure Line]]</f>
        <v>Humanities and Social Sciences - Social Sciences Education Minor Teaching Area Stream (BEd Secondary)</v>
      </c>
      <c r="E451" s="125">
        <f>TableMJRUSCIBI[[#This Row],[Credit Points]]</f>
        <v>150</v>
      </c>
      <c r="F451">
        <v>2</v>
      </c>
      <c r="G451" t="s">
        <v>102</v>
      </c>
      <c r="H451">
        <v>1</v>
      </c>
      <c r="I451" t="s">
        <v>529</v>
      </c>
      <c r="J451" t="s">
        <v>216</v>
      </c>
      <c r="K451">
        <v>2</v>
      </c>
      <c r="L451" t="s">
        <v>410</v>
      </c>
      <c r="M451">
        <v>150</v>
      </c>
      <c r="N451" s="195">
        <v>43466</v>
      </c>
      <c r="O451" s="195"/>
      <c r="R451" t="s">
        <v>216</v>
      </c>
      <c r="S451">
        <v>2</v>
      </c>
    </row>
    <row r="452" spans="1:19" x14ac:dyDescent="0.25">
      <c r="A452" t="str">
        <f>TableMJRUSCIBI[[#This Row],[Study Package Code]]</f>
        <v>STRU-VARTM</v>
      </c>
      <c r="B452" s="5">
        <f>TableMJRUSCIBI[[#This Row],[Ver]]</f>
        <v>2</v>
      </c>
      <c r="D452" t="str">
        <f>TableMJRUSCIBI[[#This Row],[Structure Line]]</f>
        <v>The Arts - Visual Arts Education Minor Teaching Area Stream (BEd Secondary)</v>
      </c>
      <c r="E452" s="125">
        <f>TableMJRUSCIBI[[#This Row],[Credit Points]]</f>
        <v>150</v>
      </c>
      <c r="F452">
        <v>2</v>
      </c>
      <c r="G452" t="s">
        <v>102</v>
      </c>
      <c r="H452">
        <v>1</v>
      </c>
      <c r="I452" t="s">
        <v>529</v>
      </c>
      <c r="J452" t="s">
        <v>315</v>
      </c>
      <c r="K452">
        <v>2</v>
      </c>
      <c r="L452" t="s">
        <v>413</v>
      </c>
      <c r="M452">
        <v>150</v>
      </c>
      <c r="N452" s="195">
        <v>43466</v>
      </c>
      <c r="O452" s="195"/>
      <c r="R452" t="s">
        <v>315</v>
      </c>
      <c r="S452">
        <v>2</v>
      </c>
    </row>
    <row r="453" spans="1:19" x14ac:dyDescent="0.25">
      <c r="A453" t="str">
        <f>TableMJRUSCIBI[[#This Row],[Study Package Code]]</f>
        <v>ECEV2000</v>
      </c>
      <c r="B453" s="5">
        <f>TableMJRUSCIBI[[#This Row],[Ver]]</f>
        <v>1</v>
      </c>
      <c r="D453" t="str">
        <f>TableMJRUSCIBI[[#This Row],[Structure Line]]</f>
        <v>Terrestrial Ecology</v>
      </c>
      <c r="E453" s="125">
        <f>TableMJRUSCIBI[[#This Row],[Credit Points]]</f>
        <v>25</v>
      </c>
      <c r="F453">
        <v>8</v>
      </c>
      <c r="G453" t="s">
        <v>871</v>
      </c>
      <c r="H453">
        <v>3</v>
      </c>
      <c r="I453" t="s">
        <v>528</v>
      </c>
      <c r="J453" t="s">
        <v>415</v>
      </c>
      <c r="K453">
        <v>1</v>
      </c>
      <c r="L453" t="s">
        <v>597</v>
      </c>
      <c r="M453">
        <v>25</v>
      </c>
      <c r="N453" s="195">
        <v>42005</v>
      </c>
      <c r="O453" s="195"/>
      <c r="R453" t="s">
        <v>415</v>
      </c>
      <c r="S453">
        <v>1</v>
      </c>
    </row>
    <row r="454" spans="1:19" x14ac:dyDescent="0.25">
      <c r="A454" t="str">
        <f>TableMJRUSCIBI[[#This Row],[Study Package Code]]</f>
        <v>ZOOL2000</v>
      </c>
      <c r="B454" s="5">
        <f>TableMJRUSCIBI[[#This Row],[Ver]]</f>
        <v>2</v>
      </c>
      <c r="D454" t="str">
        <f>TableMJRUSCIBI[[#This Row],[Structure Line]]</f>
        <v>Animal Diversity and Evolution</v>
      </c>
      <c r="E454" s="125">
        <f>TableMJRUSCIBI[[#This Row],[Credit Points]]</f>
        <v>25</v>
      </c>
      <c r="F454">
        <v>8</v>
      </c>
      <c r="G454" t="s">
        <v>871</v>
      </c>
      <c r="H454">
        <v>3</v>
      </c>
      <c r="I454" t="s">
        <v>528</v>
      </c>
      <c r="J454" t="s">
        <v>418</v>
      </c>
      <c r="K454">
        <v>2</v>
      </c>
      <c r="L454" t="s">
        <v>853</v>
      </c>
      <c r="M454">
        <v>25</v>
      </c>
      <c r="N454" s="195">
        <v>43101</v>
      </c>
      <c r="O454" s="195"/>
      <c r="R454" t="s">
        <v>418</v>
      </c>
      <c r="S454">
        <v>2</v>
      </c>
    </row>
    <row r="455" spans="1:19" x14ac:dyDescent="0.25">
      <c r="A455" s="122"/>
      <c r="B455" s="124"/>
      <c r="C455" s="122"/>
      <c r="D455" s="122"/>
      <c r="G455" s="123" t="s">
        <v>855</v>
      </c>
      <c r="H455" s="199">
        <v>43466</v>
      </c>
      <c r="J455" s="197" t="s">
        <v>231</v>
      </c>
      <c r="K455" s="124" t="s">
        <v>200</v>
      </c>
      <c r="L455" s="122" t="s">
        <v>230</v>
      </c>
      <c r="M455" s="122"/>
    </row>
    <row r="456" spans="1:19" ht="31.5" x14ac:dyDescent="0.25">
      <c r="A456" s="159" t="s">
        <v>0</v>
      </c>
      <c r="B456" s="160" t="s">
        <v>60</v>
      </c>
      <c r="C456" s="159" t="s">
        <v>856</v>
      </c>
      <c r="D456" s="159" t="s">
        <v>3</v>
      </c>
      <c r="E456" s="161" t="s">
        <v>857</v>
      </c>
      <c r="F456" s="159" t="s">
        <v>858</v>
      </c>
      <c r="G456" s="159" t="s">
        <v>859</v>
      </c>
      <c r="H456" s="159" t="s">
        <v>860</v>
      </c>
      <c r="I456" s="159" t="s">
        <v>17</v>
      </c>
      <c r="J456" s="159" t="s">
        <v>861</v>
      </c>
      <c r="K456" s="159" t="s">
        <v>1</v>
      </c>
      <c r="L456" s="159" t="s">
        <v>44</v>
      </c>
      <c r="M456" s="159" t="s">
        <v>61</v>
      </c>
      <c r="N456" s="159" t="s">
        <v>862</v>
      </c>
      <c r="O456" s="159" t="s">
        <v>863</v>
      </c>
      <c r="R456" t="s">
        <v>538</v>
      </c>
      <c r="S456" t="s">
        <v>864</v>
      </c>
    </row>
    <row r="457" spans="1:19" x14ac:dyDescent="0.25">
      <c r="A457" t="str">
        <f>TableMJRUSCICH[[#This Row],[Study Package Code]]</f>
        <v>CHEM1000</v>
      </c>
      <c r="B457" s="5">
        <f>TableMJRUSCICH[[#This Row],[Ver]]</f>
        <v>1</v>
      </c>
      <c r="D457" t="str">
        <f>TableMJRUSCICH[[#This Row],[Structure Line]]</f>
        <v>Principles and Processes in Chemistry</v>
      </c>
      <c r="E457" s="125">
        <f>TableMJRUSCICH[[#This Row],[Credit Points]]</f>
        <v>25</v>
      </c>
      <c r="F457">
        <v>1</v>
      </c>
      <c r="G457" t="s">
        <v>865</v>
      </c>
      <c r="H457">
        <v>1</v>
      </c>
      <c r="I457" t="s">
        <v>529</v>
      </c>
      <c r="J457" t="s">
        <v>310</v>
      </c>
      <c r="K457">
        <v>1</v>
      </c>
      <c r="L457" t="s">
        <v>567</v>
      </c>
      <c r="M457">
        <v>25</v>
      </c>
      <c r="N457" s="195">
        <v>42005</v>
      </c>
      <c r="O457" s="195"/>
      <c r="R457" t="s">
        <v>310</v>
      </c>
      <c r="S457">
        <v>1</v>
      </c>
    </row>
    <row r="458" spans="1:19" x14ac:dyDescent="0.25">
      <c r="A458" t="str">
        <f>TableMJRUSCICH[[#This Row],[Study Package Code]]</f>
        <v>EDSC4022</v>
      </c>
      <c r="B458" s="5">
        <f>TableMJRUSCICH[[#This Row],[Ver]]</f>
        <v>1</v>
      </c>
      <c r="D458" t="str">
        <f>TableMJRUSCICH[[#This Row],[Structure Line]]</f>
        <v>Curriculum and Instruction Lower Secondary: Science</v>
      </c>
      <c r="E458" s="125">
        <f>TableMJRUSCICH[[#This Row],[Credit Points]]</f>
        <v>25</v>
      </c>
      <c r="F458">
        <v>2</v>
      </c>
      <c r="G458" t="s">
        <v>865</v>
      </c>
      <c r="H458">
        <v>2</v>
      </c>
      <c r="I458" t="s">
        <v>528</v>
      </c>
      <c r="J458" t="s">
        <v>317</v>
      </c>
      <c r="K458">
        <v>1</v>
      </c>
      <c r="L458" t="s">
        <v>674</v>
      </c>
      <c r="M458">
        <v>25</v>
      </c>
      <c r="N458" s="195">
        <v>43466</v>
      </c>
      <c r="O458" s="195"/>
      <c r="R458" t="s">
        <v>317</v>
      </c>
      <c r="S458">
        <v>1</v>
      </c>
    </row>
    <row r="459" spans="1:19" x14ac:dyDescent="0.25">
      <c r="A459" t="str">
        <f>TableMJRUSCICH[[#This Row],[Study Package Code]]</f>
        <v>CHEM1002</v>
      </c>
      <c r="B459" s="5">
        <f>TableMJRUSCICH[[#This Row],[Ver]]</f>
        <v>1</v>
      </c>
      <c r="D459" t="str">
        <f>TableMJRUSCICH[[#This Row],[Structure Line]]</f>
        <v>Reactivity and Function in Chemistry</v>
      </c>
      <c r="E459" s="125">
        <f>TableMJRUSCICH[[#This Row],[Credit Points]]</f>
        <v>25</v>
      </c>
      <c r="F459">
        <v>3</v>
      </c>
      <c r="G459" t="s">
        <v>865</v>
      </c>
      <c r="H459">
        <v>2</v>
      </c>
      <c r="I459" t="s">
        <v>528</v>
      </c>
      <c r="J459" t="s">
        <v>336</v>
      </c>
      <c r="K459">
        <v>1</v>
      </c>
      <c r="L459" t="s">
        <v>569</v>
      </c>
      <c r="M459">
        <v>25</v>
      </c>
      <c r="N459" s="195">
        <v>42005</v>
      </c>
      <c r="O459" s="195"/>
      <c r="R459" t="s">
        <v>336</v>
      </c>
      <c r="S459">
        <v>1</v>
      </c>
    </row>
    <row r="460" spans="1:19" x14ac:dyDescent="0.25">
      <c r="A460" t="str">
        <f>TableMJRUSCICH[[#This Row],[Study Package Code]]</f>
        <v>CHEM2005</v>
      </c>
      <c r="B460" s="5">
        <f>TableMJRUSCICH[[#This Row],[Ver]]</f>
        <v>1</v>
      </c>
      <c r="D460" t="str">
        <f>TableMJRUSCICH[[#This Row],[Structure Line]]</f>
        <v>Analytical Chemistry</v>
      </c>
      <c r="E460" s="125">
        <f>TableMJRUSCICH[[#This Row],[Credit Points]]</f>
        <v>25</v>
      </c>
      <c r="F460">
        <v>4</v>
      </c>
      <c r="G460" t="s">
        <v>865</v>
      </c>
      <c r="H460">
        <v>2</v>
      </c>
      <c r="I460" t="s">
        <v>529</v>
      </c>
      <c r="J460" t="s">
        <v>357</v>
      </c>
      <c r="K460">
        <v>1</v>
      </c>
      <c r="L460" t="s">
        <v>575</v>
      </c>
      <c r="M460">
        <v>25</v>
      </c>
      <c r="N460" s="195">
        <v>42005</v>
      </c>
      <c r="O460" s="195"/>
      <c r="R460" t="s">
        <v>357</v>
      </c>
      <c r="S460">
        <v>1</v>
      </c>
    </row>
    <row r="461" spans="1:19" x14ac:dyDescent="0.25">
      <c r="A461" t="str">
        <f>TableMJRUSCICH[[#This Row],[Study Package Code]]</f>
        <v>EDSC4023</v>
      </c>
      <c r="B461" s="5">
        <f>TableMJRUSCICH[[#This Row],[Ver]]</f>
        <v>2</v>
      </c>
      <c r="D461" t="str">
        <f>TableMJRUSCICH[[#This Row],[Structure Line]]</f>
        <v>Curriculum and Instruction Senior Secondary: Science</v>
      </c>
      <c r="E461" s="125">
        <f>TableMJRUSCICH[[#This Row],[Credit Points]]</f>
        <v>25</v>
      </c>
      <c r="F461">
        <v>5</v>
      </c>
      <c r="G461" t="s">
        <v>865</v>
      </c>
      <c r="H461">
        <v>2</v>
      </c>
      <c r="I461" t="s">
        <v>529</v>
      </c>
      <c r="J461" t="s">
        <v>340</v>
      </c>
      <c r="K461">
        <v>2</v>
      </c>
      <c r="L461" t="s">
        <v>675</v>
      </c>
      <c r="M461">
        <v>25</v>
      </c>
      <c r="N461" s="195">
        <v>43831</v>
      </c>
      <c r="O461" s="195"/>
      <c r="R461" t="s">
        <v>340</v>
      </c>
      <c r="S461">
        <v>2</v>
      </c>
    </row>
    <row r="462" spans="1:19" x14ac:dyDescent="0.25">
      <c r="A462" t="str">
        <f>TableMJRUSCICH[[#This Row],[Study Package Code]]</f>
        <v>CHEM2004</v>
      </c>
      <c r="B462" s="5">
        <f>TableMJRUSCICH[[#This Row],[Ver]]</f>
        <v>1</v>
      </c>
      <c r="D462" t="str">
        <f>TableMJRUSCICH[[#This Row],[Structure Line]]</f>
        <v>Chemical Structure and Spectroscopy</v>
      </c>
      <c r="E462" s="125">
        <f>TableMJRUSCICH[[#This Row],[Credit Points]]</f>
        <v>25</v>
      </c>
      <c r="F462">
        <v>6</v>
      </c>
      <c r="G462" t="s">
        <v>865</v>
      </c>
      <c r="H462">
        <v>3</v>
      </c>
      <c r="I462" t="s">
        <v>528</v>
      </c>
      <c r="J462" t="s">
        <v>373</v>
      </c>
      <c r="K462">
        <v>1</v>
      </c>
      <c r="L462" t="s">
        <v>574</v>
      </c>
      <c r="M462">
        <v>25</v>
      </c>
      <c r="N462" s="195">
        <v>42005</v>
      </c>
      <c r="O462" s="195"/>
      <c r="R462" t="s">
        <v>373</v>
      </c>
      <c r="S462">
        <v>1</v>
      </c>
    </row>
    <row r="463" spans="1:19" x14ac:dyDescent="0.25">
      <c r="A463" t="str">
        <f>TableMJRUSCICH[[#This Row],[Study Package Code]]</f>
        <v>EDSC3009</v>
      </c>
      <c r="B463" s="5">
        <f>TableMJRUSCICH[[#This Row],[Ver]]</f>
        <v>1</v>
      </c>
      <c r="D463" t="str">
        <f>TableMJRUSCICH[[#This Row],[Structure Line]]</f>
        <v>Educating Adolescents: Diversity and Inclusion</v>
      </c>
      <c r="E463" s="125">
        <f>TableMJRUSCICH[[#This Row],[Credit Points]]</f>
        <v>25</v>
      </c>
      <c r="F463">
        <v>7</v>
      </c>
      <c r="G463" t="s">
        <v>865</v>
      </c>
      <c r="H463">
        <v>3</v>
      </c>
      <c r="I463" t="s">
        <v>528</v>
      </c>
      <c r="J463" t="s">
        <v>360</v>
      </c>
      <c r="K463">
        <v>1</v>
      </c>
      <c r="L463" t="s">
        <v>666</v>
      </c>
      <c r="M463">
        <v>25</v>
      </c>
      <c r="N463" s="195">
        <v>43831</v>
      </c>
      <c r="O463" s="195"/>
      <c r="R463" t="s">
        <v>360</v>
      </c>
      <c r="S463">
        <v>1</v>
      </c>
    </row>
    <row r="464" spans="1:19" x14ac:dyDescent="0.25">
      <c r="A464" t="str">
        <f>TableMJRUSCICH[[#This Row],[Study Package Code]]</f>
        <v>CHEM3001</v>
      </c>
      <c r="B464" s="5">
        <f>TableMJRUSCICH[[#This Row],[Ver]]</f>
        <v>1</v>
      </c>
      <c r="D464" t="str">
        <f>TableMJRUSCICH[[#This Row],[Structure Line]]</f>
        <v>Environmental Chemistry</v>
      </c>
      <c r="E464" s="125">
        <f>TableMJRUSCICH[[#This Row],[Credit Points]]</f>
        <v>25</v>
      </c>
      <c r="F464">
        <v>8</v>
      </c>
      <c r="G464" t="s">
        <v>865</v>
      </c>
      <c r="H464">
        <v>3</v>
      </c>
      <c r="I464" t="s">
        <v>529</v>
      </c>
      <c r="J464" t="s">
        <v>387</v>
      </c>
      <c r="K464">
        <v>1</v>
      </c>
      <c r="L464" t="s">
        <v>578</v>
      </c>
      <c r="M464">
        <v>25</v>
      </c>
      <c r="N464" s="195">
        <v>42005</v>
      </c>
      <c r="O464" s="195"/>
      <c r="R464" t="s">
        <v>387</v>
      </c>
      <c r="S464">
        <v>1</v>
      </c>
    </row>
    <row r="465" spans="1:19" x14ac:dyDescent="0.25">
      <c r="A465" t="str">
        <f>TableMJRUSCICH[[#This Row],[Study Package Code]]</f>
        <v>CHEM3004</v>
      </c>
      <c r="B465" s="5">
        <f>TableMJRUSCICH[[#This Row],[Ver]]</f>
        <v>1</v>
      </c>
      <c r="D465" t="str">
        <f>TableMJRUSCICH[[#This Row],[Structure Line]]</f>
        <v>Analytical Chemistry and Spectroscopy</v>
      </c>
      <c r="E465" s="125">
        <f>TableMJRUSCICH[[#This Row],[Credit Points]]</f>
        <v>25</v>
      </c>
      <c r="F465">
        <v>9</v>
      </c>
      <c r="G465" t="s">
        <v>865</v>
      </c>
      <c r="H465">
        <v>4</v>
      </c>
      <c r="I465" t="s">
        <v>528</v>
      </c>
      <c r="J465" t="s">
        <v>404</v>
      </c>
      <c r="K465">
        <v>1</v>
      </c>
      <c r="L465" t="s">
        <v>579</v>
      </c>
      <c r="M465">
        <v>25</v>
      </c>
      <c r="N465" s="195">
        <v>42005</v>
      </c>
      <c r="O465" s="195"/>
      <c r="R465" t="s">
        <v>404</v>
      </c>
      <c r="S465">
        <v>1</v>
      </c>
    </row>
    <row r="466" spans="1:19" x14ac:dyDescent="0.25">
      <c r="A466" t="str">
        <f>TableMJRUSCICH[[#This Row],[Study Package Code]]</f>
        <v>Elective</v>
      </c>
      <c r="B466" s="5">
        <f>TableMJRUSCICH[[#This Row],[Ver]]</f>
        <v>0</v>
      </c>
      <c r="D466" t="str">
        <f>TableMJRUSCICH[[#This Row],[Structure Line]]</f>
        <v>Choose an Elective,  If you wish to choose STRU-MATHM Mathematics Education Minor Teaching Area Stream and have not achieved a Mathematics Methods ATAR or Equivalent you should choose MATH1014 as your elective.</v>
      </c>
      <c r="E466" s="125">
        <f>TableMJRUSCICH[[#This Row],[Credit Points]]</f>
        <v>25</v>
      </c>
      <c r="F466">
        <v>10</v>
      </c>
      <c r="G466" t="s">
        <v>121</v>
      </c>
      <c r="H466">
        <v>4</v>
      </c>
      <c r="I466" t="s">
        <v>528</v>
      </c>
      <c r="J466" t="s">
        <v>121</v>
      </c>
      <c r="K466">
        <v>0</v>
      </c>
      <c r="L466" t="s">
        <v>878</v>
      </c>
      <c r="M466">
        <v>25</v>
      </c>
      <c r="N466" s="195"/>
      <c r="O466" s="195"/>
      <c r="R466" t="s">
        <v>121</v>
      </c>
      <c r="S466">
        <v>0</v>
      </c>
    </row>
    <row r="467" spans="1:19" x14ac:dyDescent="0.25">
      <c r="A467" t="str">
        <f>TableMJRUSCICH[[#This Row],[Study Package Code]]</f>
        <v>Stream</v>
      </c>
      <c r="B467" s="5">
        <f>TableMJRUSCICH[[#This Row],[Ver]]</f>
        <v>0</v>
      </c>
      <c r="D467" t="str">
        <f>TableMJRUSCICH[[#This Row],[Structure Line]]</f>
        <v>Choose your Minor Teaching Area Specialisation</v>
      </c>
      <c r="E467" s="125">
        <f>TableMJRUSCICH[[#This Row],[Credit Points]]</f>
        <v>150</v>
      </c>
      <c r="F467">
        <v>11</v>
      </c>
      <c r="G467" t="s">
        <v>865</v>
      </c>
      <c r="H467">
        <v>1</v>
      </c>
      <c r="I467" t="s">
        <v>529</v>
      </c>
      <c r="J467" t="s">
        <v>828</v>
      </c>
      <c r="K467">
        <v>0</v>
      </c>
      <c r="L467" t="s">
        <v>877</v>
      </c>
      <c r="M467">
        <v>150</v>
      </c>
      <c r="N467" s="195"/>
      <c r="O467" s="195"/>
      <c r="R467" t="s">
        <v>828</v>
      </c>
      <c r="S467">
        <v>0</v>
      </c>
    </row>
    <row r="468" spans="1:19" x14ac:dyDescent="0.25">
      <c r="A468" t="str">
        <f>TableMJRUSCICH[[#This Row],[Study Package Code]]</f>
        <v>STRU-CHEMB</v>
      </c>
      <c r="B468" s="5">
        <f>TableMJRUSCICH[[#This Row],[Ver]]</f>
        <v>2</v>
      </c>
      <c r="D468" t="str">
        <f>TableMJRUSCICH[[#This Row],[Structure Line]]</f>
        <v>Broadening Chemistry Teaching Area Stream (BEd Secondary)</v>
      </c>
      <c r="E468" s="125">
        <f>TableMJRUSCICH[[#This Row],[Credit Points]]</f>
        <v>150</v>
      </c>
      <c r="F468">
        <v>11</v>
      </c>
      <c r="G468" t="s">
        <v>102</v>
      </c>
      <c r="H468">
        <v>1</v>
      </c>
      <c r="I468" t="s">
        <v>529</v>
      </c>
      <c r="J468" t="s">
        <v>245</v>
      </c>
      <c r="K468">
        <v>2</v>
      </c>
      <c r="L468" t="s">
        <v>244</v>
      </c>
      <c r="M468">
        <v>150</v>
      </c>
      <c r="N468" s="195">
        <v>43466</v>
      </c>
      <c r="O468" s="195"/>
      <c r="R468" t="s">
        <v>245</v>
      </c>
      <c r="S468">
        <v>2</v>
      </c>
    </row>
    <row r="469" spans="1:19" x14ac:dyDescent="0.25">
      <c r="A469" t="str">
        <f>TableMJRUSCICH[[#This Row],[Study Package Code]]</f>
        <v>STRU-EDSCI</v>
      </c>
      <c r="B469" s="5">
        <f>TableMJRUSCICH[[#This Row],[Ver]]</f>
        <v>2</v>
      </c>
      <c r="D469" t="str">
        <f>TableMJRUSCICH[[#This Row],[Structure Line]]</f>
        <v>Education Specialty and Science Teaching Area Stream (BEd Secondary)</v>
      </c>
      <c r="E469" s="125">
        <f>TableMJRUSCICH[[#This Row],[Credit Points]]</f>
        <v>150</v>
      </c>
      <c r="F469">
        <v>11</v>
      </c>
      <c r="G469" t="s">
        <v>102</v>
      </c>
      <c r="H469">
        <v>1</v>
      </c>
      <c r="I469" t="s">
        <v>529</v>
      </c>
      <c r="J469" t="s">
        <v>258</v>
      </c>
      <c r="K469">
        <v>2</v>
      </c>
      <c r="L469" t="s">
        <v>257</v>
      </c>
      <c r="M469">
        <v>150</v>
      </c>
      <c r="N469" s="195">
        <v>43466</v>
      </c>
      <c r="O469" s="195"/>
      <c r="R469" t="s">
        <v>258</v>
      </c>
      <c r="S469">
        <v>2</v>
      </c>
    </row>
    <row r="470" spans="1:19" x14ac:dyDescent="0.25">
      <c r="A470" t="str">
        <f>TableMJRUSCICH[[#This Row],[Study Package Code]]</f>
        <v>STRU-ENGLM</v>
      </c>
      <c r="B470" s="5">
        <f>TableMJRUSCICH[[#This Row],[Ver]]</f>
        <v>3</v>
      </c>
      <c r="D470" t="str">
        <f>TableMJRUSCICH[[#This Row],[Structure Line]]</f>
        <v>English Education Minor Teaching Area Stream (BEd Secondary)</v>
      </c>
      <c r="E470" s="125">
        <f>TableMJRUSCICH[[#This Row],[Credit Points]]</f>
        <v>150</v>
      </c>
      <c r="F470">
        <v>11</v>
      </c>
      <c r="G470" t="s">
        <v>102</v>
      </c>
      <c r="H470">
        <v>1</v>
      </c>
      <c r="I470" t="s">
        <v>529</v>
      </c>
      <c r="J470" t="s">
        <v>197</v>
      </c>
      <c r="K470">
        <v>3</v>
      </c>
      <c r="L470" t="s">
        <v>260</v>
      </c>
      <c r="M470">
        <v>150</v>
      </c>
      <c r="N470" s="195">
        <v>44562</v>
      </c>
      <c r="O470" s="195"/>
      <c r="R470" t="s">
        <v>197</v>
      </c>
      <c r="S470">
        <v>3</v>
      </c>
    </row>
    <row r="471" spans="1:19" x14ac:dyDescent="0.25">
      <c r="A471" t="str">
        <f>TableMJRUSCICH[[#This Row],[Study Package Code]]</f>
        <v>STRU-HUMAM</v>
      </c>
      <c r="B471" s="5">
        <f>TableMJRUSCICH[[#This Row],[Ver]]</f>
        <v>2</v>
      </c>
      <c r="D471" t="str">
        <f>TableMJRUSCICH[[#This Row],[Structure Line]]</f>
        <v>Humanities and Social Sciences - Humanities Education Minor Teaching Area Stream (BEd Secondary)</v>
      </c>
      <c r="E471" s="125">
        <f>TableMJRUSCICH[[#This Row],[Credit Points]]</f>
        <v>150</v>
      </c>
      <c r="F471">
        <v>11</v>
      </c>
      <c r="G471" t="s">
        <v>102</v>
      </c>
      <c r="H471">
        <v>1</v>
      </c>
      <c r="I471" t="s">
        <v>529</v>
      </c>
      <c r="J471" t="s">
        <v>198</v>
      </c>
      <c r="K471">
        <v>2</v>
      </c>
      <c r="L471" t="s">
        <v>297</v>
      </c>
      <c r="M471">
        <v>150</v>
      </c>
      <c r="N471" s="195">
        <v>43466</v>
      </c>
      <c r="O471" s="195"/>
      <c r="R471" t="s">
        <v>198</v>
      </c>
      <c r="S471">
        <v>2</v>
      </c>
    </row>
    <row r="472" spans="1:19" x14ac:dyDescent="0.25">
      <c r="A472" t="str">
        <f>TableMJRUSCICH[[#This Row],[Study Package Code]]</f>
        <v>STRU-MATHM</v>
      </c>
      <c r="B472" s="5">
        <f>TableMJRUSCICH[[#This Row],[Ver]]</f>
        <v>2</v>
      </c>
      <c r="D472" t="str">
        <f>TableMJRUSCICH[[#This Row],[Structure Line]]</f>
        <v>Mathematics Education Minor Teaching Area Stream (BEd Secondary)</v>
      </c>
      <c r="E472" s="125">
        <f>TableMJRUSCICH[[#This Row],[Credit Points]]</f>
        <v>150</v>
      </c>
      <c r="F472">
        <v>11</v>
      </c>
      <c r="G472" t="s">
        <v>102</v>
      </c>
      <c r="H472">
        <v>1</v>
      </c>
      <c r="I472" t="s">
        <v>529</v>
      </c>
      <c r="J472" t="s">
        <v>202</v>
      </c>
      <c r="K472">
        <v>2</v>
      </c>
      <c r="L472" t="s">
        <v>184</v>
      </c>
      <c r="M472">
        <v>150</v>
      </c>
      <c r="N472" s="195">
        <v>43466</v>
      </c>
      <c r="O472" s="195"/>
      <c r="R472" t="s">
        <v>202</v>
      </c>
      <c r="S472">
        <v>2</v>
      </c>
    </row>
    <row r="473" spans="1:19" x14ac:dyDescent="0.25">
      <c r="A473" t="str">
        <f>TableMJRUSCICH[[#This Row],[Study Package Code]]</f>
        <v>STRU-PARTM</v>
      </c>
      <c r="B473" s="5">
        <f>TableMJRUSCICH[[#This Row],[Ver]]</f>
        <v>2</v>
      </c>
      <c r="D473" t="str">
        <f>TableMJRUSCICH[[#This Row],[Structure Line]]</f>
        <v>The Arts - Performing Arts Education Minor Teaching Area Stream (BEd Secondary)</v>
      </c>
      <c r="E473" s="125">
        <f>TableMJRUSCICH[[#This Row],[Credit Points]]</f>
        <v>150</v>
      </c>
      <c r="F473">
        <v>11</v>
      </c>
      <c r="G473" t="s">
        <v>102</v>
      </c>
      <c r="H473">
        <v>1</v>
      </c>
      <c r="I473" t="s">
        <v>529</v>
      </c>
      <c r="J473" t="s">
        <v>261</v>
      </c>
      <c r="K473">
        <v>2</v>
      </c>
      <c r="L473" t="s">
        <v>359</v>
      </c>
      <c r="M473">
        <v>150</v>
      </c>
      <c r="N473" s="195">
        <v>43466</v>
      </c>
      <c r="O473" s="195"/>
      <c r="R473" t="s">
        <v>261</v>
      </c>
      <c r="S473">
        <v>2</v>
      </c>
    </row>
    <row r="474" spans="1:19" x14ac:dyDescent="0.25">
      <c r="A474" t="str">
        <f>TableMJRUSCICH[[#This Row],[Study Package Code]]</f>
        <v>STRU-SOSCM</v>
      </c>
      <c r="B474" s="5">
        <f>TableMJRUSCICH[[#This Row],[Ver]]</f>
        <v>2</v>
      </c>
      <c r="D474" t="str">
        <f>TableMJRUSCICH[[#This Row],[Structure Line]]</f>
        <v>Humanities and Social Sciences - Social Sciences Education Minor Teaching Area Stream (BEd Secondary)</v>
      </c>
      <c r="E474" s="125">
        <f>TableMJRUSCICH[[#This Row],[Credit Points]]</f>
        <v>150</v>
      </c>
      <c r="F474">
        <v>11</v>
      </c>
      <c r="G474" t="s">
        <v>102</v>
      </c>
      <c r="H474">
        <v>1</v>
      </c>
      <c r="I474" t="s">
        <v>529</v>
      </c>
      <c r="J474" t="s">
        <v>216</v>
      </c>
      <c r="K474">
        <v>2</v>
      </c>
      <c r="L474" t="s">
        <v>410</v>
      </c>
      <c r="M474">
        <v>150</v>
      </c>
      <c r="N474" s="195">
        <v>43466</v>
      </c>
      <c r="O474" s="195"/>
      <c r="R474" t="s">
        <v>216</v>
      </c>
      <c r="S474">
        <v>2</v>
      </c>
    </row>
    <row r="475" spans="1:19" x14ac:dyDescent="0.25">
      <c r="A475" t="str">
        <f>TableMJRUSCICH[[#This Row],[Study Package Code]]</f>
        <v>STRU-VARTM</v>
      </c>
      <c r="B475" s="5">
        <f>TableMJRUSCICH[[#This Row],[Ver]]</f>
        <v>2</v>
      </c>
      <c r="D475" t="str">
        <f>TableMJRUSCICH[[#This Row],[Structure Line]]</f>
        <v>The Arts - Visual Arts Education Minor Teaching Area Stream (BEd Secondary)</v>
      </c>
      <c r="E475" s="125">
        <f>TableMJRUSCICH[[#This Row],[Credit Points]]</f>
        <v>150</v>
      </c>
      <c r="F475">
        <v>11</v>
      </c>
      <c r="G475" t="s">
        <v>102</v>
      </c>
      <c r="H475">
        <v>1</v>
      </c>
      <c r="I475" t="s">
        <v>529</v>
      </c>
      <c r="J475" t="s">
        <v>315</v>
      </c>
      <c r="K475">
        <v>2</v>
      </c>
      <c r="L475" t="s">
        <v>413</v>
      </c>
      <c r="M475">
        <v>150</v>
      </c>
      <c r="N475" s="195">
        <v>43466</v>
      </c>
      <c r="O475" s="195"/>
      <c r="R475" t="s">
        <v>315</v>
      </c>
      <c r="S475">
        <v>2</v>
      </c>
    </row>
    <row r="476" spans="1:19" x14ac:dyDescent="0.25">
      <c r="A476" s="122"/>
      <c r="B476" s="124"/>
      <c r="C476" s="122"/>
      <c r="D476" s="122"/>
      <c r="G476" s="123" t="s">
        <v>855</v>
      </c>
      <c r="H476" s="199">
        <v>44927</v>
      </c>
      <c r="J476" s="197" t="s">
        <v>233</v>
      </c>
      <c r="K476" s="124" t="s">
        <v>67</v>
      </c>
      <c r="L476" s="122" t="s">
        <v>232</v>
      </c>
      <c r="M476" s="122"/>
    </row>
    <row r="477" spans="1:19" ht="31.5" x14ac:dyDescent="0.25">
      <c r="A477" s="159" t="s">
        <v>0</v>
      </c>
      <c r="B477" s="160" t="s">
        <v>60</v>
      </c>
      <c r="C477" s="159" t="s">
        <v>856</v>
      </c>
      <c r="D477" s="159" t="s">
        <v>3</v>
      </c>
      <c r="E477" s="161" t="s">
        <v>857</v>
      </c>
      <c r="F477" s="159" t="s">
        <v>858</v>
      </c>
      <c r="G477" s="159" t="s">
        <v>859</v>
      </c>
      <c r="H477" s="159" t="s">
        <v>860</v>
      </c>
      <c r="I477" s="159" t="s">
        <v>17</v>
      </c>
      <c r="J477" s="159" t="s">
        <v>861</v>
      </c>
      <c r="K477" s="159" t="s">
        <v>1</v>
      </c>
      <c r="L477" s="159" t="s">
        <v>44</v>
      </c>
      <c r="M477" s="159" t="s">
        <v>61</v>
      </c>
      <c r="N477" s="159" t="s">
        <v>862</v>
      </c>
      <c r="O477" s="159" t="s">
        <v>863</v>
      </c>
      <c r="R477" t="s">
        <v>538</v>
      </c>
      <c r="S477" t="s">
        <v>864</v>
      </c>
    </row>
    <row r="478" spans="1:19" x14ac:dyDescent="0.25">
      <c r="A478" t="str">
        <f>TableMJRUSCIHB[[#This Row],[Study Package Code]]</f>
        <v>HUMB1000</v>
      </c>
      <c r="B478" s="5">
        <f>TableMJRUSCIHB[[#This Row],[Ver]]</f>
        <v>1</v>
      </c>
      <c r="D478" t="str">
        <f>TableMJRUSCIHB[[#This Row],[Structure Line]]</f>
        <v>Human Structure and Function</v>
      </c>
      <c r="E478" s="125">
        <f>TableMJRUSCIHB[[#This Row],[Credit Points]]</f>
        <v>25</v>
      </c>
      <c r="F478">
        <v>1</v>
      </c>
      <c r="G478" t="s">
        <v>865</v>
      </c>
      <c r="H478">
        <v>1</v>
      </c>
      <c r="I478" t="s">
        <v>529</v>
      </c>
      <c r="J478" t="s">
        <v>311</v>
      </c>
      <c r="K478">
        <v>1</v>
      </c>
      <c r="L478" t="s">
        <v>735</v>
      </c>
      <c r="M478">
        <v>25</v>
      </c>
      <c r="N478" s="195">
        <v>42005</v>
      </c>
      <c r="O478" s="195"/>
      <c r="R478" t="s">
        <v>311</v>
      </c>
      <c r="S478">
        <v>1</v>
      </c>
    </row>
    <row r="479" spans="1:19" x14ac:dyDescent="0.25">
      <c r="A479" t="str">
        <f>TableMJRUSCIHB[[#This Row],[Study Package Code]]</f>
        <v>Stream</v>
      </c>
      <c r="B479" s="5">
        <f>TableMJRUSCIHB[[#This Row],[Ver]]</f>
        <v>0</v>
      </c>
      <c r="D479" t="str">
        <f>TableMJRUSCIHB[[#This Row],[Structure Line]]</f>
        <v>Choose a Second Specialisation Stream</v>
      </c>
      <c r="E479" s="125">
        <f>TableMJRUSCIHB[[#This Row],[Credit Points]]</f>
        <v>150</v>
      </c>
      <c r="F479">
        <v>2</v>
      </c>
      <c r="G479" t="s">
        <v>865</v>
      </c>
      <c r="H479">
        <v>1</v>
      </c>
      <c r="I479" t="s">
        <v>529</v>
      </c>
      <c r="J479" t="s">
        <v>828</v>
      </c>
      <c r="K479">
        <v>0</v>
      </c>
      <c r="L479" t="s">
        <v>883</v>
      </c>
      <c r="M479">
        <v>150</v>
      </c>
      <c r="N479" s="195"/>
      <c r="O479" s="195"/>
      <c r="R479" t="s">
        <v>828</v>
      </c>
      <c r="S479">
        <v>0</v>
      </c>
    </row>
    <row r="480" spans="1:19" x14ac:dyDescent="0.25">
      <c r="A480" t="str">
        <f>TableMJRUSCIHB[[#This Row],[Study Package Code]]</f>
        <v>EDSC4022</v>
      </c>
      <c r="B480" s="5">
        <f>TableMJRUSCIHB[[#This Row],[Ver]]</f>
        <v>1</v>
      </c>
      <c r="D480" t="str">
        <f>TableMJRUSCIHB[[#This Row],[Structure Line]]</f>
        <v>Curriculum and Instruction Lower Secondary: Science</v>
      </c>
      <c r="E480" s="125">
        <f>TableMJRUSCIHB[[#This Row],[Credit Points]]</f>
        <v>25</v>
      </c>
      <c r="F480">
        <v>3</v>
      </c>
      <c r="G480" t="s">
        <v>865</v>
      </c>
      <c r="H480">
        <v>2</v>
      </c>
      <c r="I480" t="s">
        <v>528</v>
      </c>
      <c r="J480" t="s">
        <v>317</v>
      </c>
      <c r="K480">
        <v>1</v>
      </c>
      <c r="L480" t="s">
        <v>674</v>
      </c>
      <c r="M480">
        <v>25</v>
      </c>
      <c r="N480" s="195">
        <v>43466</v>
      </c>
      <c r="O480" s="195"/>
      <c r="R480" t="s">
        <v>317</v>
      </c>
      <c r="S480">
        <v>1</v>
      </c>
    </row>
    <row r="481" spans="1:19" x14ac:dyDescent="0.25">
      <c r="A481" t="str">
        <f>TableMJRUSCIHB[[#This Row],[Study Package Code]]</f>
        <v>HUMB1001</v>
      </c>
      <c r="B481" s="5">
        <f>TableMJRUSCIHB[[#This Row],[Ver]]</f>
        <v>1</v>
      </c>
      <c r="D481" t="str">
        <f>TableMJRUSCIHB[[#This Row],[Structure Line]]</f>
        <v>Integrated Systems Anatomy and Physiology</v>
      </c>
      <c r="E481" s="125">
        <f>TableMJRUSCIHB[[#This Row],[Credit Points]]</f>
        <v>25</v>
      </c>
      <c r="F481">
        <v>4</v>
      </c>
      <c r="G481" t="s">
        <v>865</v>
      </c>
      <c r="H481">
        <v>2</v>
      </c>
      <c r="I481" t="s">
        <v>528</v>
      </c>
      <c r="J481" t="s">
        <v>337</v>
      </c>
      <c r="K481">
        <v>1</v>
      </c>
      <c r="L481" t="s">
        <v>736</v>
      </c>
      <c r="M481">
        <v>25</v>
      </c>
      <c r="N481" s="195">
        <v>42005</v>
      </c>
      <c r="O481" s="195"/>
      <c r="R481" t="s">
        <v>337</v>
      </c>
      <c r="S481">
        <v>1</v>
      </c>
    </row>
    <row r="482" spans="1:19" x14ac:dyDescent="0.25">
      <c r="A482" t="str">
        <f>TableMJRUSCIHB[[#This Row],[Study Package Code]]</f>
        <v>EDSC4023</v>
      </c>
      <c r="B482" s="5">
        <f>TableMJRUSCIHB[[#This Row],[Ver]]</f>
        <v>2</v>
      </c>
      <c r="D482" t="str">
        <f>TableMJRUSCIHB[[#This Row],[Structure Line]]</f>
        <v>Curriculum and Instruction Senior Secondary: Science</v>
      </c>
      <c r="E482" s="125">
        <f>TableMJRUSCIHB[[#This Row],[Credit Points]]</f>
        <v>25</v>
      </c>
      <c r="F482">
        <v>5</v>
      </c>
      <c r="G482" t="s">
        <v>865</v>
      </c>
      <c r="H482">
        <v>2</v>
      </c>
      <c r="I482" t="s">
        <v>529</v>
      </c>
      <c r="J482" t="s">
        <v>340</v>
      </c>
      <c r="K482">
        <v>2</v>
      </c>
      <c r="L482" t="s">
        <v>675</v>
      </c>
      <c r="M482">
        <v>25</v>
      </c>
      <c r="N482" s="195">
        <v>43831</v>
      </c>
      <c r="O482" s="195"/>
      <c r="R482" t="s">
        <v>340</v>
      </c>
      <c r="S482">
        <v>2</v>
      </c>
    </row>
    <row r="483" spans="1:19" x14ac:dyDescent="0.25">
      <c r="A483" t="str">
        <f>TableMJRUSCIHB[[#This Row],[Study Package Code]]</f>
        <v>HUMB2012</v>
      </c>
      <c r="B483" s="5">
        <f>TableMJRUSCIHB[[#This Row],[Ver]]</f>
        <v>1</v>
      </c>
      <c r="D483" t="str">
        <f>TableMJRUSCIHB[[#This Row],[Structure Line]]</f>
        <v>Physiological Processes</v>
      </c>
      <c r="E483" s="125">
        <f>TableMJRUSCIHB[[#This Row],[Credit Points]]</f>
        <v>25</v>
      </c>
      <c r="F483">
        <v>6</v>
      </c>
      <c r="G483" t="s">
        <v>865</v>
      </c>
      <c r="H483">
        <v>2</v>
      </c>
      <c r="I483" t="s">
        <v>529</v>
      </c>
      <c r="J483" t="s">
        <v>358</v>
      </c>
      <c r="K483">
        <v>1</v>
      </c>
      <c r="L483" t="s">
        <v>745</v>
      </c>
      <c r="M483">
        <v>25</v>
      </c>
      <c r="N483" s="195">
        <v>44197</v>
      </c>
      <c r="O483" s="195"/>
      <c r="R483" t="s">
        <v>358</v>
      </c>
      <c r="S483">
        <v>1</v>
      </c>
    </row>
    <row r="484" spans="1:19" x14ac:dyDescent="0.25">
      <c r="A484" t="str">
        <f>TableMJRUSCIHB[[#This Row],[Study Package Code]]</f>
        <v>EDSC3009</v>
      </c>
      <c r="B484" s="5">
        <f>TableMJRUSCIHB[[#This Row],[Ver]]</f>
        <v>1</v>
      </c>
      <c r="D484" t="str">
        <f>TableMJRUSCIHB[[#This Row],[Structure Line]]</f>
        <v>Educating Adolescents: Diversity and Inclusion</v>
      </c>
      <c r="E484" s="125">
        <f>TableMJRUSCIHB[[#This Row],[Credit Points]]</f>
        <v>25</v>
      </c>
      <c r="F484">
        <v>7</v>
      </c>
      <c r="G484" t="s">
        <v>865</v>
      </c>
      <c r="H484">
        <v>3</v>
      </c>
      <c r="I484" t="s">
        <v>528</v>
      </c>
      <c r="J484" t="s">
        <v>360</v>
      </c>
      <c r="K484">
        <v>1</v>
      </c>
      <c r="L484" t="s">
        <v>666</v>
      </c>
      <c r="M484">
        <v>25</v>
      </c>
      <c r="N484" s="195">
        <v>43831</v>
      </c>
      <c r="O484" s="195"/>
      <c r="R484" t="s">
        <v>360</v>
      </c>
      <c r="S484">
        <v>1</v>
      </c>
    </row>
    <row r="485" spans="1:19" x14ac:dyDescent="0.25">
      <c r="A485" t="str">
        <f>TableMJRUSCIHB[[#This Row],[Study Package Code]]</f>
        <v>AltCoreMJRUSCIHB</v>
      </c>
      <c r="B485" s="5">
        <f>TableMJRUSCIHB[[#This Row],[Ver]]</f>
        <v>0</v>
      </c>
      <c r="D485" t="str">
        <f>TableMJRUSCIHB[[#This Row],[Structure Line]]</f>
        <v>Choose HUMB2011 or HUMB2013</v>
      </c>
      <c r="E485" s="125">
        <f>TableMJRUSCIHB[[#This Row],[Credit Points]]</f>
        <v>25</v>
      </c>
      <c r="F485">
        <v>8</v>
      </c>
      <c r="G485" t="s">
        <v>865</v>
      </c>
      <c r="H485">
        <v>3</v>
      </c>
      <c r="I485" t="s">
        <v>528</v>
      </c>
      <c r="J485" t="s">
        <v>374</v>
      </c>
      <c r="K485">
        <v>0</v>
      </c>
      <c r="L485" t="s">
        <v>884</v>
      </c>
      <c r="M485">
        <v>25</v>
      </c>
      <c r="N485" s="195"/>
      <c r="O485" s="195"/>
      <c r="R485" t="s">
        <v>374</v>
      </c>
      <c r="S485">
        <v>0</v>
      </c>
    </row>
    <row r="486" spans="1:19" x14ac:dyDescent="0.25">
      <c r="A486" t="str">
        <f>TableMJRUSCIHB[[#This Row],[Study Package Code]]</f>
        <v>MEDS3005</v>
      </c>
      <c r="B486" s="5">
        <f>TableMJRUSCIHB[[#This Row],[Ver]]</f>
        <v>1</v>
      </c>
      <c r="D486" t="str">
        <f>TableMJRUSCIHB[[#This Row],[Structure Line]]</f>
        <v>Human Reproductive Science</v>
      </c>
      <c r="E486" s="125">
        <f>TableMJRUSCIHB[[#This Row],[Credit Points]]</f>
        <v>25</v>
      </c>
      <c r="F486">
        <v>9</v>
      </c>
      <c r="G486" t="s">
        <v>865</v>
      </c>
      <c r="H486">
        <v>3</v>
      </c>
      <c r="I486" t="s">
        <v>529</v>
      </c>
      <c r="J486" t="s">
        <v>388</v>
      </c>
      <c r="K486">
        <v>1</v>
      </c>
      <c r="L486" t="s">
        <v>776</v>
      </c>
      <c r="M486">
        <v>25</v>
      </c>
      <c r="N486" s="195">
        <v>44197</v>
      </c>
      <c r="O486" s="195"/>
      <c r="R486" t="s">
        <v>388</v>
      </c>
      <c r="S486">
        <v>1</v>
      </c>
    </row>
    <row r="487" spans="1:19" x14ac:dyDescent="0.25">
      <c r="A487" t="str">
        <f>TableMJRUSCIHB[[#This Row],[Study Package Code]]</f>
        <v>EDSC3011</v>
      </c>
      <c r="B487" s="5">
        <f>TableMJRUSCIHB[[#This Row],[Ver]]</f>
        <v>1</v>
      </c>
      <c r="D487" t="str">
        <f>TableMJRUSCIHB[[#This Row],[Structure Line]]</f>
        <v>Species Evolution Over Time</v>
      </c>
      <c r="E487" s="125">
        <f>TableMJRUSCIHB[[#This Row],[Credit Points]]</f>
        <v>25</v>
      </c>
      <c r="F487">
        <v>10</v>
      </c>
      <c r="G487" t="s">
        <v>865</v>
      </c>
      <c r="H487">
        <v>4</v>
      </c>
      <c r="I487" t="s">
        <v>528</v>
      </c>
      <c r="J487" t="s">
        <v>405</v>
      </c>
      <c r="K487">
        <v>1</v>
      </c>
      <c r="L487" t="s">
        <v>667</v>
      </c>
      <c r="M487">
        <v>25</v>
      </c>
      <c r="N487" s="195">
        <v>44927</v>
      </c>
      <c r="O487" s="195"/>
      <c r="R487" t="s">
        <v>405</v>
      </c>
      <c r="S487">
        <v>1</v>
      </c>
    </row>
    <row r="488" spans="1:19" x14ac:dyDescent="0.25">
      <c r="A488" t="str">
        <f>TableMJRUSCIHB[[#This Row],[Study Package Code]]</f>
        <v>Elective</v>
      </c>
      <c r="B488" s="5">
        <f>TableMJRUSCIHB[[#This Row],[Ver]]</f>
        <v>0</v>
      </c>
      <c r="D488" t="str">
        <f>TableMJRUSCIHB[[#This Row],[Structure Line]]</f>
        <v>Choose an Elective. If you wish to choose STRU-MATHM Mathematics Education Minor Teaching Area Stream and have not achieved a Mathematics Methods ATAR or Equivalent you should choose MATH1014 as your elective.</v>
      </c>
      <c r="E488" s="125">
        <f>TableMJRUSCIHB[[#This Row],[Credit Points]]</f>
        <v>25</v>
      </c>
      <c r="F488">
        <v>11</v>
      </c>
      <c r="G488" t="s">
        <v>121</v>
      </c>
      <c r="H488">
        <v>4</v>
      </c>
      <c r="I488" t="s">
        <v>528</v>
      </c>
      <c r="J488" t="s">
        <v>121</v>
      </c>
      <c r="K488">
        <v>0</v>
      </c>
      <c r="L488" t="s">
        <v>885</v>
      </c>
      <c r="M488">
        <v>25</v>
      </c>
      <c r="N488" s="195"/>
      <c r="O488" s="195"/>
      <c r="R488" t="s">
        <v>121</v>
      </c>
      <c r="S488">
        <v>0</v>
      </c>
    </row>
    <row r="489" spans="1:19" x14ac:dyDescent="0.25">
      <c r="A489" t="str">
        <f>TableMJRUSCIHB[[#This Row],[Study Package Code]]</f>
        <v>STRU-EDSCI</v>
      </c>
      <c r="B489" s="5">
        <f>TableMJRUSCIHB[[#This Row],[Ver]]</f>
        <v>2</v>
      </c>
      <c r="D489" t="str">
        <f>TableMJRUSCIHB[[#This Row],[Structure Line]]</f>
        <v>Education Specialty and Science Teaching Area Stream (BEd Secondary)</v>
      </c>
      <c r="E489" s="125">
        <f>TableMJRUSCIHB[[#This Row],[Credit Points]]</f>
        <v>150</v>
      </c>
      <c r="F489">
        <v>2</v>
      </c>
      <c r="G489" t="s">
        <v>102</v>
      </c>
      <c r="H489">
        <v>1</v>
      </c>
      <c r="I489" t="s">
        <v>529</v>
      </c>
      <c r="J489" t="s">
        <v>258</v>
      </c>
      <c r="K489">
        <v>2</v>
      </c>
      <c r="L489" t="s">
        <v>257</v>
      </c>
      <c r="M489">
        <v>150</v>
      </c>
      <c r="N489" s="195">
        <v>43466</v>
      </c>
      <c r="O489" s="195"/>
      <c r="R489" t="s">
        <v>258</v>
      </c>
      <c r="S489">
        <v>2</v>
      </c>
    </row>
    <row r="490" spans="1:19" x14ac:dyDescent="0.25">
      <c r="A490" t="str">
        <f>TableMJRUSCIHB[[#This Row],[Study Package Code]]</f>
        <v>STRU-ENGLM</v>
      </c>
      <c r="B490" s="5">
        <f>TableMJRUSCIHB[[#This Row],[Ver]]</f>
        <v>3</v>
      </c>
      <c r="D490" t="str">
        <f>TableMJRUSCIHB[[#This Row],[Structure Line]]</f>
        <v>English Education Minor Teaching Area Stream (BEd Secondary)</v>
      </c>
      <c r="E490" s="125">
        <f>TableMJRUSCIHB[[#This Row],[Credit Points]]</f>
        <v>150</v>
      </c>
      <c r="F490">
        <v>2</v>
      </c>
      <c r="G490" t="s">
        <v>102</v>
      </c>
      <c r="H490">
        <v>1</v>
      </c>
      <c r="I490" t="s">
        <v>529</v>
      </c>
      <c r="J490" t="s">
        <v>197</v>
      </c>
      <c r="K490">
        <v>3</v>
      </c>
      <c r="L490" t="s">
        <v>260</v>
      </c>
      <c r="M490">
        <v>150</v>
      </c>
      <c r="N490" s="195">
        <v>44562</v>
      </c>
      <c r="O490" s="195"/>
      <c r="R490" t="s">
        <v>197</v>
      </c>
      <c r="S490">
        <v>3</v>
      </c>
    </row>
    <row r="491" spans="1:19" x14ac:dyDescent="0.25">
      <c r="A491" t="str">
        <f>TableMJRUSCIHB[[#This Row],[Study Package Code]]</f>
        <v>STRU-HUMAM</v>
      </c>
      <c r="B491" s="5">
        <f>TableMJRUSCIHB[[#This Row],[Ver]]</f>
        <v>2</v>
      </c>
      <c r="D491" t="str">
        <f>TableMJRUSCIHB[[#This Row],[Structure Line]]</f>
        <v>Humanities and Social Sciences - Humanities Education Minor Teaching Area Stream (BEd Secondary)</v>
      </c>
      <c r="E491" s="125">
        <f>TableMJRUSCIHB[[#This Row],[Credit Points]]</f>
        <v>150</v>
      </c>
      <c r="F491">
        <v>2</v>
      </c>
      <c r="G491" t="s">
        <v>102</v>
      </c>
      <c r="H491">
        <v>1</v>
      </c>
      <c r="I491" t="s">
        <v>529</v>
      </c>
      <c r="J491" t="s">
        <v>198</v>
      </c>
      <c r="K491">
        <v>2</v>
      </c>
      <c r="L491" t="s">
        <v>297</v>
      </c>
      <c r="M491">
        <v>150</v>
      </c>
      <c r="N491" s="195">
        <v>43466</v>
      </c>
      <c r="O491" s="195"/>
      <c r="R491" t="s">
        <v>198</v>
      </c>
      <c r="S491">
        <v>2</v>
      </c>
    </row>
    <row r="492" spans="1:19" x14ac:dyDescent="0.25">
      <c r="A492" t="str">
        <f>TableMJRUSCIHB[[#This Row],[Study Package Code]]</f>
        <v>STRU-HUMBB</v>
      </c>
      <c r="B492" s="5">
        <f>TableMJRUSCIHB[[#This Row],[Ver]]</f>
        <v>2</v>
      </c>
      <c r="D492" t="str">
        <f>TableMJRUSCIHB[[#This Row],[Structure Line]]</f>
        <v>Broadening Human Biology Teaching Area Stream (BEd Secondary)</v>
      </c>
      <c r="E492" s="125">
        <f>TableMJRUSCIHB[[#This Row],[Credit Points]]</f>
        <v>150</v>
      </c>
      <c r="F492">
        <v>2</v>
      </c>
      <c r="G492" t="s">
        <v>102</v>
      </c>
      <c r="H492">
        <v>1</v>
      </c>
      <c r="I492" t="s">
        <v>529</v>
      </c>
      <c r="J492" t="s">
        <v>314</v>
      </c>
      <c r="K492">
        <v>2</v>
      </c>
      <c r="L492" t="s">
        <v>313</v>
      </c>
      <c r="M492">
        <v>150</v>
      </c>
      <c r="N492" s="195">
        <v>43466</v>
      </c>
      <c r="O492" s="195"/>
      <c r="R492" t="s">
        <v>314</v>
      </c>
      <c r="S492">
        <v>2</v>
      </c>
    </row>
    <row r="493" spans="1:19" x14ac:dyDescent="0.25">
      <c r="A493" t="str">
        <f>TableMJRUSCIHB[[#This Row],[Study Package Code]]</f>
        <v>STRU-MATHM</v>
      </c>
      <c r="B493" s="5">
        <f>TableMJRUSCIHB[[#This Row],[Ver]]</f>
        <v>2</v>
      </c>
      <c r="D493" t="str">
        <f>TableMJRUSCIHB[[#This Row],[Structure Line]]</f>
        <v>Mathematics Education Minor Teaching Area Stream (BEd Secondary)</v>
      </c>
      <c r="E493" s="125">
        <f>TableMJRUSCIHB[[#This Row],[Credit Points]]</f>
        <v>150</v>
      </c>
      <c r="F493">
        <v>2</v>
      </c>
      <c r="G493" t="s">
        <v>102</v>
      </c>
      <c r="H493">
        <v>1</v>
      </c>
      <c r="I493" t="s">
        <v>529</v>
      </c>
      <c r="J493" t="s">
        <v>202</v>
      </c>
      <c r="K493">
        <v>2</v>
      </c>
      <c r="L493" t="s">
        <v>184</v>
      </c>
      <c r="M493">
        <v>150</v>
      </c>
      <c r="N493" s="195">
        <v>43466</v>
      </c>
      <c r="O493" s="195"/>
      <c r="R493" t="s">
        <v>202</v>
      </c>
      <c r="S493">
        <v>2</v>
      </c>
    </row>
    <row r="494" spans="1:19" x14ac:dyDescent="0.25">
      <c r="A494" t="str">
        <f>TableMJRUSCIHB[[#This Row],[Study Package Code]]</f>
        <v>STRU-PARTM</v>
      </c>
      <c r="B494" s="5">
        <f>TableMJRUSCIHB[[#This Row],[Ver]]</f>
        <v>2</v>
      </c>
      <c r="D494" t="str">
        <f>TableMJRUSCIHB[[#This Row],[Structure Line]]</f>
        <v>The Arts - Performing Arts Education Minor Teaching Area Stream (BEd Secondary)</v>
      </c>
      <c r="E494" s="125">
        <f>TableMJRUSCIHB[[#This Row],[Credit Points]]</f>
        <v>150</v>
      </c>
      <c r="F494">
        <v>2</v>
      </c>
      <c r="G494" t="s">
        <v>102</v>
      </c>
      <c r="H494">
        <v>1</v>
      </c>
      <c r="I494" t="s">
        <v>529</v>
      </c>
      <c r="J494" t="s">
        <v>261</v>
      </c>
      <c r="K494">
        <v>2</v>
      </c>
      <c r="L494" t="s">
        <v>359</v>
      </c>
      <c r="M494">
        <v>150</v>
      </c>
      <c r="N494" s="195">
        <v>43466</v>
      </c>
      <c r="O494" s="195"/>
      <c r="R494" t="s">
        <v>261</v>
      </c>
      <c r="S494">
        <v>2</v>
      </c>
    </row>
    <row r="495" spans="1:19" x14ac:dyDescent="0.25">
      <c r="A495" t="str">
        <f>TableMJRUSCIHB[[#This Row],[Study Package Code]]</f>
        <v>STRU-SOSCM</v>
      </c>
      <c r="B495" s="5">
        <f>TableMJRUSCIHB[[#This Row],[Ver]]</f>
        <v>2</v>
      </c>
      <c r="D495" t="str">
        <f>TableMJRUSCIHB[[#This Row],[Structure Line]]</f>
        <v>Humanities and Social Sciences - Social Sciences Education Minor Teaching Area Stream (BEd Secondary)</v>
      </c>
      <c r="E495" s="125">
        <f>TableMJRUSCIHB[[#This Row],[Credit Points]]</f>
        <v>150</v>
      </c>
      <c r="F495">
        <v>2</v>
      </c>
      <c r="G495" t="s">
        <v>102</v>
      </c>
      <c r="H495">
        <v>1</v>
      </c>
      <c r="I495" t="s">
        <v>529</v>
      </c>
      <c r="J495" t="s">
        <v>216</v>
      </c>
      <c r="K495">
        <v>2</v>
      </c>
      <c r="L495" t="s">
        <v>410</v>
      </c>
      <c r="M495">
        <v>150</v>
      </c>
      <c r="N495" s="195">
        <v>43466</v>
      </c>
      <c r="O495" s="195"/>
      <c r="R495" t="s">
        <v>216</v>
      </c>
      <c r="S495">
        <v>2</v>
      </c>
    </row>
    <row r="496" spans="1:19" x14ac:dyDescent="0.25">
      <c r="A496" t="str">
        <f>TableMJRUSCIHB[[#This Row],[Study Package Code]]</f>
        <v>STRU-VARTM</v>
      </c>
      <c r="B496" s="5">
        <f>TableMJRUSCIHB[[#This Row],[Ver]]</f>
        <v>2</v>
      </c>
      <c r="D496" t="str">
        <f>TableMJRUSCIHB[[#This Row],[Structure Line]]</f>
        <v>The Arts - Visual Arts Education Minor Teaching Area Stream (BEd Secondary)</v>
      </c>
      <c r="E496" s="125">
        <f>TableMJRUSCIHB[[#This Row],[Credit Points]]</f>
        <v>150</v>
      </c>
      <c r="F496">
        <v>2</v>
      </c>
      <c r="G496" t="s">
        <v>102</v>
      </c>
      <c r="H496">
        <v>1</v>
      </c>
      <c r="I496" t="s">
        <v>529</v>
      </c>
      <c r="J496" t="s">
        <v>315</v>
      </c>
      <c r="K496">
        <v>2</v>
      </c>
      <c r="L496" t="s">
        <v>413</v>
      </c>
      <c r="M496">
        <v>150</v>
      </c>
      <c r="N496" s="195">
        <v>43466</v>
      </c>
      <c r="O496" s="195"/>
      <c r="R496" t="s">
        <v>315</v>
      </c>
      <c r="S496">
        <v>2</v>
      </c>
    </row>
    <row r="497" spans="1:19" x14ac:dyDescent="0.25">
      <c r="A497" t="str">
        <f>TableMJRUSCIHB[[#This Row],[Study Package Code]]</f>
        <v>HUMB2011</v>
      </c>
      <c r="B497" s="5">
        <f>TableMJRUSCIHB[[#This Row],[Ver]]</f>
        <v>1</v>
      </c>
      <c r="D497" t="str">
        <f>TableMJRUSCIHB[[#This Row],[Structure Line]]</f>
        <v>Limb Anatomy and Biomechanics</v>
      </c>
      <c r="E497" s="125">
        <f>TableMJRUSCIHB[[#This Row],[Credit Points]]</f>
        <v>25</v>
      </c>
      <c r="F497">
        <v>8</v>
      </c>
      <c r="G497" t="s">
        <v>871</v>
      </c>
      <c r="H497">
        <v>3</v>
      </c>
      <c r="I497" t="s">
        <v>528</v>
      </c>
      <c r="J497" t="s">
        <v>416</v>
      </c>
      <c r="K497">
        <v>1</v>
      </c>
      <c r="L497" t="s">
        <v>743</v>
      </c>
      <c r="M497">
        <v>25</v>
      </c>
      <c r="N497" s="195">
        <v>44197</v>
      </c>
      <c r="O497" s="195"/>
      <c r="R497" t="s">
        <v>416</v>
      </c>
      <c r="S497">
        <v>1</v>
      </c>
    </row>
    <row r="498" spans="1:19" x14ac:dyDescent="0.25">
      <c r="A498" t="str">
        <f>TableMJRUSCIHB[[#This Row],[Study Package Code]]</f>
        <v>HUMB2013</v>
      </c>
      <c r="B498" s="5">
        <f>TableMJRUSCIHB[[#This Row],[Ver]]</f>
        <v>1</v>
      </c>
      <c r="D498" t="str">
        <f>TableMJRUSCIHB[[#This Row],[Structure Line]]</f>
        <v>Trunk Anatomy and Embryology</v>
      </c>
      <c r="E498" s="125">
        <f>TableMJRUSCIHB[[#This Row],[Credit Points]]</f>
        <v>25</v>
      </c>
      <c r="F498">
        <v>8</v>
      </c>
      <c r="G498" t="s">
        <v>871</v>
      </c>
      <c r="H498">
        <v>3</v>
      </c>
      <c r="I498" t="s">
        <v>528</v>
      </c>
      <c r="J498" t="s">
        <v>419</v>
      </c>
      <c r="K498">
        <v>1</v>
      </c>
      <c r="L498" t="s">
        <v>746</v>
      </c>
      <c r="M498">
        <v>25</v>
      </c>
      <c r="N498" s="195">
        <v>44197</v>
      </c>
      <c r="O498" s="195"/>
      <c r="R498" t="s">
        <v>419</v>
      </c>
      <c r="S498">
        <v>1</v>
      </c>
    </row>
    <row r="499" spans="1:19" x14ac:dyDescent="0.25">
      <c r="A499" s="122"/>
      <c r="B499" s="124"/>
      <c r="C499" s="122"/>
      <c r="D499" s="122"/>
      <c r="G499" s="123" t="s">
        <v>855</v>
      </c>
      <c r="H499" s="199">
        <v>43466</v>
      </c>
      <c r="J499" s="197" t="s">
        <v>235</v>
      </c>
      <c r="K499" s="124" t="s">
        <v>200</v>
      </c>
      <c r="L499" s="122" t="s">
        <v>234</v>
      </c>
      <c r="M499" s="122"/>
    </row>
    <row r="500" spans="1:19" ht="31.5" x14ac:dyDescent="0.25">
      <c r="A500" s="159" t="s">
        <v>0</v>
      </c>
      <c r="B500" s="160" t="s">
        <v>60</v>
      </c>
      <c r="C500" s="159" t="s">
        <v>856</v>
      </c>
      <c r="D500" s="159" t="s">
        <v>3</v>
      </c>
      <c r="E500" s="161" t="s">
        <v>857</v>
      </c>
      <c r="F500" s="159" t="s">
        <v>858</v>
      </c>
      <c r="G500" s="159" t="s">
        <v>859</v>
      </c>
      <c r="H500" s="159" t="s">
        <v>860</v>
      </c>
      <c r="I500" s="159" t="s">
        <v>17</v>
      </c>
      <c r="J500" s="159" t="s">
        <v>861</v>
      </c>
      <c r="K500" s="159" t="s">
        <v>1</v>
      </c>
      <c r="L500" s="159" t="s">
        <v>44</v>
      </c>
      <c r="M500" s="159" t="s">
        <v>61</v>
      </c>
      <c r="N500" s="159" t="s">
        <v>862</v>
      </c>
      <c r="O500" s="159" t="s">
        <v>863</v>
      </c>
      <c r="R500" t="s">
        <v>538</v>
      </c>
      <c r="S500" t="s">
        <v>864</v>
      </c>
    </row>
    <row r="501" spans="1:19" x14ac:dyDescent="0.25">
      <c r="A501" t="str">
        <f>TableMJRUSCIPH[[#This Row],[Study Package Code]]</f>
        <v>MATH1016</v>
      </c>
      <c r="B501" s="5">
        <f>TableMJRUSCIPH[[#This Row],[Ver]]</f>
        <v>1</v>
      </c>
      <c r="D501" t="str">
        <f>TableMJRUSCIPH[[#This Row],[Structure Line]]</f>
        <v>Calculus 1</v>
      </c>
      <c r="E501" s="125">
        <f>TableMJRUSCIPH[[#This Row],[Credit Points]]</f>
        <v>25</v>
      </c>
      <c r="F501">
        <v>1</v>
      </c>
      <c r="G501" t="s">
        <v>865</v>
      </c>
      <c r="H501">
        <v>1</v>
      </c>
      <c r="I501" t="s">
        <v>529</v>
      </c>
      <c r="J501" t="s">
        <v>308</v>
      </c>
      <c r="K501">
        <v>1</v>
      </c>
      <c r="L501" t="s">
        <v>767</v>
      </c>
      <c r="M501">
        <v>25</v>
      </c>
      <c r="N501" s="195">
        <v>42736</v>
      </c>
      <c r="O501" s="195"/>
      <c r="R501" t="s">
        <v>308</v>
      </c>
      <c r="S501">
        <v>1</v>
      </c>
    </row>
    <row r="502" spans="1:19" x14ac:dyDescent="0.25">
      <c r="A502" t="str">
        <f>TableMJRUSCIPH[[#This Row],[Study Package Code]]</f>
        <v>MATH1015</v>
      </c>
      <c r="B502" s="5">
        <f>TableMJRUSCIPH[[#This Row],[Ver]]</f>
        <v>1</v>
      </c>
      <c r="D502" t="str">
        <f>TableMJRUSCIPH[[#This Row],[Structure Line]]</f>
        <v>Linear Algebra 1</v>
      </c>
      <c r="E502" s="125">
        <f>TableMJRUSCIPH[[#This Row],[Credit Points]]</f>
        <v>25</v>
      </c>
      <c r="F502">
        <v>2</v>
      </c>
      <c r="G502" t="s">
        <v>865</v>
      </c>
      <c r="H502">
        <v>1</v>
      </c>
      <c r="I502" t="s">
        <v>529</v>
      </c>
      <c r="J502" t="s">
        <v>299</v>
      </c>
      <c r="K502">
        <v>1</v>
      </c>
      <c r="L502" t="s">
        <v>766</v>
      </c>
      <c r="M502">
        <v>25</v>
      </c>
      <c r="N502" s="195">
        <v>42736</v>
      </c>
      <c r="O502" s="195"/>
      <c r="R502" t="s">
        <v>299</v>
      </c>
      <c r="S502">
        <v>1</v>
      </c>
    </row>
    <row r="503" spans="1:19" x14ac:dyDescent="0.25">
      <c r="A503" t="str">
        <f>TableMJRUSCIPH[[#This Row],[Study Package Code]]</f>
        <v>MATH2009</v>
      </c>
      <c r="B503" s="5">
        <f>TableMJRUSCIPH[[#This Row],[Ver]]</f>
        <v>2</v>
      </c>
      <c r="D503" t="str">
        <f>TableMJRUSCIPH[[#This Row],[Structure Line]]</f>
        <v>Calculus 2</v>
      </c>
      <c r="E503" s="125">
        <f>TableMJRUSCIPH[[#This Row],[Credit Points]]</f>
        <v>25</v>
      </c>
      <c r="F503">
        <v>3</v>
      </c>
      <c r="G503" t="s">
        <v>865</v>
      </c>
      <c r="H503">
        <v>2</v>
      </c>
      <c r="I503" t="s">
        <v>528</v>
      </c>
      <c r="J503" t="s">
        <v>325</v>
      </c>
      <c r="K503">
        <v>2</v>
      </c>
      <c r="L503" t="s">
        <v>769</v>
      </c>
      <c r="M503">
        <v>25</v>
      </c>
      <c r="N503" s="195">
        <v>42736</v>
      </c>
      <c r="O503" s="195"/>
      <c r="R503" t="s">
        <v>325</v>
      </c>
      <c r="S503">
        <v>2</v>
      </c>
    </row>
    <row r="504" spans="1:19" x14ac:dyDescent="0.25">
      <c r="A504" t="str">
        <f>TableMJRUSCIPH[[#This Row],[Study Package Code]]</f>
        <v>EDSC4022</v>
      </c>
      <c r="B504" s="5">
        <f>TableMJRUSCIPH[[#This Row],[Ver]]</f>
        <v>1</v>
      </c>
      <c r="D504" t="str">
        <f>TableMJRUSCIPH[[#This Row],[Structure Line]]</f>
        <v>Curriculum and Instruction Lower Secondary: Science</v>
      </c>
      <c r="E504" s="125">
        <f>TableMJRUSCIPH[[#This Row],[Credit Points]]</f>
        <v>25</v>
      </c>
      <c r="F504">
        <v>4</v>
      </c>
      <c r="G504" t="s">
        <v>865</v>
      </c>
      <c r="H504">
        <v>2</v>
      </c>
      <c r="I504" t="s">
        <v>528</v>
      </c>
      <c r="J504" t="s">
        <v>317</v>
      </c>
      <c r="K504">
        <v>1</v>
      </c>
      <c r="L504" t="s">
        <v>674</v>
      </c>
      <c r="M504">
        <v>25</v>
      </c>
      <c r="N504" s="195">
        <v>43466</v>
      </c>
      <c r="O504" s="195"/>
      <c r="R504" t="s">
        <v>317</v>
      </c>
      <c r="S504">
        <v>1</v>
      </c>
    </row>
    <row r="505" spans="1:19" x14ac:dyDescent="0.25">
      <c r="A505" t="str">
        <f>TableMJRUSCIPH[[#This Row],[Study Package Code]]</f>
        <v>PHYS1005</v>
      </c>
      <c r="B505" s="5">
        <f>TableMJRUSCIPH[[#This Row],[Ver]]</f>
        <v>1</v>
      </c>
      <c r="D505" t="str">
        <f>TableMJRUSCIPH[[#This Row],[Structure Line]]</f>
        <v>Physics 1</v>
      </c>
      <c r="E505" s="125">
        <f>TableMJRUSCIPH[[#This Row],[Credit Points]]</f>
        <v>25</v>
      </c>
      <c r="F505">
        <v>5</v>
      </c>
      <c r="G505" t="s">
        <v>865</v>
      </c>
      <c r="H505">
        <v>2</v>
      </c>
      <c r="I505" t="s">
        <v>528</v>
      </c>
      <c r="J505" t="s">
        <v>477</v>
      </c>
      <c r="K505">
        <v>1</v>
      </c>
      <c r="L505" t="s">
        <v>790</v>
      </c>
      <c r="M505">
        <v>25</v>
      </c>
      <c r="N505" s="195">
        <v>42005</v>
      </c>
      <c r="O505" s="195"/>
      <c r="R505" t="s">
        <v>477</v>
      </c>
      <c r="S505">
        <v>1</v>
      </c>
    </row>
    <row r="506" spans="1:19" x14ac:dyDescent="0.25">
      <c r="A506" t="str">
        <f>TableMJRUSCIPH[[#This Row],[Study Package Code]]</f>
        <v>EDSC4023</v>
      </c>
      <c r="B506" s="5">
        <f>TableMJRUSCIPH[[#This Row],[Ver]]</f>
        <v>2</v>
      </c>
      <c r="D506" t="str">
        <f>TableMJRUSCIPH[[#This Row],[Structure Line]]</f>
        <v>Curriculum and Instruction Senior Secondary: Science</v>
      </c>
      <c r="E506" s="125">
        <f>TableMJRUSCIPH[[#This Row],[Credit Points]]</f>
        <v>25</v>
      </c>
      <c r="F506">
        <v>6</v>
      </c>
      <c r="G506" t="s">
        <v>865</v>
      </c>
      <c r="H506">
        <v>2</v>
      </c>
      <c r="I506" t="s">
        <v>529</v>
      </c>
      <c r="J506" t="s">
        <v>340</v>
      </c>
      <c r="K506">
        <v>2</v>
      </c>
      <c r="L506" t="s">
        <v>675</v>
      </c>
      <c r="M506">
        <v>25</v>
      </c>
      <c r="N506" s="195">
        <v>43831</v>
      </c>
      <c r="O506" s="195"/>
      <c r="R506" t="s">
        <v>340</v>
      </c>
      <c r="S506">
        <v>2</v>
      </c>
    </row>
    <row r="507" spans="1:19" x14ac:dyDescent="0.25">
      <c r="A507" t="str">
        <f>TableMJRUSCIPH[[#This Row],[Study Package Code]]</f>
        <v>MATH2000</v>
      </c>
      <c r="B507" s="5">
        <f>TableMJRUSCIPH[[#This Row],[Ver]]</f>
        <v>1</v>
      </c>
      <c r="D507" t="str">
        <f>TableMJRUSCIPH[[#This Row],[Structure Line]]</f>
        <v>Network Optimisation</v>
      </c>
      <c r="E507" s="125">
        <f>TableMJRUSCIPH[[#This Row],[Credit Points]]</f>
        <v>25</v>
      </c>
      <c r="F507">
        <v>7</v>
      </c>
      <c r="G507" t="s">
        <v>865</v>
      </c>
      <c r="H507">
        <v>2</v>
      </c>
      <c r="I507" t="s">
        <v>529</v>
      </c>
      <c r="J507" t="s">
        <v>347</v>
      </c>
      <c r="K507">
        <v>1</v>
      </c>
      <c r="L507" t="s">
        <v>768</v>
      </c>
      <c r="M507">
        <v>25</v>
      </c>
      <c r="N507" s="195">
        <v>42005</v>
      </c>
      <c r="O507" s="195"/>
      <c r="R507" t="s">
        <v>347</v>
      </c>
      <c r="S507">
        <v>1</v>
      </c>
    </row>
    <row r="508" spans="1:19" x14ac:dyDescent="0.25">
      <c r="A508" t="str">
        <f>TableMJRUSCIPH[[#This Row],[Study Package Code]]</f>
        <v>PHYS1007</v>
      </c>
      <c r="B508" s="5">
        <f>TableMJRUSCIPH[[#This Row],[Ver]]</f>
        <v>1</v>
      </c>
      <c r="D508" t="str">
        <f>TableMJRUSCIPH[[#This Row],[Structure Line]]</f>
        <v>Physics 2</v>
      </c>
      <c r="E508" s="125">
        <f>TableMJRUSCIPH[[#This Row],[Credit Points]]</f>
        <v>25</v>
      </c>
      <c r="F508">
        <v>8</v>
      </c>
      <c r="G508" t="s">
        <v>865</v>
      </c>
      <c r="H508">
        <v>2</v>
      </c>
      <c r="I508" t="s">
        <v>529</v>
      </c>
      <c r="J508" t="s">
        <v>488</v>
      </c>
      <c r="K508">
        <v>1</v>
      </c>
      <c r="L508" t="s">
        <v>791</v>
      </c>
      <c r="M508">
        <v>25</v>
      </c>
      <c r="N508" s="195">
        <v>42005</v>
      </c>
      <c r="O508" s="195"/>
      <c r="R508" t="s">
        <v>488</v>
      </c>
      <c r="S508">
        <v>1</v>
      </c>
    </row>
    <row r="509" spans="1:19" x14ac:dyDescent="0.25">
      <c r="A509" t="str">
        <f>TableMJRUSCIPH[[#This Row],[Study Package Code]]</f>
        <v>PHYS2006</v>
      </c>
      <c r="B509" s="5">
        <f>TableMJRUSCIPH[[#This Row],[Ver]]</f>
        <v>1</v>
      </c>
      <c r="D509" t="str">
        <f>TableMJRUSCIPH[[#This Row],[Structure Line]]</f>
        <v>Classical Mechanics and Quantum Physics</v>
      </c>
      <c r="E509" s="125">
        <f>TableMJRUSCIPH[[#This Row],[Credit Points]]</f>
        <v>25</v>
      </c>
      <c r="F509">
        <v>9</v>
      </c>
      <c r="G509" t="s">
        <v>865</v>
      </c>
      <c r="H509">
        <v>3</v>
      </c>
      <c r="I509" t="s">
        <v>528</v>
      </c>
      <c r="J509" t="s">
        <v>495</v>
      </c>
      <c r="K509">
        <v>1</v>
      </c>
      <c r="L509" t="s">
        <v>793</v>
      </c>
      <c r="M509">
        <v>25</v>
      </c>
      <c r="N509" s="195">
        <v>44197</v>
      </c>
      <c r="O509" s="195"/>
      <c r="R509" t="s">
        <v>495</v>
      </c>
      <c r="S509">
        <v>1</v>
      </c>
    </row>
    <row r="510" spans="1:19" x14ac:dyDescent="0.25">
      <c r="A510" t="str">
        <f>TableMJRUSCIPH[[#This Row],[Study Package Code]]</f>
        <v>EDSC4020</v>
      </c>
      <c r="B510" s="5">
        <f>TableMJRUSCIPH[[#This Row],[Ver]]</f>
        <v>1</v>
      </c>
      <c r="D510" t="str">
        <f>TableMJRUSCIPH[[#This Row],[Structure Line]]</f>
        <v>Curriculum and Instruction Lower Secondary: Mathematics</v>
      </c>
      <c r="E510" s="125">
        <f>TableMJRUSCIPH[[#This Row],[Credit Points]]</f>
        <v>25</v>
      </c>
      <c r="F510">
        <v>10</v>
      </c>
      <c r="G510" t="s">
        <v>865</v>
      </c>
      <c r="H510">
        <v>3</v>
      </c>
      <c r="I510" t="s">
        <v>528</v>
      </c>
      <c r="J510" t="s">
        <v>321</v>
      </c>
      <c r="K510">
        <v>1</v>
      </c>
      <c r="L510" t="s">
        <v>670</v>
      </c>
      <c r="M510">
        <v>25</v>
      </c>
      <c r="N510" s="195">
        <v>43466</v>
      </c>
      <c r="O510" s="195"/>
      <c r="R510" t="s">
        <v>321</v>
      </c>
      <c r="S510">
        <v>1</v>
      </c>
    </row>
    <row r="511" spans="1:19" x14ac:dyDescent="0.25">
      <c r="A511" t="str">
        <f>TableMJRUSCIPH[[#This Row],[Study Package Code]]</f>
        <v>EDSC3009</v>
      </c>
      <c r="B511" s="5">
        <f>TableMJRUSCIPH[[#This Row],[Ver]]</f>
        <v>1</v>
      </c>
      <c r="D511" t="str">
        <f>TableMJRUSCIPH[[#This Row],[Structure Line]]</f>
        <v>Educating Adolescents: Diversity and Inclusion</v>
      </c>
      <c r="E511" s="125">
        <f>TableMJRUSCIPH[[#This Row],[Credit Points]]</f>
        <v>25</v>
      </c>
      <c r="F511">
        <v>11</v>
      </c>
      <c r="G511" t="s">
        <v>865</v>
      </c>
      <c r="H511">
        <v>3</v>
      </c>
      <c r="I511" t="s">
        <v>528</v>
      </c>
      <c r="J511" t="s">
        <v>360</v>
      </c>
      <c r="K511">
        <v>1</v>
      </c>
      <c r="L511" t="s">
        <v>666</v>
      </c>
      <c r="M511">
        <v>25</v>
      </c>
      <c r="N511" s="195">
        <v>43831</v>
      </c>
      <c r="O511" s="195"/>
      <c r="R511" t="s">
        <v>360</v>
      </c>
      <c r="S511">
        <v>1</v>
      </c>
    </row>
    <row r="512" spans="1:19" x14ac:dyDescent="0.25">
      <c r="A512" t="str">
        <f>TableMJRUSCIPH[[#This Row],[Study Package Code]]</f>
        <v>STAT1005</v>
      </c>
      <c r="B512" s="5">
        <f>TableMJRUSCIPH[[#This Row],[Ver]]</f>
        <v>1</v>
      </c>
      <c r="D512" t="str">
        <f>TableMJRUSCIPH[[#This Row],[Structure Line]]</f>
        <v>Introduction to Probability and Data Analysis</v>
      </c>
      <c r="E512" s="125">
        <f>TableMJRUSCIPH[[#This Row],[Credit Points]]</f>
        <v>25</v>
      </c>
      <c r="F512">
        <v>12</v>
      </c>
      <c r="G512" t="s">
        <v>865</v>
      </c>
      <c r="H512">
        <v>3</v>
      </c>
      <c r="I512" t="s">
        <v>528</v>
      </c>
      <c r="J512" t="s">
        <v>334</v>
      </c>
      <c r="K512">
        <v>1</v>
      </c>
      <c r="L512" t="s">
        <v>823</v>
      </c>
      <c r="M512">
        <v>25</v>
      </c>
      <c r="N512" s="195">
        <v>43831</v>
      </c>
      <c r="O512" s="195"/>
      <c r="R512" t="s">
        <v>334</v>
      </c>
      <c r="S512">
        <v>1</v>
      </c>
    </row>
    <row r="513" spans="1:19" x14ac:dyDescent="0.25">
      <c r="A513" t="str">
        <f>TableMJRUSCIPH[[#This Row],[Study Package Code]]</f>
        <v>MATH3001</v>
      </c>
      <c r="B513" s="5">
        <f>TableMJRUSCIPH[[#This Row],[Ver]]</f>
        <v>1</v>
      </c>
      <c r="D513" t="str">
        <f>TableMJRUSCIPH[[#This Row],[Structure Line]]</f>
        <v>Applied Mathematical Modelling</v>
      </c>
      <c r="E513" s="125">
        <f>TableMJRUSCIPH[[#This Row],[Credit Points]]</f>
        <v>25</v>
      </c>
      <c r="F513">
        <v>13</v>
      </c>
      <c r="G513" t="s">
        <v>865</v>
      </c>
      <c r="H513">
        <v>3</v>
      </c>
      <c r="I513" t="s">
        <v>529</v>
      </c>
      <c r="J513" t="s">
        <v>378</v>
      </c>
      <c r="K513">
        <v>1</v>
      </c>
      <c r="L513" t="s">
        <v>770</v>
      </c>
      <c r="M513">
        <v>25</v>
      </c>
      <c r="N513" s="195">
        <v>42005</v>
      </c>
      <c r="O513" s="195"/>
      <c r="R513" t="s">
        <v>378</v>
      </c>
      <c r="S513">
        <v>1</v>
      </c>
    </row>
    <row r="514" spans="1:19" x14ac:dyDescent="0.25">
      <c r="A514" t="str">
        <f>TableMJRUSCIPH[[#This Row],[Study Package Code]]</f>
        <v>EDSC4021</v>
      </c>
      <c r="B514" s="5">
        <f>TableMJRUSCIPH[[#This Row],[Ver]]</f>
        <v>2</v>
      </c>
      <c r="D514" t="str">
        <f>TableMJRUSCIPH[[#This Row],[Structure Line]]</f>
        <v>Curriculum and Instruction Senior Secondary: Mathematics</v>
      </c>
      <c r="E514" s="125">
        <f>TableMJRUSCIPH[[#This Row],[Credit Points]]</f>
        <v>25</v>
      </c>
      <c r="F514">
        <v>14</v>
      </c>
      <c r="G514" t="s">
        <v>865</v>
      </c>
      <c r="H514">
        <v>3</v>
      </c>
      <c r="I514" t="s">
        <v>529</v>
      </c>
      <c r="J514" t="s">
        <v>344</v>
      </c>
      <c r="K514">
        <v>2</v>
      </c>
      <c r="L514" t="s">
        <v>673</v>
      </c>
      <c r="M514">
        <v>25</v>
      </c>
      <c r="N514" s="195">
        <v>43831</v>
      </c>
      <c r="O514" s="195"/>
      <c r="R514" t="s">
        <v>344</v>
      </c>
      <c r="S514">
        <v>2</v>
      </c>
    </row>
    <row r="515" spans="1:19" x14ac:dyDescent="0.25">
      <c r="A515" t="str">
        <f>TableMJRUSCIPH[[#This Row],[Study Package Code]]</f>
        <v>PHYS3009</v>
      </c>
      <c r="B515" s="5">
        <f>TableMJRUSCIPH[[#This Row],[Ver]]</f>
        <v>1</v>
      </c>
      <c r="D515" t="str">
        <f>TableMJRUSCIPH[[#This Row],[Structure Line]]</f>
        <v>Quantum Mechanics</v>
      </c>
      <c r="E515" s="125">
        <f>TableMJRUSCIPH[[#This Row],[Credit Points]]</f>
        <v>25</v>
      </c>
      <c r="F515">
        <v>15</v>
      </c>
      <c r="G515" t="s">
        <v>865</v>
      </c>
      <c r="H515">
        <v>4</v>
      </c>
      <c r="I515" t="s">
        <v>528</v>
      </c>
      <c r="J515" t="s">
        <v>393</v>
      </c>
      <c r="K515">
        <v>1</v>
      </c>
      <c r="L515" t="s">
        <v>795</v>
      </c>
      <c r="M515">
        <v>25</v>
      </c>
      <c r="N515" s="195">
        <v>44562</v>
      </c>
      <c r="O515" s="195"/>
      <c r="R515" t="s">
        <v>393</v>
      </c>
      <c r="S515">
        <v>1</v>
      </c>
    </row>
    <row r="516" spans="1:19" x14ac:dyDescent="0.25">
      <c r="A516" t="str">
        <f>TableMJRUSCIPH[[#This Row],[Study Package Code]]</f>
        <v>PHYS2002</v>
      </c>
      <c r="B516" s="5">
        <f>TableMJRUSCIPH[[#This Row],[Ver]]</f>
        <v>1</v>
      </c>
      <c r="D516" t="str">
        <f>TableMJRUSCIPH[[#This Row],[Structure Line]]</f>
        <v>Statistical Mechanics and Thermodynamics</v>
      </c>
      <c r="E516" s="125">
        <f>TableMJRUSCIPH[[#This Row],[Credit Points]]</f>
        <v>25</v>
      </c>
      <c r="F516">
        <v>16</v>
      </c>
      <c r="G516" t="s">
        <v>865</v>
      </c>
      <c r="H516">
        <v>4</v>
      </c>
      <c r="I516" t="s">
        <v>528</v>
      </c>
      <c r="J516" t="s">
        <v>408</v>
      </c>
      <c r="K516">
        <v>1</v>
      </c>
      <c r="L516" t="s">
        <v>792</v>
      </c>
      <c r="M516">
        <v>25</v>
      </c>
      <c r="N516" s="195">
        <v>42005</v>
      </c>
      <c r="O516" s="195"/>
      <c r="R516" t="s">
        <v>408</v>
      </c>
      <c r="S516">
        <v>1</v>
      </c>
    </row>
    <row r="517" spans="1:19" x14ac:dyDescent="0.25">
      <c r="A517" s="122"/>
      <c r="B517" s="124"/>
      <c r="C517" s="122"/>
      <c r="D517" s="122"/>
      <c r="G517" s="123" t="s">
        <v>855</v>
      </c>
      <c r="H517" s="199">
        <v>43466</v>
      </c>
      <c r="J517" s="197" t="s">
        <v>237</v>
      </c>
      <c r="K517" s="124" t="s">
        <v>200</v>
      </c>
      <c r="L517" s="122" t="s">
        <v>236</v>
      </c>
      <c r="M517" s="122"/>
    </row>
    <row r="518" spans="1:19" ht="31.5" x14ac:dyDescent="0.25">
      <c r="A518" s="159" t="s">
        <v>0</v>
      </c>
      <c r="B518" s="160" t="s">
        <v>60</v>
      </c>
      <c r="C518" s="159" t="s">
        <v>856</v>
      </c>
      <c r="D518" s="159" t="s">
        <v>3</v>
      </c>
      <c r="E518" s="161" t="s">
        <v>857</v>
      </c>
      <c r="F518" s="159" t="s">
        <v>858</v>
      </c>
      <c r="G518" s="159" t="s">
        <v>859</v>
      </c>
      <c r="H518" s="159" t="s">
        <v>860</v>
      </c>
      <c r="I518" s="159" t="s">
        <v>17</v>
      </c>
      <c r="J518" s="159" t="s">
        <v>861</v>
      </c>
      <c r="K518" s="159" t="s">
        <v>1</v>
      </c>
      <c r="L518" s="159" t="s">
        <v>44</v>
      </c>
      <c r="M518" s="159" t="s">
        <v>61</v>
      </c>
      <c r="N518" s="159" t="s">
        <v>862</v>
      </c>
      <c r="O518" s="159" t="s">
        <v>863</v>
      </c>
      <c r="R518" t="s">
        <v>538</v>
      </c>
      <c r="S518" t="s">
        <v>864</v>
      </c>
    </row>
    <row r="519" spans="1:19" x14ac:dyDescent="0.25">
      <c r="A519" t="str">
        <f>TableMJRUSCIPS[[#This Row],[Study Package Code]]</f>
        <v>PSYC1001</v>
      </c>
      <c r="B519" s="5">
        <f>TableMJRUSCIPS[[#This Row],[Ver]]</f>
        <v>1</v>
      </c>
      <c r="D519" t="str">
        <f>TableMJRUSCIPS[[#This Row],[Structure Line]]</f>
        <v>Foundations of Psychology</v>
      </c>
      <c r="E519" s="125">
        <f>TableMJRUSCIPS[[#This Row],[Credit Points]]</f>
        <v>25</v>
      </c>
      <c r="F519">
        <v>1</v>
      </c>
      <c r="G519" t="s">
        <v>865</v>
      </c>
      <c r="H519">
        <v>1</v>
      </c>
      <c r="I519" t="s">
        <v>529</v>
      </c>
      <c r="J519" t="s">
        <v>312</v>
      </c>
      <c r="K519">
        <v>1</v>
      </c>
      <c r="L519" t="s">
        <v>799</v>
      </c>
      <c r="M519">
        <v>25</v>
      </c>
      <c r="N519" s="195">
        <v>42005</v>
      </c>
      <c r="O519" s="195"/>
      <c r="R519" t="s">
        <v>312</v>
      </c>
      <c r="S519">
        <v>1</v>
      </c>
    </row>
    <row r="520" spans="1:19" x14ac:dyDescent="0.25">
      <c r="A520" t="str">
        <f>TableMJRUSCIPS[[#This Row],[Study Package Code]]</f>
        <v>EDSC4022</v>
      </c>
      <c r="B520" s="5">
        <f>TableMJRUSCIPS[[#This Row],[Ver]]</f>
        <v>1</v>
      </c>
      <c r="D520" t="str">
        <f>TableMJRUSCIPS[[#This Row],[Structure Line]]</f>
        <v>Curriculum and Instruction Lower Secondary: Science</v>
      </c>
      <c r="E520" s="125">
        <f>TableMJRUSCIPS[[#This Row],[Credit Points]]</f>
        <v>25</v>
      </c>
      <c r="F520">
        <v>2</v>
      </c>
      <c r="G520" t="s">
        <v>865</v>
      </c>
      <c r="H520">
        <v>2</v>
      </c>
      <c r="I520" t="s">
        <v>528</v>
      </c>
      <c r="J520" t="s">
        <v>317</v>
      </c>
      <c r="K520">
        <v>1</v>
      </c>
      <c r="L520" t="s">
        <v>674</v>
      </c>
      <c r="M520">
        <v>25</v>
      </c>
      <c r="N520" s="195">
        <v>43466</v>
      </c>
      <c r="O520" s="195"/>
      <c r="R520" t="s">
        <v>317</v>
      </c>
      <c r="S520">
        <v>1</v>
      </c>
    </row>
    <row r="521" spans="1:19" x14ac:dyDescent="0.25">
      <c r="A521" t="str">
        <f>TableMJRUSCIPS[[#This Row],[Study Package Code]]</f>
        <v>PSYC1000</v>
      </c>
      <c r="B521" s="5">
        <f>TableMJRUSCIPS[[#This Row],[Ver]]</f>
        <v>1</v>
      </c>
      <c r="D521" t="str">
        <f>TableMJRUSCIPS[[#This Row],[Structure Line]]</f>
        <v>Introduction to Psychology</v>
      </c>
      <c r="E521" s="125">
        <f>TableMJRUSCIPS[[#This Row],[Credit Points]]</f>
        <v>25</v>
      </c>
      <c r="F521">
        <v>3</v>
      </c>
      <c r="G521" t="s">
        <v>865</v>
      </c>
      <c r="H521">
        <v>2</v>
      </c>
      <c r="I521" t="s">
        <v>528</v>
      </c>
      <c r="J521" t="s">
        <v>338</v>
      </c>
      <c r="K521">
        <v>1</v>
      </c>
      <c r="L521" t="s">
        <v>798</v>
      </c>
      <c r="M521">
        <v>25</v>
      </c>
      <c r="N521" s="195">
        <v>42005</v>
      </c>
      <c r="O521" s="195"/>
      <c r="R521" t="s">
        <v>338</v>
      </c>
      <c r="S521">
        <v>1</v>
      </c>
    </row>
    <row r="522" spans="1:19" x14ac:dyDescent="0.25">
      <c r="A522" t="str">
        <f>TableMJRUSCIPS[[#This Row],[Study Package Code]]</f>
        <v>EDSC4023</v>
      </c>
      <c r="B522" s="5">
        <f>TableMJRUSCIPS[[#This Row],[Ver]]</f>
        <v>2</v>
      </c>
      <c r="D522" t="str">
        <f>TableMJRUSCIPS[[#This Row],[Structure Line]]</f>
        <v>Curriculum and Instruction Senior Secondary: Science</v>
      </c>
      <c r="E522" s="125">
        <f>TableMJRUSCIPS[[#This Row],[Credit Points]]</f>
        <v>25</v>
      </c>
      <c r="F522">
        <v>4</v>
      </c>
      <c r="G522" t="s">
        <v>865</v>
      </c>
      <c r="H522">
        <v>2</v>
      </c>
      <c r="I522" t="s">
        <v>529</v>
      </c>
      <c r="J522" t="s">
        <v>340</v>
      </c>
      <c r="K522">
        <v>2</v>
      </c>
      <c r="L522" t="s">
        <v>675</v>
      </c>
      <c r="M522">
        <v>25</v>
      </c>
      <c r="N522" s="195">
        <v>43831</v>
      </c>
      <c r="O522" s="195"/>
      <c r="R522" t="s">
        <v>340</v>
      </c>
      <c r="S522">
        <v>2</v>
      </c>
    </row>
    <row r="523" spans="1:19" x14ac:dyDescent="0.25">
      <c r="A523" t="str">
        <f>TableMJRUSCIPS[[#This Row],[Study Package Code]]</f>
        <v>ANTH3003</v>
      </c>
      <c r="B523" s="5">
        <f>TableMJRUSCIPS[[#This Row],[Ver]]</f>
        <v>1</v>
      </c>
      <c r="D523" t="str">
        <f>TableMJRUSCIPS[[#This Row],[Structure Line]]</f>
        <v>Human Rights and Social Justice</v>
      </c>
      <c r="E523" s="125">
        <f>TableMJRUSCIPS[[#This Row],[Credit Points]]</f>
        <v>25</v>
      </c>
      <c r="F523">
        <v>5</v>
      </c>
      <c r="G523" t="s">
        <v>865</v>
      </c>
      <c r="H523">
        <v>2</v>
      </c>
      <c r="I523" t="s">
        <v>529</v>
      </c>
      <c r="J523" t="s">
        <v>355</v>
      </c>
      <c r="K523">
        <v>1</v>
      </c>
      <c r="L523" t="s">
        <v>555</v>
      </c>
      <c r="M523">
        <v>25</v>
      </c>
      <c r="N523" s="195">
        <v>42005</v>
      </c>
      <c r="O523" s="195"/>
      <c r="R523" t="s">
        <v>355</v>
      </c>
      <c r="S523">
        <v>1</v>
      </c>
    </row>
    <row r="524" spans="1:19" x14ac:dyDescent="0.25">
      <c r="A524" t="str">
        <f>TableMJRUSCIPS[[#This Row],[Study Package Code]]</f>
        <v>EDSC3009</v>
      </c>
      <c r="B524" s="5">
        <f>TableMJRUSCIPS[[#This Row],[Ver]]</f>
        <v>1</v>
      </c>
      <c r="D524" t="str">
        <f>TableMJRUSCIPS[[#This Row],[Structure Line]]</f>
        <v>Educating Adolescents: Diversity and Inclusion</v>
      </c>
      <c r="E524" s="125">
        <f>TableMJRUSCIPS[[#This Row],[Credit Points]]</f>
        <v>25</v>
      </c>
      <c r="F524">
        <v>6</v>
      </c>
      <c r="G524" t="s">
        <v>865</v>
      </c>
      <c r="H524">
        <v>3</v>
      </c>
      <c r="I524" t="s">
        <v>528</v>
      </c>
      <c r="J524" t="s">
        <v>360</v>
      </c>
      <c r="K524">
        <v>1</v>
      </c>
      <c r="L524" t="s">
        <v>666</v>
      </c>
      <c r="M524">
        <v>25</v>
      </c>
      <c r="N524" s="195">
        <v>43831</v>
      </c>
      <c r="O524" s="195"/>
      <c r="R524" t="s">
        <v>360</v>
      </c>
      <c r="S524">
        <v>1</v>
      </c>
    </row>
    <row r="525" spans="1:19" x14ac:dyDescent="0.25">
      <c r="A525" t="str">
        <f>TableMJRUSCIPS[[#This Row],[Study Package Code]]</f>
        <v>PSYC2001</v>
      </c>
      <c r="B525" s="5">
        <f>TableMJRUSCIPS[[#This Row],[Ver]]</f>
        <v>1</v>
      </c>
      <c r="D525" t="str">
        <f>TableMJRUSCIPS[[#This Row],[Structure Line]]</f>
        <v>Social Psychology</v>
      </c>
      <c r="E525" s="125">
        <f>TableMJRUSCIPS[[#This Row],[Credit Points]]</f>
        <v>25</v>
      </c>
      <c r="F525">
        <v>7</v>
      </c>
      <c r="G525" t="s">
        <v>865</v>
      </c>
      <c r="H525">
        <v>3</v>
      </c>
      <c r="I525" t="s">
        <v>528</v>
      </c>
      <c r="J525" t="s">
        <v>375</v>
      </c>
      <c r="K525">
        <v>1</v>
      </c>
      <c r="L525" t="s">
        <v>800</v>
      </c>
      <c r="M525">
        <v>25</v>
      </c>
      <c r="N525" s="195">
        <v>42005</v>
      </c>
      <c r="O525" s="195"/>
      <c r="R525" t="s">
        <v>375</v>
      </c>
      <c r="S525">
        <v>1</v>
      </c>
    </row>
    <row r="526" spans="1:19" x14ac:dyDescent="0.25">
      <c r="A526" t="str">
        <f>TableMJRUSCIPS[[#This Row],[Study Package Code]]</f>
        <v>PSYC3000</v>
      </c>
      <c r="B526" s="5">
        <f>TableMJRUSCIPS[[#This Row],[Ver]]</f>
        <v>1</v>
      </c>
      <c r="D526" t="str">
        <f>TableMJRUSCIPS[[#This Row],[Structure Line]]</f>
        <v>Indigenous and Cross Cultural Psychology</v>
      </c>
      <c r="E526" s="125">
        <f>TableMJRUSCIPS[[#This Row],[Credit Points]]</f>
        <v>25</v>
      </c>
      <c r="F526">
        <v>8</v>
      </c>
      <c r="G526" t="s">
        <v>865</v>
      </c>
      <c r="H526">
        <v>3</v>
      </c>
      <c r="I526" t="s">
        <v>529</v>
      </c>
      <c r="J526" t="s">
        <v>389</v>
      </c>
      <c r="K526">
        <v>1</v>
      </c>
      <c r="L526" t="s">
        <v>803</v>
      </c>
      <c r="M526">
        <v>25</v>
      </c>
      <c r="N526" s="195">
        <v>42005</v>
      </c>
      <c r="O526" s="195"/>
      <c r="R526" t="s">
        <v>389</v>
      </c>
      <c r="S526">
        <v>1</v>
      </c>
    </row>
    <row r="527" spans="1:19" x14ac:dyDescent="0.25">
      <c r="A527" t="str">
        <f>TableMJRUSCIPS[[#This Row],[Study Package Code]]</f>
        <v>PSYT3000</v>
      </c>
      <c r="B527" s="5">
        <f>TableMJRUSCIPS[[#This Row],[Ver]]</f>
        <v>1</v>
      </c>
      <c r="D527" t="str">
        <f>TableMJRUSCIPS[[#This Row],[Structure Line]]</f>
        <v>Abnormal Psychology</v>
      </c>
      <c r="E527" s="125">
        <f>TableMJRUSCIPS[[#This Row],[Credit Points]]</f>
        <v>25</v>
      </c>
      <c r="F527">
        <v>9</v>
      </c>
      <c r="G527" t="s">
        <v>865</v>
      </c>
      <c r="H527">
        <v>4</v>
      </c>
      <c r="I527" t="s">
        <v>528</v>
      </c>
      <c r="J527" t="s">
        <v>406</v>
      </c>
      <c r="K527">
        <v>1</v>
      </c>
      <c r="L527" t="s">
        <v>806</v>
      </c>
      <c r="M527">
        <v>25</v>
      </c>
      <c r="N527" s="195">
        <v>42005</v>
      </c>
      <c r="O527" s="195"/>
      <c r="R527" t="s">
        <v>406</v>
      </c>
      <c r="S527">
        <v>1</v>
      </c>
    </row>
    <row r="528" spans="1:19" x14ac:dyDescent="0.25">
      <c r="A528" t="str">
        <f>TableMJRUSCIPS[[#This Row],[Study Package Code]]</f>
        <v>Elective</v>
      </c>
      <c r="B528" s="5">
        <f>TableMJRUSCIPS[[#This Row],[Ver]]</f>
        <v>0</v>
      </c>
      <c r="D528" t="str">
        <f>TableMJRUSCIPS[[#This Row],[Structure Line]]</f>
        <v>Choose an Elective,  If you wish to choose STRU-MATHM Mathematics Education Minor Teaching Area Stream and have not achieved a Mathematics Methods ATAR or Equivalent you should choose MATH1014 as your elective.</v>
      </c>
      <c r="E528" s="125">
        <f>TableMJRUSCIPS[[#This Row],[Credit Points]]</f>
        <v>25</v>
      </c>
      <c r="F528">
        <v>10</v>
      </c>
      <c r="G528" t="s">
        <v>121</v>
      </c>
      <c r="H528">
        <v>4</v>
      </c>
      <c r="I528" t="s">
        <v>528</v>
      </c>
      <c r="J528" t="s">
        <v>121</v>
      </c>
      <c r="K528">
        <v>0</v>
      </c>
      <c r="L528" t="s">
        <v>878</v>
      </c>
      <c r="M528">
        <v>25</v>
      </c>
      <c r="N528" s="195"/>
      <c r="O528" s="195"/>
      <c r="R528" t="s">
        <v>121</v>
      </c>
      <c r="S528">
        <v>0</v>
      </c>
    </row>
    <row r="529" spans="1:19" x14ac:dyDescent="0.25">
      <c r="A529" t="str">
        <f>TableMJRUSCIPS[[#This Row],[Study Package Code]]</f>
        <v>Stream</v>
      </c>
      <c r="B529" s="5">
        <f>TableMJRUSCIPS[[#This Row],[Ver]]</f>
        <v>0</v>
      </c>
      <c r="D529" t="str">
        <f>TableMJRUSCIPS[[#This Row],[Structure Line]]</f>
        <v>Choose your Minor Teaching Area Specialisation</v>
      </c>
      <c r="E529" s="125">
        <f>TableMJRUSCIPS[[#This Row],[Credit Points]]</f>
        <v>150</v>
      </c>
      <c r="F529">
        <v>11</v>
      </c>
      <c r="G529" t="s">
        <v>865</v>
      </c>
      <c r="H529">
        <v>1</v>
      </c>
      <c r="I529" t="s">
        <v>529</v>
      </c>
      <c r="J529" t="s">
        <v>828</v>
      </c>
      <c r="K529">
        <v>0</v>
      </c>
      <c r="L529" t="s">
        <v>877</v>
      </c>
      <c r="M529">
        <v>150</v>
      </c>
      <c r="N529" s="195"/>
      <c r="O529" s="195"/>
      <c r="R529" t="s">
        <v>828</v>
      </c>
      <c r="S529">
        <v>0</v>
      </c>
    </row>
    <row r="530" spans="1:19" x14ac:dyDescent="0.25">
      <c r="A530" t="str">
        <f>TableMJRUSCIPS[[#This Row],[Study Package Code]]</f>
        <v>STRU-EDSCI</v>
      </c>
      <c r="B530" s="5">
        <f>TableMJRUSCIPS[[#This Row],[Ver]]</f>
        <v>2</v>
      </c>
      <c r="D530" t="str">
        <f>TableMJRUSCIPS[[#This Row],[Structure Line]]</f>
        <v>Education Specialty and Science Teaching Area Stream (BEd Secondary)</v>
      </c>
      <c r="E530" s="125">
        <f>TableMJRUSCIPS[[#This Row],[Credit Points]]</f>
        <v>150</v>
      </c>
      <c r="F530">
        <v>11</v>
      </c>
      <c r="G530" t="s">
        <v>102</v>
      </c>
      <c r="H530">
        <v>1</v>
      </c>
      <c r="I530" t="s">
        <v>529</v>
      </c>
      <c r="J530" t="s">
        <v>258</v>
      </c>
      <c r="K530">
        <v>2</v>
      </c>
      <c r="L530" t="s">
        <v>257</v>
      </c>
      <c r="M530">
        <v>150</v>
      </c>
      <c r="N530" s="195">
        <v>43466</v>
      </c>
      <c r="O530" s="195"/>
      <c r="R530" t="s">
        <v>258</v>
      </c>
      <c r="S530">
        <v>2</v>
      </c>
    </row>
    <row r="531" spans="1:19" x14ac:dyDescent="0.25">
      <c r="A531" t="str">
        <f>TableMJRUSCIPS[[#This Row],[Study Package Code]]</f>
        <v>STRU-ENGLM</v>
      </c>
      <c r="B531" s="5">
        <f>TableMJRUSCIPS[[#This Row],[Ver]]</f>
        <v>3</v>
      </c>
      <c r="D531" t="str">
        <f>TableMJRUSCIPS[[#This Row],[Structure Line]]</f>
        <v>English Education Minor Teaching Area Stream (BEd Secondary)</v>
      </c>
      <c r="E531" s="125">
        <f>TableMJRUSCIPS[[#This Row],[Credit Points]]</f>
        <v>150</v>
      </c>
      <c r="F531">
        <v>11</v>
      </c>
      <c r="G531" t="s">
        <v>102</v>
      </c>
      <c r="H531">
        <v>1</v>
      </c>
      <c r="I531" t="s">
        <v>529</v>
      </c>
      <c r="J531" t="s">
        <v>197</v>
      </c>
      <c r="K531">
        <v>3</v>
      </c>
      <c r="L531" t="s">
        <v>260</v>
      </c>
      <c r="M531">
        <v>150</v>
      </c>
      <c r="N531" s="195">
        <v>44562</v>
      </c>
      <c r="O531" s="195"/>
      <c r="R531" t="s">
        <v>197</v>
      </c>
      <c r="S531">
        <v>3</v>
      </c>
    </row>
    <row r="532" spans="1:19" x14ac:dyDescent="0.25">
      <c r="A532" t="str">
        <f>TableMJRUSCIPS[[#This Row],[Study Package Code]]</f>
        <v>STRU-HUMAM</v>
      </c>
      <c r="B532" s="5">
        <f>TableMJRUSCIPS[[#This Row],[Ver]]</f>
        <v>2</v>
      </c>
      <c r="D532" t="str">
        <f>TableMJRUSCIPS[[#This Row],[Structure Line]]</f>
        <v>Humanities and Social Sciences - Humanities Education Minor Teaching Area Stream (BEd Secondary)</v>
      </c>
      <c r="E532" s="125">
        <f>TableMJRUSCIPS[[#This Row],[Credit Points]]</f>
        <v>150</v>
      </c>
      <c r="F532">
        <v>11</v>
      </c>
      <c r="G532" t="s">
        <v>102</v>
      </c>
      <c r="H532">
        <v>1</v>
      </c>
      <c r="I532" t="s">
        <v>529</v>
      </c>
      <c r="J532" t="s">
        <v>198</v>
      </c>
      <c r="K532">
        <v>2</v>
      </c>
      <c r="L532" t="s">
        <v>297</v>
      </c>
      <c r="M532">
        <v>150</v>
      </c>
      <c r="N532" s="195">
        <v>43466</v>
      </c>
      <c r="O532" s="195"/>
      <c r="R532" t="s">
        <v>198</v>
      </c>
      <c r="S532">
        <v>2</v>
      </c>
    </row>
    <row r="533" spans="1:19" x14ac:dyDescent="0.25">
      <c r="A533" t="str">
        <f>TableMJRUSCIPS[[#This Row],[Study Package Code]]</f>
        <v>STRU-MATHM</v>
      </c>
      <c r="B533" s="5">
        <f>TableMJRUSCIPS[[#This Row],[Ver]]</f>
        <v>2</v>
      </c>
      <c r="D533" t="str">
        <f>TableMJRUSCIPS[[#This Row],[Structure Line]]</f>
        <v>Mathematics Education Minor Teaching Area Stream (BEd Secondary)</v>
      </c>
      <c r="E533" s="125">
        <f>TableMJRUSCIPS[[#This Row],[Credit Points]]</f>
        <v>150</v>
      </c>
      <c r="F533">
        <v>11</v>
      </c>
      <c r="G533" t="s">
        <v>102</v>
      </c>
      <c r="H533">
        <v>1</v>
      </c>
      <c r="I533" t="s">
        <v>529</v>
      </c>
      <c r="J533" t="s">
        <v>202</v>
      </c>
      <c r="K533">
        <v>2</v>
      </c>
      <c r="L533" t="s">
        <v>184</v>
      </c>
      <c r="M533">
        <v>150</v>
      </c>
      <c r="N533" s="195">
        <v>43466</v>
      </c>
      <c r="O533" s="195"/>
      <c r="R533" t="s">
        <v>202</v>
      </c>
      <c r="S533">
        <v>2</v>
      </c>
    </row>
    <row r="534" spans="1:19" x14ac:dyDescent="0.25">
      <c r="A534" t="str">
        <f>TableMJRUSCIPS[[#This Row],[Study Package Code]]</f>
        <v>STRU-PARTM</v>
      </c>
      <c r="B534" s="5">
        <f>TableMJRUSCIPS[[#This Row],[Ver]]</f>
        <v>2</v>
      </c>
      <c r="D534" t="str">
        <f>TableMJRUSCIPS[[#This Row],[Structure Line]]</f>
        <v>The Arts - Performing Arts Education Minor Teaching Area Stream (BEd Secondary)</v>
      </c>
      <c r="E534" s="125">
        <f>TableMJRUSCIPS[[#This Row],[Credit Points]]</f>
        <v>150</v>
      </c>
      <c r="F534">
        <v>11</v>
      </c>
      <c r="G534" t="s">
        <v>102</v>
      </c>
      <c r="H534">
        <v>1</v>
      </c>
      <c r="I534" t="s">
        <v>529</v>
      </c>
      <c r="J534" t="s">
        <v>261</v>
      </c>
      <c r="K534">
        <v>2</v>
      </c>
      <c r="L534" t="s">
        <v>359</v>
      </c>
      <c r="M534">
        <v>150</v>
      </c>
      <c r="N534" s="195">
        <v>43466</v>
      </c>
      <c r="O534" s="195"/>
      <c r="R534" t="s">
        <v>261</v>
      </c>
      <c r="S534">
        <v>2</v>
      </c>
    </row>
    <row r="535" spans="1:19" x14ac:dyDescent="0.25">
      <c r="A535" t="str">
        <f>TableMJRUSCIPS[[#This Row],[Study Package Code]]</f>
        <v>STRU-PSYCB</v>
      </c>
      <c r="B535" s="5">
        <f>TableMJRUSCIPS[[#This Row],[Ver]]</f>
        <v>2</v>
      </c>
      <c r="D535" t="str">
        <f>TableMJRUSCIPS[[#This Row],[Structure Line]]</f>
        <v>Broadening Psychology Teaching Area Stream (BEd Secondary)</v>
      </c>
      <c r="E535" s="125">
        <f>TableMJRUSCIPS[[#This Row],[Credit Points]]</f>
        <v>150</v>
      </c>
      <c r="F535">
        <v>11</v>
      </c>
      <c r="G535" t="s">
        <v>102</v>
      </c>
      <c r="H535">
        <v>1</v>
      </c>
      <c r="I535" t="s">
        <v>529</v>
      </c>
      <c r="J535" t="s">
        <v>391</v>
      </c>
      <c r="K535">
        <v>2</v>
      </c>
      <c r="L535" t="s">
        <v>390</v>
      </c>
      <c r="M535">
        <v>150</v>
      </c>
      <c r="N535" s="195">
        <v>43466</v>
      </c>
      <c r="O535" s="195"/>
      <c r="R535" t="s">
        <v>391</v>
      </c>
      <c r="S535">
        <v>2</v>
      </c>
    </row>
    <row r="536" spans="1:19" x14ac:dyDescent="0.25">
      <c r="A536" t="str">
        <f>TableMJRUSCIPS[[#This Row],[Study Package Code]]</f>
        <v>STRU-VARTM</v>
      </c>
      <c r="B536" s="5">
        <f>TableMJRUSCIPS[[#This Row],[Ver]]</f>
        <v>2</v>
      </c>
      <c r="D536" t="str">
        <f>TableMJRUSCIPS[[#This Row],[Structure Line]]</f>
        <v>The Arts - Visual Arts Education Minor Teaching Area Stream (BEd Secondary)</v>
      </c>
      <c r="E536" s="125">
        <f>TableMJRUSCIPS[[#This Row],[Credit Points]]</f>
        <v>150</v>
      </c>
      <c r="F536">
        <v>11</v>
      </c>
      <c r="G536" t="s">
        <v>102</v>
      </c>
      <c r="H536">
        <v>1</v>
      </c>
      <c r="I536" t="s">
        <v>529</v>
      </c>
      <c r="J536" t="s">
        <v>315</v>
      </c>
      <c r="K536">
        <v>2</v>
      </c>
      <c r="L536" t="s">
        <v>413</v>
      </c>
      <c r="M536">
        <v>150</v>
      </c>
      <c r="N536" s="195">
        <v>43466</v>
      </c>
      <c r="O536" s="195"/>
      <c r="R536" t="s">
        <v>315</v>
      </c>
      <c r="S536">
        <v>2</v>
      </c>
    </row>
    <row r="537" spans="1:19" x14ac:dyDescent="0.25">
      <c r="A537" s="269"/>
      <c r="B537" s="270"/>
      <c r="C537" s="269"/>
      <c r="D537" s="269"/>
      <c r="E537" s="271"/>
      <c r="F537" s="272"/>
      <c r="G537" s="273" t="s">
        <v>855</v>
      </c>
      <c r="H537" s="199">
        <v>43466</v>
      </c>
      <c r="I537" s="272"/>
      <c r="J537" s="197" t="s">
        <v>241</v>
      </c>
      <c r="K537" s="270" t="s">
        <v>77</v>
      </c>
      <c r="L537" s="269" t="s">
        <v>240</v>
      </c>
      <c r="M537" s="269"/>
      <c r="N537" s="272"/>
      <c r="O537" s="272"/>
    </row>
    <row r="538" spans="1:19" ht="31.5" x14ac:dyDescent="0.25">
      <c r="A538" s="159" t="s">
        <v>0</v>
      </c>
      <c r="B538" s="160" t="s">
        <v>60</v>
      </c>
      <c r="C538" s="159" t="s">
        <v>856</v>
      </c>
      <c r="D538" s="159" t="s">
        <v>3</v>
      </c>
      <c r="E538" s="161" t="s">
        <v>857</v>
      </c>
      <c r="F538" s="159" t="s">
        <v>858</v>
      </c>
      <c r="G538" s="159" t="s">
        <v>859</v>
      </c>
      <c r="H538" s="159" t="s">
        <v>860</v>
      </c>
      <c r="I538" s="159" t="s">
        <v>17</v>
      </c>
      <c r="J538" s="159" t="s">
        <v>861</v>
      </c>
      <c r="K538" s="159" t="s">
        <v>1</v>
      </c>
      <c r="L538" s="159" t="s">
        <v>44</v>
      </c>
      <c r="M538" s="159" t="s">
        <v>61</v>
      </c>
      <c r="N538" s="159" t="s">
        <v>862</v>
      </c>
      <c r="O538" s="159" t="s">
        <v>863</v>
      </c>
      <c r="R538" t="s">
        <v>538</v>
      </c>
      <c r="S538" t="s">
        <v>864</v>
      </c>
    </row>
    <row r="539" spans="1:19" x14ac:dyDescent="0.25">
      <c r="A539" t="str">
        <f>TableSTRUBIOLB[[#This Row],[Study Package Code]]</f>
        <v>EDUC1027</v>
      </c>
      <c r="B539" s="5">
        <f>TableSTRUBIOLB[[#This Row],[Ver]]</f>
        <v>1</v>
      </c>
      <c r="D539" t="str">
        <f>TableSTRUBIOLB[[#This Row],[Structure Line]]</f>
        <v>Educators Inquiring About the World</v>
      </c>
      <c r="E539" s="125">
        <f>TableSTRUBIOLB[[#This Row],[Credit Points]]</f>
        <v>25</v>
      </c>
      <c r="F539">
        <v>1</v>
      </c>
      <c r="G539" t="s">
        <v>865</v>
      </c>
      <c r="H539">
        <v>1</v>
      </c>
      <c r="I539" t="s">
        <v>529</v>
      </c>
      <c r="J539" t="s">
        <v>53</v>
      </c>
      <c r="K539">
        <v>1</v>
      </c>
      <c r="L539" t="s">
        <v>688</v>
      </c>
      <c r="M539">
        <v>25</v>
      </c>
      <c r="N539" s="195">
        <v>43466</v>
      </c>
      <c r="O539" s="195"/>
      <c r="R539" t="s">
        <v>53</v>
      </c>
      <c r="S539">
        <v>1</v>
      </c>
    </row>
    <row r="540" spans="1:19" x14ac:dyDescent="0.25">
      <c r="A540" t="str">
        <f>TableSTRUBIOLB[[#This Row],[Study Package Code]]</f>
        <v>STAT1005</v>
      </c>
      <c r="B540" s="5">
        <f>TableSTRUBIOLB[[#This Row],[Ver]]</f>
        <v>1</v>
      </c>
      <c r="D540" t="str">
        <f>TableSTRUBIOLB[[#This Row],[Structure Line]]</f>
        <v>Introduction to Probability and Data Analysis</v>
      </c>
      <c r="E540" s="125">
        <f>TableSTRUBIOLB[[#This Row],[Credit Points]]</f>
        <v>25</v>
      </c>
      <c r="F540">
        <v>2</v>
      </c>
      <c r="G540" t="s">
        <v>865</v>
      </c>
      <c r="H540">
        <v>2</v>
      </c>
      <c r="I540" t="s">
        <v>528</v>
      </c>
      <c r="J540" t="s">
        <v>334</v>
      </c>
      <c r="K540">
        <v>1</v>
      </c>
      <c r="L540" t="s">
        <v>823</v>
      </c>
      <c r="M540">
        <v>25</v>
      </c>
      <c r="N540" s="195">
        <v>43831</v>
      </c>
      <c r="O540" s="195"/>
      <c r="R540" t="s">
        <v>334</v>
      </c>
      <c r="S540">
        <v>1</v>
      </c>
    </row>
    <row r="541" spans="1:19" x14ac:dyDescent="0.25">
      <c r="A541" t="str">
        <f>TableSTRUBIOLB[[#This Row],[Study Package Code]]</f>
        <v>EDPR2000</v>
      </c>
      <c r="B541" s="5">
        <f>TableSTRUBIOLB[[#This Row],[Ver]]</f>
        <v>1</v>
      </c>
      <c r="D541" t="str">
        <f>TableSTRUBIOLB[[#This Row],[Structure Line]]</f>
        <v>Inquiry in the Science Classroom</v>
      </c>
      <c r="E541" s="125">
        <f>TableSTRUBIOLB[[#This Row],[Credit Points]]</f>
        <v>25</v>
      </c>
      <c r="F541">
        <v>3</v>
      </c>
      <c r="G541" t="s">
        <v>865</v>
      </c>
      <c r="H541">
        <v>2</v>
      </c>
      <c r="I541" t="s">
        <v>529</v>
      </c>
      <c r="J541" t="s">
        <v>93</v>
      </c>
      <c r="K541">
        <v>1</v>
      </c>
      <c r="L541" t="s">
        <v>637</v>
      </c>
      <c r="M541">
        <v>25</v>
      </c>
      <c r="N541" s="195">
        <v>42005</v>
      </c>
      <c r="O541" s="195"/>
      <c r="R541" t="s">
        <v>93</v>
      </c>
      <c r="S541">
        <v>1</v>
      </c>
    </row>
    <row r="542" spans="1:19" x14ac:dyDescent="0.25">
      <c r="A542" t="str">
        <f>TableSTRUBIOLB[[#This Row],[Study Package Code]]</f>
        <v>ENST3007</v>
      </c>
      <c r="B542" s="5">
        <f>TableSTRUBIOLB[[#This Row],[Ver]]</f>
        <v>1</v>
      </c>
      <c r="D542" t="str">
        <f>TableSTRUBIOLB[[#This Row],[Structure Line]]</f>
        <v>Wildlife Conservation</v>
      </c>
      <c r="E542" s="125">
        <f>TableSTRUBIOLB[[#This Row],[Credit Points]]</f>
        <v>25</v>
      </c>
      <c r="F542">
        <v>4</v>
      </c>
      <c r="G542" t="s">
        <v>865</v>
      </c>
      <c r="H542">
        <v>3</v>
      </c>
      <c r="I542" t="s">
        <v>528</v>
      </c>
      <c r="J542" t="s">
        <v>496</v>
      </c>
      <c r="K542">
        <v>1</v>
      </c>
      <c r="L542" t="s">
        <v>723</v>
      </c>
      <c r="M542">
        <v>25</v>
      </c>
      <c r="N542" s="195">
        <v>44927</v>
      </c>
      <c r="O542" s="195"/>
      <c r="R542" t="s">
        <v>496</v>
      </c>
      <c r="S542">
        <v>1</v>
      </c>
    </row>
    <row r="543" spans="1:19" x14ac:dyDescent="0.25">
      <c r="A543" t="str">
        <f>TableSTRUBIOLB[[#This Row],[Study Package Code]]</f>
        <v>ENST2003</v>
      </c>
      <c r="B543" s="5">
        <f>TableSTRUBIOLB[[#This Row],[Ver]]</f>
        <v>2</v>
      </c>
      <c r="D543" t="str">
        <f>TableSTRUBIOLB[[#This Row],[Structure Line]]</f>
        <v>Ecotoxicology and Environmental Monitoring</v>
      </c>
      <c r="E543" s="125">
        <f>TableSTRUBIOLB[[#This Row],[Credit Points]]</f>
        <v>25</v>
      </c>
      <c r="F543">
        <v>5</v>
      </c>
      <c r="G543" t="s">
        <v>865</v>
      </c>
      <c r="H543">
        <v>3</v>
      </c>
      <c r="I543" t="s">
        <v>529</v>
      </c>
      <c r="J543" t="s">
        <v>511</v>
      </c>
      <c r="K543">
        <v>2</v>
      </c>
      <c r="L543" t="s">
        <v>721</v>
      </c>
      <c r="M543">
        <v>25</v>
      </c>
      <c r="N543" s="195">
        <v>43101</v>
      </c>
      <c r="O543" s="195"/>
      <c r="R543" t="s">
        <v>511</v>
      </c>
      <c r="S543">
        <v>2</v>
      </c>
    </row>
    <row r="544" spans="1:19" x14ac:dyDescent="0.25">
      <c r="A544" t="str">
        <f>TableSTRUBIOLB[[#This Row],[Study Package Code]]</f>
        <v>OptionStream</v>
      </c>
      <c r="B544" s="5">
        <f>TableSTRUBIOLB[[#This Row],[Ver]]</f>
        <v>0</v>
      </c>
      <c r="D544" t="str">
        <f>TableSTRUBIOLB[[#This Row],[Structure Line]]</f>
        <v>Choose an Option</v>
      </c>
      <c r="E544" s="125">
        <f>TableSTRUBIOLB[[#This Row],[Credit Points]]</f>
        <v>25</v>
      </c>
      <c r="F544">
        <v>6</v>
      </c>
      <c r="G544" t="s">
        <v>102</v>
      </c>
      <c r="H544">
        <v>0</v>
      </c>
      <c r="I544" t="s">
        <v>875</v>
      </c>
      <c r="J544" t="s">
        <v>886</v>
      </c>
      <c r="K544">
        <v>0</v>
      </c>
      <c r="L544" t="s">
        <v>867</v>
      </c>
      <c r="M544">
        <v>25</v>
      </c>
      <c r="N544" s="195"/>
      <c r="O544" s="195"/>
      <c r="R544" t="s">
        <v>886</v>
      </c>
      <c r="S544">
        <v>0</v>
      </c>
    </row>
    <row r="545" spans="1:19" x14ac:dyDescent="0.25">
      <c r="A545" t="str">
        <f>TableSTRUBIOLB[[#This Row],[Study Package Code]]</f>
        <v>CTED4000</v>
      </c>
      <c r="B545" s="5">
        <f>TableSTRUBIOLB[[#This Row],[Ver]]</f>
        <v>1</v>
      </c>
      <c r="D545" t="str">
        <f>TableSTRUBIOLB[[#This Row],[Structure Line]]</f>
        <v>An Introduction to Catholic Education</v>
      </c>
      <c r="E545" s="125">
        <f>TableSTRUBIOLB[[#This Row],[Credit Points]]</f>
        <v>25</v>
      </c>
      <c r="F545">
        <v>6</v>
      </c>
      <c r="G545" t="s">
        <v>102</v>
      </c>
      <c r="H545">
        <v>0</v>
      </c>
      <c r="I545" t="s">
        <v>875</v>
      </c>
      <c r="J545" t="s">
        <v>171</v>
      </c>
      <c r="K545">
        <v>1</v>
      </c>
      <c r="L545" t="s">
        <v>583</v>
      </c>
      <c r="M545">
        <v>25</v>
      </c>
      <c r="N545" s="195">
        <v>42005</v>
      </c>
      <c r="O545" s="195"/>
      <c r="R545" t="s">
        <v>171</v>
      </c>
      <c r="S545">
        <v>1</v>
      </c>
    </row>
    <row r="546" spans="1:19" x14ac:dyDescent="0.25">
      <c r="A546" t="str">
        <f>TableSTRUBIOLB[[#This Row],[Study Package Code]]</f>
        <v>CTED4001</v>
      </c>
      <c r="B546" s="5">
        <f>TableSTRUBIOLB[[#This Row],[Ver]]</f>
        <v>1</v>
      </c>
      <c r="D546" t="str">
        <f>TableSTRUBIOLB[[#This Row],[Structure Line]]</f>
        <v>Creed and Sacraments in Catholic Studies</v>
      </c>
      <c r="E546" s="125">
        <f>TableSTRUBIOLB[[#This Row],[Credit Points]]</f>
        <v>25</v>
      </c>
      <c r="F546">
        <v>6</v>
      </c>
      <c r="G546" t="s">
        <v>102</v>
      </c>
      <c r="H546">
        <v>0</v>
      </c>
      <c r="I546" t="s">
        <v>875</v>
      </c>
      <c r="J546" t="s">
        <v>150</v>
      </c>
      <c r="K546">
        <v>1</v>
      </c>
      <c r="L546" t="s">
        <v>588</v>
      </c>
      <c r="M546">
        <v>25</v>
      </c>
      <c r="N546" s="195">
        <v>42005</v>
      </c>
      <c r="O546" s="195">
        <v>45291</v>
      </c>
      <c r="R546" t="s">
        <v>150</v>
      </c>
      <c r="S546">
        <v>1</v>
      </c>
    </row>
    <row r="547" spans="1:19" x14ac:dyDescent="0.25">
      <c r="A547" t="str">
        <f>TableSTRUBIOLB[[#This Row],[Study Package Code]]</f>
        <v>CTED4002</v>
      </c>
      <c r="B547" s="5">
        <f>TableSTRUBIOLB[[#This Row],[Ver]]</f>
        <v>2</v>
      </c>
      <c r="D547" t="str">
        <f>TableSTRUBIOLB[[#This Row],[Structure Line]]</f>
        <v>Prayer and Morality in Catholic Studies</v>
      </c>
      <c r="E547" s="125">
        <f>TableSTRUBIOLB[[#This Row],[Credit Points]]</f>
        <v>25</v>
      </c>
      <c r="F547">
        <v>6</v>
      </c>
      <c r="G547" t="s">
        <v>102</v>
      </c>
      <c r="H547">
        <v>0</v>
      </c>
      <c r="I547" t="s">
        <v>875</v>
      </c>
      <c r="J547" t="s">
        <v>172</v>
      </c>
      <c r="K547">
        <v>2</v>
      </c>
      <c r="L547" t="s">
        <v>591</v>
      </c>
      <c r="M547">
        <v>25</v>
      </c>
      <c r="N547" s="195">
        <v>44197</v>
      </c>
      <c r="O547" s="195"/>
      <c r="R547" t="s">
        <v>172</v>
      </c>
      <c r="S547">
        <v>2</v>
      </c>
    </row>
    <row r="548" spans="1:19" x14ac:dyDescent="0.25">
      <c r="A548" t="str">
        <f>TableSTRUBIOLB[[#This Row],[Study Package Code]]</f>
        <v>CTED4006</v>
      </c>
      <c r="B548" s="5">
        <f>TableSTRUBIOLB[[#This Row],[Ver]]</f>
        <v>1</v>
      </c>
      <c r="D548" t="str">
        <f>TableSTRUBIOLB[[#This Row],[Structure Line]]</f>
        <v>Teaching About Jesus in Catholic Schools</v>
      </c>
      <c r="E548" s="125">
        <f>TableSTRUBIOLB[[#This Row],[Credit Points]]</f>
        <v>25</v>
      </c>
      <c r="F548">
        <v>6</v>
      </c>
      <c r="G548" t="s">
        <v>102</v>
      </c>
      <c r="H548">
        <v>0</v>
      </c>
      <c r="I548" t="s">
        <v>875</v>
      </c>
      <c r="J548" t="s">
        <v>152</v>
      </c>
      <c r="K548">
        <v>1</v>
      </c>
      <c r="L548" t="s">
        <v>592</v>
      </c>
      <c r="M548">
        <v>25</v>
      </c>
      <c r="N548" s="195">
        <v>45292</v>
      </c>
      <c r="O548" s="195"/>
    </row>
    <row r="549" spans="1:19" x14ac:dyDescent="0.25">
      <c r="A549" t="str">
        <f>TableSTRUBIOLB[[#This Row],[Study Package Code]]</f>
        <v>CTED4008</v>
      </c>
      <c r="B549" s="5">
        <f>TableSTRUBIOLB[[#This Row],[Ver]]</f>
        <v>1</v>
      </c>
      <c r="D549" t="str">
        <f>TableSTRUBIOLB[[#This Row],[Structure Line]]</f>
        <v>Teaching About the Gospels in Catholic Schools</v>
      </c>
      <c r="E549" s="125">
        <f>TableSTRUBIOLB[[#This Row],[Credit Points]]</f>
        <v>25</v>
      </c>
      <c r="F549">
        <v>6</v>
      </c>
      <c r="G549" t="s">
        <v>102</v>
      </c>
      <c r="H549">
        <v>0</v>
      </c>
      <c r="I549" t="s">
        <v>875</v>
      </c>
      <c r="J549" t="s">
        <v>154</v>
      </c>
      <c r="K549">
        <v>1</v>
      </c>
      <c r="L549" t="s">
        <v>593</v>
      </c>
      <c r="M549">
        <v>25</v>
      </c>
      <c r="N549" s="195">
        <v>45292</v>
      </c>
      <c r="O549" s="195"/>
    </row>
    <row r="550" spans="1:19" x14ac:dyDescent="0.25">
      <c r="A550" t="str">
        <f>TableSTRUBIOLB[[#This Row],[Study Package Code]]</f>
        <v>EDIB4000</v>
      </c>
      <c r="B550" s="5">
        <f>TableSTRUBIOLB[[#This Row],[Ver]]</f>
        <v>1</v>
      </c>
      <c r="D550" t="str">
        <f>TableSTRUBIOLB[[#This Row],[Structure Line]]</f>
        <v>Introduction to the International Baccalaureate Programme</v>
      </c>
      <c r="E550" s="125">
        <f>TableSTRUBIOLB[[#This Row],[Credit Points]]</f>
        <v>25</v>
      </c>
      <c r="F550">
        <v>6</v>
      </c>
      <c r="G550" t="s">
        <v>102</v>
      </c>
      <c r="H550">
        <v>0</v>
      </c>
      <c r="I550" t="s">
        <v>875</v>
      </c>
      <c r="J550" t="s">
        <v>166</v>
      </c>
      <c r="K550">
        <v>1</v>
      </c>
      <c r="L550" t="s">
        <v>631</v>
      </c>
      <c r="M550">
        <v>25</v>
      </c>
      <c r="N550" s="195">
        <v>42005</v>
      </c>
      <c r="O550" s="195"/>
      <c r="R550" t="s">
        <v>166</v>
      </c>
      <c r="S550">
        <v>1</v>
      </c>
    </row>
    <row r="551" spans="1:19" x14ac:dyDescent="0.25">
      <c r="A551" t="str">
        <f>TableSTRUBIOLB[[#This Row],[Study Package Code]]</f>
        <v>EDIB4002</v>
      </c>
      <c r="B551" s="5">
        <f>TableSTRUBIOLB[[#This Row],[Ver]]</f>
        <v>1</v>
      </c>
      <c r="D551" t="str">
        <f>TableSTRUBIOLB[[#This Row],[Structure Line]]</f>
        <v>International Baccalaureate Middle Years Programme</v>
      </c>
      <c r="E551" s="125">
        <f>TableSTRUBIOLB[[#This Row],[Credit Points]]</f>
        <v>25</v>
      </c>
      <c r="F551">
        <v>6</v>
      </c>
      <c r="G551" t="s">
        <v>102</v>
      </c>
      <c r="H551">
        <v>0</v>
      </c>
      <c r="I551" t="s">
        <v>875</v>
      </c>
      <c r="J551" t="s">
        <v>170</v>
      </c>
      <c r="K551">
        <v>1</v>
      </c>
      <c r="L551" t="s">
        <v>634</v>
      </c>
      <c r="M551">
        <v>25</v>
      </c>
      <c r="N551" s="195">
        <v>42005</v>
      </c>
      <c r="O551" s="195"/>
      <c r="R551" t="s">
        <v>170</v>
      </c>
      <c r="S551">
        <v>1</v>
      </c>
    </row>
    <row r="552" spans="1:19" x14ac:dyDescent="0.25">
      <c r="A552" t="str">
        <f>TableSTRUBIOLB[[#This Row],[Study Package Code]]</f>
        <v>EDIB4003</v>
      </c>
      <c r="B552" s="5">
        <f>TableSTRUBIOLB[[#This Row],[Ver]]</f>
        <v>1</v>
      </c>
      <c r="D552" t="str">
        <f>TableSTRUBIOLB[[#This Row],[Structure Line]]</f>
        <v>The International Baccalaureate in Action</v>
      </c>
      <c r="E552" s="125">
        <f>TableSTRUBIOLB[[#This Row],[Credit Points]]</f>
        <v>25</v>
      </c>
      <c r="F552">
        <v>6</v>
      </c>
      <c r="G552" t="s">
        <v>102</v>
      </c>
      <c r="H552">
        <v>0</v>
      </c>
      <c r="I552" t="s">
        <v>875</v>
      </c>
      <c r="J552" t="s">
        <v>168</v>
      </c>
      <c r="K552">
        <v>1</v>
      </c>
      <c r="L552" t="s">
        <v>635</v>
      </c>
      <c r="M552">
        <v>25</v>
      </c>
      <c r="N552" s="195">
        <v>42005</v>
      </c>
      <c r="O552" s="195"/>
      <c r="R552" t="s">
        <v>168</v>
      </c>
      <c r="S552">
        <v>1</v>
      </c>
    </row>
    <row r="553" spans="1:19" x14ac:dyDescent="0.25">
      <c r="A553" t="str">
        <f>TableSTRUBIOLB[[#This Row],[Study Package Code]]</f>
        <v>EDUC4012</v>
      </c>
      <c r="B553" s="5">
        <f>TableSTRUBIOLB[[#This Row],[Ver]]</f>
        <v>2</v>
      </c>
      <c r="D553" t="str">
        <f>TableSTRUBIOLB[[#This Row],[Structure Line]]</f>
        <v>Relationships and Sexuality Education</v>
      </c>
      <c r="E553" s="125">
        <f>TableSTRUBIOLB[[#This Row],[Credit Points]]</f>
        <v>25</v>
      </c>
      <c r="F553">
        <v>6</v>
      </c>
      <c r="G553" t="s">
        <v>102</v>
      </c>
      <c r="H553">
        <v>0</v>
      </c>
      <c r="I553" t="s">
        <v>875</v>
      </c>
      <c r="J553" t="s">
        <v>156</v>
      </c>
      <c r="K553">
        <v>2</v>
      </c>
      <c r="L553" t="s">
        <v>697</v>
      </c>
      <c r="M553">
        <v>25</v>
      </c>
      <c r="N553" s="195">
        <v>44927</v>
      </c>
      <c r="O553" s="195"/>
      <c r="R553" t="s">
        <v>156</v>
      </c>
      <c r="S553">
        <v>2</v>
      </c>
    </row>
    <row r="554" spans="1:19" x14ac:dyDescent="0.25">
      <c r="A554" t="str">
        <f>TableSTRUBIOLB[[#This Row],[Study Package Code]]</f>
        <v>EDUC4014</v>
      </c>
      <c r="B554" s="5">
        <f>TableSTRUBIOLB[[#This Row],[Ver]]</f>
        <v>1</v>
      </c>
      <c r="D554" t="str">
        <f>TableSTRUBIOLB[[#This Row],[Structure Line]]</f>
        <v>Diverse Abilities and Curriculum Differentiation</v>
      </c>
      <c r="E554" s="125">
        <f>TableSTRUBIOLB[[#This Row],[Credit Points]]</f>
        <v>25</v>
      </c>
      <c r="F554">
        <v>6</v>
      </c>
      <c r="G554" t="s">
        <v>102</v>
      </c>
      <c r="H554">
        <v>0</v>
      </c>
      <c r="I554" t="s">
        <v>875</v>
      </c>
      <c r="J554" t="s">
        <v>158</v>
      </c>
      <c r="K554">
        <v>1</v>
      </c>
      <c r="L554" t="s">
        <v>698</v>
      </c>
      <c r="M554">
        <v>25</v>
      </c>
      <c r="N554" s="195">
        <v>42005</v>
      </c>
      <c r="O554" s="195"/>
      <c r="R554" t="s">
        <v>158</v>
      </c>
      <c r="S554">
        <v>1</v>
      </c>
    </row>
    <row r="555" spans="1:19" x14ac:dyDescent="0.25">
      <c r="A555" t="str">
        <f>TableSTRUBIOLB[[#This Row],[Study Package Code]]</f>
        <v>EDUC4020</v>
      </c>
      <c r="B555" s="5">
        <f>TableSTRUBIOLB[[#This Row],[Ver]]</f>
        <v>1</v>
      </c>
      <c r="D555" t="str">
        <f>TableSTRUBIOLB[[#This Row],[Structure Line]]</f>
        <v>Supporting Literacy and Numeracy Development for Diverse Learners</v>
      </c>
      <c r="E555" s="125">
        <f>TableSTRUBIOLB[[#This Row],[Credit Points]]</f>
        <v>25</v>
      </c>
      <c r="F555">
        <v>6</v>
      </c>
      <c r="G555" t="s">
        <v>102</v>
      </c>
      <c r="H555">
        <v>0</v>
      </c>
      <c r="I555" t="s">
        <v>875</v>
      </c>
      <c r="J555" t="s">
        <v>153</v>
      </c>
      <c r="K555">
        <v>1</v>
      </c>
      <c r="L555" t="s">
        <v>699</v>
      </c>
      <c r="M555">
        <v>25</v>
      </c>
      <c r="N555" s="195">
        <v>43282</v>
      </c>
      <c r="O555" s="195"/>
      <c r="R555" t="s">
        <v>153</v>
      </c>
      <c r="S555">
        <v>1</v>
      </c>
    </row>
    <row r="556" spans="1:19" x14ac:dyDescent="0.25">
      <c r="A556" t="str">
        <f>TableSTRUBIOLB[[#This Row],[Study Package Code]]</f>
        <v>EDUC4021</v>
      </c>
      <c r="B556" s="5">
        <f>TableSTRUBIOLB[[#This Row],[Ver]]</f>
        <v>1</v>
      </c>
      <c r="D556" t="str">
        <f>TableSTRUBIOLB[[#This Row],[Structure Line]]</f>
        <v>Project-based iSTEM Education</v>
      </c>
      <c r="E556" s="125">
        <f>TableSTRUBIOLB[[#This Row],[Credit Points]]</f>
        <v>25</v>
      </c>
      <c r="F556">
        <v>6</v>
      </c>
      <c r="G556" t="s">
        <v>102</v>
      </c>
      <c r="H556">
        <v>0</v>
      </c>
      <c r="I556" t="s">
        <v>875</v>
      </c>
      <c r="J556" t="s">
        <v>142</v>
      </c>
      <c r="K556">
        <v>1</v>
      </c>
      <c r="L556" t="s">
        <v>700</v>
      </c>
      <c r="M556">
        <v>25</v>
      </c>
      <c r="N556" s="195">
        <v>43282</v>
      </c>
      <c r="O556" s="195"/>
      <c r="R556" t="s">
        <v>142</v>
      </c>
      <c r="S556">
        <v>1</v>
      </c>
    </row>
    <row r="557" spans="1:19" x14ac:dyDescent="0.25">
      <c r="A557" t="str">
        <f>TableSTRUBIOLB[[#This Row],[Study Package Code]]</f>
        <v>EDUC4022</v>
      </c>
      <c r="B557" s="5">
        <f>TableSTRUBIOLB[[#This Row],[Ver]]</f>
        <v>1</v>
      </c>
      <c r="D557" t="str">
        <f>TableSTRUBIOLB[[#This Row],[Structure Line]]</f>
        <v>Creative Literacies</v>
      </c>
      <c r="E557" s="125">
        <f>TableSTRUBIOLB[[#This Row],[Credit Points]]</f>
        <v>25</v>
      </c>
      <c r="F557">
        <v>6</v>
      </c>
      <c r="G557" t="s">
        <v>102</v>
      </c>
      <c r="H557">
        <v>0</v>
      </c>
      <c r="I557" t="s">
        <v>875</v>
      </c>
      <c r="J557" t="s">
        <v>147</v>
      </c>
      <c r="K557">
        <v>1</v>
      </c>
      <c r="L557" t="s">
        <v>701</v>
      </c>
      <c r="M557">
        <v>25</v>
      </c>
      <c r="N557" s="195">
        <v>43282</v>
      </c>
      <c r="O557" s="195"/>
      <c r="R557" t="s">
        <v>147</v>
      </c>
      <c r="S557">
        <v>1</v>
      </c>
    </row>
    <row r="558" spans="1:19" x14ac:dyDescent="0.25">
      <c r="A558" t="str">
        <f>TableSTRUBIOLB[[#This Row],[Study Package Code]]</f>
        <v>EDUC4023</v>
      </c>
      <c r="B558" s="5">
        <f>TableSTRUBIOLB[[#This Row],[Ver]]</f>
        <v>1</v>
      </c>
      <c r="D558" t="str">
        <f>TableSTRUBIOLB[[#This Row],[Structure Line]]</f>
        <v>Creating and Responding to Literature</v>
      </c>
      <c r="E558" s="125">
        <f>TableSTRUBIOLB[[#This Row],[Credit Points]]</f>
        <v>25</v>
      </c>
      <c r="F558">
        <v>6</v>
      </c>
      <c r="G558" t="s">
        <v>102</v>
      </c>
      <c r="H558">
        <v>0</v>
      </c>
      <c r="I558" t="s">
        <v>875</v>
      </c>
      <c r="J558" t="s">
        <v>148</v>
      </c>
      <c r="K558">
        <v>1</v>
      </c>
      <c r="L558" t="s">
        <v>702</v>
      </c>
      <c r="M558">
        <v>25</v>
      </c>
      <c r="N558" s="195">
        <v>43282</v>
      </c>
      <c r="O558" s="195"/>
      <c r="R558" t="s">
        <v>148</v>
      </c>
      <c r="S558">
        <v>1</v>
      </c>
    </row>
    <row r="559" spans="1:19" x14ac:dyDescent="0.25">
      <c r="A559" t="str">
        <f>TableSTRUBIOLB[[#This Row],[Study Package Code]]</f>
        <v>EDUC4029</v>
      </c>
      <c r="B559" s="5">
        <f>TableSTRUBIOLB[[#This Row],[Ver]]</f>
        <v>1</v>
      </c>
      <c r="D559" t="str">
        <f>TableSTRUBIOLB[[#This Row],[Structure Line]]</f>
        <v>Technologies: Coding for Teachers</v>
      </c>
      <c r="E559" s="125">
        <f>TableSTRUBIOLB[[#This Row],[Credit Points]]</f>
        <v>25</v>
      </c>
      <c r="F559">
        <v>6</v>
      </c>
      <c r="G559" t="s">
        <v>102</v>
      </c>
      <c r="H559">
        <v>0</v>
      </c>
      <c r="I559" t="s">
        <v>875</v>
      </c>
      <c r="J559" t="s">
        <v>160</v>
      </c>
      <c r="K559">
        <v>1</v>
      </c>
      <c r="L559" t="s">
        <v>703</v>
      </c>
      <c r="M559">
        <v>25</v>
      </c>
      <c r="N559" s="195">
        <v>43282</v>
      </c>
      <c r="O559" s="195"/>
      <c r="R559" t="s">
        <v>160</v>
      </c>
      <c r="S559">
        <v>1</v>
      </c>
    </row>
    <row r="560" spans="1:19" x14ac:dyDescent="0.25">
      <c r="A560" t="str">
        <f>TableSTRUBIOLB[[#This Row],[Study Package Code]]</f>
        <v>EDUC4032</v>
      </c>
      <c r="B560" s="5">
        <f>TableSTRUBIOLB[[#This Row],[Ver]]</f>
        <v>1</v>
      </c>
      <c r="D560" t="str">
        <f>TableSTRUBIOLB[[#This Row],[Structure Line]]</f>
        <v>iSTEM Education through Digital Stories</v>
      </c>
      <c r="E560" s="125">
        <f>TableSTRUBIOLB[[#This Row],[Credit Points]]</f>
        <v>25</v>
      </c>
      <c r="F560">
        <v>6</v>
      </c>
      <c r="G560" t="s">
        <v>102</v>
      </c>
      <c r="H560">
        <v>0</v>
      </c>
      <c r="I560" t="s">
        <v>875</v>
      </c>
      <c r="J560" t="s">
        <v>143</v>
      </c>
      <c r="K560">
        <v>1</v>
      </c>
      <c r="L560" t="s">
        <v>707</v>
      </c>
      <c r="M560">
        <v>25</v>
      </c>
      <c r="N560" s="195">
        <v>43466</v>
      </c>
      <c r="O560" s="195"/>
      <c r="R560" t="s">
        <v>143</v>
      </c>
      <c r="S560">
        <v>1</v>
      </c>
    </row>
    <row r="561" spans="1:19" x14ac:dyDescent="0.25">
      <c r="A561" t="str">
        <f>TableSTRUBIOLB[[#This Row],[Study Package Code]]</f>
        <v>EDUC4034</v>
      </c>
      <c r="B561" s="5">
        <f>TableSTRUBIOLB[[#This Row],[Ver]]</f>
        <v>1</v>
      </c>
      <c r="D561" t="str">
        <f>TableSTRUBIOLB[[#This Row],[Structure Line]]</f>
        <v>iSTEM: Social Issues</v>
      </c>
      <c r="E561" s="125">
        <f>TableSTRUBIOLB[[#This Row],[Credit Points]]</f>
        <v>25</v>
      </c>
      <c r="F561">
        <v>6</v>
      </c>
      <c r="G561" t="s">
        <v>102</v>
      </c>
      <c r="H561">
        <v>0</v>
      </c>
      <c r="I561" t="s">
        <v>875</v>
      </c>
      <c r="J561" t="s">
        <v>144</v>
      </c>
      <c r="K561">
        <v>1</v>
      </c>
      <c r="L561" t="s">
        <v>708</v>
      </c>
      <c r="M561">
        <v>25</v>
      </c>
      <c r="N561" s="195">
        <v>43466</v>
      </c>
      <c r="O561" s="195"/>
      <c r="R561" t="s">
        <v>144</v>
      </c>
      <c r="S561">
        <v>1</v>
      </c>
    </row>
    <row r="562" spans="1:19" x14ac:dyDescent="0.25">
      <c r="A562" t="str">
        <f>TableSTRUBIOLB[[#This Row],[Study Package Code]]</f>
        <v>EDUC4036</v>
      </c>
      <c r="B562" s="5">
        <f>TableSTRUBIOLB[[#This Row],[Ver]]</f>
        <v>1</v>
      </c>
      <c r="D562" t="str">
        <f>TableSTRUBIOLB[[#This Row],[Structure Line]]</f>
        <v>Language and Diversity</v>
      </c>
      <c r="E562" s="125">
        <f>TableSTRUBIOLB[[#This Row],[Credit Points]]</f>
        <v>25</v>
      </c>
      <c r="F562">
        <v>6</v>
      </c>
      <c r="G562" t="s">
        <v>102</v>
      </c>
      <c r="H562">
        <v>0</v>
      </c>
      <c r="I562" t="s">
        <v>875</v>
      </c>
      <c r="J562" t="s">
        <v>149</v>
      </c>
      <c r="K562">
        <v>1</v>
      </c>
      <c r="L562" t="s">
        <v>709</v>
      </c>
      <c r="M562">
        <v>25</v>
      </c>
      <c r="N562" s="195">
        <v>43466</v>
      </c>
      <c r="O562" s="195"/>
      <c r="R562" t="s">
        <v>149</v>
      </c>
      <c r="S562">
        <v>1</v>
      </c>
    </row>
    <row r="563" spans="1:19" x14ac:dyDescent="0.25">
      <c r="A563" t="str">
        <f>TableSTRUBIOLB[[#This Row],[Study Package Code]]</f>
        <v>EDUC4038</v>
      </c>
      <c r="B563" s="5">
        <f>TableSTRUBIOLB[[#This Row],[Ver]]</f>
        <v>1</v>
      </c>
      <c r="D563" t="str">
        <f>TableSTRUBIOLB[[#This Row],[Structure Line]]</f>
        <v>Technologies: Design Solutions</v>
      </c>
      <c r="E563" s="125">
        <f>TableSTRUBIOLB[[#This Row],[Credit Points]]</f>
        <v>25</v>
      </c>
      <c r="F563">
        <v>6</v>
      </c>
      <c r="G563" t="s">
        <v>102</v>
      </c>
      <c r="H563">
        <v>0</v>
      </c>
      <c r="I563" t="s">
        <v>875</v>
      </c>
      <c r="J563" t="s">
        <v>161</v>
      </c>
      <c r="K563">
        <v>1</v>
      </c>
      <c r="L563" t="s">
        <v>710</v>
      </c>
      <c r="M563">
        <v>25</v>
      </c>
      <c r="N563" s="195">
        <v>43466</v>
      </c>
      <c r="O563" s="195"/>
      <c r="R563" t="s">
        <v>161</v>
      </c>
      <c r="S563">
        <v>1</v>
      </c>
    </row>
    <row r="564" spans="1:19" x14ac:dyDescent="0.25">
      <c r="A564" t="str">
        <f>TableSTRUBIOLB[[#This Row],[Study Package Code]]</f>
        <v>EDUC4042</v>
      </c>
      <c r="B564" s="5">
        <f>TableSTRUBIOLB[[#This Row],[Ver]]</f>
        <v>1</v>
      </c>
      <c r="D564" t="str">
        <f>TableSTRUBIOLB[[#This Row],[Structure Line]]</f>
        <v>Alternative Approaches to Teaching Literacy and Numeracy</v>
      </c>
      <c r="E564" s="125">
        <f>TableSTRUBIOLB[[#This Row],[Credit Points]]</f>
        <v>25</v>
      </c>
      <c r="F564">
        <v>6</v>
      </c>
      <c r="G564" t="s">
        <v>102</v>
      </c>
      <c r="H564">
        <v>0</v>
      </c>
      <c r="I564" t="s">
        <v>875</v>
      </c>
      <c r="J564" t="s">
        <v>155</v>
      </c>
      <c r="K564">
        <v>1</v>
      </c>
      <c r="L564" t="s">
        <v>713</v>
      </c>
      <c r="M564">
        <v>25</v>
      </c>
      <c r="N564" s="195">
        <v>43466</v>
      </c>
      <c r="O564" s="195"/>
      <c r="R564" t="s">
        <v>155</v>
      </c>
      <c r="S564">
        <v>1</v>
      </c>
    </row>
    <row r="565" spans="1:19" x14ac:dyDescent="0.25">
      <c r="A565" t="str">
        <f>TableSTRUBIOLB[[#This Row],[Study Package Code]]</f>
        <v>EDUC4044</v>
      </c>
      <c r="B565" s="5">
        <f>TableSTRUBIOLB[[#This Row],[Ver]]</f>
        <v>1</v>
      </c>
      <c r="D565" t="str">
        <f>TableSTRUBIOLB[[#This Row],[Structure Line]]</f>
        <v>Literacy and Numeracy for Aboriginal and Torres Strait Islander (ATSI) Learners</v>
      </c>
      <c r="E565" s="125">
        <f>TableSTRUBIOLB[[#This Row],[Credit Points]]</f>
        <v>25</v>
      </c>
      <c r="F565">
        <v>6</v>
      </c>
      <c r="G565" t="s">
        <v>102</v>
      </c>
      <c r="H565">
        <v>0</v>
      </c>
      <c r="I565" t="s">
        <v>875</v>
      </c>
      <c r="J565" t="s">
        <v>157</v>
      </c>
      <c r="K565">
        <v>1</v>
      </c>
      <c r="L565" t="s">
        <v>887</v>
      </c>
      <c r="M565">
        <v>25</v>
      </c>
      <c r="N565" s="195">
        <v>43466</v>
      </c>
      <c r="O565" s="195">
        <v>44926</v>
      </c>
      <c r="R565" t="s">
        <v>157</v>
      </c>
      <c r="S565">
        <v>1</v>
      </c>
    </row>
    <row r="566" spans="1:19" x14ac:dyDescent="0.25">
      <c r="A566" t="str">
        <f>TableSTRUBIOLB[[#This Row],[Study Package Code]]</f>
        <v>EDUC4046</v>
      </c>
      <c r="B566" s="5">
        <f>TableSTRUBIOLB[[#This Row],[Ver]]</f>
        <v>1</v>
      </c>
      <c r="D566" t="str">
        <f>TableSTRUBIOLB[[#This Row],[Structure Line]]</f>
        <v>Technologies: Digital Solutions</v>
      </c>
      <c r="E566" s="125">
        <f>TableSTRUBIOLB[[#This Row],[Credit Points]]</f>
        <v>25</v>
      </c>
      <c r="F566">
        <v>6</v>
      </c>
      <c r="G566" t="s">
        <v>102</v>
      </c>
      <c r="H566">
        <v>0</v>
      </c>
      <c r="I566" t="s">
        <v>875</v>
      </c>
      <c r="J566" t="s">
        <v>162</v>
      </c>
      <c r="K566">
        <v>1</v>
      </c>
      <c r="L566" t="s">
        <v>715</v>
      </c>
      <c r="M566">
        <v>25</v>
      </c>
      <c r="N566" s="195">
        <v>43466</v>
      </c>
      <c r="O566" s="195"/>
      <c r="R566" t="s">
        <v>162</v>
      </c>
      <c r="S566">
        <v>1</v>
      </c>
    </row>
    <row r="567" spans="1:19" x14ac:dyDescent="0.25">
      <c r="A567" t="str">
        <f>TableSTRUBIOLB[[#This Row],[Study Package Code]]</f>
        <v>EDUC4048</v>
      </c>
      <c r="B567" s="5">
        <f>TableSTRUBIOLB[[#This Row],[Ver]]</f>
        <v>1</v>
      </c>
      <c r="D567" t="str">
        <f>TableSTRUBIOLB[[#This Row],[Structure Line]]</f>
        <v>Mentoring, Coaching and Tutoring</v>
      </c>
      <c r="E567" s="125">
        <f>TableSTRUBIOLB[[#This Row],[Credit Points]]</f>
        <v>25</v>
      </c>
      <c r="F567">
        <v>6</v>
      </c>
      <c r="G567" t="s">
        <v>102</v>
      </c>
      <c r="H567">
        <v>0</v>
      </c>
      <c r="I567" t="s">
        <v>875</v>
      </c>
      <c r="J567" t="s">
        <v>117</v>
      </c>
      <c r="K567">
        <v>1</v>
      </c>
      <c r="L567" t="s">
        <v>716</v>
      </c>
      <c r="M567">
        <v>25</v>
      </c>
      <c r="N567" s="195">
        <v>43466</v>
      </c>
      <c r="O567" s="195"/>
      <c r="R567" t="s">
        <v>117</v>
      </c>
      <c r="S567">
        <v>1</v>
      </c>
    </row>
    <row r="568" spans="1:19" x14ac:dyDescent="0.25">
      <c r="A568" s="122"/>
      <c r="B568" s="124"/>
      <c r="C568" s="122"/>
      <c r="D568" s="122"/>
      <c r="G568" s="123" t="s">
        <v>855</v>
      </c>
      <c r="H568" s="199">
        <v>43101</v>
      </c>
      <c r="J568" s="197" t="s">
        <v>193</v>
      </c>
      <c r="K568" s="124" t="s">
        <v>67</v>
      </c>
      <c r="L568" s="122" t="s">
        <v>243</v>
      </c>
      <c r="M568" s="122"/>
    </row>
    <row r="569" spans="1:19" ht="31.5" x14ac:dyDescent="0.25">
      <c r="A569" s="159" t="s">
        <v>0</v>
      </c>
      <c r="B569" s="160" t="s">
        <v>60</v>
      </c>
      <c r="C569" s="159" t="s">
        <v>856</v>
      </c>
      <c r="D569" s="159" t="s">
        <v>3</v>
      </c>
      <c r="E569" s="161" t="s">
        <v>857</v>
      </c>
      <c r="F569" s="159" t="s">
        <v>858</v>
      </c>
      <c r="G569" s="159" t="s">
        <v>859</v>
      </c>
      <c r="H569" s="159" t="s">
        <v>860</v>
      </c>
      <c r="I569" s="159" t="s">
        <v>17</v>
      </c>
      <c r="J569" s="159" t="s">
        <v>861</v>
      </c>
      <c r="K569" s="159" t="s">
        <v>1</v>
      </c>
      <c r="L569" s="159" t="s">
        <v>44</v>
      </c>
      <c r="M569" s="159" t="s">
        <v>61</v>
      </c>
      <c r="N569" s="159" t="s">
        <v>862</v>
      </c>
      <c r="O569" s="159" t="s">
        <v>863</v>
      </c>
      <c r="R569" t="s">
        <v>538</v>
      </c>
      <c r="S569" t="s">
        <v>864</v>
      </c>
    </row>
    <row r="570" spans="1:19" x14ac:dyDescent="0.25">
      <c r="A570" t="str">
        <f>TableSTRUBSCIM[[#This Row],[Study Package Code]]</f>
        <v>HUMB1000</v>
      </c>
      <c r="B570" s="5">
        <f>TableSTRUBSCIM[[#This Row],[Ver]]</f>
        <v>1</v>
      </c>
      <c r="D570" t="str">
        <f>TableSTRUBSCIM[[#This Row],[Structure Line]]</f>
        <v>Human Structure and Function</v>
      </c>
      <c r="E570" s="125">
        <f>TableSTRUBSCIM[[#This Row],[Credit Points]]</f>
        <v>25</v>
      </c>
      <c r="F570">
        <v>1</v>
      </c>
      <c r="G570" t="s">
        <v>865</v>
      </c>
      <c r="H570">
        <v>1</v>
      </c>
      <c r="I570" t="s">
        <v>529</v>
      </c>
      <c r="J570" t="s">
        <v>311</v>
      </c>
      <c r="K570">
        <v>1</v>
      </c>
      <c r="L570" t="s">
        <v>735</v>
      </c>
      <c r="M570">
        <v>25</v>
      </c>
      <c r="N570" s="195">
        <v>42005</v>
      </c>
      <c r="O570" s="195"/>
      <c r="R570" t="s">
        <v>311</v>
      </c>
      <c r="S570">
        <v>1</v>
      </c>
    </row>
    <row r="571" spans="1:19" x14ac:dyDescent="0.25">
      <c r="A571" t="str">
        <f>TableSTRUBSCIM[[#This Row],[Study Package Code]]</f>
        <v>BIOL1005</v>
      </c>
      <c r="B571" s="5">
        <f>TableSTRUBSCIM[[#This Row],[Ver]]</f>
        <v>1</v>
      </c>
      <c r="D571" t="str">
        <f>TableSTRUBSCIM[[#This Row],[Structure Line]]</f>
        <v>Foundations of Biology</v>
      </c>
      <c r="E571" s="125">
        <f>TableSTRUBSCIM[[#This Row],[Credit Points]]</f>
        <v>25</v>
      </c>
      <c r="F571">
        <v>2</v>
      </c>
      <c r="G571" t="s">
        <v>865</v>
      </c>
      <c r="H571">
        <v>2</v>
      </c>
      <c r="I571" t="s">
        <v>528</v>
      </c>
      <c r="J571" t="s">
        <v>335</v>
      </c>
      <c r="K571">
        <v>1</v>
      </c>
      <c r="L571" t="s">
        <v>559</v>
      </c>
      <c r="M571">
        <v>25</v>
      </c>
      <c r="N571" s="195">
        <v>44562</v>
      </c>
      <c r="O571" s="195"/>
      <c r="R571" t="s">
        <v>335</v>
      </c>
      <c r="S571">
        <v>1</v>
      </c>
    </row>
    <row r="572" spans="1:19" x14ac:dyDescent="0.25">
      <c r="A572" t="str">
        <f>TableSTRUBSCIM[[#This Row],[Study Package Code]]</f>
        <v>BOTA2000</v>
      </c>
      <c r="B572" s="5">
        <f>TableSTRUBSCIM[[#This Row],[Ver]]</f>
        <v>1</v>
      </c>
      <c r="D572" t="str">
        <f>TableSTRUBSCIM[[#This Row],[Structure Line]]</f>
        <v>Plant Diversity and Adaptation</v>
      </c>
      <c r="E572" s="125">
        <f>TableSTRUBSCIM[[#This Row],[Credit Points]]</f>
        <v>25</v>
      </c>
      <c r="F572">
        <v>3</v>
      </c>
      <c r="G572" t="s">
        <v>865</v>
      </c>
      <c r="H572">
        <v>2</v>
      </c>
      <c r="I572" t="s">
        <v>529</v>
      </c>
      <c r="J572" t="s">
        <v>356</v>
      </c>
      <c r="K572">
        <v>1</v>
      </c>
      <c r="L572" t="s">
        <v>566</v>
      </c>
      <c r="M572">
        <v>25</v>
      </c>
      <c r="N572" s="195">
        <v>42005</v>
      </c>
      <c r="O572" s="195"/>
      <c r="R572" t="s">
        <v>356</v>
      </c>
      <c r="S572">
        <v>1</v>
      </c>
    </row>
    <row r="573" spans="1:19" x14ac:dyDescent="0.25">
      <c r="A573" t="str">
        <f>TableSTRUBSCIM[[#This Row],[Study Package Code]]</f>
        <v>AltCoreSTRUBSCIM</v>
      </c>
      <c r="B573" s="5">
        <f>TableSTRUBSCIM[[#This Row],[Ver]]</f>
        <v>0</v>
      </c>
      <c r="D573" t="str">
        <f>TableSTRUBSCIM[[#This Row],[Structure Line]]</f>
        <v>Choose ZOOL2000 OR ECEV2000</v>
      </c>
      <c r="E573" s="125">
        <f>TableSTRUBSCIM[[#This Row],[Credit Points]]</f>
        <v>25</v>
      </c>
      <c r="F573">
        <v>4</v>
      </c>
      <c r="G573" t="s">
        <v>865</v>
      </c>
      <c r="H573">
        <v>3</v>
      </c>
      <c r="I573" t="s">
        <v>528</v>
      </c>
      <c r="J573" t="s">
        <v>497</v>
      </c>
      <c r="K573">
        <v>0</v>
      </c>
      <c r="L573" t="s">
        <v>888</v>
      </c>
      <c r="M573">
        <v>25</v>
      </c>
      <c r="N573" s="195"/>
      <c r="O573" s="195"/>
      <c r="R573" t="s">
        <v>497</v>
      </c>
      <c r="S573">
        <v>0</v>
      </c>
    </row>
    <row r="574" spans="1:19" x14ac:dyDescent="0.25">
      <c r="A574" t="str">
        <f>TableSTRUBSCIM[[#This Row],[Study Package Code]]</f>
        <v>EDSC4022</v>
      </c>
      <c r="B574" s="5">
        <f>TableSTRUBSCIM[[#This Row],[Ver]]</f>
        <v>1</v>
      </c>
      <c r="D574" t="str">
        <f>TableSTRUBSCIM[[#This Row],[Structure Line]]</f>
        <v>Curriculum and Instruction Lower Secondary: Science</v>
      </c>
      <c r="E574" s="125">
        <f>TableSTRUBSCIM[[#This Row],[Credit Points]]</f>
        <v>25</v>
      </c>
      <c r="F574">
        <v>5</v>
      </c>
      <c r="G574" t="s">
        <v>865</v>
      </c>
      <c r="H574">
        <v>3</v>
      </c>
      <c r="I574" t="s">
        <v>528</v>
      </c>
      <c r="J574" t="s">
        <v>317</v>
      </c>
      <c r="K574">
        <v>1</v>
      </c>
      <c r="L574" t="s">
        <v>674</v>
      </c>
      <c r="M574">
        <v>25</v>
      </c>
      <c r="N574" s="195">
        <v>43466</v>
      </c>
      <c r="O574" s="195"/>
      <c r="R574" t="s">
        <v>317</v>
      </c>
      <c r="S574">
        <v>1</v>
      </c>
    </row>
    <row r="575" spans="1:19" x14ac:dyDescent="0.25">
      <c r="A575" t="str">
        <f>TableSTRUBSCIM[[#This Row],[Study Package Code]]</f>
        <v>EDSC4023</v>
      </c>
      <c r="B575" s="5">
        <f>TableSTRUBSCIM[[#This Row],[Ver]]</f>
        <v>2</v>
      </c>
      <c r="D575" t="str">
        <f>TableSTRUBSCIM[[#This Row],[Structure Line]]</f>
        <v>Curriculum and Instruction Senior Secondary: Science</v>
      </c>
      <c r="E575" s="125">
        <f>TableSTRUBSCIM[[#This Row],[Credit Points]]</f>
        <v>25</v>
      </c>
      <c r="F575">
        <v>6</v>
      </c>
      <c r="G575" t="s">
        <v>865</v>
      </c>
      <c r="H575">
        <v>3</v>
      </c>
      <c r="I575" t="s">
        <v>529</v>
      </c>
      <c r="J575" t="s">
        <v>340</v>
      </c>
      <c r="K575">
        <v>2</v>
      </c>
      <c r="L575" t="s">
        <v>675</v>
      </c>
      <c r="M575">
        <v>25</v>
      </c>
      <c r="N575" s="195">
        <v>43831</v>
      </c>
      <c r="O575" s="195"/>
      <c r="R575" t="s">
        <v>340</v>
      </c>
      <c r="S575">
        <v>2</v>
      </c>
    </row>
    <row r="576" spans="1:19" x14ac:dyDescent="0.25">
      <c r="A576" t="str">
        <f>TableSTRUBSCIM[[#This Row],[Study Package Code]]</f>
        <v>ECEV2000</v>
      </c>
      <c r="B576" s="5">
        <f>TableSTRUBSCIM[[#This Row],[Ver]]</f>
        <v>1</v>
      </c>
      <c r="D576" t="str">
        <f>TableSTRUBSCIM[[#This Row],[Structure Line]]</f>
        <v>Terrestrial Ecology</v>
      </c>
      <c r="E576" s="125">
        <f>TableSTRUBSCIM[[#This Row],[Credit Points]]</f>
        <v>25</v>
      </c>
      <c r="F576">
        <v>4</v>
      </c>
      <c r="G576" t="s">
        <v>871</v>
      </c>
      <c r="H576">
        <v>3</v>
      </c>
      <c r="I576" t="s">
        <v>528</v>
      </c>
      <c r="J576" t="s">
        <v>415</v>
      </c>
      <c r="K576">
        <v>1</v>
      </c>
      <c r="L576" t="s">
        <v>597</v>
      </c>
      <c r="M576">
        <v>25</v>
      </c>
      <c r="N576" s="195">
        <v>42005</v>
      </c>
      <c r="O576" s="195"/>
      <c r="R576" t="s">
        <v>415</v>
      </c>
      <c r="S576">
        <v>1</v>
      </c>
    </row>
    <row r="577" spans="1:19" x14ac:dyDescent="0.25">
      <c r="A577" t="str">
        <f>TableSTRUBSCIM[[#This Row],[Study Package Code]]</f>
        <v>ZOOL2000</v>
      </c>
      <c r="B577" s="5">
        <f>TableSTRUBSCIM[[#This Row],[Ver]]</f>
        <v>2</v>
      </c>
      <c r="D577" t="str">
        <f>TableSTRUBSCIM[[#This Row],[Structure Line]]</f>
        <v>Animal Diversity and Evolution</v>
      </c>
      <c r="E577" s="125">
        <f>TableSTRUBSCIM[[#This Row],[Credit Points]]</f>
        <v>25</v>
      </c>
      <c r="F577">
        <v>4</v>
      </c>
      <c r="G577" t="s">
        <v>871</v>
      </c>
      <c r="H577">
        <v>3</v>
      </c>
      <c r="I577" t="s">
        <v>528</v>
      </c>
      <c r="J577" t="s">
        <v>418</v>
      </c>
      <c r="K577">
        <v>2</v>
      </c>
      <c r="L577" t="s">
        <v>853</v>
      </c>
      <c r="M577">
        <v>25</v>
      </c>
      <c r="N577" s="195">
        <v>43101</v>
      </c>
      <c r="O577" s="195"/>
      <c r="R577" t="s">
        <v>418</v>
      </c>
      <c r="S577">
        <v>2</v>
      </c>
    </row>
    <row r="578" spans="1:19" x14ac:dyDescent="0.25">
      <c r="A578" s="122"/>
      <c r="B578" s="124"/>
      <c r="C578" s="122"/>
      <c r="D578" s="122"/>
      <c r="G578" s="123" t="s">
        <v>855</v>
      </c>
      <c r="H578" s="199">
        <v>43466</v>
      </c>
      <c r="J578" s="197" t="s">
        <v>245</v>
      </c>
      <c r="K578" s="124" t="s">
        <v>67</v>
      </c>
      <c r="L578" s="122" t="s">
        <v>244</v>
      </c>
      <c r="M578" s="122"/>
    </row>
    <row r="579" spans="1:19" ht="31.5" x14ac:dyDescent="0.25">
      <c r="A579" s="159" t="s">
        <v>0</v>
      </c>
      <c r="B579" s="160" t="s">
        <v>60</v>
      </c>
      <c r="C579" s="159" t="s">
        <v>856</v>
      </c>
      <c r="D579" s="159" t="s">
        <v>3</v>
      </c>
      <c r="E579" s="161" t="s">
        <v>857</v>
      </c>
      <c r="F579" s="159" t="s">
        <v>858</v>
      </c>
      <c r="G579" s="159" t="s">
        <v>859</v>
      </c>
      <c r="H579" s="159" t="s">
        <v>860</v>
      </c>
      <c r="I579" s="159" t="s">
        <v>17</v>
      </c>
      <c r="J579" s="159" t="s">
        <v>861</v>
      </c>
      <c r="K579" s="159" t="s">
        <v>1</v>
      </c>
      <c r="L579" s="159" t="s">
        <v>44</v>
      </c>
      <c r="M579" s="159" t="s">
        <v>61</v>
      </c>
      <c r="N579" s="159" t="s">
        <v>862</v>
      </c>
      <c r="O579" s="159" t="s">
        <v>863</v>
      </c>
      <c r="R579" t="s">
        <v>538</v>
      </c>
      <c r="S579" t="s">
        <v>864</v>
      </c>
    </row>
    <row r="580" spans="1:19" x14ac:dyDescent="0.25">
      <c r="A580" t="str">
        <f>TableSTRUCHEMB[[#This Row],[Study Package Code]]</f>
        <v>EDUC1027</v>
      </c>
      <c r="B580" s="5">
        <f>TableSTRUCHEMB[[#This Row],[Ver]]</f>
        <v>1</v>
      </c>
      <c r="D580" t="str">
        <f>TableSTRUCHEMB[[#This Row],[Structure Line]]</f>
        <v>Educators Inquiring About the World</v>
      </c>
      <c r="E580" s="125">
        <f>TableSTRUCHEMB[[#This Row],[Credit Points]]</f>
        <v>25</v>
      </c>
      <c r="F580">
        <v>1</v>
      </c>
      <c r="G580" t="s">
        <v>865</v>
      </c>
      <c r="H580">
        <v>1</v>
      </c>
      <c r="I580" t="s">
        <v>529</v>
      </c>
      <c r="J580" t="s">
        <v>53</v>
      </c>
      <c r="K580">
        <v>1</v>
      </c>
      <c r="L580" t="s">
        <v>688</v>
      </c>
      <c r="M580">
        <v>25</v>
      </c>
      <c r="N580" s="195">
        <v>43466</v>
      </c>
      <c r="O580" s="195"/>
      <c r="R580" t="s">
        <v>53</v>
      </c>
      <c r="S580">
        <v>1</v>
      </c>
    </row>
    <row r="581" spans="1:19" x14ac:dyDescent="0.25">
      <c r="A581" t="str">
        <f>TableSTRUCHEMB[[#This Row],[Study Package Code]]</f>
        <v>CHEM1001</v>
      </c>
      <c r="B581" s="5">
        <f>TableSTRUCHEMB[[#This Row],[Ver]]</f>
        <v>1</v>
      </c>
      <c r="D581" t="str">
        <f>TableSTRUCHEMB[[#This Row],[Structure Line]]</f>
        <v>Biological Chemistry</v>
      </c>
      <c r="E581" s="125">
        <f>TableSTRUCHEMB[[#This Row],[Credit Points]]</f>
        <v>25</v>
      </c>
      <c r="F581">
        <v>2</v>
      </c>
      <c r="G581" t="s">
        <v>865</v>
      </c>
      <c r="H581">
        <v>2</v>
      </c>
      <c r="I581" t="s">
        <v>528</v>
      </c>
      <c r="J581" t="s">
        <v>478</v>
      </c>
      <c r="K581">
        <v>1</v>
      </c>
      <c r="L581" t="s">
        <v>568</v>
      </c>
      <c r="M581">
        <v>25</v>
      </c>
      <c r="N581" s="195">
        <v>42005</v>
      </c>
      <c r="O581" s="195"/>
      <c r="R581" t="s">
        <v>478</v>
      </c>
      <c r="S581">
        <v>1</v>
      </c>
    </row>
    <row r="582" spans="1:19" x14ac:dyDescent="0.25">
      <c r="A582" t="str">
        <f>TableSTRUCHEMB[[#This Row],[Study Package Code]]</f>
        <v>EDPR2000</v>
      </c>
      <c r="B582" s="5">
        <f>TableSTRUCHEMB[[#This Row],[Ver]]</f>
        <v>1</v>
      </c>
      <c r="D582" t="str">
        <f>TableSTRUCHEMB[[#This Row],[Structure Line]]</f>
        <v>Inquiry in the Science Classroom</v>
      </c>
      <c r="E582" s="125">
        <f>TableSTRUCHEMB[[#This Row],[Credit Points]]</f>
        <v>25</v>
      </c>
      <c r="F582">
        <v>3</v>
      </c>
      <c r="G582" t="s">
        <v>865</v>
      </c>
      <c r="H582">
        <v>2</v>
      </c>
      <c r="I582" t="s">
        <v>529</v>
      </c>
      <c r="J582" t="s">
        <v>93</v>
      </c>
      <c r="K582">
        <v>1</v>
      </c>
      <c r="L582" t="s">
        <v>637</v>
      </c>
      <c r="M582">
        <v>25</v>
      </c>
      <c r="N582" s="195">
        <v>42005</v>
      </c>
      <c r="O582" s="195"/>
      <c r="R582" t="s">
        <v>93</v>
      </c>
      <c r="S582">
        <v>1</v>
      </c>
    </row>
    <row r="583" spans="1:19" x14ac:dyDescent="0.25">
      <c r="A583" t="str">
        <f>TableSTRUCHEMB[[#This Row],[Study Package Code]]</f>
        <v>CHEM2000</v>
      </c>
      <c r="B583" s="5">
        <f>TableSTRUCHEMB[[#This Row],[Ver]]</f>
        <v>1</v>
      </c>
      <c r="D583" t="str">
        <f>TableSTRUCHEMB[[#This Row],[Structure Line]]</f>
        <v>Chemical Energetics and Kinetics</v>
      </c>
      <c r="E583" s="125">
        <f>TableSTRUCHEMB[[#This Row],[Credit Points]]</f>
        <v>25</v>
      </c>
      <c r="F583">
        <v>4</v>
      </c>
      <c r="G583" t="s">
        <v>865</v>
      </c>
      <c r="H583">
        <v>3</v>
      </c>
      <c r="I583" t="s">
        <v>528</v>
      </c>
      <c r="J583" t="s">
        <v>498</v>
      </c>
      <c r="K583">
        <v>1</v>
      </c>
      <c r="L583" t="s">
        <v>571</v>
      </c>
      <c r="M583">
        <v>25</v>
      </c>
      <c r="N583" s="195">
        <v>42005</v>
      </c>
      <c r="O583" s="195"/>
      <c r="R583" t="s">
        <v>498</v>
      </c>
      <c r="S583">
        <v>1</v>
      </c>
    </row>
    <row r="584" spans="1:19" x14ac:dyDescent="0.25">
      <c r="A584" t="str">
        <f>TableSTRUCHEMB[[#This Row],[Study Package Code]]</f>
        <v>CHEM2006</v>
      </c>
      <c r="B584" s="5">
        <f>TableSTRUCHEMB[[#This Row],[Ver]]</f>
        <v>1</v>
      </c>
      <c r="D584" t="str">
        <f>TableSTRUCHEMB[[#This Row],[Structure Line]]</f>
        <v>Chemical Reactions and Mechanisms</v>
      </c>
      <c r="E584" s="125">
        <f>TableSTRUCHEMB[[#This Row],[Credit Points]]</f>
        <v>25</v>
      </c>
      <c r="F584">
        <v>5</v>
      </c>
      <c r="G584" t="s">
        <v>865</v>
      </c>
      <c r="H584">
        <v>3</v>
      </c>
      <c r="I584" t="s">
        <v>529</v>
      </c>
      <c r="J584" t="s">
        <v>512</v>
      </c>
      <c r="K584">
        <v>1</v>
      </c>
      <c r="L584" t="s">
        <v>576</v>
      </c>
      <c r="M584">
        <v>25</v>
      </c>
      <c r="N584" s="195">
        <v>42005</v>
      </c>
      <c r="O584" s="195"/>
      <c r="R584" t="s">
        <v>512</v>
      </c>
      <c r="S584">
        <v>1</v>
      </c>
    </row>
    <row r="585" spans="1:19" x14ac:dyDescent="0.25">
      <c r="A585" t="str">
        <f>TableSTRUCHEMB[[#This Row],[Study Package Code]]</f>
        <v>OptionStream</v>
      </c>
      <c r="B585" s="5">
        <f>TableSTRUCHEMB[[#This Row],[Ver]]</f>
        <v>0</v>
      </c>
      <c r="D585" t="str">
        <f>TableSTRUCHEMB[[#This Row],[Structure Line]]</f>
        <v>Choose your Year 3 optional unit</v>
      </c>
      <c r="E585" s="125">
        <f>TableSTRUCHEMB[[#This Row],[Credit Points]]</f>
        <v>25</v>
      </c>
      <c r="F585">
        <v>6</v>
      </c>
      <c r="G585" t="s">
        <v>102</v>
      </c>
      <c r="H585">
        <v>3</v>
      </c>
      <c r="I585" t="s">
        <v>875</v>
      </c>
      <c r="J585" t="s">
        <v>886</v>
      </c>
      <c r="K585">
        <v>0</v>
      </c>
      <c r="L585" t="s">
        <v>889</v>
      </c>
      <c r="M585">
        <v>25</v>
      </c>
      <c r="N585" s="195"/>
      <c r="O585" s="195"/>
      <c r="R585" t="s">
        <v>886</v>
      </c>
      <c r="S585">
        <v>0</v>
      </c>
    </row>
    <row r="586" spans="1:19" x14ac:dyDescent="0.25">
      <c r="A586" t="str">
        <f>TableSTRUCHEMB[[#This Row],[Study Package Code]]</f>
        <v>CTED4000</v>
      </c>
      <c r="B586" s="5">
        <f>TableSTRUCHEMB[[#This Row],[Ver]]</f>
        <v>1</v>
      </c>
      <c r="D586" t="str">
        <f>TableSTRUCHEMB[[#This Row],[Structure Line]]</f>
        <v>An Introduction to Catholic Education</v>
      </c>
      <c r="E586" s="125">
        <f>TableSTRUCHEMB[[#This Row],[Credit Points]]</f>
        <v>25</v>
      </c>
      <c r="F586">
        <v>6</v>
      </c>
      <c r="G586" t="s">
        <v>102</v>
      </c>
      <c r="H586">
        <v>3</v>
      </c>
      <c r="I586" t="s">
        <v>875</v>
      </c>
      <c r="J586" t="s">
        <v>171</v>
      </c>
      <c r="K586">
        <v>1</v>
      </c>
      <c r="L586" t="s">
        <v>583</v>
      </c>
      <c r="M586">
        <v>25</v>
      </c>
      <c r="N586" s="195">
        <v>42005</v>
      </c>
      <c r="O586" s="195"/>
      <c r="R586" t="s">
        <v>171</v>
      </c>
      <c r="S586">
        <v>1</v>
      </c>
    </row>
    <row r="587" spans="1:19" x14ac:dyDescent="0.25">
      <c r="A587" t="str">
        <f>TableSTRUCHEMB[[#This Row],[Study Package Code]]</f>
        <v>CTED4001</v>
      </c>
      <c r="B587" s="5">
        <f>TableSTRUCHEMB[[#This Row],[Ver]]</f>
        <v>1</v>
      </c>
      <c r="D587" t="str">
        <f>TableSTRUCHEMB[[#This Row],[Structure Line]]</f>
        <v>Creed and Sacraments in Catholic Studies</v>
      </c>
      <c r="E587" s="125">
        <f>TableSTRUCHEMB[[#This Row],[Credit Points]]</f>
        <v>25</v>
      </c>
      <c r="F587">
        <v>6</v>
      </c>
      <c r="G587" t="s">
        <v>102</v>
      </c>
      <c r="H587">
        <v>3</v>
      </c>
      <c r="I587" t="s">
        <v>875</v>
      </c>
      <c r="J587" t="s">
        <v>150</v>
      </c>
      <c r="K587">
        <v>1</v>
      </c>
      <c r="L587" t="s">
        <v>588</v>
      </c>
      <c r="M587">
        <v>25</v>
      </c>
      <c r="N587" s="195">
        <v>42005</v>
      </c>
      <c r="O587" s="195">
        <v>45291</v>
      </c>
      <c r="R587" t="s">
        <v>150</v>
      </c>
      <c r="S587">
        <v>1</v>
      </c>
    </row>
    <row r="588" spans="1:19" x14ac:dyDescent="0.25">
      <c r="A588" t="str">
        <f>TableSTRUCHEMB[[#This Row],[Study Package Code]]</f>
        <v>CTED4002</v>
      </c>
      <c r="B588" s="5">
        <f>TableSTRUCHEMB[[#This Row],[Ver]]</f>
        <v>2</v>
      </c>
      <c r="D588" t="str">
        <f>TableSTRUCHEMB[[#This Row],[Structure Line]]</f>
        <v>Prayer and Morality in Catholic Studies</v>
      </c>
      <c r="E588" s="125">
        <f>TableSTRUCHEMB[[#This Row],[Credit Points]]</f>
        <v>25</v>
      </c>
      <c r="F588">
        <v>6</v>
      </c>
      <c r="G588" t="s">
        <v>102</v>
      </c>
      <c r="H588">
        <v>3</v>
      </c>
      <c r="I588" t="s">
        <v>875</v>
      </c>
      <c r="J588" t="s">
        <v>172</v>
      </c>
      <c r="K588">
        <v>2</v>
      </c>
      <c r="L588" t="s">
        <v>591</v>
      </c>
      <c r="M588">
        <v>25</v>
      </c>
      <c r="N588" s="195">
        <v>44197</v>
      </c>
      <c r="O588" s="195"/>
      <c r="R588" t="s">
        <v>172</v>
      </c>
      <c r="S588">
        <v>2</v>
      </c>
    </row>
    <row r="589" spans="1:19" x14ac:dyDescent="0.25">
      <c r="A589" t="str">
        <f>TableSTRUCHEMB[[#This Row],[Study Package Code]]</f>
        <v>CTED4006</v>
      </c>
      <c r="B589" s="5">
        <f>TableSTRUCHEMB[[#This Row],[Ver]]</f>
        <v>1</v>
      </c>
      <c r="D589" t="str">
        <f>TableSTRUCHEMB[[#This Row],[Structure Line]]</f>
        <v>Teaching About Jesus in Catholic Schools</v>
      </c>
      <c r="E589" s="125">
        <f>TableSTRUCHEMB[[#This Row],[Credit Points]]</f>
        <v>25</v>
      </c>
      <c r="F589">
        <v>6</v>
      </c>
      <c r="G589" t="s">
        <v>102</v>
      </c>
      <c r="H589">
        <v>3</v>
      </c>
      <c r="I589" t="s">
        <v>875</v>
      </c>
      <c r="J589" t="s">
        <v>152</v>
      </c>
      <c r="K589">
        <v>1</v>
      </c>
      <c r="L589" t="s">
        <v>592</v>
      </c>
      <c r="M589">
        <v>25</v>
      </c>
      <c r="N589" s="195">
        <v>45292</v>
      </c>
      <c r="O589" s="195"/>
    </row>
    <row r="590" spans="1:19" x14ac:dyDescent="0.25">
      <c r="A590" t="str">
        <f>TableSTRUCHEMB[[#This Row],[Study Package Code]]</f>
        <v>CTED4008</v>
      </c>
      <c r="B590" s="5">
        <f>TableSTRUCHEMB[[#This Row],[Ver]]</f>
        <v>1</v>
      </c>
      <c r="D590" t="str">
        <f>TableSTRUCHEMB[[#This Row],[Structure Line]]</f>
        <v>Teaching About the Gospels in Catholic Schools</v>
      </c>
      <c r="E590" s="125">
        <f>TableSTRUCHEMB[[#This Row],[Credit Points]]</f>
        <v>25</v>
      </c>
      <c r="F590">
        <v>6</v>
      </c>
      <c r="G590" t="s">
        <v>102</v>
      </c>
      <c r="H590">
        <v>3</v>
      </c>
      <c r="I590" t="s">
        <v>875</v>
      </c>
      <c r="J590" t="s">
        <v>154</v>
      </c>
      <c r="K590">
        <v>1</v>
      </c>
      <c r="L590" t="s">
        <v>593</v>
      </c>
      <c r="M590">
        <v>25</v>
      </c>
      <c r="N590" s="195">
        <v>45292</v>
      </c>
      <c r="O590" s="195"/>
    </row>
    <row r="591" spans="1:19" x14ac:dyDescent="0.25">
      <c r="A591" t="str">
        <f>TableSTRUCHEMB[[#This Row],[Study Package Code]]</f>
        <v>EDIB4000</v>
      </c>
      <c r="B591" s="5">
        <f>TableSTRUCHEMB[[#This Row],[Ver]]</f>
        <v>1</v>
      </c>
      <c r="D591" t="str">
        <f>TableSTRUCHEMB[[#This Row],[Structure Line]]</f>
        <v>Introduction to the International Baccalaureate Programme</v>
      </c>
      <c r="E591" s="125">
        <f>TableSTRUCHEMB[[#This Row],[Credit Points]]</f>
        <v>25</v>
      </c>
      <c r="F591">
        <v>6</v>
      </c>
      <c r="G591" t="s">
        <v>102</v>
      </c>
      <c r="H591">
        <v>3</v>
      </c>
      <c r="I591" t="s">
        <v>875</v>
      </c>
      <c r="J591" t="s">
        <v>166</v>
      </c>
      <c r="K591">
        <v>1</v>
      </c>
      <c r="L591" t="s">
        <v>631</v>
      </c>
      <c r="M591">
        <v>25</v>
      </c>
      <c r="N591" s="195">
        <v>42005</v>
      </c>
      <c r="O591" s="195"/>
      <c r="R591" t="s">
        <v>166</v>
      </c>
      <c r="S591">
        <v>1</v>
      </c>
    </row>
    <row r="592" spans="1:19" x14ac:dyDescent="0.25">
      <c r="A592" t="str">
        <f>TableSTRUCHEMB[[#This Row],[Study Package Code]]</f>
        <v>EDIB4002</v>
      </c>
      <c r="B592" s="5">
        <f>TableSTRUCHEMB[[#This Row],[Ver]]</f>
        <v>1</v>
      </c>
      <c r="D592" t="str">
        <f>TableSTRUCHEMB[[#This Row],[Structure Line]]</f>
        <v>International Baccalaureate Middle Years Programme</v>
      </c>
      <c r="E592" s="125">
        <f>TableSTRUCHEMB[[#This Row],[Credit Points]]</f>
        <v>25</v>
      </c>
      <c r="F592">
        <v>6</v>
      </c>
      <c r="G592" t="s">
        <v>102</v>
      </c>
      <c r="H592">
        <v>3</v>
      </c>
      <c r="I592" t="s">
        <v>875</v>
      </c>
      <c r="J592" t="s">
        <v>170</v>
      </c>
      <c r="K592">
        <v>1</v>
      </c>
      <c r="L592" t="s">
        <v>634</v>
      </c>
      <c r="M592">
        <v>25</v>
      </c>
      <c r="N592" s="195">
        <v>42005</v>
      </c>
      <c r="O592" s="195"/>
      <c r="R592" t="s">
        <v>170</v>
      </c>
      <c r="S592">
        <v>1</v>
      </c>
    </row>
    <row r="593" spans="1:19" x14ac:dyDescent="0.25">
      <c r="A593" t="str">
        <f>TableSTRUCHEMB[[#This Row],[Study Package Code]]</f>
        <v>EDIB4003</v>
      </c>
      <c r="B593" s="5">
        <f>TableSTRUCHEMB[[#This Row],[Ver]]</f>
        <v>1</v>
      </c>
      <c r="D593" t="str">
        <f>TableSTRUCHEMB[[#This Row],[Structure Line]]</f>
        <v>The International Baccalaureate in Action</v>
      </c>
      <c r="E593" s="125">
        <f>TableSTRUCHEMB[[#This Row],[Credit Points]]</f>
        <v>25</v>
      </c>
      <c r="F593">
        <v>6</v>
      </c>
      <c r="G593" t="s">
        <v>102</v>
      </c>
      <c r="H593">
        <v>3</v>
      </c>
      <c r="I593" t="s">
        <v>875</v>
      </c>
      <c r="J593" t="s">
        <v>168</v>
      </c>
      <c r="K593">
        <v>1</v>
      </c>
      <c r="L593" t="s">
        <v>635</v>
      </c>
      <c r="M593">
        <v>25</v>
      </c>
      <c r="N593" s="195">
        <v>42005</v>
      </c>
      <c r="O593" s="195"/>
      <c r="R593" t="s">
        <v>168</v>
      </c>
      <c r="S593">
        <v>1</v>
      </c>
    </row>
    <row r="594" spans="1:19" x14ac:dyDescent="0.25">
      <c r="A594" t="str">
        <f>TableSTRUCHEMB[[#This Row],[Study Package Code]]</f>
        <v>EDUC4012</v>
      </c>
      <c r="B594" s="5">
        <f>TableSTRUCHEMB[[#This Row],[Ver]]</f>
        <v>2</v>
      </c>
      <c r="D594" t="str">
        <f>TableSTRUCHEMB[[#This Row],[Structure Line]]</f>
        <v>Relationships and Sexuality Education</v>
      </c>
      <c r="E594" s="125">
        <f>TableSTRUCHEMB[[#This Row],[Credit Points]]</f>
        <v>25</v>
      </c>
      <c r="F594">
        <v>6</v>
      </c>
      <c r="G594" t="s">
        <v>102</v>
      </c>
      <c r="H594">
        <v>3</v>
      </c>
      <c r="I594" t="s">
        <v>875</v>
      </c>
      <c r="J594" t="s">
        <v>156</v>
      </c>
      <c r="K594">
        <v>2</v>
      </c>
      <c r="L594" t="s">
        <v>697</v>
      </c>
      <c r="M594">
        <v>25</v>
      </c>
      <c r="N594" s="195">
        <v>44927</v>
      </c>
      <c r="O594" s="195"/>
      <c r="R594" t="s">
        <v>156</v>
      </c>
      <c r="S594">
        <v>2</v>
      </c>
    </row>
    <row r="595" spans="1:19" x14ac:dyDescent="0.25">
      <c r="A595" t="str">
        <f>TableSTRUCHEMB[[#This Row],[Study Package Code]]</f>
        <v>EDUC4014</v>
      </c>
      <c r="B595" s="5">
        <f>TableSTRUCHEMB[[#This Row],[Ver]]</f>
        <v>1</v>
      </c>
      <c r="D595" t="str">
        <f>TableSTRUCHEMB[[#This Row],[Structure Line]]</f>
        <v>Diverse Abilities and Curriculum Differentiation</v>
      </c>
      <c r="E595" s="125">
        <f>TableSTRUCHEMB[[#This Row],[Credit Points]]</f>
        <v>25</v>
      </c>
      <c r="F595">
        <v>6</v>
      </c>
      <c r="G595" t="s">
        <v>102</v>
      </c>
      <c r="H595">
        <v>3</v>
      </c>
      <c r="I595" t="s">
        <v>875</v>
      </c>
      <c r="J595" t="s">
        <v>158</v>
      </c>
      <c r="K595">
        <v>1</v>
      </c>
      <c r="L595" t="s">
        <v>698</v>
      </c>
      <c r="M595">
        <v>25</v>
      </c>
      <c r="N595" s="195">
        <v>42005</v>
      </c>
      <c r="O595" s="195"/>
      <c r="R595" t="s">
        <v>158</v>
      </c>
      <c r="S595">
        <v>1</v>
      </c>
    </row>
    <row r="596" spans="1:19" x14ac:dyDescent="0.25">
      <c r="A596" t="str">
        <f>TableSTRUCHEMB[[#This Row],[Study Package Code]]</f>
        <v>EDUC4020</v>
      </c>
      <c r="B596" s="5">
        <f>TableSTRUCHEMB[[#This Row],[Ver]]</f>
        <v>1</v>
      </c>
      <c r="D596" t="str">
        <f>TableSTRUCHEMB[[#This Row],[Structure Line]]</f>
        <v>Supporting Literacy and Numeracy Development for Diverse Learners</v>
      </c>
      <c r="E596" s="125">
        <f>TableSTRUCHEMB[[#This Row],[Credit Points]]</f>
        <v>25</v>
      </c>
      <c r="F596">
        <v>6</v>
      </c>
      <c r="G596" t="s">
        <v>102</v>
      </c>
      <c r="H596">
        <v>3</v>
      </c>
      <c r="I596" t="s">
        <v>875</v>
      </c>
      <c r="J596" t="s">
        <v>153</v>
      </c>
      <c r="K596">
        <v>1</v>
      </c>
      <c r="L596" t="s">
        <v>699</v>
      </c>
      <c r="M596">
        <v>25</v>
      </c>
      <c r="N596" s="195">
        <v>43282</v>
      </c>
      <c r="O596" s="195"/>
      <c r="R596" t="s">
        <v>153</v>
      </c>
      <c r="S596">
        <v>1</v>
      </c>
    </row>
    <row r="597" spans="1:19" x14ac:dyDescent="0.25">
      <c r="A597" t="str">
        <f>TableSTRUCHEMB[[#This Row],[Study Package Code]]</f>
        <v>EDUC4021</v>
      </c>
      <c r="B597" s="5">
        <f>TableSTRUCHEMB[[#This Row],[Ver]]</f>
        <v>1</v>
      </c>
      <c r="D597" t="str">
        <f>TableSTRUCHEMB[[#This Row],[Structure Line]]</f>
        <v>Project-based iSTEM Education</v>
      </c>
      <c r="E597" s="125">
        <f>TableSTRUCHEMB[[#This Row],[Credit Points]]</f>
        <v>25</v>
      </c>
      <c r="F597">
        <v>6</v>
      </c>
      <c r="G597" t="s">
        <v>102</v>
      </c>
      <c r="H597">
        <v>3</v>
      </c>
      <c r="I597" t="s">
        <v>875</v>
      </c>
      <c r="J597" t="s">
        <v>142</v>
      </c>
      <c r="K597">
        <v>1</v>
      </c>
      <c r="L597" t="s">
        <v>700</v>
      </c>
      <c r="M597">
        <v>25</v>
      </c>
      <c r="N597" s="195">
        <v>43282</v>
      </c>
      <c r="O597" s="195"/>
      <c r="R597" t="s">
        <v>142</v>
      </c>
      <c r="S597">
        <v>1</v>
      </c>
    </row>
    <row r="598" spans="1:19" x14ac:dyDescent="0.25">
      <c r="A598" t="str">
        <f>TableSTRUCHEMB[[#This Row],[Study Package Code]]</f>
        <v>EDUC4022</v>
      </c>
      <c r="B598" s="5">
        <f>TableSTRUCHEMB[[#This Row],[Ver]]</f>
        <v>1</v>
      </c>
      <c r="D598" t="str">
        <f>TableSTRUCHEMB[[#This Row],[Structure Line]]</f>
        <v>Creative Literacies</v>
      </c>
      <c r="E598" s="125">
        <f>TableSTRUCHEMB[[#This Row],[Credit Points]]</f>
        <v>25</v>
      </c>
      <c r="F598">
        <v>6</v>
      </c>
      <c r="G598" t="s">
        <v>102</v>
      </c>
      <c r="H598">
        <v>3</v>
      </c>
      <c r="I598" t="s">
        <v>875</v>
      </c>
      <c r="J598" t="s">
        <v>147</v>
      </c>
      <c r="K598">
        <v>1</v>
      </c>
      <c r="L598" t="s">
        <v>701</v>
      </c>
      <c r="M598">
        <v>25</v>
      </c>
      <c r="N598" s="195">
        <v>43282</v>
      </c>
      <c r="O598" s="195"/>
      <c r="R598" t="s">
        <v>147</v>
      </c>
      <c r="S598">
        <v>1</v>
      </c>
    </row>
    <row r="599" spans="1:19" x14ac:dyDescent="0.25">
      <c r="A599" t="str">
        <f>TableSTRUCHEMB[[#This Row],[Study Package Code]]</f>
        <v>EDUC4023</v>
      </c>
      <c r="B599" s="5">
        <f>TableSTRUCHEMB[[#This Row],[Ver]]</f>
        <v>1</v>
      </c>
      <c r="D599" t="str">
        <f>TableSTRUCHEMB[[#This Row],[Structure Line]]</f>
        <v>Creating and Responding to Literature</v>
      </c>
      <c r="E599" s="125">
        <f>TableSTRUCHEMB[[#This Row],[Credit Points]]</f>
        <v>25</v>
      </c>
      <c r="F599">
        <v>6</v>
      </c>
      <c r="G599" t="s">
        <v>102</v>
      </c>
      <c r="H599">
        <v>3</v>
      </c>
      <c r="I599" t="s">
        <v>875</v>
      </c>
      <c r="J599" t="s">
        <v>148</v>
      </c>
      <c r="K599">
        <v>1</v>
      </c>
      <c r="L599" t="s">
        <v>702</v>
      </c>
      <c r="M599">
        <v>25</v>
      </c>
      <c r="N599" s="195">
        <v>43282</v>
      </c>
      <c r="O599" s="195"/>
      <c r="R599" t="s">
        <v>148</v>
      </c>
      <c r="S599">
        <v>1</v>
      </c>
    </row>
    <row r="600" spans="1:19" x14ac:dyDescent="0.25">
      <c r="A600" t="str">
        <f>TableSTRUCHEMB[[#This Row],[Study Package Code]]</f>
        <v>EDUC4029</v>
      </c>
      <c r="B600" s="5">
        <f>TableSTRUCHEMB[[#This Row],[Ver]]</f>
        <v>1</v>
      </c>
      <c r="D600" t="str">
        <f>TableSTRUCHEMB[[#This Row],[Structure Line]]</f>
        <v>Technologies: Coding for Teachers</v>
      </c>
      <c r="E600" s="125">
        <f>TableSTRUCHEMB[[#This Row],[Credit Points]]</f>
        <v>25</v>
      </c>
      <c r="F600">
        <v>6</v>
      </c>
      <c r="G600" t="s">
        <v>102</v>
      </c>
      <c r="H600">
        <v>3</v>
      </c>
      <c r="I600" t="s">
        <v>875</v>
      </c>
      <c r="J600" t="s">
        <v>160</v>
      </c>
      <c r="K600">
        <v>1</v>
      </c>
      <c r="L600" t="s">
        <v>703</v>
      </c>
      <c r="M600">
        <v>25</v>
      </c>
      <c r="N600" s="195">
        <v>43282</v>
      </c>
      <c r="O600" s="195"/>
      <c r="R600" t="s">
        <v>160</v>
      </c>
      <c r="S600">
        <v>1</v>
      </c>
    </row>
    <row r="601" spans="1:19" x14ac:dyDescent="0.25">
      <c r="A601" t="str">
        <f>TableSTRUCHEMB[[#This Row],[Study Package Code]]</f>
        <v>EDUC4031</v>
      </c>
      <c r="B601" s="5">
        <f>TableSTRUCHEMB[[#This Row],[Ver]]</f>
        <v>1</v>
      </c>
      <c r="D601" t="str">
        <f>TableSTRUCHEMB[[#This Row],[Structure Line]]</f>
        <v>Social Justice in Literacy and Numeracy Learning</v>
      </c>
      <c r="E601" s="125">
        <f>TableSTRUCHEMB[[#This Row],[Credit Points]]</f>
        <v>25</v>
      </c>
      <c r="F601">
        <v>6</v>
      </c>
      <c r="G601" t="s">
        <v>102</v>
      </c>
      <c r="H601">
        <v>3</v>
      </c>
      <c r="I601" t="s">
        <v>875</v>
      </c>
      <c r="J601" t="s">
        <v>169</v>
      </c>
      <c r="K601">
        <v>1</v>
      </c>
      <c r="L601" t="s">
        <v>705</v>
      </c>
      <c r="M601">
        <v>25</v>
      </c>
      <c r="N601" s="195">
        <v>43282</v>
      </c>
      <c r="O601" s="195">
        <v>44750</v>
      </c>
      <c r="R601" t="s">
        <v>169</v>
      </c>
      <c r="S601">
        <v>1</v>
      </c>
    </row>
    <row r="602" spans="1:19" x14ac:dyDescent="0.25">
      <c r="A602" t="str">
        <f>TableSTRUCHEMB[[#This Row],[Study Package Code]]</f>
        <v>EDUC4032</v>
      </c>
      <c r="B602" s="5">
        <f>TableSTRUCHEMB[[#This Row],[Ver]]</f>
        <v>1</v>
      </c>
      <c r="D602" t="str">
        <f>TableSTRUCHEMB[[#This Row],[Structure Line]]</f>
        <v>iSTEM Education through Digital Stories</v>
      </c>
      <c r="E602" s="125">
        <f>TableSTRUCHEMB[[#This Row],[Credit Points]]</f>
        <v>25</v>
      </c>
      <c r="F602">
        <v>6</v>
      </c>
      <c r="G602" t="s">
        <v>102</v>
      </c>
      <c r="H602">
        <v>3</v>
      </c>
      <c r="I602" t="s">
        <v>875</v>
      </c>
      <c r="J602" t="s">
        <v>143</v>
      </c>
      <c r="K602">
        <v>1</v>
      </c>
      <c r="L602" t="s">
        <v>707</v>
      </c>
      <c r="M602">
        <v>25</v>
      </c>
      <c r="N602" s="195">
        <v>43466</v>
      </c>
      <c r="O602" s="195"/>
      <c r="R602" t="s">
        <v>143</v>
      </c>
      <c r="S602">
        <v>1</v>
      </c>
    </row>
    <row r="603" spans="1:19" x14ac:dyDescent="0.25">
      <c r="A603" t="str">
        <f>TableSTRUCHEMB[[#This Row],[Study Package Code]]</f>
        <v>EDUC4034</v>
      </c>
      <c r="B603" s="5">
        <f>TableSTRUCHEMB[[#This Row],[Ver]]</f>
        <v>1</v>
      </c>
      <c r="D603" t="str">
        <f>TableSTRUCHEMB[[#This Row],[Structure Line]]</f>
        <v>iSTEM: Social Issues</v>
      </c>
      <c r="E603" s="125">
        <f>TableSTRUCHEMB[[#This Row],[Credit Points]]</f>
        <v>25</v>
      </c>
      <c r="F603">
        <v>6</v>
      </c>
      <c r="G603" t="s">
        <v>102</v>
      </c>
      <c r="H603">
        <v>3</v>
      </c>
      <c r="I603" t="s">
        <v>875</v>
      </c>
      <c r="J603" t="s">
        <v>144</v>
      </c>
      <c r="K603">
        <v>1</v>
      </c>
      <c r="L603" t="s">
        <v>708</v>
      </c>
      <c r="M603">
        <v>25</v>
      </c>
      <c r="N603" s="195">
        <v>43466</v>
      </c>
      <c r="O603" s="195"/>
      <c r="R603" t="s">
        <v>144</v>
      </c>
      <c r="S603">
        <v>1</v>
      </c>
    </row>
    <row r="604" spans="1:19" x14ac:dyDescent="0.25">
      <c r="A604" t="str">
        <f>TableSTRUCHEMB[[#This Row],[Study Package Code]]</f>
        <v>EDUC4036</v>
      </c>
      <c r="B604" s="5">
        <f>TableSTRUCHEMB[[#This Row],[Ver]]</f>
        <v>1</v>
      </c>
      <c r="D604" t="str">
        <f>TableSTRUCHEMB[[#This Row],[Structure Line]]</f>
        <v>Language and Diversity</v>
      </c>
      <c r="E604" s="125">
        <f>TableSTRUCHEMB[[#This Row],[Credit Points]]</f>
        <v>25</v>
      </c>
      <c r="F604">
        <v>6</v>
      </c>
      <c r="G604" t="s">
        <v>102</v>
      </c>
      <c r="H604">
        <v>3</v>
      </c>
      <c r="I604" t="s">
        <v>875</v>
      </c>
      <c r="J604" t="s">
        <v>149</v>
      </c>
      <c r="K604" s="196">
        <v>1</v>
      </c>
      <c r="L604" s="196" t="s">
        <v>709</v>
      </c>
      <c r="M604" s="196">
        <v>25</v>
      </c>
      <c r="N604" s="195">
        <v>43466</v>
      </c>
      <c r="O604" s="195"/>
      <c r="R604" t="s">
        <v>149</v>
      </c>
      <c r="S604">
        <v>1</v>
      </c>
    </row>
    <row r="605" spans="1:19" x14ac:dyDescent="0.25">
      <c r="A605" t="str">
        <f>TableSTRUCHEMB[[#This Row],[Study Package Code]]</f>
        <v>EDUC4038</v>
      </c>
      <c r="B605" s="5">
        <f>TableSTRUCHEMB[[#This Row],[Ver]]</f>
        <v>1</v>
      </c>
      <c r="D605" t="str">
        <f>TableSTRUCHEMB[[#This Row],[Structure Line]]</f>
        <v>Technologies: Design Solutions</v>
      </c>
      <c r="E605" s="125">
        <f>TableSTRUCHEMB[[#This Row],[Credit Points]]</f>
        <v>25</v>
      </c>
      <c r="F605">
        <v>6</v>
      </c>
      <c r="G605" t="s">
        <v>102</v>
      </c>
      <c r="H605">
        <v>3</v>
      </c>
      <c r="I605" t="s">
        <v>875</v>
      </c>
      <c r="J605" t="s">
        <v>161</v>
      </c>
      <c r="K605">
        <v>1</v>
      </c>
      <c r="L605" t="s">
        <v>710</v>
      </c>
      <c r="M605">
        <v>25</v>
      </c>
      <c r="N605" s="195">
        <v>43466</v>
      </c>
      <c r="O605" s="195"/>
      <c r="R605" t="s">
        <v>161</v>
      </c>
      <c r="S605">
        <v>1</v>
      </c>
    </row>
    <row r="606" spans="1:19" x14ac:dyDescent="0.25">
      <c r="A606" t="str">
        <f>TableSTRUCHEMB[[#This Row],[Study Package Code]]</f>
        <v>EDUC4042</v>
      </c>
      <c r="B606" s="5">
        <f>TableSTRUCHEMB[[#This Row],[Ver]]</f>
        <v>1</v>
      </c>
      <c r="D606" t="str">
        <f>TableSTRUCHEMB[[#This Row],[Structure Line]]</f>
        <v>Alternative Approaches to Teaching Literacy and Numeracy</v>
      </c>
      <c r="E606" s="125">
        <f>TableSTRUCHEMB[[#This Row],[Credit Points]]</f>
        <v>25</v>
      </c>
      <c r="F606">
        <v>6</v>
      </c>
      <c r="G606" t="s">
        <v>102</v>
      </c>
      <c r="H606">
        <v>3</v>
      </c>
      <c r="I606" t="s">
        <v>875</v>
      </c>
      <c r="J606" t="s">
        <v>155</v>
      </c>
      <c r="K606">
        <v>1</v>
      </c>
      <c r="L606" t="s">
        <v>713</v>
      </c>
      <c r="M606">
        <v>25</v>
      </c>
      <c r="N606" s="195">
        <v>43466</v>
      </c>
      <c r="O606" s="195"/>
      <c r="R606" t="s">
        <v>155</v>
      </c>
      <c r="S606">
        <v>1</v>
      </c>
    </row>
    <row r="607" spans="1:19" x14ac:dyDescent="0.25">
      <c r="A607" t="str">
        <f>TableSTRUCHEMB[[#This Row],[Study Package Code]]</f>
        <v>EDUC4044</v>
      </c>
      <c r="B607" s="5">
        <f>TableSTRUCHEMB[[#This Row],[Ver]]</f>
        <v>1</v>
      </c>
      <c r="D607" t="str">
        <f>TableSTRUCHEMB[[#This Row],[Structure Line]]</f>
        <v>Literacy and Numeracy for Aboriginal and Torres Strait Islander (ATSI) Learners</v>
      </c>
      <c r="E607" s="125">
        <f>TableSTRUCHEMB[[#This Row],[Credit Points]]</f>
        <v>25</v>
      </c>
      <c r="F607">
        <v>6</v>
      </c>
      <c r="G607" t="s">
        <v>102</v>
      </c>
      <c r="H607">
        <v>3</v>
      </c>
      <c r="I607" t="s">
        <v>875</v>
      </c>
      <c r="J607" t="s">
        <v>157</v>
      </c>
      <c r="K607">
        <v>1</v>
      </c>
      <c r="L607" t="s">
        <v>887</v>
      </c>
      <c r="M607">
        <v>25</v>
      </c>
      <c r="N607" s="195">
        <v>43466</v>
      </c>
      <c r="O607" s="195">
        <v>44926</v>
      </c>
      <c r="R607" t="s">
        <v>157</v>
      </c>
      <c r="S607">
        <v>1</v>
      </c>
    </row>
    <row r="608" spans="1:19" x14ac:dyDescent="0.25">
      <c r="A608" t="str">
        <f>TableSTRUCHEMB[[#This Row],[Study Package Code]]</f>
        <v>EDUC4046</v>
      </c>
      <c r="B608" s="5">
        <f>TableSTRUCHEMB[[#This Row],[Ver]]</f>
        <v>1</v>
      </c>
      <c r="D608" t="str">
        <f>TableSTRUCHEMB[[#This Row],[Structure Line]]</f>
        <v>Technologies: Digital Solutions</v>
      </c>
      <c r="E608" s="125">
        <f>TableSTRUCHEMB[[#This Row],[Credit Points]]</f>
        <v>25</v>
      </c>
      <c r="F608">
        <v>6</v>
      </c>
      <c r="G608" t="s">
        <v>102</v>
      </c>
      <c r="H608">
        <v>3</v>
      </c>
      <c r="I608" t="s">
        <v>875</v>
      </c>
      <c r="J608" t="s">
        <v>162</v>
      </c>
      <c r="K608">
        <v>1</v>
      </c>
      <c r="L608" t="s">
        <v>715</v>
      </c>
      <c r="M608">
        <v>25</v>
      </c>
      <c r="N608" s="195">
        <v>43466</v>
      </c>
      <c r="O608" s="195"/>
      <c r="R608" t="s">
        <v>162</v>
      </c>
      <c r="S608">
        <v>1</v>
      </c>
    </row>
    <row r="609" spans="1:19" x14ac:dyDescent="0.25">
      <c r="A609" t="str">
        <f>TableSTRUCHEMB[[#This Row],[Study Package Code]]</f>
        <v>EDUC4048</v>
      </c>
      <c r="B609" s="5">
        <f>TableSTRUCHEMB[[#This Row],[Ver]]</f>
        <v>1</v>
      </c>
      <c r="D609" t="str">
        <f>TableSTRUCHEMB[[#This Row],[Structure Line]]</f>
        <v>Mentoring, Coaching and Tutoring</v>
      </c>
      <c r="E609" s="125">
        <f>TableSTRUCHEMB[[#This Row],[Credit Points]]</f>
        <v>25</v>
      </c>
      <c r="F609">
        <v>6</v>
      </c>
      <c r="G609" t="s">
        <v>102</v>
      </c>
      <c r="H609">
        <v>3</v>
      </c>
      <c r="I609" t="s">
        <v>875</v>
      </c>
      <c r="J609" t="s">
        <v>117</v>
      </c>
      <c r="K609">
        <v>1</v>
      </c>
      <c r="L609" t="s">
        <v>716</v>
      </c>
      <c r="M609">
        <v>25</v>
      </c>
      <c r="N609" s="195">
        <v>43466</v>
      </c>
      <c r="O609" s="195"/>
      <c r="R609" t="s">
        <v>117</v>
      </c>
      <c r="S609">
        <v>1</v>
      </c>
    </row>
    <row r="610" spans="1:19" x14ac:dyDescent="0.25">
      <c r="A610" s="122"/>
      <c r="B610" s="124"/>
      <c r="C610" s="122"/>
      <c r="D610" s="122"/>
      <c r="G610" s="123" t="s">
        <v>855</v>
      </c>
      <c r="H610" s="199">
        <v>43466</v>
      </c>
      <c r="J610" s="197" t="s">
        <v>247</v>
      </c>
      <c r="K610" s="124" t="s">
        <v>200</v>
      </c>
      <c r="L610" s="122" t="s">
        <v>246</v>
      </c>
      <c r="M610" s="122"/>
    </row>
    <row r="611" spans="1:19" ht="31.5" x14ac:dyDescent="0.25">
      <c r="A611" s="159" t="s">
        <v>0</v>
      </c>
      <c r="B611" s="160" t="s">
        <v>60</v>
      </c>
      <c r="C611" s="159" t="s">
        <v>856</v>
      </c>
      <c r="D611" s="159" t="s">
        <v>3</v>
      </c>
      <c r="E611" s="161" t="s">
        <v>857</v>
      </c>
      <c r="F611" s="159" t="s">
        <v>858</v>
      </c>
      <c r="G611" s="159" t="s">
        <v>859</v>
      </c>
      <c r="H611" s="159" t="s">
        <v>860</v>
      </c>
      <c r="I611" s="159" t="s">
        <v>17</v>
      </c>
      <c r="J611" s="159" t="s">
        <v>861</v>
      </c>
      <c r="K611" s="159" t="s">
        <v>1</v>
      </c>
      <c r="L611" s="159" t="s">
        <v>44</v>
      </c>
      <c r="M611" s="159" t="s">
        <v>61</v>
      </c>
      <c r="N611" s="159" t="s">
        <v>862</v>
      </c>
      <c r="O611" s="159" t="s">
        <v>863</v>
      </c>
      <c r="R611" t="s">
        <v>538</v>
      </c>
      <c r="S611" t="s">
        <v>864</v>
      </c>
    </row>
    <row r="612" spans="1:19" x14ac:dyDescent="0.25">
      <c r="A612" t="str">
        <f>TableSTRUECOB1[[#This Row],[Study Package Code]]</f>
        <v>EDUC1027</v>
      </c>
      <c r="B612" s="5">
        <f>TableSTRUECOB1[[#This Row],[Ver]]</f>
        <v>1</v>
      </c>
      <c r="D612" t="str">
        <f>TableSTRUECOB1[[#This Row],[Structure Line]]</f>
        <v>Educators Inquiring About the World</v>
      </c>
      <c r="E612" s="125">
        <f>TableSTRUECOB1[[#This Row],[Credit Points]]</f>
        <v>25</v>
      </c>
      <c r="F612">
        <v>1</v>
      </c>
      <c r="G612" t="s">
        <v>865</v>
      </c>
      <c r="H612">
        <v>1</v>
      </c>
      <c r="I612" t="s">
        <v>529</v>
      </c>
      <c r="J612" t="s">
        <v>53</v>
      </c>
      <c r="K612">
        <v>1</v>
      </c>
      <c r="L612" t="s">
        <v>688</v>
      </c>
      <c r="M612">
        <v>25</v>
      </c>
      <c r="N612" s="195">
        <v>43466</v>
      </c>
      <c r="O612" s="195"/>
      <c r="R612" t="s">
        <v>53</v>
      </c>
      <c r="S612">
        <v>1</v>
      </c>
    </row>
    <row r="613" spans="1:19" x14ac:dyDescent="0.25">
      <c r="A613" t="str">
        <f>TableSTRUECOB1[[#This Row],[Study Package Code]]</f>
        <v>GEOG1000</v>
      </c>
      <c r="B613" s="5">
        <f>TableSTRUECOB1[[#This Row],[Ver]]</f>
        <v>1</v>
      </c>
      <c r="D613" t="str">
        <f>TableSTRUECOB1[[#This Row],[Structure Line]]</f>
        <v>Human Geography</v>
      </c>
      <c r="E613" s="125">
        <f>TableSTRUECOB1[[#This Row],[Credit Points]]</f>
        <v>25</v>
      </c>
      <c r="F613">
        <v>2</v>
      </c>
      <c r="G613" t="s">
        <v>865</v>
      </c>
      <c r="H613">
        <v>2</v>
      </c>
      <c r="I613" t="s">
        <v>528</v>
      </c>
      <c r="J613" t="s">
        <v>331</v>
      </c>
      <c r="K613">
        <v>1</v>
      </c>
      <c r="L613" t="s">
        <v>726</v>
      </c>
      <c r="M613">
        <v>25</v>
      </c>
      <c r="N613" s="195">
        <v>42005</v>
      </c>
      <c r="O613" s="195"/>
      <c r="R613" t="s">
        <v>331</v>
      </c>
      <c r="S613">
        <v>1</v>
      </c>
    </row>
    <row r="614" spans="1:19" x14ac:dyDescent="0.25">
      <c r="A614" t="str">
        <f>TableSTRUECOB1[[#This Row],[Study Package Code]]</f>
        <v>HIST2000</v>
      </c>
      <c r="B614" s="5">
        <f>TableSTRUECOB1[[#This Row],[Ver]]</f>
        <v>2</v>
      </c>
      <c r="D614" t="str">
        <f>TableSTRUECOB1[[#This Row],[Structure Line]]</f>
        <v>Social Change in Contemporary Australian History</v>
      </c>
      <c r="E614" s="125">
        <f>TableSTRUECOB1[[#This Row],[Credit Points]]</f>
        <v>25</v>
      </c>
      <c r="F614">
        <v>3</v>
      </c>
      <c r="G614" t="s">
        <v>865</v>
      </c>
      <c r="H614">
        <v>2</v>
      </c>
      <c r="I614" t="s">
        <v>529</v>
      </c>
      <c r="J614" t="s">
        <v>354</v>
      </c>
      <c r="K614">
        <v>2</v>
      </c>
      <c r="L614" t="s">
        <v>730</v>
      </c>
      <c r="M614">
        <v>25</v>
      </c>
      <c r="N614" s="195">
        <v>44562</v>
      </c>
      <c r="O614" s="195"/>
      <c r="R614" t="s">
        <v>354</v>
      </c>
      <c r="S614">
        <v>2</v>
      </c>
    </row>
    <row r="615" spans="1:19" x14ac:dyDescent="0.25">
      <c r="A615" t="str">
        <f>TableSTRUECOB1[[#This Row],[Study Package Code]]</f>
        <v>AltCoreSTRUECOB1</v>
      </c>
      <c r="B615" s="5">
        <f>TableSTRUECOB1[[#This Row],[Ver]]</f>
        <v>0</v>
      </c>
      <c r="D615" t="str">
        <f>TableSTRUECOB1[[#This Row],[Structure Line]]</f>
        <v>Choose INDS2001 or INDS2004</v>
      </c>
      <c r="E615" s="125">
        <f>TableSTRUECOB1[[#This Row],[Credit Points]]</f>
        <v>25</v>
      </c>
      <c r="F615">
        <v>4</v>
      </c>
      <c r="G615" t="s">
        <v>865</v>
      </c>
      <c r="H615">
        <v>3</v>
      </c>
      <c r="I615" t="s">
        <v>528</v>
      </c>
      <c r="J615" t="s">
        <v>499</v>
      </c>
      <c r="K615">
        <v>0</v>
      </c>
      <c r="L615" t="s">
        <v>890</v>
      </c>
      <c r="M615">
        <v>25</v>
      </c>
      <c r="N615" s="195"/>
      <c r="O615" s="195"/>
      <c r="R615" t="s">
        <v>499</v>
      </c>
      <c r="S615">
        <v>0</v>
      </c>
    </row>
    <row r="616" spans="1:19" x14ac:dyDescent="0.25">
      <c r="A616" t="str">
        <f>TableSTRUECOB1[[#This Row],[Study Package Code]]</f>
        <v>OptionStream</v>
      </c>
      <c r="B616" s="5">
        <f>TableSTRUECOB1[[#This Row],[Ver]]</f>
        <v>0</v>
      </c>
      <c r="D616" t="str">
        <f>TableSTRUECOB1[[#This Row],[Structure Line]]</f>
        <v>Choose an Option</v>
      </c>
      <c r="E616" s="125">
        <f>TableSTRUECOB1[[#This Row],[Credit Points]]</f>
        <v>150</v>
      </c>
      <c r="F616">
        <v>5</v>
      </c>
      <c r="G616" t="s">
        <v>102</v>
      </c>
      <c r="H616">
        <v>3</v>
      </c>
      <c r="I616" t="s">
        <v>528</v>
      </c>
      <c r="J616" t="s">
        <v>886</v>
      </c>
      <c r="K616">
        <v>0</v>
      </c>
      <c r="L616" t="s">
        <v>867</v>
      </c>
      <c r="M616">
        <v>150</v>
      </c>
      <c r="N616" s="195"/>
      <c r="O616" s="195"/>
      <c r="R616" t="s">
        <v>886</v>
      </c>
      <c r="S616">
        <v>0</v>
      </c>
    </row>
    <row r="617" spans="1:19" x14ac:dyDescent="0.25">
      <c r="A617" t="str">
        <f>TableSTRUECOB1[[#This Row],[Study Package Code]]</f>
        <v>EDPR3003</v>
      </c>
      <c r="B617" s="5">
        <f>TableSTRUECOB1[[#This Row],[Ver]]</f>
        <v>2</v>
      </c>
      <c r="D617" t="str">
        <f>TableSTRUECOB1[[#This Row],[Structure Line]]</f>
        <v>Inquiry in the Humanities and Social Sciences Classroom</v>
      </c>
      <c r="E617" s="125">
        <f>TableSTRUECOB1[[#This Row],[Credit Points]]</f>
        <v>25</v>
      </c>
      <c r="F617">
        <v>6</v>
      </c>
      <c r="G617" t="s">
        <v>865</v>
      </c>
      <c r="H617">
        <v>3</v>
      </c>
      <c r="I617" t="s">
        <v>529</v>
      </c>
      <c r="J617" t="s">
        <v>112</v>
      </c>
      <c r="K617">
        <v>2</v>
      </c>
      <c r="L617" t="s">
        <v>645</v>
      </c>
      <c r="M617">
        <v>25</v>
      </c>
      <c r="N617" s="195">
        <v>43466</v>
      </c>
      <c r="O617" s="195"/>
      <c r="R617" t="s">
        <v>112</v>
      </c>
      <c r="S617">
        <v>2</v>
      </c>
    </row>
    <row r="618" spans="1:19" x14ac:dyDescent="0.25">
      <c r="A618" t="str">
        <f>TableSTRUECOB1[[#This Row],[Study Package Code]]</f>
        <v>INDS2001</v>
      </c>
      <c r="B618" s="5">
        <f>TableSTRUECOB1[[#This Row],[Ver]]</f>
        <v>1</v>
      </c>
      <c r="D618" t="str">
        <f>TableSTRUECOB1[[#This Row],[Structure Line]]</f>
        <v>Indigenous Australian Land and Environments</v>
      </c>
      <c r="E618" s="125">
        <f>TableSTRUECOB1[[#This Row],[Credit Points]]</f>
        <v>25</v>
      </c>
      <c r="F618">
        <v>4</v>
      </c>
      <c r="G618" t="s">
        <v>871</v>
      </c>
      <c r="H618">
        <v>3</v>
      </c>
      <c r="I618" t="s">
        <v>528</v>
      </c>
      <c r="J618" t="s">
        <v>414</v>
      </c>
      <c r="K618">
        <v>1</v>
      </c>
      <c r="L618" t="s">
        <v>750</v>
      </c>
      <c r="M618">
        <v>25</v>
      </c>
      <c r="N618" s="195">
        <v>42005</v>
      </c>
      <c r="O618" s="195"/>
      <c r="R618" t="s">
        <v>414</v>
      </c>
      <c r="S618">
        <v>1</v>
      </c>
    </row>
    <row r="619" spans="1:19" x14ac:dyDescent="0.25">
      <c r="A619" t="str">
        <f>TableSTRUECOB1[[#This Row],[Study Package Code]]</f>
        <v>INDS2004</v>
      </c>
      <c r="B619" s="5">
        <f>TableSTRUECOB1[[#This Row],[Ver]]</f>
        <v>2</v>
      </c>
      <c r="D619" t="str">
        <f>TableSTRUECOB1[[#This Row],[Structure Line]]</f>
        <v>Listening to Country: First Nations’ Perspectives</v>
      </c>
      <c r="E619" s="125">
        <f>TableSTRUECOB1[[#This Row],[Credit Points]]</f>
        <v>25</v>
      </c>
      <c r="F619">
        <v>4</v>
      </c>
      <c r="G619" t="s">
        <v>871</v>
      </c>
      <c r="H619">
        <v>3</v>
      </c>
      <c r="I619" t="s">
        <v>528</v>
      </c>
      <c r="J619" t="s">
        <v>417</v>
      </c>
      <c r="K619">
        <v>2</v>
      </c>
      <c r="L619" t="s">
        <v>751</v>
      </c>
      <c r="M619">
        <v>25</v>
      </c>
      <c r="N619" s="195">
        <v>44562</v>
      </c>
      <c r="O619" s="195"/>
      <c r="R619" t="s">
        <v>417</v>
      </c>
      <c r="S619">
        <v>2</v>
      </c>
    </row>
    <row r="620" spans="1:19" x14ac:dyDescent="0.25">
      <c r="A620" t="str">
        <f>TableSTRUECOB1[[#This Row],[Study Package Code]]</f>
        <v>CTED4000</v>
      </c>
      <c r="B620" s="5">
        <f>TableSTRUECOB1[[#This Row],[Ver]]</f>
        <v>1</v>
      </c>
      <c r="D620" t="str">
        <f>TableSTRUECOB1[[#This Row],[Structure Line]]</f>
        <v>An Introduction to Catholic Education</v>
      </c>
      <c r="E620" s="125">
        <f>TableSTRUECOB1[[#This Row],[Credit Points]]</f>
        <v>25</v>
      </c>
      <c r="F620">
        <v>5</v>
      </c>
      <c r="G620" t="s">
        <v>102</v>
      </c>
      <c r="H620">
        <v>3</v>
      </c>
      <c r="I620" t="s">
        <v>528</v>
      </c>
      <c r="J620" t="s">
        <v>171</v>
      </c>
      <c r="K620">
        <v>1</v>
      </c>
      <c r="L620" t="s">
        <v>583</v>
      </c>
      <c r="M620">
        <v>25</v>
      </c>
      <c r="N620" s="195">
        <v>42005</v>
      </c>
      <c r="O620" s="195"/>
      <c r="R620" t="s">
        <v>171</v>
      </c>
      <c r="S620">
        <v>1</v>
      </c>
    </row>
    <row r="621" spans="1:19" x14ac:dyDescent="0.25">
      <c r="A621" t="str">
        <f>TableSTRUECOB1[[#This Row],[Study Package Code]]</f>
        <v>CTED4001</v>
      </c>
      <c r="B621" s="5">
        <f>TableSTRUECOB1[[#This Row],[Ver]]</f>
        <v>1</v>
      </c>
      <c r="D621" t="str">
        <f>TableSTRUECOB1[[#This Row],[Structure Line]]</f>
        <v>Creed and Sacraments in Catholic Studies</v>
      </c>
      <c r="E621" s="125">
        <f>TableSTRUECOB1[[#This Row],[Credit Points]]</f>
        <v>25</v>
      </c>
      <c r="F621">
        <v>5</v>
      </c>
      <c r="G621" t="s">
        <v>102</v>
      </c>
      <c r="H621">
        <v>3</v>
      </c>
      <c r="I621" t="s">
        <v>528</v>
      </c>
      <c r="J621" t="s">
        <v>150</v>
      </c>
      <c r="K621">
        <v>1</v>
      </c>
      <c r="L621" t="s">
        <v>588</v>
      </c>
      <c r="M621">
        <v>25</v>
      </c>
      <c r="N621" s="195">
        <v>42005</v>
      </c>
      <c r="O621" s="195">
        <v>45291</v>
      </c>
      <c r="R621" t="s">
        <v>150</v>
      </c>
      <c r="S621">
        <v>1</v>
      </c>
    </row>
    <row r="622" spans="1:19" x14ac:dyDescent="0.25">
      <c r="A622" t="str">
        <f>TableSTRUECOB1[[#This Row],[Study Package Code]]</f>
        <v>CTED4002</v>
      </c>
      <c r="B622" s="5">
        <f>TableSTRUECOB1[[#This Row],[Ver]]</f>
        <v>2</v>
      </c>
      <c r="D622" t="str">
        <f>TableSTRUECOB1[[#This Row],[Structure Line]]</f>
        <v>Prayer and Morality in Catholic Studies</v>
      </c>
      <c r="E622" s="125">
        <f>TableSTRUECOB1[[#This Row],[Credit Points]]</f>
        <v>25</v>
      </c>
      <c r="F622">
        <v>5</v>
      </c>
      <c r="G622" t="s">
        <v>102</v>
      </c>
      <c r="H622">
        <v>3</v>
      </c>
      <c r="I622" t="s">
        <v>528</v>
      </c>
      <c r="J622" t="s">
        <v>172</v>
      </c>
      <c r="K622">
        <v>2</v>
      </c>
      <c r="L622" t="s">
        <v>591</v>
      </c>
      <c r="M622">
        <v>25</v>
      </c>
      <c r="N622" s="195">
        <v>44197</v>
      </c>
      <c r="O622" s="195"/>
      <c r="R622" t="s">
        <v>172</v>
      </c>
      <c r="S622">
        <v>2</v>
      </c>
    </row>
    <row r="623" spans="1:19" x14ac:dyDescent="0.25">
      <c r="A623" t="str">
        <f>TableSTRUECOB1[[#This Row],[Study Package Code]]</f>
        <v>CTED4006</v>
      </c>
      <c r="B623" s="5">
        <f>TableSTRUECOB1[[#This Row],[Ver]]</f>
        <v>1</v>
      </c>
      <c r="D623" t="str">
        <f>TableSTRUECOB1[[#This Row],[Structure Line]]</f>
        <v>Teaching About Jesus in Catholic Schools</v>
      </c>
      <c r="E623" s="125">
        <f>TableSTRUECOB1[[#This Row],[Credit Points]]</f>
        <v>25</v>
      </c>
      <c r="F623">
        <v>5</v>
      </c>
      <c r="G623" t="s">
        <v>102</v>
      </c>
      <c r="H623">
        <v>3</v>
      </c>
      <c r="I623" t="s">
        <v>528</v>
      </c>
      <c r="J623" t="s">
        <v>152</v>
      </c>
      <c r="K623">
        <v>1</v>
      </c>
      <c r="L623" t="s">
        <v>592</v>
      </c>
      <c r="M623">
        <v>25</v>
      </c>
      <c r="N623" s="195">
        <v>45292</v>
      </c>
      <c r="O623" s="195"/>
    </row>
    <row r="624" spans="1:19" x14ac:dyDescent="0.25">
      <c r="A624" t="str">
        <f>TableSTRUECOB1[[#This Row],[Study Package Code]]</f>
        <v>CTED4008</v>
      </c>
      <c r="B624" s="5">
        <f>TableSTRUECOB1[[#This Row],[Ver]]</f>
        <v>1</v>
      </c>
      <c r="D624" t="str">
        <f>TableSTRUECOB1[[#This Row],[Structure Line]]</f>
        <v>Teaching About the Gospels in Catholic Schools</v>
      </c>
      <c r="E624" s="125">
        <f>TableSTRUECOB1[[#This Row],[Credit Points]]</f>
        <v>25</v>
      </c>
      <c r="F624">
        <v>5</v>
      </c>
      <c r="G624" t="s">
        <v>102</v>
      </c>
      <c r="H624">
        <v>3</v>
      </c>
      <c r="I624" t="s">
        <v>528</v>
      </c>
      <c r="J624" t="s">
        <v>154</v>
      </c>
      <c r="K624">
        <v>1</v>
      </c>
      <c r="L624" t="s">
        <v>593</v>
      </c>
      <c r="M624">
        <v>25</v>
      </c>
      <c r="N624" s="195">
        <v>45292</v>
      </c>
      <c r="O624" s="195"/>
    </row>
    <row r="625" spans="1:19" x14ac:dyDescent="0.25">
      <c r="A625" t="str">
        <f>TableSTRUECOB1[[#This Row],[Study Package Code]]</f>
        <v>EDIB4000</v>
      </c>
      <c r="B625" s="5">
        <f>TableSTRUECOB1[[#This Row],[Ver]]</f>
        <v>1</v>
      </c>
      <c r="D625" t="str">
        <f>TableSTRUECOB1[[#This Row],[Structure Line]]</f>
        <v>Introduction to the International Baccalaureate Programme</v>
      </c>
      <c r="E625" s="125">
        <f>TableSTRUECOB1[[#This Row],[Credit Points]]</f>
        <v>25</v>
      </c>
      <c r="F625">
        <v>5</v>
      </c>
      <c r="G625" t="s">
        <v>102</v>
      </c>
      <c r="H625">
        <v>3</v>
      </c>
      <c r="I625" t="s">
        <v>528</v>
      </c>
      <c r="J625" t="s">
        <v>166</v>
      </c>
      <c r="K625">
        <v>1</v>
      </c>
      <c r="L625" t="s">
        <v>631</v>
      </c>
      <c r="M625">
        <v>25</v>
      </c>
      <c r="N625" s="195">
        <v>42005</v>
      </c>
      <c r="O625" s="195"/>
      <c r="R625" t="s">
        <v>166</v>
      </c>
      <c r="S625">
        <v>1</v>
      </c>
    </row>
    <row r="626" spans="1:19" x14ac:dyDescent="0.25">
      <c r="A626" t="str">
        <f>TableSTRUECOB1[[#This Row],[Study Package Code]]</f>
        <v>EDIB4002</v>
      </c>
      <c r="B626" s="5">
        <f>TableSTRUECOB1[[#This Row],[Ver]]</f>
        <v>1</v>
      </c>
      <c r="D626" t="str">
        <f>TableSTRUECOB1[[#This Row],[Structure Line]]</f>
        <v>International Baccalaureate Middle Years Programme</v>
      </c>
      <c r="E626" s="125">
        <f>TableSTRUECOB1[[#This Row],[Credit Points]]</f>
        <v>25</v>
      </c>
      <c r="F626">
        <v>5</v>
      </c>
      <c r="G626" t="s">
        <v>102</v>
      </c>
      <c r="H626">
        <v>3</v>
      </c>
      <c r="I626" t="s">
        <v>528</v>
      </c>
      <c r="J626" t="s">
        <v>170</v>
      </c>
      <c r="K626">
        <v>1</v>
      </c>
      <c r="L626" t="s">
        <v>634</v>
      </c>
      <c r="M626">
        <v>25</v>
      </c>
      <c r="N626" s="195">
        <v>42005</v>
      </c>
      <c r="O626" s="195"/>
      <c r="R626" t="s">
        <v>170</v>
      </c>
      <c r="S626">
        <v>1</v>
      </c>
    </row>
    <row r="627" spans="1:19" x14ac:dyDescent="0.25">
      <c r="A627" t="str">
        <f>TableSTRUECOB1[[#This Row],[Study Package Code]]</f>
        <v>EDIB4003</v>
      </c>
      <c r="B627" s="5">
        <f>TableSTRUECOB1[[#This Row],[Ver]]</f>
        <v>1</v>
      </c>
      <c r="D627" t="str">
        <f>TableSTRUECOB1[[#This Row],[Structure Line]]</f>
        <v>The International Baccalaureate in Action</v>
      </c>
      <c r="E627" s="125">
        <f>TableSTRUECOB1[[#This Row],[Credit Points]]</f>
        <v>25</v>
      </c>
      <c r="F627">
        <v>5</v>
      </c>
      <c r="G627" t="s">
        <v>102</v>
      </c>
      <c r="H627">
        <v>3</v>
      </c>
      <c r="I627" t="s">
        <v>528</v>
      </c>
      <c r="J627" t="s">
        <v>168</v>
      </c>
      <c r="K627">
        <v>1</v>
      </c>
      <c r="L627" t="s">
        <v>635</v>
      </c>
      <c r="M627">
        <v>25</v>
      </c>
      <c r="N627" s="195">
        <v>42005</v>
      </c>
      <c r="O627" s="195"/>
      <c r="R627" t="s">
        <v>168</v>
      </c>
      <c r="S627">
        <v>1</v>
      </c>
    </row>
    <row r="628" spans="1:19" x14ac:dyDescent="0.25">
      <c r="A628" t="str">
        <f>TableSTRUECOB1[[#This Row],[Study Package Code]]</f>
        <v>EDUC4012</v>
      </c>
      <c r="B628" s="5">
        <f>TableSTRUECOB1[[#This Row],[Ver]]</f>
        <v>2</v>
      </c>
      <c r="D628" t="str">
        <f>TableSTRUECOB1[[#This Row],[Structure Line]]</f>
        <v>Relationships and Sexuality Education</v>
      </c>
      <c r="E628" s="125">
        <f>TableSTRUECOB1[[#This Row],[Credit Points]]</f>
        <v>25</v>
      </c>
      <c r="F628">
        <v>5</v>
      </c>
      <c r="G628" t="s">
        <v>102</v>
      </c>
      <c r="H628">
        <v>3</v>
      </c>
      <c r="I628" t="s">
        <v>528</v>
      </c>
      <c r="J628" t="s">
        <v>156</v>
      </c>
      <c r="K628">
        <v>2</v>
      </c>
      <c r="L628" t="s">
        <v>697</v>
      </c>
      <c r="M628">
        <v>25</v>
      </c>
      <c r="N628" s="195">
        <v>44927</v>
      </c>
      <c r="O628" s="195"/>
      <c r="R628" t="s">
        <v>156</v>
      </c>
      <c r="S628">
        <v>2</v>
      </c>
    </row>
    <row r="629" spans="1:19" x14ac:dyDescent="0.25">
      <c r="A629" t="str">
        <f>TableSTRUECOB1[[#This Row],[Study Package Code]]</f>
        <v>EDUC4014</v>
      </c>
      <c r="B629" s="5">
        <f>TableSTRUECOB1[[#This Row],[Ver]]</f>
        <v>1</v>
      </c>
      <c r="D629" t="str">
        <f>TableSTRUECOB1[[#This Row],[Structure Line]]</f>
        <v>Diverse Abilities and Curriculum Differentiation</v>
      </c>
      <c r="E629" s="125">
        <f>TableSTRUECOB1[[#This Row],[Credit Points]]</f>
        <v>25</v>
      </c>
      <c r="F629">
        <v>5</v>
      </c>
      <c r="G629" t="s">
        <v>102</v>
      </c>
      <c r="H629">
        <v>3</v>
      </c>
      <c r="I629" t="s">
        <v>528</v>
      </c>
      <c r="J629" t="s">
        <v>158</v>
      </c>
      <c r="K629">
        <v>1</v>
      </c>
      <c r="L629" t="s">
        <v>698</v>
      </c>
      <c r="M629">
        <v>25</v>
      </c>
      <c r="N629" s="195">
        <v>42005</v>
      </c>
      <c r="O629" s="195"/>
      <c r="R629" t="s">
        <v>158</v>
      </c>
      <c r="S629">
        <v>1</v>
      </c>
    </row>
    <row r="630" spans="1:19" x14ac:dyDescent="0.25">
      <c r="A630" t="str">
        <f>TableSTRUECOB1[[#This Row],[Study Package Code]]</f>
        <v>EDUC4020</v>
      </c>
      <c r="B630" s="5">
        <f>TableSTRUECOB1[[#This Row],[Ver]]</f>
        <v>1</v>
      </c>
      <c r="D630" t="str">
        <f>TableSTRUECOB1[[#This Row],[Structure Line]]</f>
        <v>Supporting Literacy and Numeracy Development for Diverse Learners</v>
      </c>
      <c r="E630" s="125">
        <f>TableSTRUECOB1[[#This Row],[Credit Points]]</f>
        <v>25</v>
      </c>
      <c r="F630">
        <v>5</v>
      </c>
      <c r="G630" t="s">
        <v>102</v>
      </c>
      <c r="H630">
        <v>3</v>
      </c>
      <c r="I630" t="s">
        <v>528</v>
      </c>
      <c r="J630" t="s">
        <v>153</v>
      </c>
      <c r="K630">
        <v>1</v>
      </c>
      <c r="L630" t="s">
        <v>699</v>
      </c>
      <c r="M630">
        <v>25</v>
      </c>
      <c r="N630" s="195">
        <v>43282</v>
      </c>
      <c r="O630" s="195"/>
      <c r="R630" t="s">
        <v>153</v>
      </c>
      <c r="S630">
        <v>1</v>
      </c>
    </row>
    <row r="631" spans="1:19" x14ac:dyDescent="0.25">
      <c r="A631" t="str">
        <f>TableSTRUECOB1[[#This Row],[Study Package Code]]</f>
        <v>EDUC4021</v>
      </c>
      <c r="B631" s="5">
        <f>TableSTRUECOB1[[#This Row],[Ver]]</f>
        <v>1</v>
      </c>
      <c r="D631" t="str">
        <f>TableSTRUECOB1[[#This Row],[Structure Line]]</f>
        <v>Project-based iSTEM Education</v>
      </c>
      <c r="E631" s="125">
        <f>TableSTRUECOB1[[#This Row],[Credit Points]]</f>
        <v>25</v>
      </c>
      <c r="F631">
        <v>5</v>
      </c>
      <c r="G631" t="s">
        <v>102</v>
      </c>
      <c r="H631">
        <v>3</v>
      </c>
      <c r="I631" t="s">
        <v>528</v>
      </c>
      <c r="J631" t="s">
        <v>142</v>
      </c>
      <c r="K631">
        <v>1</v>
      </c>
      <c r="L631" t="s">
        <v>700</v>
      </c>
      <c r="M631">
        <v>25</v>
      </c>
      <c r="N631" s="195">
        <v>43282</v>
      </c>
      <c r="O631" s="195"/>
      <c r="R631" t="s">
        <v>142</v>
      </c>
      <c r="S631">
        <v>1</v>
      </c>
    </row>
    <row r="632" spans="1:19" x14ac:dyDescent="0.25">
      <c r="A632" t="str">
        <f>TableSTRUECOB1[[#This Row],[Study Package Code]]</f>
        <v>EDUC4022</v>
      </c>
      <c r="B632" s="5">
        <f>TableSTRUECOB1[[#This Row],[Ver]]</f>
        <v>1</v>
      </c>
      <c r="D632" t="str">
        <f>TableSTRUECOB1[[#This Row],[Structure Line]]</f>
        <v>Creative Literacies</v>
      </c>
      <c r="E632" s="125">
        <f>TableSTRUECOB1[[#This Row],[Credit Points]]</f>
        <v>25</v>
      </c>
      <c r="F632">
        <v>5</v>
      </c>
      <c r="G632" t="s">
        <v>102</v>
      </c>
      <c r="H632">
        <v>3</v>
      </c>
      <c r="I632" t="s">
        <v>528</v>
      </c>
      <c r="J632" t="s">
        <v>147</v>
      </c>
      <c r="K632">
        <v>1</v>
      </c>
      <c r="L632" t="s">
        <v>701</v>
      </c>
      <c r="M632">
        <v>25</v>
      </c>
      <c r="N632" s="195">
        <v>43282</v>
      </c>
      <c r="O632" s="195"/>
      <c r="R632" t="s">
        <v>147</v>
      </c>
      <c r="S632">
        <v>1</v>
      </c>
    </row>
    <row r="633" spans="1:19" x14ac:dyDescent="0.25">
      <c r="A633" t="str">
        <f>TableSTRUECOB1[[#This Row],[Study Package Code]]</f>
        <v>EDUC4023</v>
      </c>
      <c r="B633" s="5">
        <f>TableSTRUECOB1[[#This Row],[Ver]]</f>
        <v>1</v>
      </c>
      <c r="D633" t="str">
        <f>TableSTRUECOB1[[#This Row],[Structure Line]]</f>
        <v>Creating and Responding to Literature</v>
      </c>
      <c r="E633" s="125">
        <f>TableSTRUECOB1[[#This Row],[Credit Points]]</f>
        <v>25</v>
      </c>
      <c r="F633">
        <v>5</v>
      </c>
      <c r="G633" t="s">
        <v>102</v>
      </c>
      <c r="H633">
        <v>3</v>
      </c>
      <c r="I633" t="s">
        <v>528</v>
      </c>
      <c r="J633" t="s">
        <v>148</v>
      </c>
      <c r="K633">
        <v>1</v>
      </c>
      <c r="L633" t="s">
        <v>702</v>
      </c>
      <c r="M633">
        <v>25</v>
      </c>
      <c r="N633" s="195">
        <v>43282</v>
      </c>
      <c r="O633" s="195"/>
      <c r="R633" t="s">
        <v>148</v>
      </c>
      <c r="S633">
        <v>1</v>
      </c>
    </row>
    <row r="634" spans="1:19" x14ac:dyDescent="0.25">
      <c r="A634" t="str">
        <f>TableSTRUECOB1[[#This Row],[Study Package Code]]</f>
        <v>EDUC4029</v>
      </c>
      <c r="B634" s="5">
        <f>TableSTRUECOB1[[#This Row],[Ver]]</f>
        <v>1</v>
      </c>
      <c r="D634" t="str">
        <f>TableSTRUECOB1[[#This Row],[Structure Line]]</f>
        <v>Technologies: Coding for Teachers</v>
      </c>
      <c r="E634" s="125">
        <f>TableSTRUECOB1[[#This Row],[Credit Points]]</f>
        <v>25</v>
      </c>
      <c r="F634">
        <v>5</v>
      </c>
      <c r="G634" t="s">
        <v>102</v>
      </c>
      <c r="H634">
        <v>3</v>
      </c>
      <c r="I634" t="s">
        <v>528</v>
      </c>
      <c r="J634" t="s">
        <v>160</v>
      </c>
      <c r="K634">
        <v>1</v>
      </c>
      <c r="L634" t="s">
        <v>703</v>
      </c>
      <c r="M634">
        <v>25</v>
      </c>
      <c r="N634" s="195">
        <v>43282</v>
      </c>
      <c r="O634" s="195"/>
      <c r="R634" t="s">
        <v>160</v>
      </c>
      <c r="S634">
        <v>1</v>
      </c>
    </row>
    <row r="635" spans="1:19" x14ac:dyDescent="0.25">
      <c r="A635" t="str">
        <f>TableSTRUECOB1[[#This Row],[Study Package Code]]</f>
        <v>EDUC4031</v>
      </c>
      <c r="B635" s="5">
        <f>TableSTRUECOB1[[#This Row],[Ver]]</f>
        <v>1</v>
      </c>
      <c r="D635" t="str">
        <f>TableSTRUECOB1[[#This Row],[Structure Line]]</f>
        <v>Social Justice in Literacy and Numeracy Learning</v>
      </c>
      <c r="E635" s="125">
        <f>TableSTRUECOB1[[#This Row],[Credit Points]]</f>
        <v>25</v>
      </c>
      <c r="F635">
        <v>5</v>
      </c>
      <c r="G635" t="s">
        <v>102</v>
      </c>
      <c r="H635">
        <v>3</v>
      </c>
      <c r="I635" t="s">
        <v>528</v>
      </c>
      <c r="J635" t="s">
        <v>169</v>
      </c>
      <c r="K635">
        <v>1</v>
      </c>
      <c r="L635" t="s">
        <v>705</v>
      </c>
      <c r="M635">
        <v>25</v>
      </c>
      <c r="N635" s="195">
        <v>43282</v>
      </c>
      <c r="O635" s="195">
        <v>44750</v>
      </c>
      <c r="R635" t="s">
        <v>169</v>
      </c>
      <c r="S635">
        <v>1</v>
      </c>
    </row>
    <row r="636" spans="1:19" x14ac:dyDescent="0.25">
      <c r="A636" t="str">
        <f>TableSTRUECOB1[[#This Row],[Study Package Code]]</f>
        <v>EDUC4032</v>
      </c>
      <c r="B636" s="5">
        <f>TableSTRUECOB1[[#This Row],[Ver]]</f>
        <v>1</v>
      </c>
      <c r="D636" t="str">
        <f>TableSTRUECOB1[[#This Row],[Structure Line]]</f>
        <v>iSTEM Education through Digital Stories</v>
      </c>
      <c r="E636" s="125">
        <f>TableSTRUECOB1[[#This Row],[Credit Points]]</f>
        <v>25</v>
      </c>
      <c r="F636">
        <v>5</v>
      </c>
      <c r="G636" t="s">
        <v>102</v>
      </c>
      <c r="H636">
        <v>3</v>
      </c>
      <c r="I636" t="s">
        <v>528</v>
      </c>
      <c r="J636" t="s">
        <v>143</v>
      </c>
      <c r="K636">
        <v>1</v>
      </c>
      <c r="L636" t="s">
        <v>707</v>
      </c>
      <c r="M636">
        <v>25</v>
      </c>
      <c r="N636" s="195">
        <v>43466</v>
      </c>
      <c r="O636" s="195"/>
      <c r="R636" t="s">
        <v>143</v>
      </c>
      <c r="S636">
        <v>1</v>
      </c>
    </row>
    <row r="637" spans="1:19" x14ac:dyDescent="0.25">
      <c r="A637" t="str">
        <f>TableSTRUECOB1[[#This Row],[Study Package Code]]</f>
        <v>EDUC4034</v>
      </c>
      <c r="B637" s="5">
        <f>TableSTRUECOB1[[#This Row],[Ver]]</f>
        <v>1</v>
      </c>
      <c r="D637" t="str">
        <f>TableSTRUECOB1[[#This Row],[Structure Line]]</f>
        <v>iSTEM: Social Issues</v>
      </c>
      <c r="E637" s="125">
        <f>TableSTRUECOB1[[#This Row],[Credit Points]]</f>
        <v>25</v>
      </c>
      <c r="F637">
        <v>5</v>
      </c>
      <c r="G637" t="s">
        <v>102</v>
      </c>
      <c r="H637">
        <v>3</v>
      </c>
      <c r="I637" t="s">
        <v>528</v>
      </c>
      <c r="J637" t="s">
        <v>144</v>
      </c>
      <c r="K637" s="196">
        <v>1</v>
      </c>
      <c r="L637" s="196" t="s">
        <v>708</v>
      </c>
      <c r="M637" s="196">
        <v>25</v>
      </c>
      <c r="N637" s="195">
        <v>43466</v>
      </c>
      <c r="O637" s="195"/>
      <c r="R637" t="s">
        <v>144</v>
      </c>
      <c r="S637">
        <v>1</v>
      </c>
    </row>
    <row r="638" spans="1:19" x14ac:dyDescent="0.25">
      <c r="A638" t="str">
        <f>TableSTRUECOB1[[#This Row],[Study Package Code]]</f>
        <v>EDUC4036</v>
      </c>
      <c r="B638" s="5">
        <f>TableSTRUECOB1[[#This Row],[Ver]]</f>
        <v>1</v>
      </c>
      <c r="D638" t="str">
        <f>TableSTRUECOB1[[#This Row],[Structure Line]]</f>
        <v>Language and Diversity</v>
      </c>
      <c r="E638" s="125">
        <f>TableSTRUECOB1[[#This Row],[Credit Points]]</f>
        <v>25</v>
      </c>
      <c r="F638">
        <v>5</v>
      </c>
      <c r="G638" t="s">
        <v>102</v>
      </c>
      <c r="H638">
        <v>3</v>
      </c>
      <c r="I638" t="s">
        <v>528</v>
      </c>
      <c r="J638" t="s">
        <v>149</v>
      </c>
      <c r="K638">
        <v>1</v>
      </c>
      <c r="L638" t="s">
        <v>709</v>
      </c>
      <c r="M638">
        <v>25</v>
      </c>
      <c r="N638" s="195">
        <v>43466</v>
      </c>
      <c r="O638" s="195"/>
      <c r="R638" t="s">
        <v>149</v>
      </c>
      <c r="S638">
        <v>1</v>
      </c>
    </row>
    <row r="639" spans="1:19" x14ac:dyDescent="0.25">
      <c r="A639" t="str">
        <f>TableSTRUECOB1[[#This Row],[Study Package Code]]</f>
        <v>EDUC4038</v>
      </c>
      <c r="B639" s="5">
        <f>TableSTRUECOB1[[#This Row],[Ver]]</f>
        <v>1</v>
      </c>
      <c r="D639" t="str">
        <f>TableSTRUECOB1[[#This Row],[Structure Line]]</f>
        <v>Technologies: Design Solutions</v>
      </c>
      <c r="E639" s="125">
        <f>TableSTRUECOB1[[#This Row],[Credit Points]]</f>
        <v>25</v>
      </c>
      <c r="F639">
        <v>5</v>
      </c>
      <c r="G639" t="s">
        <v>102</v>
      </c>
      <c r="H639">
        <v>3</v>
      </c>
      <c r="I639" t="s">
        <v>528</v>
      </c>
      <c r="J639" t="s">
        <v>161</v>
      </c>
      <c r="K639">
        <v>1</v>
      </c>
      <c r="L639" t="s">
        <v>710</v>
      </c>
      <c r="M639">
        <v>25</v>
      </c>
      <c r="N639" s="195">
        <v>43466</v>
      </c>
      <c r="O639" s="195"/>
      <c r="R639" t="s">
        <v>161</v>
      </c>
      <c r="S639">
        <v>1</v>
      </c>
    </row>
    <row r="640" spans="1:19" x14ac:dyDescent="0.25">
      <c r="A640" t="str">
        <f>TableSTRUECOB1[[#This Row],[Study Package Code]]</f>
        <v>EDUC4042</v>
      </c>
      <c r="B640" s="5">
        <f>TableSTRUECOB1[[#This Row],[Ver]]</f>
        <v>1</v>
      </c>
      <c r="D640" t="str">
        <f>TableSTRUECOB1[[#This Row],[Structure Line]]</f>
        <v>Alternative Approaches to Teaching Literacy and Numeracy</v>
      </c>
      <c r="E640" s="125">
        <f>TableSTRUECOB1[[#This Row],[Credit Points]]</f>
        <v>25</v>
      </c>
      <c r="F640">
        <v>5</v>
      </c>
      <c r="G640" t="s">
        <v>102</v>
      </c>
      <c r="H640">
        <v>3</v>
      </c>
      <c r="I640" t="s">
        <v>528</v>
      </c>
      <c r="J640" t="s">
        <v>155</v>
      </c>
      <c r="K640">
        <v>1</v>
      </c>
      <c r="L640" t="s">
        <v>713</v>
      </c>
      <c r="M640">
        <v>25</v>
      </c>
      <c r="N640" s="195">
        <v>43466</v>
      </c>
      <c r="O640" s="195"/>
      <c r="R640" t="s">
        <v>155</v>
      </c>
      <c r="S640">
        <v>1</v>
      </c>
    </row>
    <row r="641" spans="1:19" x14ac:dyDescent="0.25">
      <c r="A641" t="str">
        <f>TableSTRUECOB1[[#This Row],[Study Package Code]]</f>
        <v>EDUC4044</v>
      </c>
      <c r="B641" s="5">
        <f>TableSTRUECOB1[[#This Row],[Ver]]</f>
        <v>1</v>
      </c>
      <c r="D641" t="str">
        <f>TableSTRUECOB1[[#This Row],[Structure Line]]</f>
        <v>Literacy and Numeracy for Aboriginal and Torres Strait Islander (ATSI) Learners</v>
      </c>
      <c r="E641" s="125">
        <f>TableSTRUECOB1[[#This Row],[Credit Points]]</f>
        <v>25</v>
      </c>
      <c r="F641">
        <v>5</v>
      </c>
      <c r="G641" t="s">
        <v>102</v>
      </c>
      <c r="H641">
        <v>3</v>
      </c>
      <c r="I641" t="s">
        <v>528</v>
      </c>
      <c r="J641" t="s">
        <v>157</v>
      </c>
      <c r="K641">
        <v>1</v>
      </c>
      <c r="L641" t="s">
        <v>887</v>
      </c>
      <c r="M641">
        <v>25</v>
      </c>
      <c r="N641" s="195">
        <v>43466</v>
      </c>
      <c r="O641" s="195">
        <v>44926</v>
      </c>
      <c r="R641" t="s">
        <v>157</v>
      </c>
      <c r="S641">
        <v>1</v>
      </c>
    </row>
    <row r="642" spans="1:19" x14ac:dyDescent="0.25">
      <c r="A642" t="str">
        <f>TableSTRUECOB1[[#This Row],[Study Package Code]]</f>
        <v>EDUC4046</v>
      </c>
      <c r="B642" s="5">
        <f>TableSTRUECOB1[[#This Row],[Ver]]</f>
        <v>1</v>
      </c>
      <c r="D642" t="str">
        <f>TableSTRUECOB1[[#This Row],[Structure Line]]</f>
        <v>Technologies: Digital Solutions</v>
      </c>
      <c r="E642" s="125">
        <f>TableSTRUECOB1[[#This Row],[Credit Points]]</f>
        <v>25</v>
      </c>
      <c r="F642">
        <v>5</v>
      </c>
      <c r="G642" t="s">
        <v>102</v>
      </c>
      <c r="H642">
        <v>3</v>
      </c>
      <c r="I642" t="s">
        <v>528</v>
      </c>
      <c r="J642" t="s">
        <v>162</v>
      </c>
      <c r="K642">
        <v>1</v>
      </c>
      <c r="L642" t="s">
        <v>715</v>
      </c>
      <c r="M642">
        <v>25</v>
      </c>
      <c r="N642" s="195">
        <v>43466</v>
      </c>
      <c r="O642" s="195"/>
      <c r="R642" t="s">
        <v>162</v>
      </c>
      <c r="S642">
        <v>1</v>
      </c>
    </row>
    <row r="643" spans="1:19" x14ac:dyDescent="0.25">
      <c r="A643" t="str">
        <f>TableSTRUECOB1[[#This Row],[Study Package Code]]</f>
        <v>EDUC4048</v>
      </c>
      <c r="B643" s="5">
        <f>TableSTRUECOB1[[#This Row],[Ver]]</f>
        <v>1</v>
      </c>
      <c r="D643" t="str">
        <f>TableSTRUECOB1[[#This Row],[Structure Line]]</f>
        <v>Mentoring, Coaching and Tutoring</v>
      </c>
      <c r="E643" s="125">
        <f>TableSTRUECOB1[[#This Row],[Credit Points]]</f>
        <v>25</v>
      </c>
      <c r="F643">
        <v>5</v>
      </c>
      <c r="G643" t="s">
        <v>102</v>
      </c>
      <c r="H643">
        <v>3</v>
      </c>
      <c r="I643" t="s">
        <v>528</v>
      </c>
      <c r="J643" t="s">
        <v>117</v>
      </c>
      <c r="K643">
        <v>1</v>
      </c>
      <c r="L643" t="s">
        <v>716</v>
      </c>
      <c r="M643">
        <v>25</v>
      </c>
      <c r="N643" s="195">
        <v>43466</v>
      </c>
      <c r="O643" s="195"/>
      <c r="R643" t="s">
        <v>117</v>
      </c>
      <c r="S643">
        <v>1</v>
      </c>
    </row>
    <row r="644" spans="1:19" x14ac:dyDescent="0.25">
      <c r="A644" s="122"/>
      <c r="B644" s="124"/>
      <c r="C644" s="122"/>
      <c r="D644" s="122"/>
      <c r="G644" s="123" t="s">
        <v>855</v>
      </c>
      <c r="H644" s="199">
        <v>43101</v>
      </c>
      <c r="J644" s="197" t="s">
        <v>195</v>
      </c>
      <c r="K644" s="124" t="s">
        <v>67</v>
      </c>
      <c r="L644" s="122" t="s">
        <v>248</v>
      </c>
      <c r="M644" s="122"/>
    </row>
    <row r="645" spans="1:19" ht="31.5" x14ac:dyDescent="0.25">
      <c r="A645" s="159" t="s">
        <v>0</v>
      </c>
      <c r="B645" s="160" t="s">
        <v>60</v>
      </c>
      <c r="C645" s="159" t="s">
        <v>856</v>
      </c>
      <c r="D645" s="159" t="s">
        <v>3</v>
      </c>
      <c r="E645" s="161" t="s">
        <v>857</v>
      </c>
      <c r="F645" s="159" t="s">
        <v>858</v>
      </c>
      <c r="G645" s="159" t="s">
        <v>859</v>
      </c>
      <c r="H645" s="159" t="s">
        <v>860</v>
      </c>
      <c r="I645" s="159" t="s">
        <v>17</v>
      </c>
      <c r="J645" s="159" t="s">
        <v>861</v>
      </c>
      <c r="K645" s="159" t="s">
        <v>1</v>
      </c>
      <c r="L645" s="159" t="s">
        <v>44</v>
      </c>
      <c r="M645" s="159" t="s">
        <v>61</v>
      </c>
      <c r="N645" s="159" t="s">
        <v>862</v>
      </c>
      <c r="O645" s="159" t="s">
        <v>863</v>
      </c>
      <c r="R645" t="s">
        <v>538</v>
      </c>
      <c r="S645" t="s">
        <v>864</v>
      </c>
    </row>
    <row r="646" spans="1:19" x14ac:dyDescent="0.25">
      <c r="A646" t="str">
        <f>TableSTRUEDART[[#This Row],[Study Package Code]]</f>
        <v>EDUC1029</v>
      </c>
      <c r="B646" s="5">
        <f>TableSTRUEDART[[#This Row],[Ver]]</f>
        <v>1</v>
      </c>
      <c r="D646" t="str">
        <f>TableSTRUEDART[[#This Row],[Structure Line]]</f>
        <v>Performing Arts for Educators</v>
      </c>
      <c r="E646" s="125">
        <f>TableSTRUEDART[[#This Row],[Credit Points]]</f>
        <v>25</v>
      </c>
      <c r="F646">
        <v>1</v>
      </c>
      <c r="G646" t="s">
        <v>865</v>
      </c>
      <c r="H646">
        <v>1</v>
      </c>
      <c r="I646" t="s">
        <v>529</v>
      </c>
      <c r="J646" t="s">
        <v>55</v>
      </c>
      <c r="K646">
        <v>1</v>
      </c>
      <c r="L646" t="s">
        <v>689</v>
      </c>
      <c r="M646">
        <v>25</v>
      </c>
      <c r="N646" s="195">
        <v>43466</v>
      </c>
      <c r="O646" s="195"/>
      <c r="R646" t="s">
        <v>55</v>
      </c>
      <c r="S646">
        <v>1</v>
      </c>
    </row>
    <row r="647" spans="1:19" x14ac:dyDescent="0.25">
      <c r="A647" t="str">
        <f>TableSTRUEDART[[#This Row],[Study Package Code]]</f>
        <v>OptionStream</v>
      </c>
      <c r="B647" s="5">
        <f>TableSTRUEDART[[#This Row],[Ver]]</f>
        <v>0</v>
      </c>
      <c r="D647" t="str">
        <f>TableSTRUEDART[[#This Row],[Structure Line]]</f>
        <v>Choose Options</v>
      </c>
      <c r="E647" s="125">
        <f>TableSTRUEDART[[#This Row],[Credit Points]]</f>
        <v>25</v>
      </c>
      <c r="F647">
        <v>2</v>
      </c>
      <c r="G647" t="s">
        <v>102</v>
      </c>
      <c r="H647">
        <v>2</v>
      </c>
      <c r="I647" t="s">
        <v>528</v>
      </c>
      <c r="J647" t="s">
        <v>886</v>
      </c>
      <c r="K647">
        <v>0</v>
      </c>
      <c r="L647" t="s">
        <v>891</v>
      </c>
      <c r="M647">
        <v>25</v>
      </c>
      <c r="N647" s="195"/>
      <c r="O647" s="195"/>
      <c r="R647" t="s">
        <v>886</v>
      </c>
      <c r="S647">
        <v>0</v>
      </c>
    </row>
    <row r="648" spans="1:19" x14ac:dyDescent="0.25">
      <c r="A648" t="str">
        <f>TableSTRUEDART[[#This Row],[Study Package Code]]</f>
        <v>OptionStream</v>
      </c>
      <c r="B648" s="5">
        <f>TableSTRUEDART[[#This Row],[Ver]]</f>
        <v>0</v>
      </c>
      <c r="D648" t="str">
        <f>TableSTRUEDART[[#This Row],[Structure Line]]</f>
        <v>Choose Options</v>
      </c>
      <c r="E648" s="125">
        <f>TableSTRUEDART[[#This Row],[Credit Points]]</f>
        <v>25</v>
      </c>
      <c r="F648">
        <v>3</v>
      </c>
      <c r="G648" t="s">
        <v>102</v>
      </c>
      <c r="H648">
        <v>2</v>
      </c>
      <c r="I648" t="s">
        <v>529</v>
      </c>
      <c r="J648" t="s">
        <v>886</v>
      </c>
      <c r="K648">
        <v>0</v>
      </c>
      <c r="L648" t="s">
        <v>891</v>
      </c>
      <c r="M648">
        <v>25</v>
      </c>
      <c r="N648" s="195"/>
      <c r="O648" s="195"/>
      <c r="R648" t="s">
        <v>886</v>
      </c>
      <c r="S648">
        <v>0</v>
      </c>
    </row>
    <row r="649" spans="1:19" x14ac:dyDescent="0.25">
      <c r="A649" t="str">
        <f>TableSTRUEDART[[#This Row],[Study Package Code]]</f>
        <v>EDPR3014</v>
      </c>
      <c r="B649" s="5">
        <f>TableSTRUEDART[[#This Row],[Ver]]</f>
        <v>1</v>
      </c>
      <c r="D649" t="str">
        <f>TableSTRUEDART[[#This Row],[Structure Line]]</f>
        <v>Visual and Media Arts Education</v>
      </c>
      <c r="E649" s="125">
        <f>TableSTRUEDART[[#This Row],[Credit Points]]</f>
        <v>25</v>
      </c>
      <c r="F649">
        <v>4</v>
      </c>
      <c r="G649" t="s">
        <v>865</v>
      </c>
      <c r="H649">
        <v>3</v>
      </c>
      <c r="I649" t="s">
        <v>528</v>
      </c>
      <c r="J649" t="s">
        <v>119</v>
      </c>
      <c r="K649">
        <v>1</v>
      </c>
      <c r="L649" t="s">
        <v>652</v>
      </c>
      <c r="M649">
        <v>25</v>
      </c>
      <c r="N649" s="195">
        <v>43466</v>
      </c>
      <c r="O649" s="195"/>
      <c r="R649" t="s">
        <v>119</v>
      </c>
      <c r="S649">
        <v>1</v>
      </c>
    </row>
    <row r="650" spans="1:19" x14ac:dyDescent="0.25">
      <c r="A650" t="str">
        <f>TableSTRUEDART[[#This Row],[Study Package Code]]</f>
        <v>OptionStream</v>
      </c>
      <c r="B650" s="5">
        <f>TableSTRUEDART[[#This Row],[Ver]]</f>
        <v>0</v>
      </c>
      <c r="D650" t="str">
        <f>TableSTRUEDART[[#This Row],[Structure Line]]</f>
        <v>Choose Options</v>
      </c>
      <c r="E650" s="125">
        <f>TableSTRUEDART[[#This Row],[Credit Points]]</f>
        <v>25</v>
      </c>
      <c r="F650">
        <v>5</v>
      </c>
      <c r="G650" t="s">
        <v>102</v>
      </c>
      <c r="H650">
        <v>3</v>
      </c>
      <c r="I650" t="s">
        <v>528</v>
      </c>
      <c r="J650" t="s">
        <v>886</v>
      </c>
      <c r="K650">
        <v>0</v>
      </c>
      <c r="L650" t="s">
        <v>891</v>
      </c>
      <c r="M650">
        <v>25</v>
      </c>
      <c r="N650" s="195"/>
      <c r="O650" s="195"/>
      <c r="R650" t="s">
        <v>886</v>
      </c>
      <c r="S650">
        <v>0</v>
      </c>
    </row>
    <row r="651" spans="1:19" x14ac:dyDescent="0.25">
      <c r="A651" t="str">
        <f>TableSTRUEDART[[#This Row],[Study Package Code]]</f>
        <v>OptionStream</v>
      </c>
      <c r="B651" s="5">
        <f>TableSTRUEDART[[#This Row],[Ver]]</f>
        <v>0</v>
      </c>
      <c r="D651" t="str">
        <f>TableSTRUEDART[[#This Row],[Structure Line]]</f>
        <v>Choose Options</v>
      </c>
      <c r="E651" s="125">
        <f>TableSTRUEDART[[#This Row],[Credit Points]]</f>
        <v>25</v>
      </c>
      <c r="F651">
        <v>6</v>
      </c>
      <c r="G651" t="s">
        <v>102</v>
      </c>
      <c r="H651">
        <v>3</v>
      </c>
      <c r="I651" t="s">
        <v>529</v>
      </c>
      <c r="J651" t="s">
        <v>886</v>
      </c>
      <c r="K651">
        <v>0</v>
      </c>
      <c r="L651" t="s">
        <v>891</v>
      </c>
      <c r="M651">
        <v>25</v>
      </c>
      <c r="N651" s="195"/>
      <c r="O651" s="195"/>
      <c r="R651" t="s">
        <v>886</v>
      </c>
      <c r="S651">
        <v>0</v>
      </c>
    </row>
    <row r="652" spans="1:19" x14ac:dyDescent="0.25">
      <c r="A652" t="str">
        <f>TableSTRUEDART[[#This Row],[Study Package Code]]</f>
        <v>CTED4000</v>
      </c>
      <c r="B652" s="5">
        <f>TableSTRUEDART[[#This Row],[Ver]]</f>
        <v>1</v>
      </c>
      <c r="D652" t="str">
        <f>TableSTRUEDART[[#This Row],[Structure Line]]</f>
        <v>An Introduction to Catholic Education</v>
      </c>
      <c r="E652" s="125">
        <f>TableSTRUEDART[[#This Row],[Credit Points]]</f>
        <v>25</v>
      </c>
      <c r="G652" t="s">
        <v>102</v>
      </c>
      <c r="J652" t="s">
        <v>171</v>
      </c>
      <c r="K652">
        <v>1</v>
      </c>
      <c r="L652" t="s">
        <v>583</v>
      </c>
      <c r="M652">
        <v>25</v>
      </c>
      <c r="N652" s="195">
        <v>42005</v>
      </c>
      <c r="O652" s="195"/>
      <c r="R652" t="s">
        <v>171</v>
      </c>
      <c r="S652">
        <v>1</v>
      </c>
    </row>
    <row r="653" spans="1:19" x14ac:dyDescent="0.25">
      <c r="A653" t="str">
        <f>TableSTRUEDART[[#This Row],[Study Package Code]]</f>
        <v>CTED4001</v>
      </c>
      <c r="B653" s="5">
        <f>TableSTRUEDART[[#This Row],[Ver]]</f>
        <v>1</v>
      </c>
      <c r="D653" t="str">
        <f>TableSTRUEDART[[#This Row],[Structure Line]]</f>
        <v>Creed and Sacraments in Catholic Studies</v>
      </c>
      <c r="E653" s="125">
        <f>TableSTRUEDART[[#This Row],[Credit Points]]</f>
        <v>25</v>
      </c>
      <c r="G653" t="s">
        <v>102</v>
      </c>
      <c r="J653" t="s">
        <v>150</v>
      </c>
      <c r="K653">
        <v>1</v>
      </c>
      <c r="L653" t="s">
        <v>588</v>
      </c>
      <c r="M653">
        <v>25</v>
      </c>
      <c r="N653" s="195">
        <v>42005</v>
      </c>
      <c r="O653" s="195">
        <v>45291</v>
      </c>
      <c r="R653" t="s">
        <v>150</v>
      </c>
      <c r="S653">
        <v>1</v>
      </c>
    </row>
    <row r="654" spans="1:19" x14ac:dyDescent="0.25">
      <c r="A654" t="str">
        <f>TableSTRUEDART[[#This Row],[Study Package Code]]</f>
        <v>CTED4002</v>
      </c>
      <c r="B654" s="5">
        <f>TableSTRUEDART[[#This Row],[Ver]]</f>
        <v>2</v>
      </c>
      <c r="D654" t="str">
        <f>TableSTRUEDART[[#This Row],[Structure Line]]</f>
        <v>Prayer and Morality in Catholic Studies</v>
      </c>
      <c r="E654" s="125">
        <f>TableSTRUEDART[[#This Row],[Credit Points]]</f>
        <v>25</v>
      </c>
      <c r="G654" t="s">
        <v>102</v>
      </c>
      <c r="J654" t="s">
        <v>172</v>
      </c>
      <c r="K654">
        <v>2</v>
      </c>
      <c r="L654" t="s">
        <v>591</v>
      </c>
      <c r="M654">
        <v>25</v>
      </c>
      <c r="N654" s="195">
        <v>44197</v>
      </c>
      <c r="O654" s="195"/>
      <c r="R654" t="s">
        <v>172</v>
      </c>
      <c r="S654">
        <v>2</v>
      </c>
    </row>
    <row r="655" spans="1:19" x14ac:dyDescent="0.25">
      <c r="A655" t="str">
        <f>TableSTRUEDART[[#This Row],[Study Package Code]]</f>
        <v>CTED4006</v>
      </c>
      <c r="B655" s="5">
        <f>TableSTRUEDART[[#This Row],[Ver]]</f>
        <v>1</v>
      </c>
      <c r="D655" t="str">
        <f>TableSTRUEDART[[#This Row],[Structure Line]]</f>
        <v>Teaching About Jesus in Catholic Schools</v>
      </c>
      <c r="E655" s="125">
        <f>TableSTRUEDART[[#This Row],[Credit Points]]</f>
        <v>25</v>
      </c>
      <c r="G655" t="s">
        <v>102</v>
      </c>
      <c r="J655" t="s">
        <v>152</v>
      </c>
      <c r="K655">
        <v>1</v>
      </c>
      <c r="L655" t="s">
        <v>592</v>
      </c>
      <c r="M655">
        <v>25</v>
      </c>
      <c r="N655" s="195">
        <v>45292</v>
      </c>
      <c r="O655" s="195"/>
    </row>
    <row r="656" spans="1:19" x14ac:dyDescent="0.25">
      <c r="A656" t="str">
        <f>TableSTRUEDART[[#This Row],[Study Package Code]]</f>
        <v>CTED4008</v>
      </c>
      <c r="B656" s="5">
        <f>TableSTRUEDART[[#This Row],[Ver]]</f>
        <v>1</v>
      </c>
      <c r="D656" t="str">
        <f>TableSTRUEDART[[#This Row],[Structure Line]]</f>
        <v>Teaching About the Gospels in Catholic Schools</v>
      </c>
      <c r="E656" s="125">
        <f>TableSTRUEDART[[#This Row],[Credit Points]]</f>
        <v>25</v>
      </c>
      <c r="G656" t="s">
        <v>102</v>
      </c>
      <c r="J656" t="s">
        <v>154</v>
      </c>
      <c r="K656">
        <v>1</v>
      </c>
      <c r="L656" t="s">
        <v>593</v>
      </c>
      <c r="M656">
        <v>25</v>
      </c>
      <c r="N656" s="195">
        <v>45292</v>
      </c>
      <c r="O656" s="195"/>
    </row>
    <row r="657" spans="1:19" x14ac:dyDescent="0.25">
      <c r="A657" t="str">
        <f>TableSTRUEDART[[#This Row],[Study Package Code]]</f>
        <v>EDIB4000</v>
      </c>
      <c r="B657" s="5">
        <f>TableSTRUEDART[[#This Row],[Ver]]</f>
        <v>1</v>
      </c>
      <c r="D657" t="str">
        <f>TableSTRUEDART[[#This Row],[Structure Line]]</f>
        <v>Introduction to the International Baccalaureate Programme</v>
      </c>
      <c r="E657" s="125">
        <f>TableSTRUEDART[[#This Row],[Credit Points]]</f>
        <v>25</v>
      </c>
      <c r="G657" t="s">
        <v>102</v>
      </c>
      <c r="J657" t="s">
        <v>166</v>
      </c>
      <c r="K657">
        <v>1</v>
      </c>
      <c r="L657" t="s">
        <v>631</v>
      </c>
      <c r="M657">
        <v>25</v>
      </c>
      <c r="N657" s="195">
        <v>42005</v>
      </c>
      <c r="O657" s="195"/>
      <c r="R657" t="s">
        <v>166</v>
      </c>
      <c r="S657">
        <v>1</v>
      </c>
    </row>
    <row r="658" spans="1:19" x14ac:dyDescent="0.25">
      <c r="A658" t="str">
        <f>TableSTRUEDART[[#This Row],[Study Package Code]]</f>
        <v>EDIB4002</v>
      </c>
      <c r="B658" s="5">
        <f>TableSTRUEDART[[#This Row],[Ver]]</f>
        <v>1</v>
      </c>
      <c r="D658" t="str">
        <f>TableSTRUEDART[[#This Row],[Structure Line]]</f>
        <v>International Baccalaureate Middle Years Programme</v>
      </c>
      <c r="E658" s="125">
        <f>TableSTRUEDART[[#This Row],[Credit Points]]</f>
        <v>25</v>
      </c>
      <c r="G658" t="s">
        <v>102</v>
      </c>
      <c r="J658" t="s">
        <v>170</v>
      </c>
      <c r="K658">
        <v>1</v>
      </c>
      <c r="L658" t="s">
        <v>634</v>
      </c>
      <c r="M658">
        <v>25</v>
      </c>
      <c r="N658" s="195">
        <v>42005</v>
      </c>
      <c r="O658" s="195"/>
      <c r="R658" t="s">
        <v>170</v>
      </c>
      <c r="S658">
        <v>1</v>
      </c>
    </row>
    <row r="659" spans="1:19" x14ac:dyDescent="0.25">
      <c r="A659" t="str">
        <f>TableSTRUEDART[[#This Row],[Study Package Code]]</f>
        <v>EDIB4003</v>
      </c>
      <c r="B659" s="5">
        <f>TableSTRUEDART[[#This Row],[Ver]]</f>
        <v>1</v>
      </c>
      <c r="D659" t="str">
        <f>TableSTRUEDART[[#This Row],[Structure Line]]</f>
        <v>The International Baccalaureate in Action</v>
      </c>
      <c r="E659" s="125">
        <f>TableSTRUEDART[[#This Row],[Credit Points]]</f>
        <v>25</v>
      </c>
      <c r="G659" t="s">
        <v>102</v>
      </c>
      <c r="J659" t="s">
        <v>168</v>
      </c>
      <c r="K659">
        <v>1</v>
      </c>
      <c r="L659" t="s">
        <v>635</v>
      </c>
      <c r="M659">
        <v>25</v>
      </c>
      <c r="N659" s="195">
        <v>42005</v>
      </c>
      <c r="O659" s="195"/>
      <c r="R659" t="s">
        <v>168</v>
      </c>
      <c r="S659">
        <v>1</v>
      </c>
    </row>
    <row r="660" spans="1:19" x14ac:dyDescent="0.25">
      <c r="A660" t="str">
        <f>TableSTRUEDART[[#This Row],[Study Package Code]]</f>
        <v>EDUC4012</v>
      </c>
      <c r="B660" s="5">
        <f>TableSTRUEDART[[#This Row],[Ver]]</f>
        <v>2</v>
      </c>
      <c r="D660" t="str">
        <f>TableSTRUEDART[[#This Row],[Structure Line]]</f>
        <v>Relationships and Sexuality Education</v>
      </c>
      <c r="E660" s="125">
        <f>TableSTRUEDART[[#This Row],[Credit Points]]</f>
        <v>25</v>
      </c>
      <c r="G660" t="s">
        <v>102</v>
      </c>
      <c r="J660" t="s">
        <v>156</v>
      </c>
      <c r="K660">
        <v>2</v>
      </c>
      <c r="L660" t="s">
        <v>697</v>
      </c>
      <c r="M660">
        <v>25</v>
      </c>
      <c r="N660" s="195">
        <v>44927</v>
      </c>
      <c r="O660" s="195"/>
      <c r="R660" t="s">
        <v>156</v>
      </c>
      <c r="S660">
        <v>2</v>
      </c>
    </row>
    <row r="661" spans="1:19" x14ac:dyDescent="0.25">
      <c r="A661" t="str">
        <f>TableSTRUEDART[[#This Row],[Study Package Code]]</f>
        <v>EDUC4014</v>
      </c>
      <c r="B661" s="5">
        <f>TableSTRUEDART[[#This Row],[Ver]]</f>
        <v>1</v>
      </c>
      <c r="D661" t="str">
        <f>TableSTRUEDART[[#This Row],[Structure Line]]</f>
        <v>Diverse Abilities and Curriculum Differentiation</v>
      </c>
      <c r="E661" s="125">
        <f>TableSTRUEDART[[#This Row],[Credit Points]]</f>
        <v>25</v>
      </c>
      <c r="G661" t="s">
        <v>102</v>
      </c>
      <c r="J661" t="s">
        <v>158</v>
      </c>
      <c r="K661">
        <v>1</v>
      </c>
      <c r="L661" t="s">
        <v>698</v>
      </c>
      <c r="M661">
        <v>25</v>
      </c>
      <c r="N661" s="195">
        <v>42005</v>
      </c>
      <c r="O661" s="195"/>
      <c r="R661" t="s">
        <v>158</v>
      </c>
      <c r="S661">
        <v>1</v>
      </c>
    </row>
    <row r="662" spans="1:19" x14ac:dyDescent="0.25">
      <c r="A662" t="str">
        <f>TableSTRUEDART[[#This Row],[Study Package Code]]</f>
        <v>EDUC4020</v>
      </c>
      <c r="B662" s="5">
        <f>TableSTRUEDART[[#This Row],[Ver]]</f>
        <v>1</v>
      </c>
      <c r="D662" t="str">
        <f>TableSTRUEDART[[#This Row],[Structure Line]]</f>
        <v>Supporting Literacy and Numeracy Development for Diverse Learners</v>
      </c>
      <c r="E662" s="125">
        <f>TableSTRUEDART[[#This Row],[Credit Points]]</f>
        <v>25</v>
      </c>
      <c r="G662" t="s">
        <v>102</v>
      </c>
      <c r="J662" t="s">
        <v>153</v>
      </c>
      <c r="K662">
        <v>1</v>
      </c>
      <c r="L662" t="s">
        <v>699</v>
      </c>
      <c r="M662">
        <v>25</v>
      </c>
      <c r="N662" s="195">
        <v>43282</v>
      </c>
      <c r="O662" s="195"/>
      <c r="R662" t="s">
        <v>153</v>
      </c>
      <c r="S662">
        <v>1</v>
      </c>
    </row>
    <row r="663" spans="1:19" x14ac:dyDescent="0.25">
      <c r="A663" t="str">
        <f>TableSTRUEDART[[#This Row],[Study Package Code]]</f>
        <v>EDUC4021</v>
      </c>
      <c r="B663" s="5">
        <f>TableSTRUEDART[[#This Row],[Ver]]</f>
        <v>1</v>
      </c>
      <c r="D663" t="str">
        <f>TableSTRUEDART[[#This Row],[Structure Line]]</f>
        <v>Project-based iSTEM Education</v>
      </c>
      <c r="E663" s="125">
        <f>TableSTRUEDART[[#This Row],[Credit Points]]</f>
        <v>25</v>
      </c>
      <c r="G663" t="s">
        <v>102</v>
      </c>
      <c r="J663" t="s">
        <v>142</v>
      </c>
      <c r="K663">
        <v>1</v>
      </c>
      <c r="L663" t="s">
        <v>700</v>
      </c>
      <c r="M663">
        <v>25</v>
      </c>
      <c r="N663" s="195">
        <v>43282</v>
      </c>
      <c r="O663" s="195"/>
      <c r="R663" t="s">
        <v>142</v>
      </c>
      <c r="S663">
        <v>1</v>
      </c>
    </row>
    <row r="664" spans="1:19" x14ac:dyDescent="0.25">
      <c r="A664" t="str">
        <f>TableSTRUEDART[[#This Row],[Study Package Code]]</f>
        <v>EDUC4022</v>
      </c>
      <c r="B664" s="5">
        <f>TableSTRUEDART[[#This Row],[Ver]]</f>
        <v>1</v>
      </c>
      <c r="D664" t="str">
        <f>TableSTRUEDART[[#This Row],[Structure Line]]</f>
        <v>Creative Literacies</v>
      </c>
      <c r="E664" s="125">
        <f>TableSTRUEDART[[#This Row],[Credit Points]]</f>
        <v>25</v>
      </c>
      <c r="G664" t="s">
        <v>102</v>
      </c>
      <c r="J664" t="s">
        <v>147</v>
      </c>
      <c r="K664">
        <v>1</v>
      </c>
      <c r="L664" t="s">
        <v>701</v>
      </c>
      <c r="M664">
        <v>25</v>
      </c>
      <c r="N664" s="195">
        <v>43282</v>
      </c>
      <c r="O664" s="195"/>
      <c r="R664" t="s">
        <v>147</v>
      </c>
      <c r="S664">
        <v>1</v>
      </c>
    </row>
    <row r="665" spans="1:19" x14ac:dyDescent="0.25">
      <c r="A665" t="str">
        <f>TableSTRUEDART[[#This Row],[Study Package Code]]</f>
        <v>EDUC4023</v>
      </c>
      <c r="B665" s="5">
        <f>TableSTRUEDART[[#This Row],[Ver]]</f>
        <v>1</v>
      </c>
      <c r="D665" t="str">
        <f>TableSTRUEDART[[#This Row],[Structure Line]]</f>
        <v>Creating and Responding to Literature</v>
      </c>
      <c r="E665" s="125">
        <f>TableSTRUEDART[[#This Row],[Credit Points]]</f>
        <v>25</v>
      </c>
      <c r="G665" t="s">
        <v>102</v>
      </c>
      <c r="J665" t="s">
        <v>148</v>
      </c>
      <c r="K665">
        <v>1</v>
      </c>
      <c r="L665" t="s">
        <v>702</v>
      </c>
      <c r="M665">
        <v>25</v>
      </c>
      <c r="N665" s="195">
        <v>43282</v>
      </c>
      <c r="O665" s="195"/>
      <c r="R665" t="s">
        <v>148</v>
      </c>
      <c r="S665">
        <v>1</v>
      </c>
    </row>
    <row r="666" spans="1:19" x14ac:dyDescent="0.25">
      <c r="A666" t="str">
        <f>TableSTRUEDART[[#This Row],[Study Package Code]]</f>
        <v>EDUC4029</v>
      </c>
      <c r="B666" s="5">
        <f>TableSTRUEDART[[#This Row],[Ver]]</f>
        <v>1</v>
      </c>
      <c r="D666" t="str">
        <f>TableSTRUEDART[[#This Row],[Structure Line]]</f>
        <v>Technologies: Coding for Teachers</v>
      </c>
      <c r="E666" s="125">
        <f>TableSTRUEDART[[#This Row],[Credit Points]]</f>
        <v>25</v>
      </c>
      <c r="G666" t="s">
        <v>102</v>
      </c>
      <c r="J666" t="s">
        <v>160</v>
      </c>
      <c r="K666">
        <v>1</v>
      </c>
      <c r="L666" t="s">
        <v>703</v>
      </c>
      <c r="M666">
        <v>25</v>
      </c>
      <c r="N666" s="195">
        <v>43282</v>
      </c>
      <c r="O666" s="195"/>
      <c r="R666" t="s">
        <v>160</v>
      </c>
      <c r="S666">
        <v>1</v>
      </c>
    </row>
    <row r="667" spans="1:19" x14ac:dyDescent="0.25">
      <c r="A667" t="str">
        <f>TableSTRUEDART[[#This Row],[Study Package Code]]</f>
        <v>EDUC4031</v>
      </c>
      <c r="B667" s="5">
        <f>TableSTRUEDART[[#This Row],[Ver]]</f>
        <v>1</v>
      </c>
      <c r="D667" t="str">
        <f>TableSTRUEDART[[#This Row],[Structure Line]]</f>
        <v>Social Justice in Literacy and Numeracy Learning</v>
      </c>
      <c r="E667" s="125">
        <f>TableSTRUEDART[[#This Row],[Credit Points]]</f>
        <v>25</v>
      </c>
      <c r="G667" t="s">
        <v>102</v>
      </c>
      <c r="J667" t="s">
        <v>169</v>
      </c>
      <c r="K667">
        <v>1</v>
      </c>
      <c r="L667" t="s">
        <v>705</v>
      </c>
      <c r="M667">
        <v>25</v>
      </c>
      <c r="N667" s="195">
        <v>43282</v>
      </c>
      <c r="O667" s="195">
        <v>44750</v>
      </c>
      <c r="R667" t="s">
        <v>169</v>
      </c>
      <c r="S667">
        <v>1</v>
      </c>
    </row>
    <row r="668" spans="1:19" x14ac:dyDescent="0.25">
      <c r="A668" t="str">
        <f>TableSTRUEDART[[#This Row],[Study Package Code]]</f>
        <v>EDUC4032</v>
      </c>
      <c r="B668" s="5">
        <f>TableSTRUEDART[[#This Row],[Ver]]</f>
        <v>1</v>
      </c>
      <c r="D668" t="str">
        <f>TableSTRUEDART[[#This Row],[Structure Line]]</f>
        <v>iSTEM Education through Digital Stories</v>
      </c>
      <c r="E668" s="125">
        <f>TableSTRUEDART[[#This Row],[Credit Points]]</f>
        <v>25</v>
      </c>
      <c r="G668" t="s">
        <v>102</v>
      </c>
      <c r="J668" t="s">
        <v>143</v>
      </c>
      <c r="K668">
        <v>1</v>
      </c>
      <c r="L668" t="s">
        <v>707</v>
      </c>
      <c r="M668">
        <v>25</v>
      </c>
      <c r="N668" s="195">
        <v>43466</v>
      </c>
      <c r="O668" s="195"/>
      <c r="R668" t="s">
        <v>143</v>
      </c>
      <c r="S668">
        <v>1</v>
      </c>
    </row>
    <row r="669" spans="1:19" x14ac:dyDescent="0.25">
      <c r="A669" t="str">
        <f>TableSTRUEDART[[#This Row],[Study Package Code]]</f>
        <v>EDUC4034</v>
      </c>
      <c r="B669" s="5">
        <f>TableSTRUEDART[[#This Row],[Ver]]</f>
        <v>1</v>
      </c>
      <c r="D669" t="str">
        <f>TableSTRUEDART[[#This Row],[Structure Line]]</f>
        <v>iSTEM: Social Issues</v>
      </c>
      <c r="E669" s="125">
        <f>TableSTRUEDART[[#This Row],[Credit Points]]</f>
        <v>25</v>
      </c>
      <c r="G669" t="s">
        <v>102</v>
      </c>
      <c r="J669" t="s">
        <v>144</v>
      </c>
      <c r="K669">
        <v>1</v>
      </c>
      <c r="L669" t="s">
        <v>708</v>
      </c>
      <c r="M669">
        <v>25</v>
      </c>
      <c r="N669" s="195">
        <v>43466</v>
      </c>
      <c r="O669" s="195"/>
      <c r="R669" t="s">
        <v>144</v>
      </c>
      <c r="S669">
        <v>1</v>
      </c>
    </row>
    <row r="670" spans="1:19" x14ac:dyDescent="0.25">
      <c r="A670" t="str">
        <f>TableSTRUEDART[[#This Row],[Study Package Code]]</f>
        <v>EDUC4036</v>
      </c>
      <c r="B670" s="5">
        <f>TableSTRUEDART[[#This Row],[Ver]]</f>
        <v>1</v>
      </c>
      <c r="D670" t="str">
        <f>TableSTRUEDART[[#This Row],[Structure Line]]</f>
        <v>Language and Diversity</v>
      </c>
      <c r="E670" s="125">
        <f>TableSTRUEDART[[#This Row],[Credit Points]]</f>
        <v>25</v>
      </c>
      <c r="G670" t="s">
        <v>102</v>
      </c>
      <c r="J670" t="s">
        <v>149</v>
      </c>
      <c r="K670">
        <v>1</v>
      </c>
      <c r="L670" t="s">
        <v>709</v>
      </c>
      <c r="M670">
        <v>25</v>
      </c>
      <c r="N670" s="195">
        <v>43466</v>
      </c>
      <c r="O670" s="195"/>
      <c r="R670" t="s">
        <v>149</v>
      </c>
      <c r="S670">
        <v>1</v>
      </c>
    </row>
    <row r="671" spans="1:19" x14ac:dyDescent="0.25">
      <c r="A671" t="str">
        <f>TableSTRUEDART[[#This Row],[Study Package Code]]</f>
        <v>EDUC4038</v>
      </c>
      <c r="B671" s="5">
        <f>TableSTRUEDART[[#This Row],[Ver]]</f>
        <v>1</v>
      </c>
      <c r="D671" t="str">
        <f>TableSTRUEDART[[#This Row],[Structure Line]]</f>
        <v>Technologies: Design Solutions</v>
      </c>
      <c r="E671" s="125">
        <f>TableSTRUEDART[[#This Row],[Credit Points]]</f>
        <v>25</v>
      </c>
      <c r="G671" t="s">
        <v>102</v>
      </c>
      <c r="J671" t="s">
        <v>161</v>
      </c>
      <c r="K671" s="196">
        <v>1</v>
      </c>
      <c r="L671" s="196" t="s">
        <v>710</v>
      </c>
      <c r="M671" s="196">
        <v>25</v>
      </c>
      <c r="N671" s="195">
        <v>43466</v>
      </c>
      <c r="O671" s="195"/>
      <c r="R671" t="s">
        <v>161</v>
      </c>
      <c r="S671">
        <v>1</v>
      </c>
    </row>
    <row r="672" spans="1:19" x14ac:dyDescent="0.25">
      <c r="A672" t="str">
        <f>TableSTRUEDART[[#This Row],[Study Package Code]]</f>
        <v>EDUC4042</v>
      </c>
      <c r="B672" s="5">
        <f>TableSTRUEDART[[#This Row],[Ver]]</f>
        <v>1</v>
      </c>
      <c r="D672" t="str">
        <f>TableSTRUEDART[[#This Row],[Structure Line]]</f>
        <v>Alternative Approaches to Teaching Literacy and Numeracy</v>
      </c>
      <c r="E672" s="125">
        <f>TableSTRUEDART[[#This Row],[Credit Points]]</f>
        <v>25</v>
      </c>
      <c r="G672" t="s">
        <v>102</v>
      </c>
      <c r="J672" t="s">
        <v>155</v>
      </c>
      <c r="K672">
        <v>1</v>
      </c>
      <c r="L672" t="s">
        <v>713</v>
      </c>
      <c r="M672">
        <v>25</v>
      </c>
      <c r="N672" s="195">
        <v>43466</v>
      </c>
      <c r="O672" s="195"/>
      <c r="R672" t="s">
        <v>155</v>
      </c>
      <c r="S672">
        <v>1</v>
      </c>
    </row>
    <row r="673" spans="1:19" x14ac:dyDescent="0.25">
      <c r="A673" t="str">
        <f>TableSTRUEDART[[#This Row],[Study Package Code]]</f>
        <v>EDUC4044</v>
      </c>
      <c r="B673" s="5">
        <f>TableSTRUEDART[[#This Row],[Ver]]</f>
        <v>1</v>
      </c>
      <c r="D673" t="str">
        <f>TableSTRUEDART[[#This Row],[Structure Line]]</f>
        <v>Literacy and Numeracy for Aboriginal and Torres Strait Islander (ATSI) Learners</v>
      </c>
      <c r="E673" s="125">
        <f>TableSTRUEDART[[#This Row],[Credit Points]]</f>
        <v>25</v>
      </c>
      <c r="G673" t="s">
        <v>102</v>
      </c>
      <c r="J673" t="s">
        <v>157</v>
      </c>
      <c r="K673">
        <v>1</v>
      </c>
      <c r="L673" t="s">
        <v>887</v>
      </c>
      <c r="M673">
        <v>25</v>
      </c>
      <c r="N673" s="195">
        <v>43466</v>
      </c>
      <c r="O673" s="195">
        <v>44926</v>
      </c>
      <c r="R673" t="s">
        <v>157</v>
      </c>
      <c r="S673">
        <v>1</v>
      </c>
    </row>
    <row r="674" spans="1:19" x14ac:dyDescent="0.25">
      <c r="A674" t="str">
        <f>TableSTRUEDART[[#This Row],[Study Package Code]]</f>
        <v>EDUC4046</v>
      </c>
      <c r="B674" s="5">
        <f>TableSTRUEDART[[#This Row],[Ver]]</f>
        <v>1</v>
      </c>
      <c r="D674" t="str">
        <f>TableSTRUEDART[[#This Row],[Structure Line]]</f>
        <v>Technologies: Digital Solutions</v>
      </c>
      <c r="E674" s="125">
        <f>TableSTRUEDART[[#This Row],[Credit Points]]</f>
        <v>25</v>
      </c>
      <c r="G674" t="s">
        <v>102</v>
      </c>
      <c r="J674" t="s">
        <v>162</v>
      </c>
      <c r="K674">
        <v>1</v>
      </c>
      <c r="L674" t="s">
        <v>715</v>
      </c>
      <c r="M674">
        <v>25</v>
      </c>
      <c r="N674" s="195">
        <v>43466</v>
      </c>
      <c r="O674" s="195"/>
      <c r="R674" t="s">
        <v>162</v>
      </c>
      <c r="S674">
        <v>1</v>
      </c>
    </row>
    <row r="675" spans="1:19" x14ac:dyDescent="0.25">
      <c r="A675" t="str">
        <f>TableSTRUEDART[[#This Row],[Study Package Code]]</f>
        <v>EDUC4048</v>
      </c>
      <c r="B675" s="5">
        <f>TableSTRUEDART[[#This Row],[Ver]]</f>
        <v>1</v>
      </c>
      <c r="D675" t="str">
        <f>TableSTRUEDART[[#This Row],[Structure Line]]</f>
        <v>Mentoring, Coaching and Tutoring</v>
      </c>
      <c r="E675" s="125">
        <f>TableSTRUEDART[[#This Row],[Credit Points]]</f>
        <v>25</v>
      </c>
      <c r="G675" t="s">
        <v>102</v>
      </c>
      <c r="J675" t="s">
        <v>117</v>
      </c>
      <c r="K675">
        <v>1</v>
      </c>
      <c r="L675" t="s">
        <v>716</v>
      </c>
      <c r="M675">
        <v>25</v>
      </c>
      <c r="N675" s="195">
        <v>43466</v>
      </c>
      <c r="O675" s="195"/>
      <c r="R675" t="s">
        <v>117</v>
      </c>
      <c r="S675">
        <v>1</v>
      </c>
    </row>
    <row r="676" spans="1:19" x14ac:dyDescent="0.25">
      <c r="A676" s="122"/>
      <c r="B676" s="124"/>
      <c r="C676" s="122"/>
      <c r="G676" s="123" t="s">
        <v>855</v>
      </c>
      <c r="H676" s="199">
        <v>45292</v>
      </c>
      <c r="J676" s="197" t="s">
        <v>251</v>
      </c>
      <c r="K676" s="198" t="s">
        <v>77</v>
      </c>
      <c r="L676" s="197" t="s">
        <v>250</v>
      </c>
      <c r="M676" s="122"/>
    </row>
    <row r="677" spans="1:19" ht="31.5" x14ac:dyDescent="0.25">
      <c r="A677" s="159" t="s">
        <v>0</v>
      </c>
      <c r="B677" s="160" t="s">
        <v>60</v>
      </c>
      <c r="C677" s="159" t="s">
        <v>856</v>
      </c>
      <c r="D677" s="159" t="s">
        <v>3</v>
      </c>
      <c r="E677" s="161" t="s">
        <v>857</v>
      </c>
      <c r="F677" s="159" t="s">
        <v>858</v>
      </c>
      <c r="G677" s="159" t="s">
        <v>859</v>
      </c>
      <c r="H677" s="159" t="s">
        <v>860</v>
      </c>
      <c r="I677" s="159" t="s">
        <v>17</v>
      </c>
      <c r="J677" s="159" t="s">
        <v>861</v>
      </c>
      <c r="K677" s="159" t="s">
        <v>1</v>
      </c>
      <c r="L677" s="159" t="s">
        <v>44</v>
      </c>
      <c r="M677" s="159" t="s">
        <v>61</v>
      </c>
      <c r="N677" s="159" t="s">
        <v>862</v>
      </c>
      <c r="O677" s="159" t="s">
        <v>863</v>
      </c>
      <c r="R677" t="s">
        <v>538</v>
      </c>
      <c r="S677" t="s">
        <v>864</v>
      </c>
    </row>
    <row r="678" spans="1:19" x14ac:dyDescent="0.25">
      <c r="A678" t="str">
        <f>TableSTRUEDENG[[#This Row],[Study Package Code]]</f>
        <v>OptionStream</v>
      </c>
      <c r="B678" s="5">
        <f>TableSTRUEDENG[[#This Row],[Ver]]</f>
        <v>0</v>
      </c>
      <c r="D678" t="str">
        <f>TableSTRUEDENG[[#This Row],[Structure Line]]</f>
        <v>Choose an Option for Semester 2, Year 1</v>
      </c>
      <c r="E678" s="125">
        <f>TableSTRUEDENG[[#This Row],[Credit Points]]</f>
        <v>25</v>
      </c>
      <c r="F678">
        <v>1</v>
      </c>
      <c r="G678" t="s">
        <v>102</v>
      </c>
      <c r="H678">
        <v>1</v>
      </c>
      <c r="I678" t="s">
        <v>529</v>
      </c>
      <c r="J678" t="s">
        <v>886</v>
      </c>
      <c r="K678">
        <v>0</v>
      </c>
      <c r="L678" t="s">
        <v>892</v>
      </c>
      <c r="M678">
        <v>25</v>
      </c>
      <c r="N678" s="195"/>
      <c r="O678" s="195"/>
      <c r="R678" t="s">
        <v>886</v>
      </c>
      <c r="S678">
        <v>0</v>
      </c>
    </row>
    <row r="679" spans="1:19" x14ac:dyDescent="0.25">
      <c r="A679" t="str">
        <f>TableSTRUEDENG[[#This Row],[Study Package Code]]</f>
        <v>OptionStream</v>
      </c>
      <c r="B679" s="5">
        <f>TableSTRUEDENG[[#This Row],[Ver]]</f>
        <v>0</v>
      </c>
      <c r="D679" t="str">
        <f>TableSTRUEDENG[[#This Row],[Structure Line]]</f>
        <v>Choose an Option for Semester 1, Year 2</v>
      </c>
      <c r="E679" s="125">
        <f>TableSTRUEDENG[[#This Row],[Credit Points]]</f>
        <v>25</v>
      </c>
      <c r="F679">
        <v>2</v>
      </c>
      <c r="G679" t="s">
        <v>102</v>
      </c>
      <c r="H679">
        <v>2</v>
      </c>
      <c r="I679" t="s">
        <v>528</v>
      </c>
      <c r="J679" t="s">
        <v>886</v>
      </c>
      <c r="K679">
        <v>0</v>
      </c>
      <c r="L679" t="s">
        <v>893</v>
      </c>
      <c r="M679">
        <v>25</v>
      </c>
      <c r="N679" s="195"/>
      <c r="O679" s="195"/>
      <c r="R679" t="s">
        <v>886</v>
      </c>
      <c r="S679">
        <v>0</v>
      </c>
    </row>
    <row r="680" spans="1:19" x14ac:dyDescent="0.25">
      <c r="A680" t="str">
        <f>TableSTRUEDENG[[#This Row],[Study Package Code]]</f>
        <v>OptionStream</v>
      </c>
      <c r="B680" s="5">
        <f>TableSTRUEDENG[[#This Row],[Ver]]</f>
        <v>0</v>
      </c>
      <c r="D680" t="str">
        <f>TableSTRUEDENG[[#This Row],[Structure Line]]</f>
        <v>Choose an Option for Semester 2, Year 2</v>
      </c>
      <c r="E680" s="125">
        <f>TableSTRUEDENG[[#This Row],[Credit Points]]</f>
        <v>25</v>
      </c>
      <c r="F680">
        <v>3</v>
      </c>
      <c r="G680" t="s">
        <v>102</v>
      </c>
      <c r="H680">
        <v>2</v>
      </c>
      <c r="I680" t="s">
        <v>529</v>
      </c>
      <c r="J680" t="s">
        <v>886</v>
      </c>
      <c r="K680">
        <v>0</v>
      </c>
      <c r="L680" t="s">
        <v>894</v>
      </c>
      <c r="M680">
        <v>25</v>
      </c>
      <c r="N680" s="195"/>
      <c r="O680" s="195"/>
      <c r="R680" t="s">
        <v>886</v>
      </c>
      <c r="S680">
        <v>0</v>
      </c>
    </row>
    <row r="681" spans="1:19" x14ac:dyDescent="0.25">
      <c r="A681" t="str">
        <f>TableSTRUEDENG[[#This Row],[Study Package Code]]</f>
        <v>OptionStream</v>
      </c>
      <c r="B681" s="5">
        <f>TableSTRUEDENG[[#This Row],[Ver]]</f>
        <v>0</v>
      </c>
      <c r="D681" t="str">
        <f>TableSTRUEDENG[[#This Row],[Structure Line]]</f>
        <v>Choose an Option for Semester 1, Year 3</v>
      </c>
      <c r="E681" s="125">
        <f>TableSTRUEDENG[[#This Row],[Credit Points]]</f>
        <v>25</v>
      </c>
      <c r="F681">
        <v>4</v>
      </c>
      <c r="G681" t="s">
        <v>102</v>
      </c>
      <c r="H681">
        <v>3</v>
      </c>
      <c r="I681" t="s">
        <v>528</v>
      </c>
      <c r="J681" t="s">
        <v>886</v>
      </c>
      <c r="K681">
        <v>0</v>
      </c>
      <c r="L681" t="s">
        <v>895</v>
      </c>
      <c r="M681">
        <v>25</v>
      </c>
      <c r="N681" s="195"/>
      <c r="O681" s="195"/>
      <c r="R681" t="s">
        <v>88</v>
      </c>
      <c r="S681">
        <v>1</v>
      </c>
    </row>
    <row r="682" spans="1:19" x14ac:dyDescent="0.25">
      <c r="A682" t="str">
        <f>TableSTRUEDENG[[#This Row],[Study Package Code]]</f>
        <v>EDUC2007</v>
      </c>
      <c r="B682" s="5">
        <f>TableSTRUEDENG[[#This Row],[Ver]]</f>
        <v>1</v>
      </c>
      <c r="D682" t="str">
        <f>TableSTRUEDENG[[#This Row],[Structure Line]]</f>
        <v>Teaching Language, Literacy and Literature in Junior Primary</v>
      </c>
      <c r="E682" s="125">
        <f>TableSTRUEDENG[[#This Row],[Credit Points]]</f>
        <v>25</v>
      </c>
      <c r="F682">
        <v>5</v>
      </c>
      <c r="G682" t="s">
        <v>865</v>
      </c>
      <c r="H682">
        <v>3</v>
      </c>
      <c r="I682" t="s">
        <v>528</v>
      </c>
      <c r="J682" t="s">
        <v>88</v>
      </c>
      <c r="K682">
        <v>1</v>
      </c>
      <c r="L682" t="s">
        <v>693</v>
      </c>
      <c r="M682">
        <v>25</v>
      </c>
      <c r="N682" s="195">
        <v>43466</v>
      </c>
      <c r="O682" s="195"/>
      <c r="R682" t="s">
        <v>886</v>
      </c>
      <c r="S682">
        <v>0</v>
      </c>
    </row>
    <row r="683" spans="1:19" x14ac:dyDescent="0.25">
      <c r="A683" t="str">
        <f>TableSTRUEDENG[[#This Row],[Study Package Code]]</f>
        <v>EDPR3001</v>
      </c>
      <c r="B683" s="5">
        <f>TableSTRUEDENG[[#This Row],[Ver]]</f>
        <v>2</v>
      </c>
      <c r="D683" t="str">
        <f>TableSTRUEDENG[[#This Row],[Structure Line]]</f>
        <v>English Pedagogies and the Integrated Curriculum</v>
      </c>
      <c r="E683" s="125">
        <f>TableSTRUEDENG[[#This Row],[Credit Points]]</f>
        <v>25</v>
      </c>
      <c r="F683">
        <v>6</v>
      </c>
      <c r="G683" t="s">
        <v>865</v>
      </c>
      <c r="H683">
        <v>3</v>
      </c>
      <c r="I683" t="s">
        <v>529</v>
      </c>
      <c r="J683" t="s">
        <v>120</v>
      </c>
      <c r="K683">
        <v>2</v>
      </c>
      <c r="L683" t="s">
        <v>644</v>
      </c>
      <c r="M683">
        <v>25</v>
      </c>
      <c r="N683" s="195">
        <v>43466</v>
      </c>
      <c r="O683" s="195"/>
      <c r="R683" t="s">
        <v>120</v>
      </c>
      <c r="S683">
        <v>2</v>
      </c>
    </row>
    <row r="684" spans="1:19" x14ac:dyDescent="0.25">
      <c r="A684" t="str">
        <f>TableSTRUEDENG[[#This Row],[Study Package Code]]</f>
        <v>CTED4001</v>
      </c>
      <c r="B684" s="5">
        <f>TableSTRUEDENG[[#This Row],[Ver]]</f>
        <v>2</v>
      </c>
      <c r="D684" t="str">
        <f>TableSTRUEDENG[[#This Row],[Structure Line]]</f>
        <v>Teaching About Sacraments in Catholic Schools</v>
      </c>
      <c r="E684" s="125">
        <f>TableSTRUEDENG[[#This Row],[Credit Points]]</f>
        <v>25</v>
      </c>
      <c r="G684" t="s">
        <v>102</v>
      </c>
      <c r="J684" t="s">
        <v>150</v>
      </c>
      <c r="K684">
        <v>2</v>
      </c>
      <c r="L684" t="s">
        <v>585</v>
      </c>
      <c r="M684">
        <v>25</v>
      </c>
      <c r="N684" s="195">
        <v>45292</v>
      </c>
      <c r="O684" s="195"/>
      <c r="R684" t="s">
        <v>150</v>
      </c>
      <c r="S684">
        <v>1</v>
      </c>
    </row>
    <row r="685" spans="1:19" x14ac:dyDescent="0.25">
      <c r="A685" t="str">
        <f>TableSTRUEDENG[[#This Row],[Study Package Code]]</f>
        <v>CTED4006</v>
      </c>
      <c r="B685" s="5">
        <f>TableSTRUEDENG[[#This Row],[Ver]]</f>
        <v>1</v>
      </c>
      <c r="D685" t="str">
        <f>TableSTRUEDENG[[#This Row],[Structure Line]]</f>
        <v>Teaching About Jesus in Catholic Schools</v>
      </c>
      <c r="E685" s="125">
        <f>TableSTRUEDENG[[#This Row],[Credit Points]]</f>
        <v>25</v>
      </c>
      <c r="G685" t="s">
        <v>102</v>
      </c>
      <c r="J685" t="s">
        <v>152</v>
      </c>
      <c r="K685">
        <v>1</v>
      </c>
      <c r="L685" t="s">
        <v>592</v>
      </c>
      <c r="M685">
        <v>25</v>
      </c>
      <c r="N685" s="195">
        <v>45292</v>
      </c>
      <c r="O685" s="195"/>
      <c r="R685" t="s">
        <v>171</v>
      </c>
      <c r="S685">
        <v>1</v>
      </c>
    </row>
    <row r="686" spans="1:19" x14ac:dyDescent="0.25">
      <c r="A686" t="str">
        <f>TableSTRUEDENG[[#This Row],[Study Package Code]]</f>
        <v>CTED4008</v>
      </c>
      <c r="B686" s="5">
        <f>TableSTRUEDENG[[#This Row],[Ver]]</f>
        <v>1</v>
      </c>
      <c r="D686" t="str">
        <f>TableSTRUEDENG[[#This Row],[Structure Line]]</f>
        <v>Teaching About the Gospels in Catholic Schools</v>
      </c>
      <c r="E686" s="125">
        <f>TableSTRUEDENG[[#This Row],[Credit Points]]</f>
        <v>25</v>
      </c>
      <c r="G686" t="s">
        <v>102</v>
      </c>
      <c r="J686" t="s">
        <v>154</v>
      </c>
      <c r="K686">
        <v>1</v>
      </c>
      <c r="L686" t="s">
        <v>593</v>
      </c>
      <c r="M686">
        <v>25</v>
      </c>
      <c r="N686" s="195">
        <v>45292</v>
      </c>
      <c r="O686" s="195"/>
      <c r="R686" t="s">
        <v>172</v>
      </c>
      <c r="S686">
        <v>2</v>
      </c>
    </row>
    <row r="687" spans="1:19" x14ac:dyDescent="0.25">
      <c r="A687" t="str">
        <f>TableSTRUEDENG[[#This Row],[Study Package Code]]</f>
        <v>EDIB4000</v>
      </c>
      <c r="B687" s="5">
        <f>TableSTRUEDENG[[#This Row],[Ver]]</f>
        <v>1</v>
      </c>
      <c r="D687" t="str">
        <f>TableSTRUEDENG[[#This Row],[Structure Line]]</f>
        <v>Introduction to the International Baccalaureate Programme</v>
      </c>
      <c r="E687" s="125">
        <f>TableSTRUEDENG[[#This Row],[Credit Points]]</f>
        <v>25</v>
      </c>
      <c r="G687" t="s">
        <v>102</v>
      </c>
      <c r="J687" t="s">
        <v>166</v>
      </c>
      <c r="K687">
        <v>1</v>
      </c>
      <c r="L687" t="s">
        <v>631</v>
      </c>
      <c r="M687">
        <v>25</v>
      </c>
      <c r="N687" s="195">
        <v>42005</v>
      </c>
      <c r="O687" s="195"/>
      <c r="R687" t="s">
        <v>166</v>
      </c>
      <c r="S687">
        <v>1</v>
      </c>
    </row>
    <row r="688" spans="1:19" x14ac:dyDescent="0.25">
      <c r="A688" t="str">
        <f>TableSTRUEDENG[[#This Row],[Study Package Code]]</f>
        <v>EDIB4002</v>
      </c>
      <c r="B688" s="5">
        <f>TableSTRUEDENG[[#This Row],[Ver]]</f>
        <v>1</v>
      </c>
      <c r="D688" t="str">
        <f>TableSTRUEDENG[[#This Row],[Structure Line]]</f>
        <v>International Baccalaureate Middle Years Programme</v>
      </c>
      <c r="E688" s="125">
        <f>TableSTRUEDENG[[#This Row],[Credit Points]]</f>
        <v>25</v>
      </c>
      <c r="G688" t="s">
        <v>102</v>
      </c>
      <c r="J688" t="s">
        <v>170</v>
      </c>
      <c r="K688">
        <v>1</v>
      </c>
      <c r="L688" t="s">
        <v>634</v>
      </c>
      <c r="M688">
        <v>25</v>
      </c>
      <c r="N688" s="195">
        <v>42005</v>
      </c>
      <c r="O688" s="195"/>
      <c r="R688" t="s">
        <v>170</v>
      </c>
      <c r="S688">
        <v>1</v>
      </c>
    </row>
    <row r="689" spans="1:19" x14ac:dyDescent="0.25">
      <c r="A689" t="str">
        <f>TableSTRUEDENG[[#This Row],[Study Package Code]]</f>
        <v>EDIB4003</v>
      </c>
      <c r="B689" s="5">
        <f>TableSTRUEDENG[[#This Row],[Ver]]</f>
        <v>1</v>
      </c>
      <c r="D689" t="str">
        <f>TableSTRUEDENG[[#This Row],[Structure Line]]</f>
        <v>The International Baccalaureate in Action</v>
      </c>
      <c r="E689" s="125">
        <f>TableSTRUEDENG[[#This Row],[Credit Points]]</f>
        <v>25</v>
      </c>
      <c r="G689" t="s">
        <v>102</v>
      </c>
      <c r="J689" t="s">
        <v>168</v>
      </c>
      <c r="K689">
        <v>1</v>
      </c>
      <c r="L689" t="s">
        <v>635</v>
      </c>
      <c r="M689">
        <v>25</v>
      </c>
      <c r="N689" s="195">
        <v>42005</v>
      </c>
      <c r="O689" s="195"/>
      <c r="R689" t="s">
        <v>168</v>
      </c>
      <c r="S689">
        <v>1</v>
      </c>
    </row>
    <row r="690" spans="1:19" x14ac:dyDescent="0.25">
      <c r="A690" t="str">
        <f>TableSTRUEDENG[[#This Row],[Study Package Code]]</f>
        <v>EDUC4012</v>
      </c>
      <c r="B690" s="5">
        <f>TableSTRUEDENG[[#This Row],[Ver]]</f>
        <v>2</v>
      </c>
      <c r="D690" t="str">
        <f>TableSTRUEDENG[[#This Row],[Structure Line]]</f>
        <v>Relationships and Sexuality Education</v>
      </c>
      <c r="E690" s="125">
        <f>TableSTRUEDENG[[#This Row],[Credit Points]]</f>
        <v>25</v>
      </c>
      <c r="G690" t="s">
        <v>102</v>
      </c>
      <c r="J690" t="s">
        <v>156</v>
      </c>
      <c r="K690">
        <v>2</v>
      </c>
      <c r="L690" t="s">
        <v>697</v>
      </c>
      <c r="M690">
        <v>25</v>
      </c>
      <c r="N690" s="195">
        <v>44927</v>
      </c>
      <c r="O690" s="195"/>
      <c r="R690" t="s">
        <v>156</v>
      </c>
      <c r="S690">
        <v>2</v>
      </c>
    </row>
    <row r="691" spans="1:19" x14ac:dyDescent="0.25">
      <c r="A691" t="str">
        <f>TableSTRUEDENG[[#This Row],[Study Package Code]]</f>
        <v>EDUC4014</v>
      </c>
      <c r="B691" s="5">
        <f>TableSTRUEDENG[[#This Row],[Ver]]</f>
        <v>1</v>
      </c>
      <c r="D691" t="str">
        <f>TableSTRUEDENG[[#This Row],[Structure Line]]</f>
        <v>Diverse Abilities and Curriculum Differentiation</v>
      </c>
      <c r="E691" s="125">
        <f>TableSTRUEDENG[[#This Row],[Credit Points]]</f>
        <v>25</v>
      </c>
      <c r="G691" t="s">
        <v>102</v>
      </c>
      <c r="J691" t="s">
        <v>158</v>
      </c>
      <c r="K691">
        <v>1</v>
      </c>
      <c r="L691" t="s">
        <v>698</v>
      </c>
      <c r="M691">
        <v>25</v>
      </c>
      <c r="N691" s="195">
        <v>42005</v>
      </c>
      <c r="O691" s="195"/>
      <c r="R691" t="s">
        <v>158</v>
      </c>
      <c r="S691">
        <v>1</v>
      </c>
    </row>
    <row r="692" spans="1:19" x14ac:dyDescent="0.25">
      <c r="A692" t="str">
        <f>TableSTRUEDENG[[#This Row],[Study Package Code]]</f>
        <v>EDUC4020</v>
      </c>
      <c r="B692" s="5">
        <f>TableSTRUEDENG[[#This Row],[Ver]]</f>
        <v>1</v>
      </c>
      <c r="D692" t="str">
        <f>TableSTRUEDENG[[#This Row],[Structure Line]]</f>
        <v>Supporting Literacy and Numeracy Development for Diverse Learners</v>
      </c>
      <c r="E692" s="125">
        <f>TableSTRUEDENG[[#This Row],[Credit Points]]</f>
        <v>25</v>
      </c>
      <c r="G692" t="s">
        <v>102</v>
      </c>
      <c r="J692" t="s">
        <v>153</v>
      </c>
      <c r="K692">
        <v>1</v>
      </c>
      <c r="L692" t="s">
        <v>699</v>
      </c>
      <c r="M692">
        <v>25</v>
      </c>
      <c r="N692" s="195">
        <v>43282</v>
      </c>
      <c r="O692" s="195"/>
      <c r="R692" t="s">
        <v>153</v>
      </c>
      <c r="S692">
        <v>1</v>
      </c>
    </row>
    <row r="693" spans="1:19" x14ac:dyDescent="0.25">
      <c r="A693" t="str">
        <f>TableSTRUEDENG[[#This Row],[Study Package Code]]</f>
        <v>EDUC4021</v>
      </c>
      <c r="B693" s="5">
        <f>TableSTRUEDENG[[#This Row],[Ver]]</f>
        <v>1</v>
      </c>
      <c r="D693" t="str">
        <f>TableSTRUEDENG[[#This Row],[Structure Line]]</f>
        <v>Project-based iSTEM Education</v>
      </c>
      <c r="E693" s="125">
        <f>TableSTRUEDENG[[#This Row],[Credit Points]]</f>
        <v>25</v>
      </c>
      <c r="G693" t="s">
        <v>102</v>
      </c>
      <c r="J693" t="s">
        <v>142</v>
      </c>
      <c r="K693">
        <v>1</v>
      </c>
      <c r="L693" t="s">
        <v>700</v>
      </c>
      <c r="M693">
        <v>25</v>
      </c>
      <c r="N693" s="195">
        <v>43282</v>
      </c>
      <c r="O693" s="195"/>
      <c r="R693" t="s">
        <v>142</v>
      </c>
      <c r="S693">
        <v>1</v>
      </c>
    </row>
    <row r="694" spans="1:19" x14ac:dyDescent="0.25">
      <c r="A694" t="str">
        <f>TableSTRUEDENG[[#This Row],[Study Package Code]]</f>
        <v>EDUC4022</v>
      </c>
      <c r="B694" s="5">
        <f>TableSTRUEDENG[[#This Row],[Ver]]</f>
        <v>1</v>
      </c>
      <c r="D694" t="str">
        <f>TableSTRUEDENG[[#This Row],[Structure Line]]</f>
        <v>Creative Literacies</v>
      </c>
      <c r="E694" s="125">
        <f>TableSTRUEDENG[[#This Row],[Credit Points]]</f>
        <v>25</v>
      </c>
      <c r="G694" t="s">
        <v>102</v>
      </c>
      <c r="J694" t="s">
        <v>147</v>
      </c>
      <c r="K694">
        <v>1</v>
      </c>
      <c r="L694" t="s">
        <v>701</v>
      </c>
      <c r="M694">
        <v>25</v>
      </c>
      <c r="N694" s="195">
        <v>43282</v>
      </c>
      <c r="O694" s="195"/>
      <c r="R694" t="s">
        <v>147</v>
      </c>
      <c r="S694">
        <v>1</v>
      </c>
    </row>
    <row r="695" spans="1:19" x14ac:dyDescent="0.25">
      <c r="A695" t="str">
        <f>TableSTRUEDENG[[#This Row],[Study Package Code]]</f>
        <v>EDUC4023</v>
      </c>
      <c r="B695" s="5">
        <f>TableSTRUEDENG[[#This Row],[Ver]]</f>
        <v>1</v>
      </c>
      <c r="D695" t="str">
        <f>TableSTRUEDENG[[#This Row],[Structure Line]]</f>
        <v>Creating and Responding to Literature</v>
      </c>
      <c r="E695" s="125">
        <f>TableSTRUEDENG[[#This Row],[Credit Points]]</f>
        <v>25</v>
      </c>
      <c r="G695" t="s">
        <v>102</v>
      </c>
      <c r="J695" t="s">
        <v>148</v>
      </c>
      <c r="K695">
        <v>1</v>
      </c>
      <c r="L695" t="s">
        <v>702</v>
      </c>
      <c r="M695">
        <v>25</v>
      </c>
      <c r="N695" s="195">
        <v>43282</v>
      </c>
      <c r="O695" s="195"/>
      <c r="R695" t="s">
        <v>148</v>
      </c>
      <c r="S695">
        <v>1</v>
      </c>
    </row>
    <row r="696" spans="1:19" x14ac:dyDescent="0.25">
      <c r="A696" t="str">
        <f>TableSTRUEDENG[[#This Row],[Study Package Code]]</f>
        <v>EDUC4029</v>
      </c>
      <c r="B696" s="5">
        <f>TableSTRUEDENG[[#This Row],[Ver]]</f>
        <v>1</v>
      </c>
      <c r="D696" t="str">
        <f>TableSTRUEDENG[[#This Row],[Structure Line]]</f>
        <v>Technologies: Coding for Teachers</v>
      </c>
      <c r="E696" s="125">
        <f>TableSTRUEDENG[[#This Row],[Credit Points]]</f>
        <v>25</v>
      </c>
      <c r="G696" t="s">
        <v>102</v>
      </c>
      <c r="J696" t="s">
        <v>160</v>
      </c>
      <c r="K696">
        <v>1</v>
      </c>
      <c r="L696" t="s">
        <v>703</v>
      </c>
      <c r="M696">
        <v>25</v>
      </c>
      <c r="N696" s="195">
        <v>43282</v>
      </c>
      <c r="O696" s="195"/>
      <c r="R696" t="s">
        <v>160</v>
      </c>
      <c r="S696">
        <v>1</v>
      </c>
    </row>
    <row r="697" spans="1:19" x14ac:dyDescent="0.25">
      <c r="A697" t="str">
        <f>TableSTRUEDENG[[#This Row],[Study Package Code]]</f>
        <v>EDUC4032</v>
      </c>
      <c r="B697" s="5">
        <f>TableSTRUEDENG[[#This Row],[Ver]]</f>
        <v>1</v>
      </c>
      <c r="D697" t="str">
        <f>TableSTRUEDENG[[#This Row],[Structure Line]]</f>
        <v>iSTEM Education through Digital Stories</v>
      </c>
      <c r="E697" s="125">
        <f>TableSTRUEDENG[[#This Row],[Credit Points]]</f>
        <v>25</v>
      </c>
      <c r="G697" t="s">
        <v>102</v>
      </c>
      <c r="J697" t="s">
        <v>143</v>
      </c>
      <c r="K697">
        <v>1</v>
      </c>
      <c r="L697" t="s">
        <v>707</v>
      </c>
      <c r="M697">
        <v>25</v>
      </c>
      <c r="N697" s="195">
        <v>43466</v>
      </c>
      <c r="O697" s="195"/>
      <c r="R697" t="s">
        <v>143</v>
      </c>
      <c r="S697">
        <v>1</v>
      </c>
    </row>
    <row r="698" spans="1:19" x14ac:dyDescent="0.25">
      <c r="A698" t="str">
        <f>TableSTRUEDENG[[#This Row],[Study Package Code]]</f>
        <v>EDUC4034</v>
      </c>
      <c r="B698" s="5">
        <f>TableSTRUEDENG[[#This Row],[Ver]]</f>
        <v>1</v>
      </c>
      <c r="D698" t="str">
        <f>TableSTRUEDENG[[#This Row],[Structure Line]]</f>
        <v>iSTEM: Social Issues</v>
      </c>
      <c r="E698" s="125">
        <f>TableSTRUEDENG[[#This Row],[Credit Points]]</f>
        <v>25</v>
      </c>
      <c r="G698" t="s">
        <v>102</v>
      </c>
      <c r="J698" t="s">
        <v>144</v>
      </c>
      <c r="K698">
        <v>1</v>
      </c>
      <c r="L698" t="s">
        <v>708</v>
      </c>
      <c r="M698">
        <v>25</v>
      </c>
      <c r="N698" s="195">
        <v>43466</v>
      </c>
      <c r="O698" s="195"/>
      <c r="R698" t="s">
        <v>144</v>
      </c>
      <c r="S698">
        <v>1</v>
      </c>
    </row>
    <row r="699" spans="1:19" x14ac:dyDescent="0.25">
      <c r="A699" t="str">
        <f>TableSTRUEDENG[[#This Row],[Study Package Code]]</f>
        <v>EDUC4036</v>
      </c>
      <c r="B699" s="5">
        <f>TableSTRUEDENG[[#This Row],[Ver]]</f>
        <v>1</v>
      </c>
      <c r="D699" t="str">
        <f>TableSTRUEDENG[[#This Row],[Structure Line]]</f>
        <v>Language and Diversity</v>
      </c>
      <c r="E699" s="125">
        <f>TableSTRUEDENG[[#This Row],[Credit Points]]</f>
        <v>25</v>
      </c>
      <c r="G699" t="s">
        <v>102</v>
      </c>
      <c r="J699" t="s">
        <v>149</v>
      </c>
      <c r="K699">
        <v>1</v>
      </c>
      <c r="L699" t="s">
        <v>709</v>
      </c>
      <c r="M699">
        <v>25</v>
      </c>
      <c r="N699" s="195">
        <v>43466</v>
      </c>
      <c r="O699" s="195"/>
      <c r="R699" t="s">
        <v>149</v>
      </c>
      <c r="S699">
        <v>1</v>
      </c>
    </row>
    <row r="700" spans="1:19" x14ac:dyDescent="0.25">
      <c r="A700" t="str">
        <f>TableSTRUEDENG[[#This Row],[Study Package Code]]</f>
        <v>EDUC4038</v>
      </c>
      <c r="B700" s="5">
        <f>TableSTRUEDENG[[#This Row],[Ver]]</f>
        <v>1</v>
      </c>
      <c r="D700" t="str">
        <f>TableSTRUEDENG[[#This Row],[Structure Line]]</f>
        <v>Technologies: Design Solutions</v>
      </c>
      <c r="E700" s="125">
        <f>TableSTRUEDENG[[#This Row],[Credit Points]]</f>
        <v>25</v>
      </c>
      <c r="G700" t="s">
        <v>102</v>
      </c>
      <c r="J700" t="s">
        <v>161</v>
      </c>
      <c r="K700">
        <v>1</v>
      </c>
      <c r="L700" t="s">
        <v>710</v>
      </c>
      <c r="M700">
        <v>25</v>
      </c>
      <c r="N700" s="195">
        <v>43466</v>
      </c>
      <c r="O700" s="195"/>
      <c r="R700" t="s">
        <v>161</v>
      </c>
      <c r="S700">
        <v>1</v>
      </c>
    </row>
    <row r="701" spans="1:19" x14ac:dyDescent="0.25">
      <c r="A701" t="str">
        <f>TableSTRUEDENG[[#This Row],[Study Package Code]]</f>
        <v>EDUC4042</v>
      </c>
      <c r="B701" s="5">
        <f>TableSTRUEDENG[[#This Row],[Ver]]</f>
        <v>1</v>
      </c>
      <c r="D701" t="str">
        <f>TableSTRUEDENG[[#This Row],[Structure Line]]</f>
        <v>Alternative Approaches to Teaching Literacy and Numeracy</v>
      </c>
      <c r="E701" s="125">
        <f>TableSTRUEDENG[[#This Row],[Credit Points]]</f>
        <v>25</v>
      </c>
      <c r="G701" t="s">
        <v>102</v>
      </c>
      <c r="J701" t="s">
        <v>155</v>
      </c>
      <c r="K701">
        <v>1</v>
      </c>
      <c r="L701" t="s">
        <v>713</v>
      </c>
      <c r="M701">
        <v>25</v>
      </c>
      <c r="N701" s="195">
        <v>43466</v>
      </c>
      <c r="O701" s="195"/>
      <c r="R701" t="s">
        <v>155</v>
      </c>
      <c r="S701">
        <v>1</v>
      </c>
    </row>
    <row r="702" spans="1:19" x14ac:dyDescent="0.25">
      <c r="A702" t="str">
        <f>TableSTRUEDENG[[#This Row],[Study Package Code]]</f>
        <v>EDUC4044</v>
      </c>
      <c r="B702" s="5">
        <f>TableSTRUEDENG[[#This Row],[Ver]]</f>
        <v>2</v>
      </c>
      <c r="D702" t="str">
        <f>TableSTRUEDENG[[#This Row],[Structure Line]]</f>
        <v>Literacy and Numeracy for First Nations Peoples of Australia</v>
      </c>
      <c r="E702" s="125">
        <f>TableSTRUEDENG[[#This Row],[Credit Points]]</f>
        <v>25</v>
      </c>
      <c r="G702" t="s">
        <v>102</v>
      </c>
      <c r="J702" t="s">
        <v>157</v>
      </c>
      <c r="K702">
        <v>2</v>
      </c>
      <c r="L702" t="s">
        <v>714</v>
      </c>
      <c r="M702">
        <v>25</v>
      </c>
      <c r="N702" s="195">
        <v>44927</v>
      </c>
      <c r="O702" s="195"/>
      <c r="R702" t="s">
        <v>157</v>
      </c>
      <c r="S702">
        <v>1</v>
      </c>
    </row>
    <row r="703" spans="1:19" x14ac:dyDescent="0.25">
      <c r="A703" t="str">
        <f>TableSTRUEDENG[[#This Row],[Study Package Code]]</f>
        <v>EDUC4046</v>
      </c>
      <c r="B703" s="5">
        <f>TableSTRUEDENG[[#This Row],[Ver]]</f>
        <v>1</v>
      </c>
      <c r="D703" t="str">
        <f>TableSTRUEDENG[[#This Row],[Structure Line]]</f>
        <v>Technologies: Digital Solutions</v>
      </c>
      <c r="E703" s="125">
        <f>TableSTRUEDENG[[#This Row],[Credit Points]]</f>
        <v>25</v>
      </c>
      <c r="G703" t="s">
        <v>102</v>
      </c>
      <c r="J703" t="s">
        <v>162</v>
      </c>
      <c r="K703" s="196">
        <v>1</v>
      </c>
      <c r="L703" s="196" t="s">
        <v>715</v>
      </c>
      <c r="M703" s="196">
        <v>25</v>
      </c>
      <c r="N703" s="195">
        <v>43466</v>
      </c>
      <c r="O703" s="195"/>
      <c r="R703" t="s">
        <v>162</v>
      </c>
      <c r="S703">
        <v>1</v>
      </c>
    </row>
    <row r="704" spans="1:19" x14ac:dyDescent="0.25">
      <c r="A704" t="str">
        <f>TableSTRUEDENG[[#This Row],[Study Package Code]]</f>
        <v>EDUC4048</v>
      </c>
      <c r="B704" s="5">
        <f>TableSTRUEDENG[[#This Row],[Ver]]</f>
        <v>1</v>
      </c>
      <c r="D704" t="str">
        <f>TableSTRUEDENG[[#This Row],[Structure Line]]</f>
        <v>Mentoring, Coaching and Tutoring</v>
      </c>
      <c r="E704" s="125">
        <f>TableSTRUEDENG[[#This Row],[Credit Points]]</f>
        <v>25</v>
      </c>
      <c r="G704" t="s">
        <v>102</v>
      </c>
      <c r="J704" t="s">
        <v>117</v>
      </c>
      <c r="K704">
        <v>1</v>
      </c>
      <c r="L704" t="s">
        <v>716</v>
      </c>
      <c r="M704">
        <v>25</v>
      </c>
      <c r="N704" s="195">
        <v>43466</v>
      </c>
      <c r="O704" s="195"/>
      <c r="R704" t="s">
        <v>117</v>
      </c>
      <c r="S704">
        <v>1</v>
      </c>
    </row>
    <row r="705" spans="1:19" x14ac:dyDescent="0.25">
      <c r="A705">
        <f>TableSTRUEDENG[[#This Row],[Study Package Code]]</f>
        <v>0</v>
      </c>
      <c r="B705" s="5">
        <f>TableSTRUEDENG[[#This Row],[Ver]]</f>
        <v>0</v>
      </c>
      <c r="D705">
        <f>TableSTRUEDENG[[#This Row],[Structure Line]]</f>
        <v>0</v>
      </c>
      <c r="E705" s="125">
        <f>TableSTRUEDENG[[#This Row],[Credit Points]]</f>
        <v>0</v>
      </c>
      <c r="N705" s="195"/>
      <c r="O705" s="195"/>
      <c r="R705" t="s">
        <v>169</v>
      </c>
      <c r="S705">
        <v>1</v>
      </c>
    </row>
    <row r="706" spans="1:19" x14ac:dyDescent="0.25">
      <c r="A706" s="122"/>
      <c r="B706" s="124"/>
      <c r="C706" s="122"/>
      <c r="G706" s="123" t="s">
        <v>855</v>
      </c>
      <c r="H706" s="199">
        <v>43466</v>
      </c>
      <c r="J706" s="197" t="s">
        <v>253</v>
      </c>
      <c r="K706" s="124" t="s">
        <v>67</v>
      </c>
      <c r="L706" s="122" t="s">
        <v>252</v>
      </c>
      <c r="M706" s="122"/>
    </row>
    <row r="707" spans="1:19" ht="31.5" x14ac:dyDescent="0.25">
      <c r="A707" s="159" t="s">
        <v>0</v>
      </c>
      <c r="B707" s="160" t="s">
        <v>60</v>
      </c>
      <c r="C707" s="159" t="s">
        <v>856</v>
      </c>
      <c r="D707" s="159" t="s">
        <v>3</v>
      </c>
      <c r="E707" s="161" t="s">
        <v>857</v>
      </c>
      <c r="F707" s="159" t="s">
        <v>858</v>
      </c>
      <c r="G707" s="159" t="s">
        <v>859</v>
      </c>
      <c r="H707" s="159" t="s">
        <v>860</v>
      </c>
      <c r="I707" s="159" t="s">
        <v>17</v>
      </c>
      <c r="J707" s="159" t="s">
        <v>861</v>
      </c>
      <c r="K707" s="159" t="s">
        <v>1</v>
      </c>
      <c r="L707" s="159" t="s">
        <v>44</v>
      </c>
      <c r="M707" s="159" t="s">
        <v>61</v>
      </c>
      <c r="N707" s="159" t="s">
        <v>862</v>
      </c>
      <c r="O707" s="159" t="s">
        <v>863</v>
      </c>
      <c r="R707" t="s">
        <v>538</v>
      </c>
      <c r="S707" t="s">
        <v>864</v>
      </c>
    </row>
    <row r="708" spans="1:19" x14ac:dyDescent="0.25">
      <c r="A708" t="str">
        <f>TableSTRUEDHAS[[#This Row],[Study Package Code]]</f>
        <v>EDUC1027</v>
      </c>
      <c r="B708" s="5">
        <f>TableSTRUEDHAS[[#This Row],[Ver]]</f>
        <v>1</v>
      </c>
      <c r="D708" t="str">
        <f>TableSTRUEDHAS[[#This Row],[Structure Line]]</f>
        <v>Educators Inquiring About the World</v>
      </c>
      <c r="E708" s="125">
        <f>TableSTRUEDHAS[[#This Row],[Credit Points]]</f>
        <v>25</v>
      </c>
      <c r="F708">
        <v>1</v>
      </c>
      <c r="G708" t="s">
        <v>865</v>
      </c>
      <c r="H708">
        <v>1</v>
      </c>
      <c r="I708" t="s">
        <v>529</v>
      </c>
      <c r="J708" t="s">
        <v>53</v>
      </c>
      <c r="K708">
        <v>1</v>
      </c>
      <c r="L708" t="s">
        <v>688</v>
      </c>
      <c r="M708">
        <v>25</v>
      </c>
      <c r="N708" s="195">
        <v>43466</v>
      </c>
      <c r="O708" s="195"/>
      <c r="R708" t="s">
        <v>53</v>
      </c>
      <c r="S708">
        <v>1</v>
      </c>
    </row>
    <row r="709" spans="1:19" x14ac:dyDescent="0.25">
      <c r="A709" t="str">
        <f>TableSTRUEDHAS[[#This Row],[Study Package Code]]</f>
        <v>EDPR3003</v>
      </c>
      <c r="B709" s="5">
        <f>TableSTRUEDHAS[[#This Row],[Ver]]</f>
        <v>2</v>
      </c>
      <c r="D709" t="str">
        <f>TableSTRUEDHAS[[#This Row],[Structure Line]]</f>
        <v>Inquiry in the Humanities and Social Sciences Classroom</v>
      </c>
      <c r="E709" s="125">
        <f>TableSTRUEDHAS[[#This Row],[Credit Points]]</f>
        <v>25</v>
      </c>
      <c r="F709">
        <v>2</v>
      </c>
      <c r="G709" t="s">
        <v>865</v>
      </c>
      <c r="H709">
        <v>2</v>
      </c>
      <c r="I709" t="s">
        <v>528</v>
      </c>
      <c r="J709" t="s">
        <v>112</v>
      </c>
      <c r="K709">
        <v>2</v>
      </c>
      <c r="L709" t="s">
        <v>645</v>
      </c>
      <c r="M709">
        <v>25</v>
      </c>
      <c r="N709" s="195">
        <v>43466</v>
      </c>
      <c r="O709" s="195"/>
      <c r="R709" t="s">
        <v>112</v>
      </c>
      <c r="S709">
        <v>2</v>
      </c>
    </row>
    <row r="710" spans="1:19" x14ac:dyDescent="0.25">
      <c r="A710" t="str">
        <f>TableSTRUEDHAS[[#This Row],[Study Package Code]]</f>
        <v>OptionStream</v>
      </c>
      <c r="B710" s="5">
        <f>TableSTRUEDHAS[[#This Row],[Ver]]</f>
        <v>0</v>
      </c>
      <c r="D710" t="str">
        <f>TableSTRUEDHAS[[#This Row],[Structure Line]]</f>
        <v>Choose your Optional unit</v>
      </c>
      <c r="E710" s="125" t="str">
        <f>TableSTRUEDHAS[[#This Row],[Credit Points]]</f>
        <v/>
      </c>
      <c r="F710">
        <v>3</v>
      </c>
      <c r="G710" t="s">
        <v>102</v>
      </c>
      <c r="H710">
        <v>2</v>
      </c>
      <c r="I710" t="s">
        <v>529</v>
      </c>
      <c r="J710" t="s">
        <v>886</v>
      </c>
      <c r="K710">
        <v>0</v>
      </c>
      <c r="L710" t="s">
        <v>896</v>
      </c>
      <c r="M710" t="s">
        <v>874</v>
      </c>
      <c r="N710" s="195"/>
      <c r="O710" s="195"/>
      <c r="R710" t="s">
        <v>886</v>
      </c>
      <c r="S710">
        <v>0</v>
      </c>
    </row>
    <row r="711" spans="1:19" x14ac:dyDescent="0.25">
      <c r="A711" t="str">
        <f>TableSTRUEDHAS[[#This Row],[Study Package Code]]</f>
        <v>OptionStream</v>
      </c>
      <c r="B711" s="5">
        <f>TableSTRUEDHAS[[#This Row],[Ver]]</f>
        <v>0</v>
      </c>
      <c r="D711" t="str">
        <f>TableSTRUEDHAS[[#This Row],[Structure Line]]</f>
        <v>Choose your Optional unit</v>
      </c>
      <c r="E711" s="125" t="str">
        <f>TableSTRUEDHAS[[#This Row],[Credit Points]]</f>
        <v/>
      </c>
      <c r="F711">
        <v>4</v>
      </c>
      <c r="G711" t="s">
        <v>102</v>
      </c>
      <c r="H711">
        <v>3</v>
      </c>
      <c r="I711" t="s">
        <v>528</v>
      </c>
      <c r="J711" t="s">
        <v>886</v>
      </c>
      <c r="K711">
        <v>0</v>
      </c>
      <c r="L711" t="s">
        <v>896</v>
      </c>
      <c r="M711" t="s">
        <v>874</v>
      </c>
      <c r="N711" s="195"/>
      <c r="O711" s="195"/>
      <c r="R711" t="s">
        <v>886</v>
      </c>
      <c r="S711">
        <v>0</v>
      </c>
    </row>
    <row r="712" spans="1:19" x14ac:dyDescent="0.25">
      <c r="A712" t="str">
        <f>TableSTRUEDHAS[[#This Row],[Study Package Code]]</f>
        <v>OptionStream</v>
      </c>
      <c r="B712" s="5">
        <f>TableSTRUEDHAS[[#This Row],[Ver]]</f>
        <v>0</v>
      </c>
      <c r="D712" t="str">
        <f>TableSTRUEDHAS[[#This Row],[Structure Line]]</f>
        <v>Choose your Optional unit</v>
      </c>
      <c r="E712" s="125" t="str">
        <f>TableSTRUEDHAS[[#This Row],[Credit Points]]</f>
        <v/>
      </c>
      <c r="F712">
        <v>5</v>
      </c>
      <c r="G712" t="s">
        <v>102</v>
      </c>
      <c r="H712">
        <v>3</v>
      </c>
      <c r="I712" t="s">
        <v>528</v>
      </c>
      <c r="J712" t="s">
        <v>886</v>
      </c>
      <c r="K712">
        <v>0</v>
      </c>
      <c r="L712" t="s">
        <v>896</v>
      </c>
      <c r="M712" t="s">
        <v>874</v>
      </c>
      <c r="N712" s="195"/>
      <c r="O712" s="195"/>
      <c r="R712" t="s">
        <v>886</v>
      </c>
      <c r="S712">
        <v>0</v>
      </c>
    </row>
    <row r="713" spans="1:19" x14ac:dyDescent="0.25">
      <c r="A713" t="str">
        <f>TableSTRUEDHAS[[#This Row],[Study Package Code]]</f>
        <v>OptionStream</v>
      </c>
      <c r="B713" s="5">
        <f>TableSTRUEDHAS[[#This Row],[Ver]]</f>
        <v>0</v>
      </c>
      <c r="D713" t="str">
        <f>TableSTRUEDHAS[[#This Row],[Structure Line]]</f>
        <v>Choose your Optional unit</v>
      </c>
      <c r="E713" s="125" t="str">
        <f>TableSTRUEDHAS[[#This Row],[Credit Points]]</f>
        <v/>
      </c>
      <c r="F713">
        <v>6</v>
      </c>
      <c r="G713" t="s">
        <v>102</v>
      </c>
      <c r="H713">
        <v>3</v>
      </c>
      <c r="I713" t="s">
        <v>529</v>
      </c>
      <c r="J713" t="s">
        <v>886</v>
      </c>
      <c r="K713">
        <v>0</v>
      </c>
      <c r="L713" t="s">
        <v>896</v>
      </c>
      <c r="M713" t="s">
        <v>874</v>
      </c>
      <c r="N713" s="195"/>
      <c r="O713" s="195"/>
      <c r="R713" t="s">
        <v>886</v>
      </c>
      <c r="S713">
        <v>0</v>
      </c>
    </row>
    <row r="714" spans="1:19" x14ac:dyDescent="0.25">
      <c r="A714" t="str">
        <f>TableSTRUEDHAS[[#This Row],[Study Package Code]]</f>
        <v>CTED4000</v>
      </c>
      <c r="B714" s="5">
        <f>TableSTRUEDHAS[[#This Row],[Ver]]</f>
        <v>1</v>
      </c>
      <c r="D714" t="str">
        <f>TableSTRUEDHAS[[#This Row],[Structure Line]]</f>
        <v>An Introduction to Catholic Education</v>
      </c>
      <c r="E714" s="125">
        <f>TableSTRUEDHAS[[#This Row],[Credit Points]]</f>
        <v>25</v>
      </c>
      <c r="G714" t="s">
        <v>102</v>
      </c>
      <c r="J714" t="s">
        <v>171</v>
      </c>
      <c r="K714">
        <v>1</v>
      </c>
      <c r="L714" t="s">
        <v>583</v>
      </c>
      <c r="M714">
        <v>25</v>
      </c>
      <c r="N714" s="195">
        <v>42005</v>
      </c>
      <c r="O714" s="195"/>
      <c r="R714" t="s">
        <v>171</v>
      </c>
      <c r="S714">
        <v>1</v>
      </c>
    </row>
    <row r="715" spans="1:19" x14ac:dyDescent="0.25">
      <c r="A715" t="str">
        <f>TableSTRUEDHAS[[#This Row],[Study Package Code]]</f>
        <v>CTED4001</v>
      </c>
      <c r="B715" s="5">
        <f>TableSTRUEDHAS[[#This Row],[Ver]]</f>
        <v>1</v>
      </c>
      <c r="D715" t="str">
        <f>TableSTRUEDHAS[[#This Row],[Structure Line]]</f>
        <v>Creed and Sacraments in Catholic Studies</v>
      </c>
      <c r="E715" s="125">
        <f>TableSTRUEDHAS[[#This Row],[Credit Points]]</f>
        <v>25</v>
      </c>
      <c r="G715" t="s">
        <v>102</v>
      </c>
      <c r="J715" t="s">
        <v>150</v>
      </c>
      <c r="K715">
        <v>1</v>
      </c>
      <c r="L715" t="s">
        <v>588</v>
      </c>
      <c r="M715">
        <v>25</v>
      </c>
      <c r="N715" s="195">
        <v>42005</v>
      </c>
      <c r="O715" s="195">
        <v>45291</v>
      </c>
      <c r="R715" t="s">
        <v>150</v>
      </c>
      <c r="S715">
        <v>1</v>
      </c>
    </row>
    <row r="716" spans="1:19" x14ac:dyDescent="0.25">
      <c r="A716" t="str">
        <f>TableSTRUEDHAS[[#This Row],[Study Package Code]]</f>
        <v>CTED4002</v>
      </c>
      <c r="B716" s="5">
        <f>TableSTRUEDHAS[[#This Row],[Ver]]</f>
        <v>2</v>
      </c>
      <c r="D716" t="str">
        <f>TableSTRUEDHAS[[#This Row],[Structure Line]]</f>
        <v>Prayer and Morality in Catholic Studies</v>
      </c>
      <c r="E716" s="125">
        <f>TableSTRUEDHAS[[#This Row],[Credit Points]]</f>
        <v>25</v>
      </c>
      <c r="G716" t="s">
        <v>102</v>
      </c>
      <c r="J716" t="s">
        <v>172</v>
      </c>
      <c r="K716">
        <v>2</v>
      </c>
      <c r="L716" t="s">
        <v>591</v>
      </c>
      <c r="M716">
        <v>25</v>
      </c>
      <c r="N716" s="195">
        <v>44197</v>
      </c>
      <c r="O716" s="195"/>
      <c r="R716" t="s">
        <v>172</v>
      </c>
      <c r="S716">
        <v>2</v>
      </c>
    </row>
    <row r="717" spans="1:19" x14ac:dyDescent="0.25">
      <c r="A717" t="str">
        <f>TableSTRUEDHAS[[#This Row],[Study Package Code]]</f>
        <v>CTED4006</v>
      </c>
      <c r="B717" s="5">
        <f>TableSTRUEDHAS[[#This Row],[Ver]]</f>
        <v>1</v>
      </c>
      <c r="D717" t="str">
        <f>TableSTRUEDHAS[[#This Row],[Structure Line]]</f>
        <v>Teaching About Jesus in Catholic Schools</v>
      </c>
      <c r="E717" s="125">
        <f>TableSTRUEDHAS[[#This Row],[Credit Points]]</f>
        <v>25</v>
      </c>
      <c r="G717" t="s">
        <v>102</v>
      </c>
      <c r="J717" t="s">
        <v>152</v>
      </c>
      <c r="K717">
        <v>1</v>
      </c>
      <c r="L717" t="s">
        <v>592</v>
      </c>
      <c r="M717">
        <v>25</v>
      </c>
      <c r="N717" s="195">
        <v>45292</v>
      </c>
      <c r="O717" s="195"/>
    </row>
    <row r="718" spans="1:19" x14ac:dyDescent="0.25">
      <c r="A718" t="str">
        <f>TableSTRUEDHAS[[#This Row],[Study Package Code]]</f>
        <v>CTED4008</v>
      </c>
      <c r="B718" s="5">
        <f>TableSTRUEDHAS[[#This Row],[Ver]]</f>
        <v>1</v>
      </c>
      <c r="D718" t="str">
        <f>TableSTRUEDHAS[[#This Row],[Structure Line]]</f>
        <v>Teaching About the Gospels in Catholic Schools</v>
      </c>
      <c r="E718" s="125">
        <f>TableSTRUEDHAS[[#This Row],[Credit Points]]</f>
        <v>25</v>
      </c>
      <c r="G718" t="s">
        <v>102</v>
      </c>
      <c r="J718" t="s">
        <v>154</v>
      </c>
      <c r="K718">
        <v>1</v>
      </c>
      <c r="L718" t="s">
        <v>593</v>
      </c>
      <c r="M718">
        <v>25</v>
      </c>
      <c r="N718" s="195">
        <v>45292</v>
      </c>
      <c r="O718" s="195"/>
    </row>
    <row r="719" spans="1:19" x14ac:dyDescent="0.25">
      <c r="A719" t="str">
        <f>TableSTRUEDHAS[[#This Row],[Study Package Code]]</f>
        <v>EDIB4000</v>
      </c>
      <c r="B719" s="5">
        <f>TableSTRUEDHAS[[#This Row],[Ver]]</f>
        <v>1</v>
      </c>
      <c r="D719" t="str">
        <f>TableSTRUEDHAS[[#This Row],[Structure Line]]</f>
        <v>Introduction to the International Baccalaureate Programme</v>
      </c>
      <c r="E719" s="125">
        <f>TableSTRUEDHAS[[#This Row],[Credit Points]]</f>
        <v>25</v>
      </c>
      <c r="G719" t="s">
        <v>102</v>
      </c>
      <c r="J719" t="s">
        <v>166</v>
      </c>
      <c r="K719">
        <v>1</v>
      </c>
      <c r="L719" t="s">
        <v>631</v>
      </c>
      <c r="M719">
        <v>25</v>
      </c>
      <c r="N719" s="195">
        <v>42005</v>
      </c>
      <c r="O719" s="195"/>
      <c r="R719" t="s">
        <v>166</v>
      </c>
      <c r="S719">
        <v>1</v>
      </c>
    </row>
    <row r="720" spans="1:19" x14ac:dyDescent="0.25">
      <c r="A720" t="str">
        <f>TableSTRUEDHAS[[#This Row],[Study Package Code]]</f>
        <v>EDIB4002</v>
      </c>
      <c r="B720" s="5">
        <f>TableSTRUEDHAS[[#This Row],[Ver]]</f>
        <v>1</v>
      </c>
      <c r="D720" t="str">
        <f>TableSTRUEDHAS[[#This Row],[Structure Line]]</f>
        <v>International Baccalaureate Middle Years Programme</v>
      </c>
      <c r="E720" s="125">
        <f>TableSTRUEDHAS[[#This Row],[Credit Points]]</f>
        <v>25</v>
      </c>
      <c r="G720" t="s">
        <v>102</v>
      </c>
      <c r="J720" t="s">
        <v>170</v>
      </c>
      <c r="K720">
        <v>1</v>
      </c>
      <c r="L720" t="s">
        <v>634</v>
      </c>
      <c r="M720">
        <v>25</v>
      </c>
      <c r="N720" s="195">
        <v>42005</v>
      </c>
      <c r="O720" s="195"/>
      <c r="R720" t="s">
        <v>170</v>
      </c>
      <c r="S720">
        <v>1</v>
      </c>
    </row>
    <row r="721" spans="1:19" x14ac:dyDescent="0.25">
      <c r="A721" t="str">
        <f>TableSTRUEDHAS[[#This Row],[Study Package Code]]</f>
        <v>EDIB4003</v>
      </c>
      <c r="B721" s="5">
        <f>TableSTRUEDHAS[[#This Row],[Ver]]</f>
        <v>1</v>
      </c>
      <c r="D721" t="str">
        <f>TableSTRUEDHAS[[#This Row],[Structure Line]]</f>
        <v>The International Baccalaureate in Action</v>
      </c>
      <c r="E721" s="125">
        <f>TableSTRUEDHAS[[#This Row],[Credit Points]]</f>
        <v>25</v>
      </c>
      <c r="G721" t="s">
        <v>102</v>
      </c>
      <c r="J721" t="s">
        <v>168</v>
      </c>
      <c r="K721">
        <v>1</v>
      </c>
      <c r="L721" t="s">
        <v>635</v>
      </c>
      <c r="M721">
        <v>25</v>
      </c>
      <c r="N721" s="195">
        <v>42005</v>
      </c>
      <c r="O721" s="195"/>
      <c r="R721" t="s">
        <v>168</v>
      </c>
      <c r="S721">
        <v>1</v>
      </c>
    </row>
    <row r="722" spans="1:19" x14ac:dyDescent="0.25">
      <c r="A722" t="str">
        <f>TableSTRUEDHAS[[#This Row],[Study Package Code]]</f>
        <v>EDUC4012</v>
      </c>
      <c r="B722" s="5">
        <f>TableSTRUEDHAS[[#This Row],[Ver]]</f>
        <v>2</v>
      </c>
      <c r="D722" t="str">
        <f>TableSTRUEDHAS[[#This Row],[Structure Line]]</f>
        <v>Relationships and Sexuality Education</v>
      </c>
      <c r="E722" s="125">
        <f>TableSTRUEDHAS[[#This Row],[Credit Points]]</f>
        <v>25</v>
      </c>
      <c r="G722" t="s">
        <v>102</v>
      </c>
      <c r="J722" t="s">
        <v>156</v>
      </c>
      <c r="K722">
        <v>2</v>
      </c>
      <c r="L722" t="s">
        <v>697</v>
      </c>
      <c r="M722">
        <v>25</v>
      </c>
      <c r="N722" s="195">
        <v>44927</v>
      </c>
      <c r="O722" s="195"/>
      <c r="R722" t="s">
        <v>156</v>
      </c>
      <c r="S722">
        <v>2</v>
      </c>
    </row>
    <row r="723" spans="1:19" x14ac:dyDescent="0.25">
      <c r="A723" t="str">
        <f>TableSTRUEDHAS[[#This Row],[Study Package Code]]</f>
        <v>EDUC4014</v>
      </c>
      <c r="B723" s="5">
        <f>TableSTRUEDHAS[[#This Row],[Ver]]</f>
        <v>1</v>
      </c>
      <c r="D723" t="str">
        <f>TableSTRUEDHAS[[#This Row],[Structure Line]]</f>
        <v>Diverse Abilities and Curriculum Differentiation</v>
      </c>
      <c r="E723" s="125">
        <f>TableSTRUEDHAS[[#This Row],[Credit Points]]</f>
        <v>25</v>
      </c>
      <c r="G723" t="s">
        <v>102</v>
      </c>
      <c r="J723" t="s">
        <v>158</v>
      </c>
      <c r="K723">
        <v>1</v>
      </c>
      <c r="L723" t="s">
        <v>698</v>
      </c>
      <c r="M723">
        <v>25</v>
      </c>
      <c r="N723" s="195">
        <v>42005</v>
      </c>
      <c r="O723" s="195"/>
      <c r="R723" t="s">
        <v>158</v>
      </c>
      <c r="S723">
        <v>1</v>
      </c>
    </row>
    <row r="724" spans="1:19" x14ac:dyDescent="0.25">
      <c r="A724" t="str">
        <f>TableSTRUEDHAS[[#This Row],[Study Package Code]]</f>
        <v>EDUC4020</v>
      </c>
      <c r="B724" s="5">
        <f>TableSTRUEDHAS[[#This Row],[Ver]]</f>
        <v>1</v>
      </c>
      <c r="D724" t="str">
        <f>TableSTRUEDHAS[[#This Row],[Structure Line]]</f>
        <v>Supporting Literacy and Numeracy Development for Diverse Learners</v>
      </c>
      <c r="E724" s="125">
        <f>TableSTRUEDHAS[[#This Row],[Credit Points]]</f>
        <v>25</v>
      </c>
      <c r="G724" t="s">
        <v>102</v>
      </c>
      <c r="J724" t="s">
        <v>153</v>
      </c>
      <c r="K724">
        <v>1</v>
      </c>
      <c r="L724" t="s">
        <v>699</v>
      </c>
      <c r="M724">
        <v>25</v>
      </c>
      <c r="N724" s="195">
        <v>43282</v>
      </c>
      <c r="O724" s="195"/>
      <c r="R724" t="s">
        <v>153</v>
      </c>
      <c r="S724">
        <v>1</v>
      </c>
    </row>
    <row r="725" spans="1:19" x14ac:dyDescent="0.25">
      <c r="A725" t="str">
        <f>TableSTRUEDHAS[[#This Row],[Study Package Code]]</f>
        <v>EDUC4021</v>
      </c>
      <c r="B725" s="5">
        <f>TableSTRUEDHAS[[#This Row],[Ver]]</f>
        <v>1</v>
      </c>
      <c r="D725" t="str">
        <f>TableSTRUEDHAS[[#This Row],[Structure Line]]</f>
        <v>Project-based iSTEM Education</v>
      </c>
      <c r="E725" s="125">
        <f>TableSTRUEDHAS[[#This Row],[Credit Points]]</f>
        <v>25</v>
      </c>
      <c r="G725" t="s">
        <v>102</v>
      </c>
      <c r="J725" t="s">
        <v>142</v>
      </c>
      <c r="K725">
        <v>1</v>
      </c>
      <c r="L725" t="s">
        <v>700</v>
      </c>
      <c r="M725">
        <v>25</v>
      </c>
      <c r="N725" s="195">
        <v>43282</v>
      </c>
      <c r="O725" s="195"/>
      <c r="R725" t="s">
        <v>142</v>
      </c>
      <c r="S725">
        <v>1</v>
      </c>
    </row>
    <row r="726" spans="1:19" x14ac:dyDescent="0.25">
      <c r="A726" t="str">
        <f>TableSTRUEDHAS[[#This Row],[Study Package Code]]</f>
        <v>EDUC4022</v>
      </c>
      <c r="B726" s="5">
        <f>TableSTRUEDHAS[[#This Row],[Ver]]</f>
        <v>1</v>
      </c>
      <c r="D726" t="str">
        <f>TableSTRUEDHAS[[#This Row],[Structure Line]]</f>
        <v>Creative Literacies</v>
      </c>
      <c r="E726" s="125">
        <f>TableSTRUEDHAS[[#This Row],[Credit Points]]</f>
        <v>25</v>
      </c>
      <c r="G726" t="s">
        <v>102</v>
      </c>
      <c r="J726" t="s">
        <v>147</v>
      </c>
      <c r="K726">
        <v>1</v>
      </c>
      <c r="L726" t="s">
        <v>701</v>
      </c>
      <c r="M726">
        <v>25</v>
      </c>
      <c r="N726" s="195">
        <v>43282</v>
      </c>
      <c r="O726" s="195"/>
      <c r="R726" t="s">
        <v>147</v>
      </c>
      <c r="S726">
        <v>1</v>
      </c>
    </row>
    <row r="727" spans="1:19" x14ac:dyDescent="0.25">
      <c r="A727" t="str">
        <f>TableSTRUEDHAS[[#This Row],[Study Package Code]]</f>
        <v>EDUC4023</v>
      </c>
      <c r="B727" s="5">
        <f>TableSTRUEDHAS[[#This Row],[Ver]]</f>
        <v>1</v>
      </c>
      <c r="D727" t="str">
        <f>TableSTRUEDHAS[[#This Row],[Structure Line]]</f>
        <v>Creating and Responding to Literature</v>
      </c>
      <c r="E727" s="125">
        <f>TableSTRUEDHAS[[#This Row],[Credit Points]]</f>
        <v>25</v>
      </c>
      <c r="G727" t="s">
        <v>102</v>
      </c>
      <c r="J727" t="s">
        <v>148</v>
      </c>
      <c r="K727">
        <v>1</v>
      </c>
      <c r="L727" t="s">
        <v>702</v>
      </c>
      <c r="M727">
        <v>25</v>
      </c>
      <c r="N727" s="195">
        <v>43282</v>
      </c>
      <c r="O727" s="195"/>
      <c r="R727" t="s">
        <v>148</v>
      </c>
      <c r="S727">
        <v>1</v>
      </c>
    </row>
    <row r="728" spans="1:19" x14ac:dyDescent="0.25">
      <c r="A728" t="str">
        <f>TableSTRUEDHAS[[#This Row],[Study Package Code]]</f>
        <v>EDUC4029</v>
      </c>
      <c r="B728" s="5">
        <f>TableSTRUEDHAS[[#This Row],[Ver]]</f>
        <v>1</v>
      </c>
      <c r="D728" t="str">
        <f>TableSTRUEDHAS[[#This Row],[Structure Line]]</f>
        <v>Technologies: Coding for Teachers</v>
      </c>
      <c r="E728" s="125">
        <f>TableSTRUEDHAS[[#This Row],[Credit Points]]</f>
        <v>25</v>
      </c>
      <c r="G728" t="s">
        <v>102</v>
      </c>
      <c r="J728" t="s">
        <v>160</v>
      </c>
      <c r="K728">
        <v>1</v>
      </c>
      <c r="L728" t="s">
        <v>703</v>
      </c>
      <c r="M728">
        <v>25</v>
      </c>
      <c r="N728" s="195">
        <v>43282</v>
      </c>
      <c r="O728" s="195"/>
      <c r="R728" t="s">
        <v>160</v>
      </c>
      <c r="S728">
        <v>1</v>
      </c>
    </row>
    <row r="729" spans="1:19" x14ac:dyDescent="0.25">
      <c r="A729" t="str">
        <f>TableSTRUEDHAS[[#This Row],[Study Package Code]]</f>
        <v>EDUC4031</v>
      </c>
      <c r="B729" s="5">
        <f>TableSTRUEDHAS[[#This Row],[Ver]]</f>
        <v>1</v>
      </c>
      <c r="D729" t="str">
        <f>TableSTRUEDHAS[[#This Row],[Structure Line]]</f>
        <v>Social Justice in Literacy and Numeracy Learning</v>
      </c>
      <c r="E729" s="125">
        <f>TableSTRUEDHAS[[#This Row],[Credit Points]]</f>
        <v>25</v>
      </c>
      <c r="G729" t="s">
        <v>102</v>
      </c>
      <c r="J729" t="s">
        <v>169</v>
      </c>
      <c r="K729">
        <v>1</v>
      </c>
      <c r="L729" t="s">
        <v>705</v>
      </c>
      <c r="M729">
        <v>25</v>
      </c>
      <c r="N729" s="195">
        <v>43282</v>
      </c>
      <c r="O729" s="195">
        <v>44750</v>
      </c>
      <c r="R729" t="s">
        <v>169</v>
      </c>
      <c r="S729">
        <v>1</v>
      </c>
    </row>
    <row r="730" spans="1:19" x14ac:dyDescent="0.25">
      <c r="A730" t="str">
        <f>TableSTRUEDHAS[[#This Row],[Study Package Code]]</f>
        <v>EDUC4032</v>
      </c>
      <c r="B730" s="5">
        <f>TableSTRUEDHAS[[#This Row],[Ver]]</f>
        <v>1</v>
      </c>
      <c r="D730" t="str">
        <f>TableSTRUEDHAS[[#This Row],[Structure Line]]</f>
        <v>iSTEM Education through Digital Stories</v>
      </c>
      <c r="E730" s="125">
        <f>TableSTRUEDHAS[[#This Row],[Credit Points]]</f>
        <v>25</v>
      </c>
      <c r="G730" t="s">
        <v>102</v>
      </c>
      <c r="J730" t="s">
        <v>143</v>
      </c>
      <c r="K730">
        <v>1</v>
      </c>
      <c r="L730" t="s">
        <v>707</v>
      </c>
      <c r="M730">
        <v>25</v>
      </c>
      <c r="N730" s="195">
        <v>43466</v>
      </c>
      <c r="O730" s="195"/>
      <c r="R730" t="s">
        <v>143</v>
      </c>
      <c r="S730">
        <v>1</v>
      </c>
    </row>
    <row r="731" spans="1:19" x14ac:dyDescent="0.25">
      <c r="A731" t="str">
        <f>TableSTRUEDHAS[[#This Row],[Study Package Code]]</f>
        <v>EDUC4034</v>
      </c>
      <c r="B731" s="5">
        <f>TableSTRUEDHAS[[#This Row],[Ver]]</f>
        <v>1</v>
      </c>
      <c r="D731" t="str">
        <f>TableSTRUEDHAS[[#This Row],[Structure Line]]</f>
        <v>iSTEM: Social Issues</v>
      </c>
      <c r="E731" s="125">
        <f>TableSTRUEDHAS[[#This Row],[Credit Points]]</f>
        <v>25</v>
      </c>
      <c r="G731" t="s">
        <v>102</v>
      </c>
      <c r="J731" t="s">
        <v>144</v>
      </c>
      <c r="K731">
        <v>1</v>
      </c>
      <c r="L731" t="s">
        <v>708</v>
      </c>
      <c r="M731">
        <v>25</v>
      </c>
      <c r="N731" s="195">
        <v>43466</v>
      </c>
      <c r="O731" s="195"/>
      <c r="R731" t="s">
        <v>144</v>
      </c>
      <c r="S731">
        <v>1</v>
      </c>
    </row>
    <row r="732" spans="1:19" x14ac:dyDescent="0.25">
      <c r="A732" t="str">
        <f>TableSTRUEDHAS[[#This Row],[Study Package Code]]</f>
        <v>EDUC4036</v>
      </c>
      <c r="B732" s="5">
        <f>TableSTRUEDHAS[[#This Row],[Ver]]</f>
        <v>1</v>
      </c>
      <c r="D732" t="str">
        <f>TableSTRUEDHAS[[#This Row],[Structure Line]]</f>
        <v>Language and Diversity</v>
      </c>
      <c r="E732" s="125">
        <f>TableSTRUEDHAS[[#This Row],[Credit Points]]</f>
        <v>25</v>
      </c>
      <c r="G732" t="s">
        <v>102</v>
      </c>
      <c r="J732" t="s">
        <v>149</v>
      </c>
      <c r="K732">
        <v>1</v>
      </c>
      <c r="L732" t="s">
        <v>709</v>
      </c>
      <c r="M732">
        <v>25</v>
      </c>
      <c r="N732" s="195">
        <v>43466</v>
      </c>
      <c r="O732" s="195"/>
      <c r="R732" t="s">
        <v>149</v>
      </c>
      <c r="S732">
        <v>1</v>
      </c>
    </row>
    <row r="733" spans="1:19" x14ac:dyDescent="0.25">
      <c r="A733" t="str">
        <f>TableSTRUEDHAS[[#This Row],[Study Package Code]]</f>
        <v>EDUC4038</v>
      </c>
      <c r="B733" s="5">
        <f>TableSTRUEDHAS[[#This Row],[Ver]]</f>
        <v>1</v>
      </c>
      <c r="D733" t="str">
        <f>TableSTRUEDHAS[[#This Row],[Structure Line]]</f>
        <v>Technologies: Design Solutions</v>
      </c>
      <c r="E733" s="125">
        <f>TableSTRUEDHAS[[#This Row],[Credit Points]]</f>
        <v>25</v>
      </c>
      <c r="G733" t="s">
        <v>102</v>
      </c>
      <c r="J733" t="s">
        <v>161</v>
      </c>
      <c r="K733" s="196">
        <v>1</v>
      </c>
      <c r="L733" s="196" t="s">
        <v>710</v>
      </c>
      <c r="M733" s="196">
        <v>25</v>
      </c>
      <c r="N733" s="195">
        <v>43466</v>
      </c>
      <c r="O733" s="195"/>
      <c r="R733" t="s">
        <v>161</v>
      </c>
      <c r="S733">
        <v>1</v>
      </c>
    </row>
    <row r="734" spans="1:19" x14ac:dyDescent="0.25">
      <c r="A734" t="str">
        <f>TableSTRUEDHAS[[#This Row],[Study Package Code]]</f>
        <v>EDUC4042</v>
      </c>
      <c r="B734" s="5">
        <f>TableSTRUEDHAS[[#This Row],[Ver]]</f>
        <v>1</v>
      </c>
      <c r="D734" t="str">
        <f>TableSTRUEDHAS[[#This Row],[Structure Line]]</f>
        <v>Alternative Approaches to Teaching Literacy and Numeracy</v>
      </c>
      <c r="E734" s="125">
        <f>TableSTRUEDHAS[[#This Row],[Credit Points]]</f>
        <v>25</v>
      </c>
      <c r="G734" t="s">
        <v>102</v>
      </c>
      <c r="J734" t="s">
        <v>155</v>
      </c>
      <c r="K734">
        <v>1</v>
      </c>
      <c r="L734" t="s">
        <v>713</v>
      </c>
      <c r="M734">
        <v>25</v>
      </c>
      <c r="N734" s="195">
        <v>43466</v>
      </c>
      <c r="O734" s="195"/>
      <c r="R734" t="s">
        <v>155</v>
      </c>
      <c r="S734">
        <v>1</v>
      </c>
    </row>
    <row r="735" spans="1:19" x14ac:dyDescent="0.25">
      <c r="A735" t="str">
        <f>TableSTRUEDHAS[[#This Row],[Study Package Code]]</f>
        <v>EDUC4044</v>
      </c>
      <c r="B735" s="5">
        <f>TableSTRUEDHAS[[#This Row],[Ver]]</f>
        <v>1</v>
      </c>
      <c r="D735" t="str">
        <f>TableSTRUEDHAS[[#This Row],[Structure Line]]</f>
        <v>Literacy and Numeracy for Aboriginal and Torres Strait Islander (ATSI) Learners</v>
      </c>
      <c r="E735" s="125">
        <f>TableSTRUEDHAS[[#This Row],[Credit Points]]</f>
        <v>25</v>
      </c>
      <c r="G735" t="s">
        <v>102</v>
      </c>
      <c r="J735" t="s">
        <v>157</v>
      </c>
      <c r="K735">
        <v>1</v>
      </c>
      <c r="L735" t="s">
        <v>887</v>
      </c>
      <c r="M735">
        <v>25</v>
      </c>
      <c r="N735" s="195">
        <v>43466</v>
      </c>
      <c r="O735" s="195">
        <v>44926</v>
      </c>
      <c r="R735" t="s">
        <v>157</v>
      </c>
      <c r="S735">
        <v>1</v>
      </c>
    </row>
    <row r="736" spans="1:19" x14ac:dyDescent="0.25">
      <c r="A736" t="str">
        <f>TableSTRUEDHAS[[#This Row],[Study Package Code]]</f>
        <v>EDUC4046</v>
      </c>
      <c r="B736" s="5">
        <f>TableSTRUEDHAS[[#This Row],[Ver]]</f>
        <v>1</v>
      </c>
      <c r="D736" t="str">
        <f>TableSTRUEDHAS[[#This Row],[Structure Line]]</f>
        <v>Technologies: Digital Solutions</v>
      </c>
      <c r="E736" s="125">
        <f>TableSTRUEDHAS[[#This Row],[Credit Points]]</f>
        <v>25</v>
      </c>
      <c r="G736" t="s">
        <v>102</v>
      </c>
      <c r="J736" t="s">
        <v>162</v>
      </c>
      <c r="K736">
        <v>1</v>
      </c>
      <c r="L736" t="s">
        <v>715</v>
      </c>
      <c r="M736">
        <v>25</v>
      </c>
      <c r="N736" s="195">
        <v>43466</v>
      </c>
      <c r="O736" s="195"/>
      <c r="R736" t="s">
        <v>162</v>
      </c>
      <c r="S736">
        <v>1</v>
      </c>
    </row>
    <row r="737" spans="1:19" x14ac:dyDescent="0.25">
      <c r="A737" t="str">
        <f>TableSTRUEDHAS[[#This Row],[Study Package Code]]</f>
        <v>EDUC4048</v>
      </c>
      <c r="B737" s="5">
        <f>TableSTRUEDHAS[[#This Row],[Ver]]</f>
        <v>1</v>
      </c>
      <c r="D737" t="str">
        <f>TableSTRUEDHAS[[#This Row],[Structure Line]]</f>
        <v>Mentoring, Coaching and Tutoring</v>
      </c>
      <c r="E737" s="125">
        <f>TableSTRUEDHAS[[#This Row],[Credit Points]]</f>
        <v>25</v>
      </c>
      <c r="G737" t="s">
        <v>102</v>
      </c>
      <c r="J737" t="s">
        <v>117</v>
      </c>
      <c r="K737">
        <v>1</v>
      </c>
      <c r="L737" t="s">
        <v>716</v>
      </c>
      <c r="M737">
        <v>25</v>
      </c>
      <c r="N737" s="195">
        <v>43466</v>
      </c>
      <c r="O737" s="195"/>
      <c r="R737" t="s">
        <v>117</v>
      </c>
      <c r="S737">
        <v>1</v>
      </c>
    </row>
    <row r="738" spans="1:19" x14ac:dyDescent="0.25">
      <c r="A738" s="122"/>
      <c r="B738" s="124"/>
      <c r="C738" s="122"/>
      <c r="G738" s="123" t="s">
        <v>855</v>
      </c>
      <c r="H738" s="199">
        <v>43466</v>
      </c>
      <c r="J738" s="197" t="s">
        <v>255</v>
      </c>
      <c r="K738" s="124" t="s">
        <v>67</v>
      </c>
      <c r="L738" s="122" t="s">
        <v>254</v>
      </c>
      <c r="M738" s="122"/>
    </row>
    <row r="739" spans="1:19" ht="31.5" x14ac:dyDescent="0.25">
      <c r="A739" s="159" t="s">
        <v>0</v>
      </c>
      <c r="B739" s="160" t="s">
        <v>60</v>
      </c>
      <c r="C739" s="159" t="s">
        <v>856</v>
      </c>
      <c r="D739" s="159" t="s">
        <v>3</v>
      </c>
      <c r="E739" s="161" t="s">
        <v>857</v>
      </c>
      <c r="F739" s="159" t="s">
        <v>858</v>
      </c>
      <c r="G739" s="159" t="s">
        <v>859</v>
      </c>
      <c r="H739" s="159" t="s">
        <v>860</v>
      </c>
      <c r="I739" s="159" t="s">
        <v>17</v>
      </c>
      <c r="J739" s="159" t="s">
        <v>861</v>
      </c>
      <c r="K739" s="159" t="s">
        <v>1</v>
      </c>
      <c r="L739" s="159" t="s">
        <v>44</v>
      </c>
      <c r="M739" s="159" t="s">
        <v>61</v>
      </c>
      <c r="N739" s="159" t="s">
        <v>862</v>
      </c>
      <c r="O739" s="159" t="s">
        <v>863</v>
      </c>
      <c r="R739" t="s">
        <v>538</v>
      </c>
      <c r="S739" t="s">
        <v>864</v>
      </c>
    </row>
    <row r="740" spans="1:19" x14ac:dyDescent="0.25">
      <c r="A740" t="str">
        <f>TableSTRUEDMAT[[#This Row],[Study Package Code]]</f>
        <v>OptionStream</v>
      </c>
      <c r="B740" s="5">
        <f>TableSTRUEDMAT[[#This Row],[Ver]]</f>
        <v>0</v>
      </c>
      <c r="D740" t="str">
        <f>TableSTRUEDMAT[[#This Row],[Structure Line]]</f>
        <v>Choose your optional unit</v>
      </c>
      <c r="E740" s="125">
        <f>TableSTRUEDMAT[[#This Row],[Credit Points]]</f>
        <v>25</v>
      </c>
      <c r="F740">
        <v>1</v>
      </c>
      <c r="G740" t="s">
        <v>102</v>
      </c>
      <c r="H740">
        <v>1</v>
      </c>
      <c r="I740" t="s">
        <v>529</v>
      </c>
      <c r="J740" t="s">
        <v>886</v>
      </c>
      <c r="K740">
        <v>0</v>
      </c>
      <c r="L740" t="s">
        <v>897</v>
      </c>
      <c r="M740">
        <v>25</v>
      </c>
      <c r="N740" s="195"/>
      <c r="O740" s="195"/>
      <c r="R740" t="s">
        <v>886</v>
      </c>
      <c r="S740">
        <v>0</v>
      </c>
    </row>
    <row r="741" spans="1:19" x14ac:dyDescent="0.25">
      <c r="A741" t="str">
        <f>TableSTRUEDMAT[[#This Row],[Study Package Code]]</f>
        <v>OptionStream</v>
      </c>
      <c r="B741" s="5">
        <f>TableSTRUEDMAT[[#This Row],[Ver]]</f>
        <v>0</v>
      </c>
      <c r="D741" t="str">
        <f>TableSTRUEDMAT[[#This Row],[Structure Line]]</f>
        <v>Choose your optional unit</v>
      </c>
      <c r="E741" s="125">
        <f>TableSTRUEDMAT[[#This Row],[Credit Points]]</f>
        <v>25</v>
      </c>
      <c r="F741">
        <v>2</v>
      </c>
      <c r="G741" t="s">
        <v>102</v>
      </c>
      <c r="H741">
        <v>2</v>
      </c>
      <c r="I741" t="s">
        <v>528</v>
      </c>
      <c r="J741" t="s">
        <v>886</v>
      </c>
      <c r="K741">
        <v>0</v>
      </c>
      <c r="L741" t="s">
        <v>897</v>
      </c>
      <c r="M741">
        <v>25</v>
      </c>
      <c r="N741" s="195"/>
      <c r="O741" s="195"/>
      <c r="R741" t="s">
        <v>886</v>
      </c>
      <c r="S741">
        <v>0</v>
      </c>
    </row>
    <row r="742" spans="1:19" x14ac:dyDescent="0.25">
      <c r="A742" t="str">
        <f>TableSTRUEDMAT[[#This Row],[Study Package Code]]</f>
        <v>EDPR2004</v>
      </c>
      <c r="B742" s="5">
        <f>TableSTRUEDMAT[[#This Row],[Ver]]</f>
        <v>1</v>
      </c>
      <c r="D742" t="str">
        <f>TableSTRUEDMAT[[#This Row],[Structure Line]]</f>
        <v>Children as Mathematical Learners</v>
      </c>
      <c r="E742" s="125">
        <f>TableSTRUEDMAT[[#This Row],[Credit Points]]</f>
        <v>25</v>
      </c>
      <c r="F742">
        <v>3</v>
      </c>
      <c r="G742" t="s">
        <v>865</v>
      </c>
      <c r="H742">
        <v>2</v>
      </c>
      <c r="I742" t="s">
        <v>529</v>
      </c>
      <c r="J742" t="s">
        <v>87</v>
      </c>
      <c r="K742">
        <v>1</v>
      </c>
      <c r="L742" t="s">
        <v>638</v>
      </c>
      <c r="M742">
        <v>25</v>
      </c>
      <c r="N742" s="195">
        <v>42005</v>
      </c>
      <c r="O742" s="195"/>
      <c r="R742" t="s">
        <v>87</v>
      </c>
      <c r="S742">
        <v>1</v>
      </c>
    </row>
    <row r="743" spans="1:19" x14ac:dyDescent="0.25">
      <c r="A743" t="str">
        <f>TableSTRUEDMAT[[#This Row],[Study Package Code]]</f>
        <v>OptionStream</v>
      </c>
      <c r="B743" s="5">
        <f>TableSTRUEDMAT[[#This Row],[Ver]]</f>
        <v>0</v>
      </c>
      <c r="D743" t="str">
        <f>TableSTRUEDMAT[[#This Row],[Structure Line]]</f>
        <v>Choose your optional unit</v>
      </c>
      <c r="E743" s="125">
        <f>TableSTRUEDMAT[[#This Row],[Credit Points]]</f>
        <v>25</v>
      </c>
      <c r="F743">
        <v>4</v>
      </c>
      <c r="G743" t="s">
        <v>102</v>
      </c>
      <c r="H743">
        <v>3</v>
      </c>
      <c r="I743" t="s">
        <v>528</v>
      </c>
      <c r="J743" t="s">
        <v>886</v>
      </c>
      <c r="K743">
        <v>0</v>
      </c>
      <c r="L743" t="s">
        <v>897</v>
      </c>
      <c r="M743">
        <v>25</v>
      </c>
      <c r="N743" s="195"/>
      <c r="O743" s="195"/>
      <c r="R743" t="s">
        <v>886</v>
      </c>
      <c r="S743">
        <v>0</v>
      </c>
    </row>
    <row r="744" spans="1:19" x14ac:dyDescent="0.25">
      <c r="A744" t="str">
        <f>TableSTRUEDMAT[[#This Row],[Study Package Code]]</f>
        <v>EDPR3000</v>
      </c>
      <c r="B744" s="5">
        <f>TableSTRUEDMAT[[#This Row],[Ver]]</f>
        <v>1</v>
      </c>
      <c r="D744" t="str">
        <f>TableSTRUEDMAT[[#This Row],[Structure Line]]</f>
        <v>Inquiry in the Mathematics Classroom</v>
      </c>
      <c r="E744" s="125">
        <f>TableSTRUEDMAT[[#This Row],[Credit Points]]</f>
        <v>25</v>
      </c>
      <c r="F744">
        <v>5</v>
      </c>
      <c r="G744" t="s">
        <v>865</v>
      </c>
      <c r="H744">
        <v>3</v>
      </c>
      <c r="I744" t="s">
        <v>528</v>
      </c>
      <c r="J744" t="s">
        <v>124</v>
      </c>
      <c r="K744">
        <v>1</v>
      </c>
      <c r="L744" t="s">
        <v>643</v>
      </c>
      <c r="M744">
        <v>25</v>
      </c>
      <c r="N744" s="195">
        <v>42005</v>
      </c>
      <c r="O744" s="195"/>
      <c r="R744" t="s">
        <v>124</v>
      </c>
      <c r="S744">
        <v>1</v>
      </c>
    </row>
    <row r="745" spans="1:19" x14ac:dyDescent="0.25">
      <c r="A745" t="str">
        <f>TableSTRUEDMAT[[#This Row],[Study Package Code]]</f>
        <v>OptionStream</v>
      </c>
      <c r="B745" s="5">
        <f>TableSTRUEDMAT[[#This Row],[Ver]]</f>
        <v>0</v>
      </c>
      <c r="D745" t="str">
        <f>TableSTRUEDMAT[[#This Row],[Structure Line]]</f>
        <v>Choose your optional unit</v>
      </c>
      <c r="E745" s="125">
        <f>TableSTRUEDMAT[[#This Row],[Credit Points]]</f>
        <v>25</v>
      </c>
      <c r="F745">
        <v>6</v>
      </c>
      <c r="G745" t="s">
        <v>102</v>
      </c>
      <c r="H745">
        <v>3</v>
      </c>
      <c r="I745" t="s">
        <v>529</v>
      </c>
      <c r="J745" t="s">
        <v>886</v>
      </c>
      <c r="K745">
        <v>0</v>
      </c>
      <c r="L745" t="s">
        <v>897</v>
      </c>
      <c r="M745">
        <v>25</v>
      </c>
      <c r="N745" s="195"/>
      <c r="O745" s="195"/>
      <c r="R745" t="s">
        <v>886</v>
      </c>
      <c r="S745">
        <v>0</v>
      </c>
    </row>
    <row r="746" spans="1:19" x14ac:dyDescent="0.25">
      <c r="A746" t="str">
        <f>TableSTRUEDMAT[[#This Row],[Study Package Code]]</f>
        <v>CTED4000</v>
      </c>
      <c r="B746" s="5">
        <f>TableSTRUEDMAT[[#This Row],[Ver]]</f>
        <v>1</v>
      </c>
      <c r="D746" t="str">
        <f>TableSTRUEDMAT[[#This Row],[Structure Line]]</f>
        <v>An Introduction to Catholic Education</v>
      </c>
      <c r="E746" s="125">
        <f>TableSTRUEDMAT[[#This Row],[Credit Points]]</f>
        <v>25</v>
      </c>
      <c r="G746" t="s">
        <v>102</v>
      </c>
      <c r="J746" t="s">
        <v>171</v>
      </c>
      <c r="K746">
        <v>1</v>
      </c>
      <c r="L746" t="s">
        <v>583</v>
      </c>
      <c r="M746">
        <v>25</v>
      </c>
      <c r="N746" s="195">
        <v>42005</v>
      </c>
      <c r="O746" s="195"/>
      <c r="R746" t="s">
        <v>171</v>
      </c>
      <c r="S746">
        <v>1</v>
      </c>
    </row>
    <row r="747" spans="1:19" x14ac:dyDescent="0.25">
      <c r="A747" t="str">
        <f>TableSTRUEDMAT[[#This Row],[Study Package Code]]</f>
        <v>CTED4001</v>
      </c>
      <c r="B747" s="5">
        <f>TableSTRUEDMAT[[#This Row],[Ver]]</f>
        <v>2</v>
      </c>
      <c r="D747" t="str">
        <f>TableSTRUEDMAT[[#This Row],[Structure Line]]</f>
        <v>Teaching About Sacraments in Catholic Schools</v>
      </c>
      <c r="E747" s="125">
        <f>TableSTRUEDMAT[[#This Row],[Credit Points]]</f>
        <v>25</v>
      </c>
      <c r="G747" t="s">
        <v>102</v>
      </c>
      <c r="J747" t="s">
        <v>150</v>
      </c>
      <c r="K747">
        <v>2</v>
      </c>
      <c r="L747" t="s">
        <v>585</v>
      </c>
      <c r="M747">
        <v>25</v>
      </c>
      <c r="N747" s="195">
        <v>45292</v>
      </c>
      <c r="O747" s="195"/>
      <c r="R747" t="s">
        <v>150</v>
      </c>
      <c r="S747">
        <v>1</v>
      </c>
    </row>
    <row r="748" spans="1:19" x14ac:dyDescent="0.25">
      <c r="A748" t="str">
        <f>TableSTRUEDMAT[[#This Row],[Study Package Code]]</f>
        <v>CTED4002</v>
      </c>
      <c r="B748" s="5">
        <f>TableSTRUEDMAT[[#This Row],[Ver]]</f>
        <v>2</v>
      </c>
      <c r="D748" t="str">
        <f>TableSTRUEDMAT[[#This Row],[Structure Line]]</f>
        <v>Prayer and Morality in Catholic Studies</v>
      </c>
      <c r="E748" s="125">
        <f>TableSTRUEDMAT[[#This Row],[Credit Points]]</f>
        <v>25</v>
      </c>
      <c r="G748" t="s">
        <v>102</v>
      </c>
      <c r="J748" t="s">
        <v>172</v>
      </c>
      <c r="K748">
        <v>2</v>
      </c>
      <c r="L748" t="s">
        <v>591</v>
      </c>
      <c r="M748">
        <v>25</v>
      </c>
      <c r="N748" s="195">
        <v>44197</v>
      </c>
      <c r="O748" s="195"/>
      <c r="R748" t="s">
        <v>172</v>
      </c>
      <c r="S748">
        <v>2</v>
      </c>
    </row>
    <row r="749" spans="1:19" x14ac:dyDescent="0.25">
      <c r="A749" t="str">
        <f>TableSTRUEDMAT[[#This Row],[Study Package Code]]</f>
        <v>CTED4006</v>
      </c>
      <c r="B749" s="5">
        <f>TableSTRUEDMAT[[#This Row],[Ver]]</f>
        <v>1</v>
      </c>
      <c r="D749" t="str">
        <f>TableSTRUEDMAT[[#This Row],[Structure Line]]</f>
        <v>Teaching About Jesus in Catholic Schools</v>
      </c>
      <c r="E749" s="125">
        <f>TableSTRUEDMAT[[#This Row],[Credit Points]]</f>
        <v>25</v>
      </c>
      <c r="G749" t="s">
        <v>102</v>
      </c>
      <c r="J749" t="s">
        <v>152</v>
      </c>
      <c r="K749">
        <v>1</v>
      </c>
      <c r="L749" t="s">
        <v>592</v>
      </c>
      <c r="M749">
        <v>25</v>
      </c>
      <c r="N749" s="195">
        <v>45292</v>
      </c>
      <c r="O749" s="195"/>
    </row>
    <row r="750" spans="1:19" x14ac:dyDescent="0.25">
      <c r="A750" t="str">
        <f>TableSTRUEDMAT[[#This Row],[Study Package Code]]</f>
        <v>CTED4008</v>
      </c>
      <c r="B750" s="5">
        <f>TableSTRUEDMAT[[#This Row],[Ver]]</f>
        <v>1</v>
      </c>
      <c r="D750" t="str">
        <f>TableSTRUEDMAT[[#This Row],[Structure Line]]</f>
        <v>Teaching About the Gospels in Catholic Schools</v>
      </c>
      <c r="E750" s="125">
        <f>TableSTRUEDMAT[[#This Row],[Credit Points]]</f>
        <v>25</v>
      </c>
      <c r="G750" t="s">
        <v>102</v>
      </c>
      <c r="J750" t="s">
        <v>154</v>
      </c>
      <c r="K750">
        <v>1</v>
      </c>
      <c r="L750" t="s">
        <v>593</v>
      </c>
      <c r="M750">
        <v>25</v>
      </c>
      <c r="N750" s="195">
        <v>45292</v>
      </c>
      <c r="O750" s="195"/>
    </row>
    <row r="751" spans="1:19" x14ac:dyDescent="0.25">
      <c r="A751" t="str">
        <f>TableSTRUEDMAT[[#This Row],[Study Package Code]]</f>
        <v>EDIB4000</v>
      </c>
      <c r="B751" s="5">
        <f>TableSTRUEDMAT[[#This Row],[Ver]]</f>
        <v>1</v>
      </c>
      <c r="D751" t="str">
        <f>TableSTRUEDMAT[[#This Row],[Structure Line]]</f>
        <v>Introduction to the International Baccalaureate Programme</v>
      </c>
      <c r="E751" s="125">
        <f>TableSTRUEDMAT[[#This Row],[Credit Points]]</f>
        <v>25</v>
      </c>
      <c r="G751" t="s">
        <v>102</v>
      </c>
      <c r="J751" t="s">
        <v>166</v>
      </c>
      <c r="K751">
        <v>1</v>
      </c>
      <c r="L751" t="s">
        <v>631</v>
      </c>
      <c r="M751">
        <v>25</v>
      </c>
      <c r="N751" s="195">
        <v>42005</v>
      </c>
      <c r="O751" s="195"/>
      <c r="R751" t="s">
        <v>166</v>
      </c>
      <c r="S751">
        <v>1</v>
      </c>
    </row>
    <row r="752" spans="1:19" x14ac:dyDescent="0.25">
      <c r="A752" t="str">
        <f>TableSTRUEDMAT[[#This Row],[Study Package Code]]</f>
        <v>EDIB4002</v>
      </c>
      <c r="B752" s="5">
        <f>TableSTRUEDMAT[[#This Row],[Ver]]</f>
        <v>1</v>
      </c>
      <c r="D752" t="str">
        <f>TableSTRUEDMAT[[#This Row],[Structure Line]]</f>
        <v>International Baccalaureate Middle Years Programme</v>
      </c>
      <c r="E752" s="125">
        <f>TableSTRUEDMAT[[#This Row],[Credit Points]]</f>
        <v>25</v>
      </c>
      <c r="G752" t="s">
        <v>102</v>
      </c>
      <c r="J752" t="s">
        <v>170</v>
      </c>
      <c r="K752">
        <v>1</v>
      </c>
      <c r="L752" t="s">
        <v>634</v>
      </c>
      <c r="M752">
        <v>25</v>
      </c>
      <c r="N752" s="195">
        <v>42005</v>
      </c>
      <c r="O752" s="195"/>
      <c r="R752" t="s">
        <v>170</v>
      </c>
      <c r="S752">
        <v>1</v>
      </c>
    </row>
    <row r="753" spans="1:19" x14ac:dyDescent="0.25">
      <c r="A753" t="str">
        <f>TableSTRUEDMAT[[#This Row],[Study Package Code]]</f>
        <v>EDIB4003</v>
      </c>
      <c r="B753" s="5">
        <f>TableSTRUEDMAT[[#This Row],[Ver]]</f>
        <v>1</v>
      </c>
      <c r="D753" t="str">
        <f>TableSTRUEDMAT[[#This Row],[Structure Line]]</f>
        <v>The International Baccalaureate in Action</v>
      </c>
      <c r="E753" s="125">
        <f>TableSTRUEDMAT[[#This Row],[Credit Points]]</f>
        <v>25</v>
      </c>
      <c r="G753" t="s">
        <v>102</v>
      </c>
      <c r="J753" t="s">
        <v>168</v>
      </c>
      <c r="K753">
        <v>1</v>
      </c>
      <c r="L753" t="s">
        <v>635</v>
      </c>
      <c r="M753">
        <v>25</v>
      </c>
      <c r="N753" s="195">
        <v>42005</v>
      </c>
      <c r="O753" s="195"/>
      <c r="R753" t="s">
        <v>168</v>
      </c>
      <c r="S753">
        <v>1</v>
      </c>
    </row>
    <row r="754" spans="1:19" x14ac:dyDescent="0.25">
      <c r="A754" t="str">
        <f>TableSTRUEDMAT[[#This Row],[Study Package Code]]</f>
        <v>EDUC4012</v>
      </c>
      <c r="B754" s="5">
        <f>TableSTRUEDMAT[[#This Row],[Ver]]</f>
        <v>2</v>
      </c>
      <c r="D754" t="str">
        <f>TableSTRUEDMAT[[#This Row],[Structure Line]]</f>
        <v>Relationships and Sexuality Education</v>
      </c>
      <c r="E754" s="125">
        <f>TableSTRUEDMAT[[#This Row],[Credit Points]]</f>
        <v>25</v>
      </c>
      <c r="G754" t="s">
        <v>102</v>
      </c>
      <c r="J754" t="s">
        <v>156</v>
      </c>
      <c r="K754">
        <v>2</v>
      </c>
      <c r="L754" t="s">
        <v>697</v>
      </c>
      <c r="M754">
        <v>25</v>
      </c>
      <c r="N754" s="195">
        <v>44927</v>
      </c>
      <c r="O754" s="195"/>
      <c r="R754" t="s">
        <v>156</v>
      </c>
      <c r="S754">
        <v>2</v>
      </c>
    </row>
    <row r="755" spans="1:19" x14ac:dyDescent="0.25">
      <c r="A755" t="str">
        <f>TableSTRUEDMAT[[#This Row],[Study Package Code]]</f>
        <v>EDUC4014</v>
      </c>
      <c r="B755" s="5">
        <f>TableSTRUEDMAT[[#This Row],[Ver]]</f>
        <v>1</v>
      </c>
      <c r="D755" t="str">
        <f>TableSTRUEDMAT[[#This Row],[Structure Line]]</f>
        <v>Diverse Abilities and Curriculum Differentiation</v>
      </c>
      <c r="E755" s="125">
        <f>TableSTRUEDMAT[[#This Row],[Credit Points]]</f>
        <v>25</v>
      </c>
      <c r="G755" t="s">
        <v>102</v>
      </c>
      <c r="J755" t="s">
        <v>158</v>
      </c>
      <c r="K755">
        <v>1</v>
      </c>
      <c r="L755" t="s">
        <v>698</v>
      </c>
      <c r="M755">
        <v>25</v>
      </c>
      <c r="N755" s="195">
        <v>42005</v>
      </c>
      <c r="O755" s="195"/>
      <c r="R755" t="s">
        <v>158</v>
      </c>
      <c r="S755">
        <v>1</v>
      </c>
    </row>
    <row r="756" spans="1:19" x14ac:dyDescent="0.25">
      <c r="A756" t="str">
        <f>TableSTRUEDMAT[[#This Row],[Study Package Code]]</f>
        <v>EDUC4020</v>
      </c>
      <c r="B756" s="5">
        <f>TableSTRUEDMAT[[#This Row],[Ver]]</f>
        <v>1</v>
      </c>
      <c r="D756" t="str">
        <f>TableSTRUEDMAT[[#This Row],[Structure Line]]</f>
        <v>Supporting Literacy and Numeracy Development for Diverse Learners</v>
      </c>
      <c r="E756" s="125">
        <f>TableSTRUEDMAT[[#This Row],[Credit Points]]</f>
        <v>25</v>
      </c>
      <c r="G756" t="s">
        <v>102</v>
      </c>
      <c r="J756" t="s">
        <v>153</v>
      </c>
      <c r="K756">
        <v>1</v>
      </c>
      <c r="L756" t="s">
        <v>699</v>
      </c>
      <c r="M756">
        <v>25</v>
      </c>
      <c r="N756" s="195">
        <v>43282</v>
      </c>
      <c r="O756" s="195"/>
      <c r="R756" t="s">
        <v>153</v>
      </c>
      <c r="S756">
        <v>1</v>
      </c>
    </row>
    <row r="757" spans="1:19" x14ac:dyDescent="0.25">
      <c r="A757" t="str">
        <f>TableSTRUEDMAT[[#This Row],[Study Package Code]]</f>
        <v>EDUC4021</v>
      </c>
      <c r="B757" s="5">
        <f>TableSTRUEDMAT[[#This Row],[Ver]]</f>
        <v>1</v>
      </c>
      <c r="D757" t="str">
        <f>TableSTRUEDMAT[[#This Row],[Structure Line]]</f>
        <v>Project-based iSTEM Education</v>
      </c>
      <c r="E757" s="125">
        <f>TableSTRUEDMAT[[#This Row],[Credit Points]]</f>
        <v>25</v>
      </c>
      <c r="G757" t="s">
        <v>102</v>
      </c>
      <c r="J757" t="s">
        <v>142</v>
      </c>
      <c r="K757">
        <v>1</v>
      </c>
      <c r="L757" t="s">
        <v>700</v>
      </c>
      <c r="M757">
        <v>25</v>
      </c>
      <c r="N757" s="195">
        <v>43282</v>
      </c>
      <c r="O757" s="195"/>
      <c r="R757" t="s">
        <v>142</v>
      </c>
      <c r="S757">
        <v>1</v>
      </c>
    </row>
    <row r="758" spans="1:19" x14ac:dyDescent="0.25">
      <c r="A758" t="str">
        <f>TableSTRUEDMAT[[#This Row],[Study Package Code]]</f>
        <v>EDUC4022</v>
      </c>
      <c r="B758" s="5">
        <f>TableSTRUEDMAT[[#This Row],[Ver]]</f>
        <v>1</v>
      </c>
      <c r="D758" t="str">
        <f>TableSTRUEDMAT[[#This Row],[Structure Line]]</f>
        <v>Creative Literacies</v>
      </c>
      <c r="E758" s="125">
        <f>TableSTRUEDMAT[[#This Row],[Credit Points]]</f>
        <v>25</v>
      </c>
      <c r="G758" t="s">
        <v>102</v>
      </c>
      <c r="J758" t="s">
        <v>147</v>
      </c>
      <c r="K758">
        <v>1</v>
      </c>
      <c r="L758" t="s">
        <v>701</v>
      </c>
      <c r="M758">
        <v>25</v>
      </c>
      <c r="N758" s="195">
        <v>43282</v>
      </c>
      <c r="O758" s="195"/>
      <c r="R758" t="s">
        <v>147</v>
      </c>
      <c r="S758">
        <v>1</v>
      </c>
    </row>
    <row r="759" spans="1:19" x14ac:dyDescent="0.25">
      <c r="A759" t="str">
        <f>TableSTRUEDMAT[[#This Row],[Study Package Code]]</f>
        <v>EDUC4023</v>
      </c>
      <c r="B759" s="5">
        <f>TableSTRUEDMAT[[#This Row],[Ver]]</f>
        <v>1</v>
      </c>
      <c r="D759" t="str">
        <f>TableSTRUEDMAT[[#This Row],[Structure Line]]</f>
        <v>Creating and Responding to Literature</v>
      </c>
      <c r="E759" s="125">
        <f>TableSTRUEDMAT[[#This Row],[Credit Points]]</f>
        <v>25</v>
      </c>
      <c r="G759" t="s">
        <v>102</v>
      </c>
      <c r="J759" t="s">
        <v>148</v>
      </c>
      <c r="K759">
        <v>1</v>
      </c>
      <c r="L759" t="s">
        <v>702</v>
      </c>
      <c r="M759">
        <v>25</v>
      </c>
      <c r="N759" s="195">
        <v>43282</v>
      </c>
      <c r="O759" s="195"/>
      <c r="R759" t="s">
        <v>148</v>
      </c>
      <c r="S759">
        <v>1</v>
      </c>
    </row>
    <row r="760" spans="1:19" x14ac:dyDescent="0.25">
      <c r="A760" t="str">
        <f>TableSTRUEDMAT[[#This Row],[Study Package Code]]</f>
        <v>EDUC4029</v>
      </c>
      <c r="B760" s="5">
        <f>TableSTRUEDMAT[[#This Row],[Ver]]</f>
        <v>1</v>
      </c>
      <c r="D760" t="str">
        <f>TableSTRUEDMAT[[#This Row],[Structure Line]]</f>
        <v>Technologies: Coding for Teachers</v>
      </c>
      <c r="E760" s="125">
        <f>TableSTRUEDMAT[[#This Row],[Credit Points]]</f>
        <v>25</v>
      </c>
      <c r="G760" t="s">
        <v>102</v>
      </c>
      <c r="J760" t="s">
        <v>160</v>
      </c>
      <c r="K760">
        <v>1</v>
      </c>
      <c r="L760" t="s">
        <v>703</v>
      </c>
      <c r="M760">
        <v>25</v>
      </c>
      <c r="N760" s="195">
        <v>43282</v>
      </c>
      <c r="O760" s="195"/>
      <c r="R760" t="s">
        <v>160</v>
      </c>
      <c r="S760">
        <v>1</v>
      </c>
    </row>
    <row r="761" spans="1:19" x14ac:dyDescent="0.25">
      <c r="A761" t="str">
        <f>TableSTRUEDMAT[[#This Row],[Study Package Code]]</f>
        <v>EDUC4031</v>
      </c>
      <c r="B761" s="5">
        <f>TableSTRUEDMAT[[#This Row],[Ver]]</f>
        <v>1</v>
      </c>
      <c r="D761" t="str">
        <f>TableSTRUEDMAT[[#This Row],[Structure Line]]</f>
        <v>Social Justice in Literacy and Numeracy Learning</v>
      </c>
      <c r="E761" s="125">
        <f>TableSTRUEDMAT[[#This Row],[Credit Points]]</f>
        <v>25</v>
      </c>
      <c r="G761" t="s">
        <v>102</v>
      </c>
      <c r="J761" t="s">
        <v>169</v>
      </c>
      <c r="K761">
        <v>1</v>
      </c>
      <c r="L761" t="s">
        <v>705</v>
      </c>
      <c r="M761">
        <v>25</v>
      </c>
      <c r="N761" s="195">
        <v>43282</v>
      </c>
      <c r="O761" s="195">
        <v>44750</v>
      </c>
      <c r="R761" t="s">
        <v>169</v>
      </c>
      <c r="S761">
        <v>1</v>
      </c>
    </row>
    <row r="762" spans="1:19" x14ac:dyDescent="0.25">
      <c r="A762" t="str">
        <f>TableSTRUEDMAT[[#This Row],[Study Package Code]]</f>
        <v>EDUC4032</v>
      </c>
      <c r="B762" s="5">
        <f>TableSTRUEDMAT[[#This Row],[Ver]]</f>
        <v>1</v>
      </c>
      <c r="D762" t="str">
        <f>TableSTRUEDMAT[[#This Row],[Structure Line]]</f>
        <v>iSTEM Education through Digital Stories</v>
      </c>
      <c r="E762" s="125">
        <f>TableSTRUEDMAT[[#This Row],[Credit Points]]</f>
        <v>25</v>
      </c>
      <c r="G762" t="s">
        <v>102</v>
      </c>
      <c r="J762" t="s">
        <v>143</v>
      </c>
      <c r="K762">
        <v>1</v>
      </c>
      <c r="L762" t="s">
        <v>707</v>
      </c>
      <c r="M762">
        <v>25</v>
      </c>
      <c r="N762" s="195">
        <v>43466</v>
      </c>
      <c r="O762" s="195"/>
      <c r="R762" t="s">
        <v>143</v>
      </c>
      <c r="S762">
        <v>1</v>
      </c>
    </row>
    <row r="763" spans="1:19" x14ac:dyDescent="0.25">
      <c r="A763" t="str">
        <f>TableSTRUEDMAT[[#This Row],[Study Package Code]]</f>
        <v>EDUC4034</v>
      </c>
      <c r="B763" s="5">
        <f>TableSTRUEDMAT[[#This Row],[Ver]]</f>
        <v>1</v>
      </c>
      <c r="D763" t="str">
        <f>TableSTRUEDMAT[[#This Row],[Structure Line]]</f>
        <v>iSTEM: Social Issues</v>
      </c>
      <c r="E763" s="125">
        <f>TableSTRUEDMAT[[#This Row],[Credit Points]]</f>
        <v>25</v>
      </c>
      <c r="G763" t="s">
        <v>102</v>
      </c>
      <c r="J763" t="s">
        <v>144</v>
      </c>
      <c r="K763">
        <v>1</v>
      </c>
      <c r="L763" t="s">
        <v>708</v>
      </c>
      <c r="M763">
        <v>25</v>
      </c>
      <c r="N763" s="195">
        <v>43466</v>
      </c>
      <c r="O763" s="195"/>
      <c r="R763" t="s">
        <v>144</v>
      </c>
      <c r="S763">
        <v>1</v>
      </c>
    </row>
    <row r="764" spans="1:19" x14ac:dyDescent="0.25">
      <c r="A764" t="str">
        <f>TableSTRUEDMAT[[#This Row],[Study Package Code]]</f>
        <v>EDUC4036</v>
      </c>
      <c r="B764" s="5">
        <f>TableSTRUEDMAT[[#This Row],[Ver]]</f>
        <v>1</v>
      </c>
      <c r="D764" t="str">
        <f>TableSTRUEDMAT[[#This Row],[Structure Line]]</f>
        <v>Language and Diversity</v>
      </c>
      <c r="E764" s="125">
        <f>TableSTRUEDMAT[[#This Row],[Credit Points]]</f>
        <v>25</v>
      </c>
      <c r="G764" t="s">
        <v>102</v>
      </c>
      <c r="J764" t="s">
        <v>149</v>
      </c>
      <c r="K764">
        <v>1</v>
      </c>
      <c r="L764" t="s">
        <v>709</v>
      </c>
      <c r="M764">
        <v>25</v>
      </c>
      <c r="N764" s="195">
        <v>43466</v>
      </c>
      <c r="O764" s="195"/>
      <c r="R764" t="s">
        <v>149</v>
      </c>
      <c r="S764">
        <v>1</v>
      </c>
    </row>
    <row r="765" spans="1:19" x14ac:dyDescent="0.25">
      <c r="A765" t="str">
        <f>TableSTRUEDMAT[[#This Row],[Study Package Code]]</f>
        <v>EDUC4038</v>
      </c>
      <c r="B765" s="5">
        <f>TableSTRUEDMAT[[#This Row],[Ver]]</f>
        <v>1</v>
      </c>
      <c r="D765" t="str">
        <f>TableSTRUEDMAT[[#This Row],[Structure Line]]</f>
        <v>Technologies: Design Solutions</v>
      </c>
      <c r="E765" s="125">
        <f>TableSTRUEDMAT[[#This Row],[Credit Points]]</f>
        <v>25</v>
      </c>
      <c r="G765" t="s">
        <v>102</v>
      </c>
      <c r="J765" t="s">
        <v>161</v>
      </c>
      <c r="K765" s="196">
        <v>1</v>
      </c>
      <c r="L765" s="196" t="s">
        <v>710</v>
      </c>
      <c r="M765" s="196">
        <v>25</v>
      </c>
      <c r="N765" s="195">
        <v>43466</v>
      </c>
      <c r="O765" s="195"/>
      <c r="R765" t="s">
        <v>161</v>
      </c>
      <c r="S765">
        <v>1</v>
      </c>
    </row>
    <row r="766" spans="1:19" x14ac:dyDescent="0.25">
      <c r="A766" t="str">
        <f>TableSTRUEDMAT[[#This Row],[Study Package Code]]</f>
        <v>EDUC4042</v>
      </c>
      <c r="B766" s="5">
        <f>TableSTRUEDMAT[[#This Row],[Ver]]</f>
        <v>1</v>
      </c>
      <c r="D766" t="str">
        <f>TableSTRUEDMAT[[#This Row],[Structure Line]]</f>
        <v>Alternative Approaches to Teaching Literacy and Numeracy</v>
      </c>
      <c r="E766" s="125">
        <f>TableSTRUEDMAT[[#This Row],[Credit Points]]</f>
        <v>25</v>
      </c>
      <c r="G766" t="s">
        <v>102</v>
      </c>
      <c r="J766" t="s">
        <v>155</v>
      </c>
      <c r="K766">
        <v>1</v>
      </c>
      <c r="L766" t="s">
        <v>713</v>
      </c>
      <c r="M766">
        <v>25</v>
      </c>
      <c r="N766" s="195">
        <v>43466</v>
      </c>
      <c r="O766" s="195"/>
      <c r="R766" t="s">
        <v>155</v>
      </c>
      <c r="S766">
        <v>1</v>
      </c>
    </row>
    <row r="767" spans="1:19" x14ac:dyDescent="0.25">
      <c r="A767" t="str">
        <f>TableSTRUEDMAT[[#This Row],[Study Package Code]]</f>
        <v>EDUC4044</v>
      </c>
      <c r="B767" s="5">
        <f>TableSTRUEDMAT[[#This Row],[Ver]]</f>
        <v>2</v>
      </c>
      <c r="D767" t="str">
        <f>TableSTRUEDMAT[[#This Row],[Structure Line]]</f>
        <v>Literacy and Numeracy for First Nations Peoples of Australia</v>
      </c>
      <c r="E767" s="125">
        <f>TableSTRUEDMAT[[#This Row],[Credit Points]]</f>
        <v>25</v>
      </c>
      <c r="G767" t="s">
        <v>102</v>
      </c>
      <c r="J767" t="s">
        <v>157</v>
      </c>
      <c r="K767">
        <v>2</v>
      </c>
      <c r="L767" t="s">
        <v>714</v>
      </c>
      <c r="M767">
        <v>25</v>
      </c>
      <c r="N767" s="195">
        <v>44927</v>
      </c>
      <c r="O767" s="195"/>
      <c r="R767" t="s">
        <v>157</v>
      </c>
      <c r="S767">
        <v>1</v>
      </c>
    </row>
    <row r="768" spans="1:19" x14ac:dyDescent="0.25">
      <c r="A768" t="str">
        <f>TableSTRUEDMAT[[#This Row],[Study Package Code]]</f>
        <v>EDUC4046</v>
      </c>
      <c r="B768" s="5">
        <f>TableSTRUEDMAT[[#This Row],[Ver]]</f>
        <v>1</v>
      </c>
      <c r="D768" t="str">
        <f>TableSTRUEDMAT[[#This Row],[Structure Line]]</f>
        <v>Technologies: Digital Solutions</v>
      </c>
      <c r="E768" s="125">
        <f>TableSTRUEDMAT[[#This Row],[Credit Points]]</f>
        <v>25</v>
      </c>
      <c r="G768" t="s">
        <v>102</v>
      </c>
      <c r="J768" t="s">
        <v>162</v>
      </c>
      <c r="K768">
        <v>1</v>
      </c>
      <c r="L768" t="s">
        <v>715</v>
      </c>
      <c r="M768">
        <v>25</v>
      </c>
      <c r="N768" s="195">
        <v>43466</v>
      </c>
      <c r="O768" s="195"/>
      <c r="R768" t="s">
        <v>162</v>
      </c>
      <c r="S768">
        <v>1</v>
      </c>
    </row>
    <row r="769" spans="1:19" x14ac:dyDescent="0.25">
      <c r="A769" t="str">
        <f>TableSTRUEDMAT[[#This Row],[Study Package Code]]</f>
        <v>EDUC4048</v>
      </c>
      <c r="B769" s="5">
        <f>TableSTRUEDMAT[[#This Row],[Ver]]</f>
        <v>1</v>
      </c>
      <c r="D769" t="str">
        <f>TableSTRUEDMAT[[#This Row],[Structure Line]]</f>
        <v>Mentoring, Coaching and Tutoring</v>
      </c>
      <c r="E769" s="125">
        <f>TableSTRUEDMAT[[#This Row],[Credit Points]]</f>
        <v>25</v>
      </c>
      <c r="G769" t="s">
        <v>102</v>
      </c>
      <c r="J769" t="s">
        <v>117</v>
      </c>
      <c r="K769">
        <v>1</v>
      </c>
      <c r="L769" t="s">
        <v>716</v>
      </c>
      <c r="M769">
        <v>25</v>
      </c>
      <c r="N769" s="195">
        <v>43466</v>
      </c>
      <c r="O769" s="195"/>
      <c r="R769" t="s">
        <v>117</v>
      </c>
      <c r="S769">
        <v>1</v>
      </c>
    </row>
    <row r="770" spans="1:19" x14ac:dyDescent="0.25">
      <c r="A770" s="122"/>
      <c r="B770" s="124"/>
      <c r="C770" s="122"/>
      <c r="G770" s="123" t="s">
        <v>855</v>
      </c>
      <c r="H770" s="199">
        <v>43466</v>
      </c>
      <c r="J770" s="197" t="s">
        <v>258</v>
      </c>
      <c r="K770" s="124" t="s">
        <v>67</v>
      </c>
      <c r="L770" s="122" t="s">
        <v>257</v>
      </c>
      <c r="M770" s="122"/>
    </row>
    <row r="771" spans="1:19" ht="31.5" x14ac:dyDescent="0.25">
      <c r="A771" s="159" t="s">
        <v>0</v>
      </c>
      <c r="B771" s="160" t="s">
        <v>60</v>
      </c>
      <c r="C771" s="159" t="s">
        <v>856</v>
      </c>
      <c r="D771" s="159" t="s">
        <v>3</v>
      </c>
      <c r="E771" s="161" t="s">
        <v>857</v>
      </c>
      <c r="F771" s="159" t="s">
        <v>858</v>
      </c>
      <c r="G771" s="159" t="s">
        <v>859</v>
      </c>
      <c r="H771" s="159" t="s">
        <v>860</v>
      </c>
      <c r="I771" s="159" t="s">
        <v>17</v>
      </c>
      <c r="J771" s="159" t="s">
        <v>861</v>
      </c>
      <c r="K771" s="159" t="s">
        <v>1</v>
      </c>
      <c r="L771" s="159" t="s">
        <v>44</v>
      </c>
      <c r="M771" s="159" t="s">
        <v>61</v>
      </c>
      <c r="N771" s="159" t="s">
        <v>862</v>
      </c>
      <c r="O771" s="159" t="s">
        <v>863</v>
      </c>
      <c r="R771" t="s">
        <v>538</v>
      </c>
      <c r="S771" t="s">
        <v>864</v>
      </c>
    </row>
    <row r="772" spans="1:19" x14ac:dyDescent="0.25">
      <c r="A772" t="str">
        <f>TableSTRUEDSCI[[#This Row],[Study Package Code]]</f>
        <v>EDUC1027</v>
      </c>
      <c r="B772" s="5">
        <f>TableSTRUEDSCI[[#This Row],[Ver]]</f>
        <v>1</v>
      </c>
      <c r="D772" t="str">
        <f>TableSTRUEDSCI[[#This Row],[Structure Line]]</f>
        <v>Educators Inquiring About the World</v>
      </c>
      <c r="E772" s="125">
        <f>TableSTRUEDSCI[[#This Row],[Credit Points]]</f>
        <v>25</v>
      </c>
      <c r="F772">
        <v>1</v>
      </c>
      <c r="G772" t="s">
        <v>865</v>
      </c>
      <c r="H772">
        <v>1</v>
      </c>
      <c r="I772" t="s">
        <v>529</v>
      </c>
      <c r="J772" t="s">
        <v>53</v>
      </c>
      <c r="K772">
        <v>1</v>
      </c>
      <c r="L772" t="s">
        <v>688</v>
      </c>
      <c r="M772">
        <v>25</v>
      </c>
      <c r="N772" s="195">
        <v>43466</v>
      </c>
      <c r="O772" s="195"/>
      <c r="R772" t="s">
        <v>53</v>
      </c>
      <c r="S772">
        <v>1</v>
      </c>
    </row>
    <row r="773" spans="1:19" x14ac:dyDescent="0.25">
      <c r="A773" t="str">
        <f>TableSTRUEDSCI[[#This Row],[Study Package Code]]</f>
        <v>OptionStream</v>
      </c>
      <c r="B773" s="5">
        <f>TableSTRUEDSCI[[#This Row],[Ver]]</f>
        <v>0</v>
      </c>
      <c r="D773" t="str">
        <f>TableSTRUEDSCI[[#This Row],[Structure Line]]</f>
        <v>Choose one Option in Year 2 and three in Year 3</v>
      </c>
      <c r="E773" s="125">
        <f>TableSTRUEDSCI[[#This Row],[Credit Points]]</f>
        <v>25</v>
      </c>
      <c r="F773">
        <v>2</v>
      </c>
      <c r="G773" t="s">
        <v>102</v>
      </c>
      <c r="H773">
        <v>2</v>
      </c>
      <c r="I773" t="s">
        <v>528</v>
      </c>
      <c r="J773" t="s">
        <v>886</v>
      </c>
      <c r="K773">
        <v>0</v>
      </c>
      <c r="L773" t="s">
        <v>898</v>
      </c>
      <c r="M773">
        <v>25</v>
      </c>
      <c r="N773" s="195"/>
      <c r="O773" s="195"/>
      <c r="R773" t="s">
        <v>886</v>
      </c>
      <c r="S773">
        <v>0</v>
      </c>
    </row>
    <row r="774" spans="1:19" x14ac:dyDescent="0.25">
      <c r="A774" t="str">
        <f>TableSTRUEDSCI[[#This Row],[Study Package Code]]</f>
        <v>EDPR2000</v>
      </c>
      <c r="B774" s="5">
        <f>TableSTRUEDSCI[[#This Row],[Ver]]</f>
        <v>1</v>
      </c>
      <c r="D774" t="str">
        <f>TableSTRUEDSCI[[#This Row],[Structure Line]]</f>
        <v>Inquiry in the Science Classroom</v>
      </c>
      <c r="E774" s="125">
        <f>TableSTRUEDSCI[[#This Row],[Credit Points]]</f>
        <v>25</v>
      </c>
      <c r="F774">
        <v>3</v>
      </c>
      <c r="G774" t="s">
        <v>865</v>
      </c>
      <c r="H774">
        <v>2</v>
      </c>
      <c r="I774" t="s">
        <v>529</v>
      </c>
      <c r="J774" t="s">
        <v>93</v>
      </c>
      <c r="K774">
        <v>1</v>
      </c>
      <c r="L774" t="s">
        <v>637</v>
      </c>
      <c r="M774">
        <v>25</v>
      </c>
      <c r="N774" s="195">
        <v>42005</v>
      </c>
      <c r="O774" s="195"/>
      <c r="R774" t="s">
        <v>93</v>
      </c>
      <c r="S774">
        <v>1</v>
      </c>
    </row>
    <row r="775" spans="1:19" x14ac:dyDescent="0.25">
      <c r="A775" t="str">
        <f>TableSTRUEDSCI[[#This Row],[Study Package Code]]</f>
        <v>OptionStream</v>
      </c>
      <c r="B775" s="5">
        <f>TableSTRUEDSCI[[#This Row],[Ver]]</f>
        <v>0</v>
      </c>
      <c r="D775" t="str">
        <f>TableSTRUEDSCI[[#This Row],[Structure Line]]</f>
        <v>Choose one Option in Year 2 and three in Year 3</v>
      </c>
      <c r="E775" s="125">
        <f>TableSTRUEDSCI[[#This Row],[Credit Points]]</f>
        <v>25</v>
      </c>
      <c r="F775">
        <v>4</v>
      </c>
      <c r="G775" t="s">
        <v>102</v>
      </c>
      <c r="H775">
        <v>3</v>
      </c>
      <c r="I775" t="s">
        <v>528</v>
      </c>
      <c r="J775" t="s">
        <v>886</v>
      </c>
      <c r="K775">
        <v>0</v>
      </c>
      <c r="L775" t="s">
        <v>898</v>
      </c>
      <c r="M775">
        <v>25</v>
      </c>
      <c r="N775" s="195"/>
      <c r="O775" s="195"/>
      <c r="R775" t="s">
        <v>886</v>
      </c>
      <c r="S775">
        <v>0</v>
      </c>
    </row>
    <row r="776" spans="1:19" x14ac:dyDescent="0.25">
      <c r="A776" t="str">
        <f>TableSTRUEDSCI[[#This Row],[Study Package Code]]</f>
        <v>OptionStream</v>
      </c>
      <c r="B776" s="5">
        <f>TableSTRUEDSCI[[#This Row],[Ver]]</f>
        <v>0</v>
      </c>
      <c r="D776" t="str">
        <f>TableSTRUEDSCI[[#This Row],[Structure Line]]</f>
        <v>Choose one Option in Year 2 and three in Year 3</v>
      </c>
      <c r="E776" s="125">
        <f>TableSTRUEDSCI[[#This Row],[Credit Points]]</f>
        <v>25</v>
      </c>
      <c r="F776">
        <v>5</v>
      </c>
      <c r="G776" t="s">
        <v>102</v>
      </c>
      <c r="H776">
        <v>3</v>
      </c>
      <c r="I776" t="s">
        <v>529</v>
      </c>
      <c r="J776" t="s">
        <v>886</v>
      </c>
      <c r="K776">
        <v>0</v>
      </c>
      <c r="L776" t="s">
        <v>898</v>
      </c>
      <c r="M776">
        <v>25</v>
      </c>
      <c r="N776" s="195"/>
      <c r="O776" s="195"/>
      <c r="R776" t="s">
        <v>886</v>
      </c>
      <c r="S776">
        <v>0</v>
      </c>
    </row>
    <row r="777" spans="1:19" x14ac:dyDescent="0.25">
      <c r="A777" t="str">
        <f>TableSTRUEDSCI[[#This Row],[Study Package Code]]</f>
        <v>OptionStream</v>
      </c>
      <c r="B777" s="5">
        <f>TableSTRUEDSCI[[#This Row],[Ver]]</f>
        <v>0</v>
      </c>
      <c r="D777" t="str">
        <f>TableSTRUEDSCI[[#This Row],[Structure Line]]</f>
        <v>Choose one Option in Year 2 and three in Year 3</v>
      </c>
      <c r="E777" s="125">
        <f>TableSTRUEDSCI[[#This Row],[Credit Points]]</f>
        <v>25</v>
      </c>
      <c r="F777">
        <v>6</v>
      </c>
      <c r="G777" t="s">
        <v>865</v>
      </c>
      <c r="H777">
        <v>4</v>
      </c>
      <c r="I777" t="s">
        <v>528</v>
      </c>
      <c r="J777" t="s">
        <v>886</v>
      </c>
      <c r="K777">
        <v>0</v>
      </c>
      <c r="L777" t="s">
        <v>898</v>
      </c>
      <c r="M777">
        <v>25</v>
      </c>
      <c r="N777" s="195"/>
      <c r="O777" s="195"/>
      <c r="R777" t="s">
        <v>886</v>
      </c>
      <c r="S777">
        <v>0</v>
      </c>
    </row>
    <row r="778" spans="1:19" x14ac:dyDescent="0.25">
      <c r="A778" t="str">
        <f>TableSTRUEDSCI[[#This Row],[Study Package Code]]</f>
        <v>CTED4000</v>
      </c>
      <c r="B778" s="5">
        <f>TableSTRUEDSCI[[#This Row],[Ver]]</f>
        <v>1</v>
      </c>
      <c r="D778" t="str">
        <f>TableSTRUEDSCI[[#This Row],[Structure Line]]</f>
        <v>An Introduction to Catholic Education</v>
      </c>
      <c r="E778" s="125">
        <f>TableSTRUEDSCI[[#This Row],[Credit Points]]</f>
        <v>25</v>
      </c>
      <c r="G778" t="s">
        <v>102</v>
      </c>
      <c r="J778" t="s">
        <v>171</v>
      </c>
      <c r="K778">
        <v>1</v>
      </c>
      <c r="L778" t="s">
        <v>583</v>
      </c>
      <c r="M778">
        <v>25</v>
      </c>
      <c r="N778" s="195">
        <v>42005</v>
      </c>
      <c r="O778" s="195"/>
      <c r="R778" t="s">
        <v>171</v>
      </c>
      <c r="S778">
        <v>1</v>
      </c>
    </row>
    <row r="779" spans="1:19" x14ac:dyDescent="0.25">
      <c r="A779" t="str">
        <f>TableSTRUEDSCI[[#This Row],[Study Package Code]]</f>
        <v>CTED4001</v>
      </c>
      <c r="B779" s="5">
        <f>TableSTRUEDSCI[[#This Row],[Ver]]</f>
        <v>2</v>
      </c>
      <c r="D779" t="str">
        <f>TableSTRUEDSCI[[#This Row],[Structure Line]]</f>
        <v>Teaching About Sacraments in Catholic Schools</v>
      </c>
      <c r="E779" s="125">
        <f>TableSTRUEDSCI[[#This Row],[Credit Points]]</f>
        <v>25</v>
      </c>
      <c r="G779" t="s">
        <v>102</v>
      </c>
      <c r="J779" t="s">
        <v>150</v>
      </c>
      <c r="K779">
        <v>2</v>
      </c>
      <c r="L779" t="s">
        <v>585</v>
      </c>
      <c r="M779">
        <v>25</v>
      </c>
      <c r="N779" s="195">
        <v>45292</v>
      </c>
      <c r="O779" s="195"/>
      <c r="R779" t="s">
        <v>150</v>
      </c>
      <c r="S779">
        <v>1</v>
      </c>
    </row>
    <row r="780" spans="1:19" x14ac:dyDescent="0.25">
      <c r="A780" t="str">
        <f>TableSTRUEDSCI[[#This Row],[Study Package Code]]</f>
        <v>CTED4002</v>
      </c>
      <c r="B780" s="5">
        <f>TableSTRUEDSCI[[#This Row],[Ver]]</f>
        <v>2</v>
      </c>
      <c r="D780" t="str">
        <f>TableSTRUEDSCI[[#This Row],[Structure Line]]</f>
        <v>Prayer and Morality in Catholic Studies</v>
      </c>
      <c r="E780" s="125">
        <f>TableSTRUEDSCI[[#This Row],[Credit Points]]</f>
        <v>25</v>
      </c>
      <c r="G780" t="s">
        <v>102</v>
      </c>
      <c r="J780" t="s">
        <v>172</v>
      </c>
      <c r="K780">
        <v>2</v>
      </c>
      <c r="L780" t="s">
        <v>591</v>
      </c>
      <c r="M780">
        <v>25</v>
      </c>
      <c r="N780" s="195">
        <v>44197</v>
      </c>
      <c r="O780" s="195"/>
      <c r="R780" t="s">
        <v>172</v>
      </c>
      <c r="S780">
        <v>2</v>
      </c>
    </row>
    <row r="781" spans="1:19" x14ac:dyDescent="0.25">
      <c r="A781" t="str">
        <f>TableSTRUEDSCI[[#This Row],[Study Package Code]]</f>
        <v>CTED4006</v>
      </c>
      <c r="B781" s="5">
        <f>TableSTRUEDSCI[[#This Row],[Ver]]</f>
        <v>1</v>
      </c>
      <c r="D781" t="str">
        <f>TableSTRUEDSCI[[#This Row],[Structure Line]]</f>
        <v>Teaching About Jesus in Catholic Schools</v>
      </c>
      <c r="E781" s="125">
        <f>TableSTRUEDSCI[[#This Row],[Credit Points]]</f>
        <v>25</v>
      </c>
      <c r="G781" t="s">
        <v>102</v>
      </c>
      <c r="J781" t="s">
        <v>152</v>
      </c>
      <c r="K781">
        <v>1</v>
      </c>
      <c r="L781" t="s">
        <v>592</v>
      </c>
      <c r="M781">
        <v>25</v>
      </c>
      <c r="N781" s="195">
        <v>45292</v>
      </c>
      <c r="O781" s="195"/>
    </row>
    <row r="782" spans="1:19" x14ac:dyDescent="0.25">
      <c r="A782" t="str">
        <f>TableSTRUEDSCI[[#This Row],[Study Package Code]]</f>
        <v>CTED4008</v>
      </c>
      <c r="B782" s="5">
        <f>TableSTRUEDSCI[[#This Row],[Ver]]</f>
        <v>1</v>
      </c>
      <c r="D782" t="str">
        <f>TableSTRUEDSCI[[#This Row],[Structure Line]]</f>
        <v>Teaching About the Gospels in Catholic Schools</v>
      </c>
      <c r="E782" s="125">
        <f>TableSTRUEDSCI[[#This Row],[Credit Points]]</f>
        <v>25</v>
      </c>
      <c r="G782" t="s">
        <v>102</v>
      </c>
      <c r="J782" t="s">
        <v>154</v>
      </c>
      <c r="K782">
        <v>1</v>
      </c>
      <c r="L782" t="s">
        <v>593</v>
      </c>
      <c r="M782">
        <v>25</v>
      </c>
      <c r="N782" s="195">
        <v>45292</v>
      </c>
      <c r="O782" s="195"/>
    </row>
    <row r="783" spans="1:19" x14ac:dyDescent="0.25">
      <c r="A783" t="str">
        <f>TableSTRUEDSCI[[#This Row],[Study Package Code]]</f>
        <v>EDIB4000</v>
      </c>
      <c r="B783" s="5">
        <f>TableSTRUEDSCI[[#This Row],[Ver]]</f>
        <v>1</v>
      </c>
      <c r="D783" t="str">
        <f>TableSTRUEDSCI[[#This Row],[Structure Line]]</f>
        <v>Introduction to the International Baccalaureate Programme</v>
      </c>
      <c r="E783" s="125">
        <f>TableSTRUEDSCI[[#This Row],[Credit Points]]</f>
        <v>25</v>
      </c>
      <c r="G783" t="s">
        <v>102</v>
      </c>
      <c r="J783" t="s">
        <v>166</v>
      </c>
      <c r="K783">
        <v>1</v>
      </c>
      <c r="L783" t="s">
        <v>631</v>
      </c>
      <c r="M783">
        <v>25</v>
      </c>
      <c r="N783" s="195">
        <v>42005</v>
      </c>
      <c r="O783" s="195"/>
      <c r="R783" t="s">
        <v>166</v>
      </c>
      <c r="S783">
        <v>1</v>
      </c>
    </row>
    <row r="784" spans="1:19" x14ac:dyDescent="0.25">
      <c r="A784" t="str">
        <f>TableSTRUEDSCI[[#This Row],[Study Package Code]]</f>
        <v>EDIB4002</v>
      </c>
      <c r="B784" s="5">
        <f>TableSTRUEDSCI[[#This Row],[Ver]]</f>
        <v>1</v>
      </c>
      <c r="D784" t="str">
        <f>TableSTRUEDSCI[[#This Row],[Structure Line]]</f>
        <v>International Baccalaureate Middle Years Programme</v>
      </c>
      <c r="E784" s="125">
        <f>TableSTRUEDSCI[[#This Row],[Credit Points]]</f>
        <v>25</v>
      </c>
      <c r="G784" t="s">
        <v>102</v>
      </c>
      <c r="J784" t="s">
        <v>170</v>
      </c>
      <c r="K784">
        <v>1</v>
      </c>
      <c r="L784" t="s">
        <v>634</v>
      </c>
      <c r="M784">
        <v>25</v>
      </c>
      <c r="N784" s="195">
        <v>42005</v>
      </c>
      <c r="O784" s="195"/>
      <c r="R784" t="s">
        <v>170</v>
      </c>
      <c r="S784">
        <v>1</v>
      </c>
    </row>
    <row r="785" spans="1:19" x14ac:dyDescent="0.25">
      <c r="A785" t="str">
        <f>TableSTRUEDSCI[[#This Row],[Study Package Code]]</f>
        <v>EDIB4003</v>
      </c>
      <c r="B785" s="5">
        <f>TableSTRUEDSCI[[#This Row],[Ver]]</f>
        <v>1</v>
      </c>
      <c r="D785" t="str">
        <f>TableSTRUEDSCI[[#This Row],[Structure Line]]</f>
        <v>The International Baccalaureate in Action</v>
      </c>
      <c r="E785" s="125">
        <f>TableSTRUEDSCI[[#This Row],[Credit Points]]</f>
        <v>25</v>
      </c>
      <c r="G785" t="s">
        <v>102</v>
      </c>
      <c r="J785" t="s">
        <v>168</v>
      </c>
      <c r="K785">
        <v>1</v>
      </c>
      <c r="L785" t="s">
        <v>635</v>
      </c>
      <c r="M785">
        <v>25</v>
      </c>
      <c r="N785" s="195">
        <v>42005</v>
      </c>
      <c r="O785" s="195"/>
      <c r="R785" t="s">
        <v>168</v>
      </c>
      <c r="S785">
        <v>1</v>
      </c>
    </row>
    <row r="786" spans="1:19" x14ac:dyDescent="0.25">
      <c r="A786" t="str">
        <f>TableSTRUEDSCI[[#This Row],[Study Package Code]]</f>
        <v>EDUC4012</v>
      </c>
      <c r="B786" s="5">
        <f>TableSTRUEDSCI[[#This Row],[Ver]]</f>
        <v>2</v>
      </c>
      <c r="D786" t="str">
        <f>TableSTRUEDSCI[[#This Row],[Structure Line]]</f>
        <v>Relationships and Sexuality Education</v>
      </c>
      <c r="E786" s="125">
        <f>TableSTRUEDSCI[[#This Row],[Credit Points]]</f>
        <v>25</v>
      </c>
      <c r="G786" t="s">
        <v>102</v>
      </c>
      <c r="J786" t="s">
        <v>156</v>
      </c>
      <c r="K786">
        <v>2</v>
      </c>
      <c r="L786" t="s">
        <v>697</v>
      </c>
      <c r="M786">
        <v>25</v>
      </c>
      <c r="N786" s="195">
        <v>44927</v>
      </c>
      <c r="O786" s="195"/>
      <c r="R786" t="s">
        <v>156</v>
      </c>
      <c r="S786">
        <v>2</v>
      </c>
    </row>
    <row r="787" spans="1:19" x14ac:dyDescent="0.25">
      <c r="A787" t="str">
        <f>TableSTRUEDSCI[[#This Row],[Study Package Code]]</f>
        <v>EDUC4014</v>
      </c>
      <c r="B787" s="5">
        <f>TableSTRUEDSCI[[#This Row],[Ver]]</f>
        <v>1</v>
      </c>
      <c r="D787" t="str">
        <f>TableSTRUEDSCI[[#This Row],[Structure Line]]</f>
        <v>Diverse Abilities and Curriculum Differentiation</v>
      </c>
      <c r="E787" s="125">
        <f>TableSTRUEDSCI[[#This Row],[Credit Points]]</f>
        <v>25</v>
      </c>
      <c r="G787" t="s">
        <v>102</v>
      </c>
      <c r="J787" t="s">
        <v>158</v>
      </c>
      <c r="K787">
        <v>1</v>
      </c>
      <c r="L787" t="s">
        <v>698</v>
      </c>
      <c r="M787">
        <v>25</v>
      </c>
      <c r="N787" s="195">
        <v>42005</v>
      </c>
      <c r="O787" s="195"/>
      <c r="R787" t="s">
        <v>158</v>
      </c>
      <c r="S787">
        <v>1</v>
      </c>
    </row>
    <row r="788" spans="1:19" x14ac:dyDescent="0.25">
      <c r="A788" t="str">
        <f>TableSTRUEDSCI[[#This Row],[Study Package Code]]</f>
        <v>EDUC4020</v>
      </c>
      <c r="B788" s="5">
        <f>TableSTRUEDSCI[[#This Row],[Ver]]</f>
        <v>1</v>
      </c>
      <c r="D788" t="str">
        <f>TableSTRUEDSCI[[#This Row],[Structure Line]]</f>
        <v>Supporting Literacy and Numeracy Development for Diverse Learners</v>
      </c>
      <c r="E788" s="125">
        <f>TableSTRUEDSCI[[#This Row],[Credit Points]]</f>
        <v>25</v>
      </c>
      <c r="G788" t="s">
        <v>102</v>
      </c>
      <c r="J788" t="s">
        <v>153</v>
      </c>
      <c r="K788">
        <v>1</v>
      </c>
      <c r="L788" t="s">
        <v>699</v>
      </c>
      <c r="M788">
        <v>25</v>
      </c>
      <c r="N788" s="195">
        <v>43282</v>
      </c>
      <c r="O788" s="195"/>
      <c r="R788" t="s">
        <v>153</v>
      </c>
      <c r="S788">
        <v>1</v>
      </c>
    </row>
    <row r="789" spans="1:19" x14ac:dyDescent="0.25">
      <c r="A789" t="str">
        <f>TableSTRUEDSCI[[#This Row],[Study Package Code]]</f>
        <v>EDUC4021</v>
      </c>
      <c r="B789" s="5">
        <f>TableSTRUEDSCI[[#This Row],[Ver]]</f>
        <v>1</v>
      </c>
      <c r="D789" t="str">
        <f>TableSTRUEDSCI[[#This Row],[Structure Line]]</f>
        <v>Project-based iSTEM Education</v>
      </c>
      <c r="E789" s="125">
        <f>TableSTRUEDSCI[[#This Row],[Credit Points]]</f>
        <v>25</v>
      </c>
      <c r="G789" t="s">
        <v>102</v>
      </c>
      <c r="J789" t="s">
        <v>142</v>
      </c>
      <c r="K789">
        <v>1</v>
      </c>
      <c r="L789" t="s">
        <v>700</v>
      </c>
      <c r="M789">
        <v>25</v>
      </c>
      <c r="N789" s="195">
        <v>43282</v>
      </c>
      <c r="O789" s="195"/>
      <c r="R789" t="s">
        <v>142</v>
      </c>
      <c r="S789">
        <v>1</v>
      </c>
    </row>
    <row r="790" spans="1:19" x14ac:dyDescent="0.25">
      <c r="A790" t="str">
        <f>TableSTRUEDSCI[[#This Row],[Study Package Code]]</f>
        <v>EDUC4022</v>
      </c>
      <c r="B790" s="5">
        <f>TableSTRUEDSCI[[#This Row],[Ver]]</f>
        <v>1</v>
      </c>
      <c r="D790" t="str">
        <f>TableSTRUEDSCI[[#This Row],[Structure Line]]</f>
        <v>Creative Literacies</v>
      </c>
      <c r="E790" s="125">
        <f>TableSTRUEDSCI[[#This Row],[Credit Points]]</f>
        <v>25</v>
      </c>
      <c r="G790" t="s">
        <v>102</v>
      </c>
      <c r="J790" t="s">
        <v>147</v>
      </c>
      <c r="K790">
        <v>1</v>
      </c>
      <c r="L790" t="s">
        <v>701</v>
      </c>
      <c r="M790">
        <v>25</v>
      </c>
      <c r="N790" s="195">
        <v>43282</v>
      </c>
      <c r="O790" s="195"/>
      <c r="R790" t="s">
        <v>147</v>
      </c>
      <c r="S790">
        <v>1</v>
      </c>
    </row>
    <row r="791" spans="1:19" x14ac:dyDescent="0.25">
      <c r="A791" t="str">
        <f>TableSTRUEDSCI[[#This Row],[Study Package Code]]</f>
        <v>EDUC4023</v>
      </c>
      <c r="B791" s="5">
        <f>TableSTRUEDSCI[[#This Row],[Ver]]</f>
        <v>1</v>
      </c>
      <c r="D791" t="str">
        <f>TableSTRUEDSCI[[#This Row],[Structure Line]]</f>
        <v>Creating and Responding to Literature</v>
      </c>
      <c r="E791" s="125">
        <f>TableSTRUEDSCI[[#This Row],[Credit Points]]</f>
        <v>25</v>
      </c>
      <c r="G791" t="s">
        <v>102</v>
      </c>
      <c r="J791" t="s">
        <v>148</v>
      </c>
      <c r="K791">
        <v>1</v>
      </c>
      <c r="L791" t="s">
        <v>702</v>
      </c>
      <c r="M791">
        <v>25</v>
      </c>
      <c r="N791" s="195">
        <v>43282</v>
      </c>
      <c r="O791" s="195"/>
      <c r="R791" t="s">
        <v>148</v>
      </c>
      <c r="S791">
        <v>1</v>
      </c>
    </row>
    <row r="792" spans="1:19" x14ac:dyDescent="0.25">
      <c r="A792" t="str">
        <f>TableSTRUEDSCI[[#This Row],[Study Package Code]]</f>
        <v>EDUC4029</v>
      </c>
      <c r="B792" s="5">
        <f>TableSTRUEDSCI[[#This Row],[Ver]]</f>
        <v>1</v>
      </c>
      <c r="D792" t="str">
        <f>TableSTRUEDSCI[[#This Row],[Structure Line]]</f>
        <v>Technologies: Coding for Teachers</v>
      </c>
      <c r="E792" s="125">
        <f>TableSTRUEDSCI[[#This Row],[Credit Points]]</f>
        <v>25</v>
      </c>
      <c r="G792" t="s">
        <v>102</v>
      </c>
      <c r="J792" t="s">
        <v>160</v>
      </c>
      <c r="K792">
        <v>1</v>
      </c>
      <c r="L792" t="s">
        <v>703</v>
      </c>
      <c r="M792">
        <v>25</v>
      </c>
      <c r="N792" s="195">
        <v>43282</v>
      </c>
      <c r="O792" s="195"/>
      <c r="R792" t="s">
        <v>160</v>
      </c>
      <c r="S792">
        <v>1</v>
      </c>
    </row>
    <row r="793" spans="1:19" x14ac:dyDescent="0.25">
      <c r="A793" t="str">
        <f>TableSTRUEDSCI[[#This Row],[Study Package Code]]</f>
        <v>EDUC4031</v>
      </c>
      <c r="B793" s="5">
        <f>TableSTRUEDSCI[[#This Row],[Ver]]</f>
        <v>1</v>
      </c>
      <c r="D793" t="str">
        <f>TableSTRUEDSCI[[#This Row],[Structure Line]]</f>
        <v>Social Justice in Literacy and Numeracy Learning</v>
      </c>
      <c r="E793" s="125">
        <f>TableSTRUEDSCI[[#This Row],[Credit Points]]</f>
        <v>25</v>
      </c>
      <c r="G793" t="s">
        <v>102</v>
      </c>
      <c r="J793" t="s">
        <v>169</v>
      </c>
      <c r="K793">
        <v>1</v>
      </c>
      <c r="L793" t="s">
        <v>705</v>
      </c>
      <c r="M793">
        <v>25</v>
      </c>
      <c r="N793" s="195">
        <v>43282</v>
      </c>
      <c r="O793" s="195">
        <v>44750</v>
      </c>
      <c r="R793" t="s">
        <v>169</v>
      </c>
      <c r="S793">
        <v>1</v>
      </c>
    </row>
    <row r="794" spans="1:19" x14ac:dyDescent="0.25">
      <c r="A794" t="str">
        <f>TableSTRUEDSCI[[#This Row],[Study Package Code]]</f>
        <v>EDUC4032</v>
      </c>
      <c r="B794" s="5">
        <f>TableSTRUEDSCI[[#This Row],[Ver]]</f>
        <v>1</v>
      </c>
      <c r="D794" t="str">
        <f>TableSTRUEDSCI[[#This Row],[Structure Line]]</f>
        <v>iSTEM Education through Digital Stories</v>
      </c>
      <c r="E794" s="125">
        <f>TableSTRUEDSCI[[#This Row],[Credit Points]]</f>
        <v>25</v>
      </c>
      <c r="G794" t="s">
        <v>102</v>
      </c>
      <c r="J794" t="s">
        <v>143</v>
      </c>
      <c r="K794">
        <v>1</v>
      </c>
      <c r="L794" t="s">
        <v>707</v>
      </c>
      <c r="M794">
        <v>25</v>
      </c>
      <c r="N794" s="195">
        <v>43466</v>
      </c>
      <c r="O794" s="195"/>
      <c r="R794" t="s">
        <v>143</v>
      </c>
      <c r="S794">
        <v>1</v>
      </c>
    </row>
    <row r="795" spans="1:19" x14ac:dyDescent="0.25">
      <c r="A795" t="str">
        <f>TableSTRUEDSCI[[#This Row],[Study Package Code]]</f>
        <v>EDUC4034</v>
      </c>
      <c r="B795" s="5">
        <f>TableSTRUEDSCI[[#This Row],[Ver]]</f>
        <v>1</v>
      </c>
      <c r="D795" t="str">
        <f>TableSTRUEDSCI[[#This Row],[Structure Line]]</f>
        <v>iSTEM: Social Issues</v>
      </c>
      <c r="E795" s="125">
        <f>TableSTRUEDSCI[[#This Row],[Credit Points]]</f>
        <v>25</v>
      </c>
      <c r="G795" t="s">
        <v>102</v>
      </c>
      <c r="J795" t="s">
        <v>144</v>
      </c>
      <c r="K795">
        <v>1</v>
      </c>
      <c r="L795" t="s">
        <v>708</v>
      </c>
      <c r="M795">
        <v>25</v>
      </c>
      <c r="N795" s="195">
        <v>43466</v>
      </c>
      <c r="O795" s="195"/>
      <c r="R795" t="s">
        <v>144</v>
      </c>
      <c r="S795">
        <v>1</v>
      </c>
    </row>
    <row r="796" spans="1:19" x14ac:dyDescent="0.25">
      <c r="A796" t="str">
        <f>TableSTRUEDSCI[[#This Row],[Study Package Code]]</f>
        <v>EDUC4036</v>
      </c>
      <c r="B796" s="5">
        <f>TableSTRUEDSCI[[#This Row],[Ver]]</f>
        <v>1</v>
      </c>
      <c r="D796" t="str">
        <f>TableSTRUEDSCI[[#This Row],[Structure Line]]</f>
        <v>Language and Diversity</v>
      </c>
      <c r="E796" s="125">
        <f>TableSTRUEDSCI[[#This Row],[Credit Points]]</f>
        <v>25</v>
      </c>
      <c r="G796" t="s">
        <v>102</v>
      </c>
      <c r="J796" t="s">
        <v>149</v>
      </c>
      <c r="K796">
        <v>1</v>
      </c>
      <c r="L796" t="s">
        <v>709</v>
      </c>
      <c r="M796">
        <v>25</v>
      </c>
      <c r="N796" s="195">
        <v>43466</v>
      </c>
      <c r="O796" s="195"/>
      <c r="R796" t="s">
        <v>149</v>
      </c>
      <c r="S796">
        <v>1</v>
      </c>
    </row>
    <row r="797" spans="1:19" x14ac:dyDescent="0.25">
      <c r="A797" t="str">
        <f>TableSTRUEDSCI[[#This Row],[Study Package Code]]</f>
        <v>EDUC4038</v>
      </c>
      <c r="B797" s="5">
        <f>TableSTRUEDSCI[[#This Row],[Ver]]</f>
        <v>1</v>
      </c>
      <c r="D797" t="str">
        <f>TableSTRUEDSCI[[#This Row],[Structure Line]]</f>
        <v>Technologies: Design Solutions</v>
      </c>
      <c r="E797" s="125">
        <f>TableSTRUEDSCI[[#This Row],[Credit Points]]</f>
        <v>25</v>
      </c>
      <c r="G797" t="s">
        <v>102</v>
      </c>
      <c r="J797" t="s">
        <v>161</v>
      </c>
      <c r="K797" s="196">
        <v>1</v>
      </c>
      <c r="L797" s="196" t="s">
        <v>710</v>
      </c>
      <c r="M797" s="196">
        <v>25</v>
      </c>
      <c r="N797" s="195">
        <v>43466</v>
      </c>
      <c r="O797" s="195"/>
      <c r="R797" t="s">
        <v>161</v>
      </c>
      <c r="S797">
        <v>1</v>
      </c>
    </row>
    <row r="798" spans="1:19" x14ac:dyDescent="0.25">
      <c r="A798" t="str">
        <f>TableSTRUEDSCI[[#This Row],[Study Package Code]]</f>
        <v>EDUC4042</v>
      </c>
      <c r="B798" s="5">
        <f>TableSTRUEDSCI[[#This Row],[Ver]]</f>
        <v>1</v>
      </c>
      <c r="D798" t="str">
        <f>TableSTRUEDSCI[[#This Row],[Structure Line]]</f>
        <v>Alternative Approaches to Teaching Literacy and Numeracy</v>
      </c>
      <c r="E798" s="125">
        <f>TableSTRUEDSCI[[#This Row],[Credit Points]]</f>
        <v>25</v>
      </c>
      <c r="G798" t="s">
        <v>102</v>
      </c>
      <c r="J798" t="s">
        <v>155</v>
      </c>
      <c r="K798">
        <v>1</v>
      </c>
      <c r="L798" t="s">
        <v>713</v>
      </c>
      <c r="M798">
        <v>25</v>
      </c>
      <c r="N798" s="195">
        <v>43466</v>
      </c>
      <c r="O798" s="195"/>
      <c r="R798" t="s">
        <v>155</v>
      </c>
      <c r="S798">
        <v>1</v>
      </c>
    </row>
    <row r="799" spans="1:19" x14ac:dyDescent="0.25">
      <c r="A799" t="str">
        <f>TableSTRUEDSCI[[#This Row],[Study Package Code]]</f>
        <v>EDUC4044</v>
      </c>
      <c r="B799" s="5">
        <f>TableSTRUEDSCI[[#This Row],[Ver]]</f>
        <v>2</v>
      </c>
      <c r="D799" t="str">
        <f>TableSTRUEDSCI[[#This Row],[Structure Line]]</f>
        <v>Literacy and Numeracy for First Nations Peoples of Australia</v>
      </c>
      <c r="E799" s="125">
        <f>TableSTRUEDSCI[[#This Row],[Credit Points]]</f>
        <v>25</v>
      </c>
      <c r="G799" t="s">
        <v>102</v>
      </c>
      <c r="J799" t="s">
        <v>157</v>
      </c>
      <c r="K799">
        <v>2</v>
      </c>
      <c r="L799" t="s">
        <v>714</v>
      </c>
      <c r="M799">
        <v>25</v>
      </c>
      <c r="N799" s="195">
        <v>44927</v>
      </c>
      <c r="O799" s="195"/>
      <c r="R799" t="s">
        <v>157</v>
      </c>
      <c r="S799">
        <v>2</v>
      </c>
    </row>
    <row r="800" spans="1:19" x14ac:dyDescent="0.25">
      <c r="A800" t="str">
        <f>TableSTRUEDSCI[[#This Row],[Study Package Code]]</f>
        <v>EDUC4046</v>
      </c>
      <c r="B800" s="5">
        <f>TableSTRUEDSCI[[#This Row],[Ver]]</f>
        <v>1</v>
      </c>
      <c r="D800" t="str">
        <f>TableSTRUEDSCI[[#This Row],[Structure Line]]</f>
        <v>Technologies: Digital Solutions</v>
      </c>
      <c r="E800" s="125">
        <f>TableSTRUEDSCI[[#This Row],[Credit Points]]</f>
        <v>25</v>
      </c>
      <c r="G800" t="s">
        <v>102</v>
      </c>
      <c r="J800" t="s">
        <v>162</v>
      </c>
      <c r="K800">
        <v>1</v>
      </c>
      <c r="L800" t="s">
        <v>715</v>
      </c>
      <c r="M800">
        <v>25</v>
      </c>
      <c r="N800" s="195">
        <v>43466</v>
      </c>
      <c r="O800" s="195"/>
      <c r="R800" t="s">
        <v>162</v>
      </c>
      <c r="S800">
        <v>1</v>
      </c>
    </row>
    <row r="801" spans="1:19" x14ac:dyDescent="0.25">
      <c r="A801" t="str">
        <f>TableSTRUEDSCI[[#This Row],[Study Package Code]]</f>
        <v>EDUC4048</v>
      </c>
      <c r="B801" s="5">
        <f>TableSTRUEDSCI[[#This Row],[Ver]]</f>
        <v>1</v>
      </c>
      <c r="D801" t="str">
        <f>TableSTRUEDSCI[[#This Row],[Structure Line]]</f>
        <v>Mentoring, Coaching and Tutoring</v>
      </c>
      <c r="E801" s="125">
        <f>TableSTRUEDSCI[[#This Row],[Credit Points]]</f>
        <v>25</v>
      </c>
      <c r="G801" t="s">
        <v>102</v>
      </c>
      <c r="J801" t="s">
        <v>117</v>
      </c>
      <c r="K801">
        <v>1</v>
      </c>
      <c r="L801" t="s">
        <v>716</v>
      </c>
      <c r="M801">
        <v>25</v>
      </c>
      <c r="N801" s="195">
        <v>43466</v>
      </c>
      <c r="O801" s="195"/>
      <c r="R801" t="s">
        <v>117</v>
      </c>
      <c r="S801">
        <v>1</v>
      </c>
    </row>
    <row r="802" spans="1:19" x14ac:dyDescent="0.25">
      <c r="A802" s="122"/>
      <c r="B802" s="124"/>
      <c r="C802" s="122"/>
      <c r="G802" s="123" t="s">
        <v>855</v>
      </c>
      <c r="H802" s="199">
        <v>44562</v>
      </c>
      <c r="J802" s="197" t="s">
        <v>256</v>
      </c>
      <c r="K802" s="124" t="s">
        <v>77</v>
      </c>
      <c r="L802" s="122" t="s">
        <v>259</v>
      </c>
      <c r="M802" s="122"/>
    </row>
    <row r="803" spans="1:19" ht="31.5" x14ac:dyDescent="0.25">
      <c r="A803" s="159" t="s">
        <v>0</v>
      </c>
      <c r="B803" s="160" t="s">
        <v>60</v>
      </c>
      <c r="C803" s="159" t="s">
        <v>856</v>
      </c>
      <c r="D803" s="159" t="s">
        <v>3</v>
      </c>
      <c r="E803" s="161" t="s">
        <v>857</v>
      </c>
      <c r="F803" s="159" t="s">
        <v>858</v>
      </c>
      <c r="G803" s="159" t="s">
        <v>859</v>
      </c>
      <c r="H803" s="159" t="s">
        <v>860</v>
      </c>
      <c r="I803" s="159" t="s">
        <v>17</v>
      </c>
      <c r="J803" s="159" t="s">
        <v>861</v>
      </c>
      <c r="K803" s="159" t="s">
        <v>1</v>
      </c>
      <c r="L803" s="159" t="s">
        <v>44</v>
      </c>
      <c r="M803" s="159" t="s">
        <v>61</v>
      </c>
      <c r="N803" s="159" t="s">
        <v>862</v>
      </c>
      <c r="O803" s="159" t="s">
        <v>863</v>
      </c>
      <c r="R803" t="s">
        <v>538</v>
      </c>
      <c r="S803" t="s">
        <v>864</v>
      </c>
    </row>
    <row r="804" spans="1:19" x14ac:dyDescent="0.25">
      <c r="A804" t="str">
        <f>TableSTRUENGLB[[#This Row],[Study Package Code]]</f>
        <v>COMS1010</v>
      </c>
      <c r="B804" s="5">
        <f>TableSTRUENGLB[[#This Row],[Ver]]</f>
        <v>2</v>
      </c>
      <c r="D804" t="str">
        <f>TableSTRUENGLB[[#This Row],[Structure Line]]</f>
        <v>Academic and Professional Communications</v>
      </c>
      <c r="E804" s="125">
        <f>TableSTRUENGLB[[#This Row],[Credit Points]]</f>
        <v>25</v>
      </c>
      <c r="F804">
        <v>1</v>
      </c>
      <c r="G804" t="s">
        <v>865</v>
      </c>
      <c r="H804">
        <v>1</v>
      </c>
      <c r="I804" t="s">
        <v>529</v>
      </c>
      <c r="J804" t="s">
        <v>475</v>
      </c>
      <c r="K804">
        <v>2</v>
      </c>
      <c r="L804" t="s">
        <v>581</v>
      </c>
      <c r="M804">
        <v>25</v>
      </c>
      <c r="N804" s="195">
        <v>42917</v>
      </c>
      <c r="O804" s="195"/>
      <c r="R804" t="s">
        <v>475</v>
      </c>
      <c r="S804">
        <v>2</v>
      </c>
    </row>
    <row r="805" spans="1:19" x14ac:dyDescent="0.25">
      <c r="A805" t="str">
        <f>TableSTRUENGLB[[#This Row],[Study Package Code]]</f>
        <v>CWRI2001</v>
      </c>
      <c r="B805" s="5">
        <f>TableSTRUENGLB[[#This Row],[Ver]]</f>
        <v>1</v>
      </c>
      <c r="D805" t="str">
        <f>TableSTRUENGLB[[#This Row],[Structure Line]]</f>
        <v>Writing Poetry</v>
      </c>
      <c r="E805" s="125">
        <f>TableSTRUENGLB[[#This Row],[Credit Points]]</f>
        <v>25</v>
      </c>
      <c r="F805">
        <v>2</v>
      </c>
      <c r="G805" t="s">
        <v>865</v>
      </c>
      <c r="H805">
        <v>2</v>
      </c>
      <c r="I805" t="s">
        <v>528</v>
      </c>
      <c r="J805" t="s">
        <v>479</v>
      </c>
      <c r="K805">
        <v>1</v>
      </c>
      <c r="L805" t="s">
        <v>595</v>
      </c>
      <c r="M805">
        <v>25</v>
      </c>
      <c r="N805" s="195">
        <v>42005</v>
      </c>
      <c r="O805" s="195"/>
      <c r="R805" t="s">
        <v>479</v>
      </c>
      <c r="S805">
        <v>1</v>
      </c>
    </row>
    <row r="806" spans="1:19" x14ac:dyDescent="0.25">
      <c r="A806" t="str">
        <f>TableSTRUENGLB[[#This Row],[Study Package Code]]</f>
        <v>CWRI2016</v>
      </c>
      <c r="B806" s="5">
        <f>TableSTRUENGLB[[#This Row],[Ver]]</f>
        <v>1</v>
      </c>
      <c r="D806" t="str">
        <f>TableSTRUENGLB[[#This Row],[Structure Line]]</f>
        <v>Writing Genre Fiction</v>
      </c>
      <c r="E806" s="125">
        <f>TableSTRUENGLB[[#This Row],[Credit Points]]</f>
        <v>25</v>
      </c>
      <c r="F806">
        <v>3</v>
      </c>
      <c r="G806" t="s">
        <v>865</v>
      </c>
      <c r="H806">
        <v>2</v>
      </c>
      <c r="I806" t="s">
        <v>529</v>
      </c>
      <c r="J806" t="s">
        <v>489</v>
      </c>
      <c r="K806">
        <v>1</v>
      </c>
      <c r="L806" t="s">
        <v>596</v>
      </c>
      <c r="M806">
        <v>25</v>
      </c>
      <c r="N806" s="195">
        <v>43831</v>
      </c>
      <c r="O806" s="195"/>
      <c r="R806" t="s">
        <v>489</v>
      </c>
      <c r="S806">
        <v>1</v>
      </c>
    </row>
    <row r="807" spans="1:19" x14ac:dyDescent="0.25">
      <c r="A807" t="str">
        <f>TableSTRUENGLB[[#This Row],[Study Package Code]]</f>
        <v>EDUC2007</v>
      </c>
      <c r="B807" s="5">
        <f>TableSTRUENGLB[[#This Row],[Ver]]</f>
        <v>1</v>
      </c>
      <c r="D807" t="str">
        <f>TableSTRUENGLB[[#This Row],[Structure Line]]</f>
        <v>Teaching Language, Literacy and Literature in Junior Primary</v>
      </c>
      <c r="E807" s="125">
        <f>TableSTRUENGLB[[#This Row],[Credit Points]]</f>
        <v>25</v>
      </c>
      <c r="F807">
        <v>4</v>
      </c>
      <c r="G807" t="s">
        <v>865</v>
      </c>
      <c r="H807">
        <v>3</v>
      </c>
      <c r="I807" t="s">
        <v>528</v>
      </c>
      <c r="J807" t="s">
        <v>88</v>
      </c>
      <c r="K807">
        <v>1</v>
      </c>
      <c r="L807" t="s">
        <v>693</v>
      </c>
      <c r="M807">
        <v>25</v>
      </c>
      <c r="N807" s="195">
        <v>43466</v>
      </c>
      <c r="O807" s="195"/>
      <c r="R807" t="s">
        <v>88</v>
      </c>
      <c r="S807">
        <v>1</v>
      </c>
    </row>
    <row r="808" spans="1:19" x14ac:dyDescent="0.25">
      <c r="A808" t="str">
        <f>TableSTRUENGLB[[#This Row],[Study Package Code]]</f>
        <v>EDPR3001</v>
      </c>
      <c r="B808" s="5">
        <f>TableSTRUENGLB[[#This Row],[Ver]]</f>
        <v>2</v>
      </c>
      <c r="D808" t="str">
        <f>TableSTRUENGLB[[#This Row],[Structure Line]]</f>
        <v>English Pedagogies and the Integrated Curriculum</v>
      </c>
      <c r="E808" s="125">
        <f>TableSTRUENGLB[[#This Row],[Credit Points]]</f>
        <v>25</v>
      </c>
      <c r="F808">
        <v>5</v>
      </c>
      <c r="G808" t="s">
        <v>865</v>
      </c>
      <c r="H808">
        <v>3</v>
      </c>
      <c r="I808" t="s">
        <v>529</v>
      </c>
      <c r="J808" t="s">
        <v>120</v>
      </c>
      <c r="K808">
        <v>2</v>
      </c>
      <c r="L808" t="s">
        <v>644</v>
      </c>
      <c r="M808">
        <v>25</v>
      </c>
      <c r="N808" s="195">
        <v>43466</v>
      </c>
      <c r="O808" s="195"/>
      <c r="R808" t="s">
        <v>120</v>
      </c>
      <c r="S808">
        <v>2</v>
      </c>
    </row>
    <row r="809" spans="1:19" x14ac:dyDescent="0.25">
      <c r="A809" t="str">
        <f>TableSTRUENGLB[[#This Row],[Study Package Code]]</f>
        <v>OptionStream</v>
      </c>
      <c r="B809" s="5">
        <f>TableSTRUENGLB[[#This Row],[Ver]]</f>
        <v>0</v>
      </c>
      <c r="D809" t="str">
        <f>TableSTRUENGLB[[#This Row],[Structure Line]]</f>
        <v>Choose an Option</v>
      </c>
      <c r="E809" s="125">
        <f>TableSTRUENGLB[[#This Row],[Credit Points]]</f>
        <v>25</v>
      </c>
      <c r="F809">
        <v>6</v>
      </c>
      <c r="G809" t="s">
        <v>102</v>
      </c>
      <c r="H809">
        <v>3</v>
      </c>
      <c r="I809" t="s">
        <v>875</v>
      </c>
      <c r="J809" t="s">
        <v>886</v>
      </c>
      <c r="K809">
        <v>0</v>
      </c>
      <c r="L809" t="s">
        <v>867</v>
      </c>
      <c r="M809">
        <v>25</v>
      </c>
      <c r="N809" s="195"/>
      <c r="O809" s="195"/>
      <c r="R809" t="s">
        <v>886</v>
      </c>
      <c r="S809">
        <v>0</v>
      </c>
    </row>
    <row r="810" spans="1:19" x14ac:dyDescent="0.25">
      <c r="A810" t="str">
        <f>TableSTRUENGLB[[#This Row],[Study Package Code]]</f>
        <v>CTED4000</v>
      </c>
      <c r="B810" s="5">
        <f>TableSTRUENGLB[[#This Row],[Ver]]</f>
        <v>1</v>
      </c>
      <c r="D810" t="str">
        <f>TableSTRUENGLB[[#This Row],[Structure Line]]</f>
        <v>An Introduction to Catholic Education</v>
      </c>
      <c r="E810" s="125">
        <f>TableSTRUENGLB[[#This Row],[Credit Points]]</f>
        <v>25</v>
      </c>
      <c r="F810">
        <v>6</v>
      </c>
      <c r="G810" t="s">
        <v>102</v>
      </c>
      <c r="H810">
        <v>3</v>
      </c>
      <c r="I810" t="s">
        <v>875</v>
      </c>
      <c r="J810" t="s">
        <v>171</v>
      </c>
      <c r="K810">
        <v>1</v>
      </c>
      <c r="L810" t="s">
        <v>583</v>
      </c>
      <c r="M810">
        <v>25</v>
      </c>
      <c r="N810" s="195">
        <v>42005</v>
      </c>
      <c r="O810" s="195"/>
      <c r="R810" t="s">
        <v>171</v>
      </c>
      <c r="S810">
        <v>1</v>
      </c>
    </row>
    <row r="811" spans="1:19" x14ac:dyDescent="0.25">
      <c r="A811" t="str">
        <f>TableSTRUENGLB[[#This Row],[Study Package Code]]</f>
        <v>CTED4001</v>
      </c>
      <c r="B811" s="5">
        <f>TableSTRUENGLB[[#This Row],[Ver]]</f>
        <v>2</v>
      </c>
      <c r="D811" t="str">
        <f>TableSTRUENGLB[[#This Row],[Structure Line]]</f>
        <v>Teaching About Sacraments in Catholic Schools</v>
      </c>
      <c r="E811" s="125">
        <f>TableSTRUENGLB[[#This Row],[Credit Points]]</f>
        <v>25</v>
      </c>
      <c r="F811">
        <v>6</v>
      </c>
      <c r="G811" t="s">
        <v>102</v>
      </c>
      <c r="H811">
        <v>3</v>
      </c>
      <c r="I811" t="s">
        <v>875</v>
      </c>
      <c r="J811" t="s">
        <v>150</v>
      </c>
      <c r="K811">
        <v>2</v>
      </c>
      <c r="L811" t="s">
        <v>585</v>
      </c>
      <c r="M811">
        <v>25</v>
      </c>
      <c r="N811" s="195">
        <v>45292</v>
      </c>
      <c r="O811" s="195"/>
      <c r="R811" t="s">
        <v>150</v>
      </c>
      <c r="S811">
        <v>1</v>
      </c>
    </row>
    <row r="812" spans="1:19" x14ac:dyDescent="0.25">
      <c r="A812" t="str">
        <f>TableSTRUENGLB[[#This Row],[Study Package Code]]</f>
        <v>CTED4002</v>
      </c>
      <c r="B812" s="5">
        <f>TableSTRUENGLB[[#This Row],[Ver]]</f>
        <v>2</v>
      </c>
      <c r="D812" t="str">
        <f>TableSTRUENGLB[[#This Row],[Structure Line]]</f>
        <v>Prayer and Morality in Catholic Studies</v>
      </c>
      <c r="E812" s="125">
        <f>TableSTRUENGLB[[#This Row],[Credit Points]]</f>
        <v>25</v>
      </c>
      <c r="F812">
        <v>6</v>
      </c>
      <c r="G812" t="s">
        <v>102</v>
      </c>
      <c r="H812">
        <v>3</v>
      </c>
      <c r="I812" t="s">
        <v>875</v>
      </c>
      <c r="J812" t="s">
        <v>172</v>
      </c>
      <c r="K812">
        <v>2</v>
      </c>
      <c r="L812" t="s">
        <v>591</v>
      </c>
      <c r="M812">
        <v>25</v>
      </c>
      <c r="N812" s="195">
        <v>44197</v>
      </c>
      <c r="O812" s="195"/>
      <c r="R812" t="s">
        <v>172</v>
      </c>
      <c r="S812">
        <v>2</v>
      </c>
    </row>
    <row r="813" spans="1:19" x14ac:dyDescent="0.25">
      <c r="A813" t="str">
        <f>TableSTRUENGLB[[#This Row],[Study Package Code]]</f>
        <v>CTED4006</v>
      </c>
      <c r="B813" s="5">
        <f>TableSTRUENGLB[[#This Row],[Ver]]</f>
        <v>1</v>
      </c>
      <c r="D813" t="str">
        <f>TableSTRUENGLB[[#This Row],[Structure Line]]</f>
        <v>Teaching About Jesus in Catholic Schools</v>
      </c>
      <c r="E813" s="125">
        <f>TableSTRUENGLB[[#This Row],[Credit Points]]</f>
        <v>25</v>
      </c>
      <c r="F813">
        <v>6</v>
      </c>
      <c r="G813" t="s">
        <v>102</v>
      </c>
      <c r="H813">
        <v>3</v>
      </c>
      <c r="I813" t="s">
        <v>875</v>
      </c>
      <c r="J813" t="s">
        <v>152</v>
      </c>
      <c r="K813">
        <v>1</v>
      </c>
      <c r="L813" t="s">
        <v>592</v>
      </c>
      <c r="M813">
        <v>25</v>
      </c>
      <c r="N813" s="195">
        <v>45292</v>
      </c>
      <c r="O813" s="195"/>
    </row>
    <row r="814" spans="1:19" x14ac:dyDescent="0.25">
      <c r="A814" t="str">
        <f>TableSTRUENGLB[[#This Row],[Study Package Code]]</f>
        <v>CTED4008</v>
      </c>
      <c r="B814" s="5">
        <f>TableSTRUENGLB[[#This Row],[Ver]]</f>
        <v>1</v>
      </c>
      <c r="D814" t="str">
        <f>TableSTRUENGLB[[#This Row],[Structure Line]]</f>
        <v>Teaching About the Gospels in Catholic Schools</v>
      </c>
      <c r="E814" s="125">
        <f>TableSTRUENGLB[[#This Row],[Credit Points]]</f>
        <v>25</v>
      </c>
      <c r="F814">
        <v>6</v>
      </c>
      <c r="G814" t="s">
        <v>102</v>
      </c>
      <c r="H814">
        <v>3</v>
      </c>
      <c r="I814" t="s">
        <v>875</v>
      </c>
      <c r="J814" t="s">
        <v>154</v>
      </c>
      <c r="K814">
        <v>1</v>
      </c>
      <c r="L814" t="s">
        <v>593</v>
      </c>
      <c r="M814">
        <v>25</v>
      </c>
      <c r="N814" s="195">
        <v>45292</v>
      </c>
      <c r="O814" s="195"/>
    </row>
    <row r="815" spans="1:19" x14ac:dyDescent="0.25">
      <c r="A815" t="str">
        <f>TableSTRUENGLB[[#This Row],[Study Package Code]]</f>
        <v>EDIB4000</v>
      </c>
      <c r="B815" s="5">
        <f>TableSTRUENGLB[[#This Row],[Ver]]</f>
        <v>1</v>
      </c>
      <c r="D815" t="str">
        <f>TableSTRUENGLB[[#This Row],[Structure Line]]</f>
        <v>Introduction to the International Baccalaureate Programme</v>
      </c>
      <c r="E815" s="125">
        <f>TableSTRUENGLB[[#This Row],[Credit Points]]</f>
        <v>25</v>
      </c>
      <c r="F815">
        <v>6</v>
      </c>
      <c r="G815" t="s">
        <v>102</v>
      </c>
      <c r="H815">
        <v>3</v>
      </c>
      <c r="I815" t="s">
        <v>875</v>
      </c>
      <c r="J815" t="s">
        <v>166</v>
      </c>
      <c r="K815">
        <v>1</v>
      </c>
      <c r="L815" t="s">
        <v>631</v>
      </c>
      <c r="M815">
        <v>25</v>
      </c>
      <c r="N815" s="195">
        <v>42005</v>
      </c>
      <c r="O815" s="195"/>
      <c r="R815" t="s">
        <v>166</v>
      </c>
      <c r="S815">
        <v>1</v>
      </c>
    </row>
    <row r="816" spans="1:19" x14ac:dyDescent="0.25">
      <c r="A816" t="str">
        <f>TableSTRUENGLB[[#This Row],[Study Package Code]]</f>
        <v>EDIB4002</v>
      </c>
      <c r="B816" s="5">
        <f>TableSTRUENGLB[[#This Row],[Ver]]</f>
        <v>1</v>
      </c>
      <c r="D816" t="str">
        <f>TableSTRUENGLB[[#This Row],[Structure Line]]</f>
        <v>International Baccalaureate Middle Years Programme</v>
      </c>
      <c r="E816" s="125">
        <f>TableSTRUENGLB[[#This Row],[Credit Points]]</f>
        <v>25</v>
      </c>
      <c r="F816">
        <v>6</v>
      </c>
      <c r="G816" t="s">
        <v>102</v>
      </c>
      <c r="H816">
        <v>3</v>
      </c>
      <c r="I816" t="s">
        <v>875</v>
      </c>
      <c r="J816" t="s">
        <v>170</v>
      </c>
      <c r="K816">
        <v>1</v>
      </c>
      <c r="L816" t="s">
        <v>634</v>
      </c>
      <c r="M816">
        <v>25</v>
      </c>
      <c r="N816" s="195">
        <v>42005</v>
      </c>
      <c r="O816" s="195"/>
      <c r="R816" t="s">
        <v>170</v>
      </c>
      <c r="S816">
        <v>1</v>
      </c>
    </row>
    <row r="817" spans="1:19" x14ac:dyDescent="0.25">
      <c r="A817" t="str">
        <f>TableSTRUENGLB[[#This Row],[Study Package Code]]</f>
        <v>EDIB4003</v>
      </c>
      <c r="B817" s="5">
        <f>TableSTRUENGLB[[#This Row],[Ver]]</f>
        <v>1</v>
      </c>
      <c r="D817" t="str">
        <f>TableSTRUENGLB[[#This Row],[Structure Line]]</f>
        <v>The International Baccalaureate in Action</v>
      </c>
      <c r="E817" s="125">
        <f>TableSTRUENGLB[[#This Row],[Credit Points]]</f>
        <v>25</v>
      </c>
      <c r="F817">
        <v>6</v>
      </c>
      <c r="G817" t="s">
        <v>102</v>
      </c>
      <c r="H817">
        <v>3</v>
      </c>
      <c r="I817" t="s">
        <v>875</v>
      </c>
      <c r="J817" t="s">
        <v>168</v>
      </c>
      <c r="K817">
        <v>1</v>
      </c>
      <c r="L817" t="s">
        <v>635</v>
      </c>
      <c r="M817">
        <v>25</v>
      </c>
      <c r="N817" s="195">
        <v>42005</v>
      </c>
      <c r="O817" s="195"/>
      <c r="R817" t="s">
        <v>168</v>
      </c>
      <c r="S817">
        <v>1</v>
      </c>
    </row>
    <row r="818" spans="1:19" x14ac:dyDescent="0.25">
      <c r="A818" t="str">
        <f>TableSTRUENGLB[[#This Row],[Study Package Code]]</f>
        <v>EDUC4012</v>
      </c>
      <c r="B818" s="5">
        <f>TableSTRUENGLB[[#This Row],[Ver]]</f>
        <v>2</v>
      </c>
      <c r="D818" t="str">
        <f>TableSTRUENGLB[[#This Row],[Structure Line]]</f>
        <v>Relationships and Sexuality Education</v>
      </c>
      <c r="E818" s="125">
        <f>TableSTRUENGLB[[#This Row],[Credit Points]]</f>
        <v>25</v>
      </c>
      <c r="F818">
        <v>6</v>
      </c>
      <c r="G818" t="s">
        <v>102</v>
      </c>
      <c r="H818">
        <v>3</v>
      </c>
      <c r="I818" t="s">
        <v>875</v>
      </c>
      <c r="J818" t="s">
        <v>156</v>
      </c>
      <c r="K818">
        <v>2</v>
      </c>
      <c r="L818" t="s">
        <v>697</v>
      </c>
      <c r="M818">
        <v>25</v>
      </c>
      <c r="N818" s="195">
        <v>44927</v>
      </c>
      <c r="O818" s="195"/>
      <c r="R818" t="s">
        <v>156</v>
      </c>
      <c r="S818">
        <v>2</v>
      </c>
    </row>
    <row r="819" spans="1:19" x14ac:dyDescent="0.25">
      <c r="A819" t="str">
        <f>TableSTRUENGLB[[#This Row],[Study Package Code]]</f>
        <v>EDUC4014</v>
      </c>
      <c r="B819" s="5">
        <f>TableSTRUENGLB[[#This Row],[Ver]]</f>
        <v>1</v>
      </c>
      <c r="D819" t="str">
        <f>TableSTRUENGLB[[#This Row],[Structure Line]]</f>
        <v>Diverse Abilities and Curriculum Differentiation</v>
      </c>
      <c r="E819" s="125">
        <f>TableSTRUENGLB[[#This Row],[Credit Points]]</f>
        <v>25</v>
      </c>
      <c r="F819">
        <v>6</v>
      </c>
      <c r="G819" t="s">
        <v>102</v>
      </c>
      <c r="H819">
        <v>3</v>
      </c>
      <c r="I819" t="s">
        <v>875</v>
      </c>
      <c r="J819" t="s">
        <v>158</v>
      </c>
      <c r="K819">
        <v>1</v>
      </c>
      <c r="L819" t="s">
        <v>698</v>
      </c>
      <c r="M819">
        <v>25</v>
      </c>
      <c r="N819" s="195">
        <v>42005</v>
      </c>
      <c r="O819" s="195"/>
      <c r="R819" t="s">
        <v>158</v>
      </c>
      <c r="S819">
        <v>1</v>
      </c>
    </row>
    <row r="820" spans="1:19" x14ac:dyDescent="0.25">
      <c r="A820" t="str">
        <f>TableSTRUENGLB[[#This Row],[Study Package Code]]</f>
        <v>EDUC4020</v>
      </c>
      <c r="B820" s="5">
        <f>TableSTRUENGLB[[#This Row],[Ver]]</f>
        <v>1</v>
      </c>
      <c r="D820" t="str">
        <f>TableSTRUENGLB[[#This Row],[Structure Line]]</f>
        <v>Supporting Literacy and Numeracy Development for Diverse Learners</v>
      </c>
      <c r="E820" s="125">
        <f>TableSTRUENGLB[[#This Row],[Credit Points]]</f>
        <v>25</v>
      </c>
      <c r="F820">
        <v>6</v>
      </c>
      <c r="G820" t="s">
        <v>102</v>
      </c>
      <c r="H820">
        <v>3</v>
      </c>
      <c r="I820" t="s">
        <v>875</v>
      </c>
      <c r="J820" t="s">
        <v>153</v>
      </c>
      <c r="K820">
        <v>1</v>
      </c>
      <c r="L820" t="s">
        <v>699</v>
      </c>
      <c r="M820">
        <v>25</v>
      </c>
      <c r="N820" s="195">
        <v>43282</v>
      </c>
      <c r="O820" s="195"/>
      <c r="R820" t="s">
        <v>153</v>
      </c>
      <c r="S820">
        <v>1</v>
      </c>
    </row>
    <row r="821" spans="1:19" x14ac:dyDescent="0.25">
      <c r="A821" t="str">
        <f>TableSTRUENGLB[[#This Row],[Study Package Code]]</f>
        <v>EDUC4021</v>
      </c>
      <c r="B821" s="5">
        <f>TableSTRUENGLB[[#This Row],[Ver]]</f>
        <v>1</v>
      </c>
      <c r="D821" t="str">
        <f>TableSTRUENGLB[[#This Row],[Structure Line]]</f>
        <v>Project-based iSTEM Education</v>
      </c>
      <c r="E821" s="125">
        <f>TableSTRUENGLB[[#This Row],[Credit Points]]</f>
        <v>25</v>
      </c>
      <c r="F821">
        <v>6</v>
      </c>
      <c r="G821" t="s">
        <v>102</v>
      </c>
      <c r="H821">
        <v>3</v>
      </c>
      <c r="I821" t="s">
        <v>875</v>
      </c>
      <c r="J821" t="s">
        <v>142</v>
      </c>
      <c r="K821">
        <v>1</v>
      </c>
      <c r="L821" t="s">
        <v>700</v>
      </c>
      <c r="M821">
        <v>25</v>
      </c>
      <c r="N821" s="195">
        <v>43282</v>
      </c>
      <c r="O821" s="195"/>
      <c r="R821" t="s">
        <v>142</v>
      </c>
      <c r="S821">
        <v>1</v>
      </c>
    </row>
    <row r="822" spans="1:19" x14ac:dyDescent="0.25">
      <c r="A822" t="str">
        <f>TableSTRUENGLB[[#This Row],[Study Package Code]]</f>
        <v>EDUC4022</v>
      </c>
      <c r="B822" s="5">
        <f>TableSTRUENGLB[[#This Row],[Ver]]</f>
        <v>1</v>
      </c>
      <c r="D822" t="str">
        <f>TableSTRUENGLB[[#This Row],[Structure Line]]</f>
        <v>Creative Literacies</v>
      </c>
      <c r="E822" s="125">
        <f>TableSTRUENGLB[[#This Row],[Credit Points]]</f>
        <v>25</v>
      </c>
      <c r="F822">
        <v>6</v>
      </c>
      <c r="G822" t="s">
        <v>102</v>
      </c>
      <c r="H822">
        <v>3</v>
      </c>
      <c r="I822" t="s">
        <v>875</v>
      </c>
      <c r="J822" t="s">
        <v>147</v>
      </c>
      <c r="K822">
        <v>1</v>
      </c>
      <c r="L822" t="s">
        <v>701</v>
      </c>
      <c r="M822">
        <v>25</v>
      </c>
      <c r="N822" s="195">
        <v>43282</v>
      </c>
      <c r="O822" s="195"/>
      <c r="R822" t="s">
        <v>147</v>
      </c>
      <c r="S822">
        <v>1</v>
      </c>
    </row>
    <row r="823" spans="1:19" x14ac:dyDescent="0.25">
      <c r="A823" t="str">
        <f>TableSTRUENGLB[[#This Row],[Study Package Code]]</f>
        <v>EDUC4023</v>
      </c>
      <c r="B823" s="5">
        <f>TableSTRUENGLB[[#This Row],[Ver]]</f>
        <v>1</v>
      </c>
      <c r="D823" t="str">
        <f>TableSTRUENGLB[[#This Row],[Structure Line]]</f>
        <v>Creating and Responding to Literature</v>
      </c>
      <c r="E823" s="125">
        <f>TableSTRUENGLB[[#This Row],[Credit Points]]</f>
        <v>25</v>
      </c>
      <c r="F823">
        <v>6</v>
      </c>
      <c r="G823" t="s">
        <v>102</v>
      </c>
      <c r="H823">
        <v>3</v>
      </c>
      <c r="I823" t="s">
        <v>875</v>
      </c>
      <c r="J823" t="s">
        <v>148</v>
      </c>
      <c r="K823">
        <v>1</v>
      </c>
      <c r="L823" t="s">
        <v>702</v>
      </c>
      <c r="M823">
        <v>25</v>
      </c>
      <c r="N823" s="195">
        <v>43282</v>
      </c>
      <c r="O823" s="195"/>
      <c r="R823" t="s">
        <v>148</v>
      </c>
      <c r="S823">
        <v>1</v>
      </c>
    </row>
    <row r="824" spans="1:19" x14ac:dyDescent="0.25">
      <c r="A824" t="str">
        <f>TableSTRUENGLB[[#This Row],[Study Package Code]]</f>
        <v>EDUC4029</v>
      </c>
      <c r="B824" s="5">
        <f>TableSTRUENGLB[[#This Row],[Ver]]</f>
        <v>1</v>
      </c>
      <c r="D824" t="str">
        <f>TableSTRUENGLB[[#This Row],[Structure Line]]</f>
        <v>Technologies: Coding for Teachers</v>
      </c>
      <c r="E824" s="125">
        <f>TableSTRUENGLB[[#This Row],[Credit Points]]</f>
        <v>25</v>
      </c>
      <c r="F824">
        <v>6</v>
      </c>
      <c r="G824" t="s">
        <v>102</v>
      </c>
      <c r="H824">
        <v>3</v>
      </c>
      <c r="I824" t="s">
        <v>875</v>
      </c>
      <c r="J824" t="s">
        <v>160</v>
      </c>
      <c r="K824">
        <v>1</v>
      </c>
      <c r="L824" t="s">
        <v>703</v>
      </c>
      <c r="M824">
        <v>25</v>
      </c>
      <c r="N824" s="195">
        <v>43282</v>
      </c>
      <c r="O824" s="195"/>
      <c r="R824" t="s">
        <v>160</v>
      </c>
      <c r="S824">
        <v>1</v>
      </c>
    </row>
    <row r="825" spans="1:19" x14ac:dyDescent="0.25">
      <c r="A825" t="str">
        <f>TableSTRUENGLB[[#This Row],[Study Package Code]]</f>
        <v>EDUC4031</v>
      </c>
      <c r="B825" s="5">
        <f>TableSTRUENGLB[[#This Row],[Ver]]</f>
        <v>1</v>
      </c>
      <c r="D825" t="str">
        <f>TableSTRUENGLB[[#This Row],[Structure Line]]</f>
        <v>Social Justice in Literacy and Numeracy Learning</v>
      </c>
      <c r="E825" s="125">
        <f>TableSTRUENGLB[[#This Row],[Credit Points]]</f>
        <v>25</v>
      </c>
      <c r="F825">
        <v>6</v>
      </c>
      <c r="G825" t="s">
        <v>102</v>
      </c>
      <c r="H825">
        <v>3</v>
      </c>
      <c r="I825" t="s">
        <v>875</v>
      </c>
      <c r="J825" t="s">
        <v>169</v>
      </c>
      <c r="K825">
        <v>1</v>
      </c>
      <c r="L825" t="s">
        <v>705</v>
      </c>
      <c r="M825">
        <v>25</v>
      </c>
      <c r="N825" s="195">
        <v>43282</v>
      </c>
      <c r="O825" s="195">
        <v>44750</v>
      </c>
      <c r="R825" t="s">
        <v>169</v>
      </c>
      <c r="S825">
        <v>1</v>
      </c>
    </row>
    <row r="826" spans="1:19" x14ac:dyDescent="0.25">
      <c r="A826" t="str">
        <f>TableSTRUENGLB[[#This Row],[Study Package Code]]</f>
        <v>EDUC4032</v>
      </c>
      <c r="B826" s="5">
        <f>TableSTRUENGLB[[#This Row],[Ver]]</f>
        <v>1</v>
      </c>
      <c r="D826" t="str">
        <f>TableSTRUENGLB[[#This Row],[Structure Line]]</f>
        <v>iSTEM Education through Digital Stories</v>
      </c>
      <c r="E826" s="125">
        <f>TableSTRUENGLB[[#This Row],[Credit Points]]</f>
        <v>25</v>
      </c>
      <c r="F826">
        <v>6</v>
      </c>
      <c r="G826" t="s">
        <v>102</v>
      </c>
      <c r="H826">
        <v>3</v>
      </c>
      <c r="I826" t="s">
        <v>875</v>
      </c>
      <c r="J826" t="s">
        <v>143</v>
      </c>
      <c r="K826">
        <v>1</v>
      </c>
      <c r="L826" t="s">
        <v>707</v>
      </c>
      <c r="M826">
        <v>25</v>
      </c>
      <c r="N826" s="195">
        <v>43466</v>
      </c>
      <c r="O826" s="195"/>
      <c r="R826" t="s">
        <v>143</v>
      </c>
      <c r="S826">
        <v>1</v>
      </c>
    </row>
    <row r="827" spans="1:19" x14ac:dyDescent="0.25">
      <c r="A827" t="str">
        <f>TableSTRUENGLB[[#This Row],[Study Package Code]]</f>
        <v>EDUC4034</v>
      </c>
      <c r="B827" s="5">
        <f>TableSTRUENGLB[[#This Row],[Ver]]</f>
        <v>1</v>
      </c>
      <c r="D827" t="str">
        <f>TableSTRUENGLB[[#This Row],[Structure Line]]</f>
        <v>iSTEM: Social Issues</v>
      </c>
      <c r="E827" s="125">
        <f>TableSTRUENGLB[[#This Row],[Credit Points]]</f>
        <v>25</v>
      </c>
      <c r="F827">
        <v>6</v>
      </c>
      <c r="G827" t="s">
        <v>102</v>
      </c>
      <c r="H827">
        <v>3</v>
      </c>
      <c r="I827" t="s">
        <v>875</v>
      </c>
      <c r="J827" t="s">
        <v>144</v>
      </c>
      <c r="K827">
        <v>1</v>
      </c>
      <c r="L827" t="s">
        <v>708</v>
      </c>
      <c r="M827">
        <v>25</v>
      </c>
      <c r="N827" s="195">
        <v>43466</v>
      </c>
      <c r="O827" s="195"/>
      <c r="R827" t="s">
        <v>144</v>
      </c>
      <c r="S827">
        <v>1</v>
      </c>
    </row>
    <row r="828" spans="1:19" x14ac:dyDescent="0.25">
      <c r="A828" t="str">
        <f>TableSTRUENGLB[[#This Row],[Study Package Code]]</f>
        <v>EDUC4036</v>
      </c>
      <c r="B828" s="5">
        <f>TableSTRUENGLB[[#This Row],[Ver]]</f>
        <v>1</v>
      </c>
      <c r="D828" t="str">
        <f>TableSTRUENGLB[[#This Row],[Structure Line]]</f>
        <v>Language and Diversity</v>
      </c>
      <c r="E828" s="125">
        <f>TableSTRUENGLB[[#This Row],[Credit Points]]</f>
        <v>25</v>
      </c>
      <c r="F828">
        <v>6</v>
      </c>
      <c r="G828" t="s">
        <v>102</v>
      </c>
      <c r="H828">
        <v>3</v>
      </c>
      <c r="I828" t="s">
        <v>875</v>
      </c>
      <c r="J828" t="s">
        <v>149</v>
      </c>
      <c r="K828">
        <v>1</v>
      </c>
      <c r="L828" t="s">
        <v>709</v>
      </c>
      <c r="M828">
        <v>25</v>
      </c>
      <c r="N828" s="195">
        <v>43466</v>
      </c>
      <c r="O828" s="195"/>
      <c r="R828" t="s">
        <v>149</v>
      </c>
      <c r="S828">
        <v>1</v>
      </c>
    </row>
    <row r="829" spans="1:19" x14ac:dyDescent="0.25">
      <c r="A829" t="str">
        <f>TableSTRUENGLB[[#This Row],[Study Package Code]]</f>
        <v>EDUC4038</v>
      </c>
      <c r="B829" s="5">
        <f>TableSTRUENGLB[[#This Row],[Ver]]</f>
        <v>1</v>
      </c>
      <c r="D829" t="str">
        <f>TableSTRUENGLB[[#This Row],[Structure Line]]</f>
        <v>Technologies: Design Solutions</v>
      </c>
      <c r="E829" s="125">
        <f>TableSTRUENGLB[[#This Row],[Credit Points]]</f>
        <v>25</v>
      </c>
      <c r="F829">
        <v>6</v>
      </c>
      <c r="G829" t="s">
        <v>102</v>
      </c>
      <c r="H829">
        <v>3</v>
      </c>
      <c r="I829" t="s">
        <v>875</v>
      </c>
      <c r="J829" t="s">
        <v>161</v>
      </c>
      <c r="K829" s="196">
        <v>1</v>
      </c>
      <c r="L829" s="196" t="s">
        <v>710</v>
      </c>
      <c r="M829" s="196">
        <v>25</v>
      </c>
      <c r="N829" s="195">
        <v>43466</v>
      </c>
      <c r="O829" s="195"/>
      <c r="R829" t="s">
        <v>161</v>
      </c>
      <c r="S829">
        <v>1</v>
      </c>
    </row>
    <row r="830" spans="1:19" x14ac:dyDescent="0.25">
      <c r="A830" t="str">
        <f>TableSTRUENGLB[[#This Row],[Study Package Code]]</f>
        <v>EDUC4042</v>
      </c>
      <c r="B830" s="5">
        <f>TableSTRUENGLB[[#This Row],[Ver]]</f>
        <v>1</v>
      </c>
      <c r="D830" t="str">
        <f>TableSTRUENGLB[[#This Row],[Structure Line]]</f>
        <v>Alternative Approaches to Teaching Literacy and Numeracy</v>
      </c>
      <c r="E830" s="125">
        <f>TableSTRUENGLB[[#This Row],[Credit Points]]</f>
        <v>25</v>
      </c>
      <c r="F830">
        <v>6</v>
      </c>
      <c r="G830" t="s">
        <v>102</v>
      </c>
      <c r="H830">
        <v>3</v>
      </c>
      <c r="I830" t="s">
        <v>875</v>
      </c>
      <c r="J830" t="s">
        <v>155</v>
      </c>
      <c r="K830">
        <v>1</v>
      </c>
      <c r="L830" t="s">
        <v>713</v>
      </c>
      <c r="M830">
        <v>25</v>
      </c>
      <c r="N830" s="195">
        <v>43466</v>
      </c>
      <c r="O830" s="195"/>
      <c r="R830" t="s">
        <v>155</v>
      </c>
      <c r="S830">
        <v>1</v>
      </c>
    </row>
    <row r="831" spans="1:19" x14ac:dyDescent="0.25">
      <c r="A831" t="str">
        <f>TableSTRUENGLB[[#This Row],[Study Package Code]]</f>
        <v>EDUC4044</v>
      </c>
      <c r="B831" s="5">
        <f>TableSTRUENGLB[[#This Row],[Ver]]</f>
        <v>2</v>
      </c>
      <c r="D831" t="str">
        <f>TableSTRUENGLB[[#This Row],[Structure Line]]</f>
        <v>Literacy and Numeracy for First Nations Peoples of Australia</v>
      </c>
      <c r="E831" s="125">
        <f>TableSTRUENGLB[[#This Row],[Credit Points]]</f>
        <v>25</v>
      </c>
      <c r="F831">
        <v>6</v>
      </c>
      <c r="G831" t="s">
        <v>102</v>
      </c>
      <c r="H831">
        <v>3</v>
      </c>
      <c r="I831" t="s">
        <v>875</v>
      </c>
      <c r="J831" t="s">
        <v>157</v>
      </c>
      <c r="K831">
        <v>2</v>
      </c>
      <c r="L831" t="s">
        <v>714</v>
      </c>
      <c r="M831">
        <v>25</v>
      </c>
      <c r="N831" s="195">
        <v>44927</v>
      </c>
      <c r="O831" s="195"/>
      <c r="R831" t="s">
        <v>157</v>
      </c>
      <c r="S831">
        <v>1</v>
      </c>
    </row>
    <row r="832" spans="1:19" x14ac:dyDescent="0.25">
      <c r="A832" t="str">
        <f>TableSTRUENGLB[[#This Row],[Study Package Code]]</f>
        <v>EDUC4046</v>
      </c>
      <c r="B832" s="5">
        <f>TableSTRUENGLB[[#This Row],[Ver]]</f>
        <v>1</v>
      </c>
      <c r="D832" t="str">
        <f>TableSTRUENGLB[[#This Row],[Structure Line]]</f>
        <v>Technologies: Digital Solutions</v>
      </c>
      <c r="E832" s="125">
        <f>TableSTRUENGLB[[#This Row],[Credit Points]]</f>
        <v>25</v>
      </c>
      <c r="F832">
        <v>6</v>
      </c>
      <c r="G832" t="s">
        <v>102</v>
      </c>
      <c r="H832">
        <v>3</v>
      </c>
      <c r="I832" t="s">
        <v>875</v>
      </c>
      <c r="J832" t="s">
        <v>162</v>
      </c>
      <c r="K832">
        <v>1</v>
      </c>
      <c r="L832" t="s">
        <v>715</v>
      </c>
      <c r="M832">
        <v>25</v>
      </c>
      <c r="N832" s="195">
        <v>43466</v>
      </c>
      <c r="O832" s="195"/>
      <c r="R832" t="s">
        <v>162</v>
      </c>
      <c r="S832">
        <v>1</v>
      </c>
    </row>
    <row r="833" spans="1:19" x14ac:dyDescent="0.25">
      <c r="A833" t="str">
        <f>TableSTRUENGLB[[#This Row],[Study Package Code]]</f>
        <v>EDUC4048</v>
      </c>
      <c r="B833" s="5">
        <f>TableSTRUENGLB[[#This Row],[Ver]]</f>
        <v>1</v>
      </c>
      <c r="D833" t="str">
        <f>TableSTRUENGLB[[#This Row],[Structure Line]]</f>
        <v>Mentoring, Coaching and Tutoring</v>
      </c>
      <c r="E833" s="125">
        <f>TableSTRUENGLB[[#This Row],[Credit Points]]</f>
        <v>25</v>
      </c>
      <c r="F833">
        <v>6</v>
      </c>
      <c r="G833" t="s">
        <v>102</v>
      </c>
      <c r="H833">
        <v>3</v>
      </c>
      <c r="I833" t="s">
        <v>875</v>
      </c>
      <c r="J833" t="s">
        <v>117</v>
      </c>
      <c r="K833">
        <v>1</v>
      </c>
      <c r="L833" t="s">
        <v>716</v>
      </c>
      <c r="M833">
        <v>25</v>
      </c>
      <c r="N833" s="195">
        <v>43466</v>
      </c>
      <c r="O833" s="195"/>
      <c r="R833" t="s">
        <v>117</v>
      </c>
      <c r="S833">
        <v>1</v>
      </c>
    </row>
    <row r="834" spans="1:19" x14ac:dyDescent="0.25">
      <c r="A834" s="122"/>
      <c r="B834" s="124"/>
      <c r="C834" s="122"/>
      <c r="G834" s="123" t="s">
        <v>855</v>
      </c>
      <c r="H834" s="199">
        <v>44562</v>
      </c>
      <c r="J834" s="197" t="s">
        <v>197</v>
      </c>
      <c r="K834" s="124" t="s">
        <v>77</v>
      </c>
      <c r="L834" s="122" t="s">
        <v>260</v>
      </c>
      <c r="M834" s="122"/>
    </row>
    <row r="835" spans="1:19" ht="31.5" x14ac:dyDescent="0.25">
      <c r="A835" s="159" t="s">
        <v>0</v>
      </c>
      <c r="B835" s="160" t="s">
        <v>60</v>
      </c>
      <c r="C835" s="159" t="s">
        <v>856</v>
      </c>
      <c r="D835" s="159" t="s">
        <v>3</v>
      </c>
      <c r="E835" s="161" t="s">
        <v>857</v>
      </c>
      <c r="F835" s="159" t="s">
        <v>858</v>
      </c>
      <c r="G835" s="159" t="s">
        <v>859</v>
      </c>
      <c r="H835" s="159" t="s">
        <v>860</v>
      </c>
      <c r="I835" s="159" t="s">
        <v>17</v>
      </c>
      <c r="J835" s="159" t="s">
        <v>861</v>
      </c>
      <c r="K835" s="159" t="s">
        <v>1</v>
      </c>
      <c r="L835" s="159" t="s">
        <v>44</v>
      </c>
      <c r="M835" s="159" t="s">
        <v>61</v>
      </c>
      <c r="N835" s="159" t="s">
        <v>862</v>
      </c>
      <c r="O835" s="159" t="s">
        <v>863</v>
      </c>
      <c r="R835" t="s">
        <v>538</v>
      </c>
      <c r="S835" t="s">
        <v>864</v>
      </c>
    </row>
    <row r="836" spans="1:19" x14ac:dyDescent="0.25">
      <c r="A836" t="str">
        <f>TableSTRUENGLM[[#This Row],[Study Package Code]]</f>
        <v>CWRI1003</v>
      </c>
      <c r="B836" s="5">
        <f>TableSTRUENGLM[[#This Row],[Ver]]</f>
        <v>2</v>
      </c>
      <c r="D836" t="str">
        <f>TableSTRUENGLM[[#This Row],[Structure Line]]</f>
        <v>Engaging Narrative</v>
      </c>
      <c r="E836" s="125">
        <f>TableSTRUENGLM[[#This Row],[Credit Points]]</f>
        <v>25</v>
      </c>
      <c r="F836">
        <v>1</v>
      </c>
      <c r="G836" t="s">
        <v>865</v>
      </c>
      <c r="H836">
        <v>1</v>
      </c>
      <c r="I836" t="s">
        <v>529</v>
      </c>
      <c r="J836" t="s">
        <v>303</v>
      </c>
      <c r="K836">
        <v>2</v>
      </c>
      <c r="L836" t="s">
        <v>594</v>
      </c>
      <c r="M836">
        <v>25</v>
      </c>
      <c r="N836" s="195">
        <v>43831</v>
      </c>
      <c r="O836" s="195"/>
      <c r="R836" t="s">
        <v>303</v>
      </c>
      <c r="S836">
        <v>2</v>
      </c>
    </row>
    <row r="837" spans="1:19" x14ac:dyDescent="0.25">
      <c r="A837" t="str">
        <f>TableSTRUENGLM[[#This Row],[Study Package Code]]</f>
        <v>LCST1004</v>
      </c>
      <c r="B837" s="5">
        <f>TableSTRUENGLM[[#This Row],[Ver]]</f>
        <v>1</v>
      </c>
      <c r="D837" t="str">
        <f>TableSTRUENGLM[[#This Row],[Structure Line]]</f>
        <v>Introduction to Cultural Studies</v>
      </c>
      <c r="E837" s="125">
        <f>TableSTRUENGLM[[#This Row],[Credit Points]]</f>
        <v>25</v>
      </c>
      <c r="F837">
        <v>2</v>
      </c>
      <c r="G837" t="s">
        <v>865</v>
      </c>
      <c r="H837">
        <v>2</v>
      </c>
      <c r="I837" t="s">
        <v>528</v>
      </c>
      <c r="J837" t="s">
        <v>329</v>
      </c>
      <c r="K837">
        <v>1</v>
      </c>
      <c r="L837" t="s">
        <v>757</v>
      </c>
      <c r="M837">
        <v>25</v>
      </c>
      <c r="N837" s="195">
        <v>42370</v>
      </c>
      <c r="O837" s="195"/>
      <c r="R837" t="s">
        <v>329</v>
      </c>
      <c r="S837">
        <v>1</v>
      </c>
    </row>
    <row r="838" spans="1:19" x14ac:dyDescent="0.25">
      <c r="A838" t="str">
        <f>TableSTRUENGLM[[#This Row],[Study Package Code]]</f>
        <v>LCST2007</v>
      </c>
      <c r="B838" s="5">
        <f>TableSTRUENGLM[[#This Row],[Ver]]</f>
        <v>1</v>
      </c>
      <c r="D838" t="str">
        <f>TableSTRUENGLM[[#This Row],[Structure Line]]</f>
        <v>Reading Gender</v>
      </c>
      <c r="E838" s="125">
        <f>TableSTRUENGLM[[#This Row],[Credit Points]]</f>
        <v>25</v>
      </c>
      <c r="F838">
        <v>3</v>
      </c>
      <c r="G838" t="s">
        <v>865</v>
      </c>
      <c r="H838">
        <v>2</v>
      </c>
      <c r="I838" t="s">
        <v>529</v>
      </c>
      <c r="J838" t="s">
        <v>351</v>
      </c>
      <c r="K838">
        <v>1</v>
      </c>
      <c r="L838" t="s">
        <v>761</v>
      </c>
      <c r="M838">
        <v>25</v>
      </c>
      <c r="N838" s="195">
        <v>44562</v>
      </c>
      <c r="O838" s="195"/>
      <c r="R838" t="s">
        <v>351</v>
      </c>
      <c r="S838">
        <v>1</v>
      </c>
    </row>
    <row r="839" spans="1:19" x14ac:dyDescent="0.25">
      <c r="A839" t="str">
        <f>TableSTRUENGLM[[#This Row],[Study Package Code]]</f>
        <v>LCST2006</v>
      </c>
      <c r="B839" s="5">
        <f>TableSTRUENGLM[[#This Row],[Ver]]</f>
        <v>1</v>
      </c>
      <c r="D839" t="str">
        <f>TableSTRUENGLM[[#This Row],[Structure Line]]</f>
        <v>Classic Texts</v>
      </c>
      <c r="E839" s="125">
        <f>TableSTRUENGLM[[#This Row],[Credit Points]]</f>
        <v>25</v>
      </c>
      <c r="F839">
        <v>4</v>
      </c>
      <c r="G839" t="s">
        <v>865</v>
      </c>
      <c r="H839">
        <v>3</v>
      </c>
      <c r="I839" t="s">
        <v>528</v>
      </c>
      <c r="J839" t="s">
        <v>367</v>
      </c>
      <c r="K839">
        <v>1</v>
      </c>
      <c r="L839" t="s">
        <v>760</v>
      </c>
      <c r="M839">
        <v>25</v>
      </c>
      <c r="N839" s="195">
        <v>44562</v>
      </c>
      <c r="O839" s="195">
        <v>45291</v>
      </c>
      <c r="R839" t="s">
        <v>367</v>
      </c>
      <c r="S839">
        <v>1</v>
      </c>
    </row>
    <row r="840" spans="1:19" x14ac:dyDescent="0.25">
      <c r="A840" t="str">
        <f>TableSTRUENGLM[[#This Row],[Study Package Code]]</f>
        <v>EDSC4030</v>
      </c>
      <c r="B840" s="5">
        <f>TableSTRUENGLM[[#This Row],[Ver]]</f>
        <v>1</v>
      </c>
      <c r="D840" t="str">
        <f>TableSTRUENGLM[[#This Row],[Structure Line]]</f>
        <v>Curriculum and Instruction Lower Secondary: English</v>
      </c>
      <c r="E840" s="125">
        <f>TableSTRUENGLM[[#This Row],[Credit Points]]</f>
        <v>25</v>
      </c>
      <c r="F840">
        <v>5</v>
      </c>
      <c r="G840" t="s">
        <v>865</v>
      </c>
      <c r="H840">
        <v>3</v>
      </c>
      <c r="I840" t="s">
        <v>528</v>
      </c>
      <c r="J840" t="s">
        <v>319</v>
      </c>
      <c r="K840">
        <v>1</v>
      </c>
      <c r="L840" t="s">
        <v>679</v>
      </c>
      <c r="M840">
        <v>25</v>
      </c>
      <c r="N840" s="195">
        <v>43466</v>
      </c>
      <c r="O840" s="195"/>
      <c r="R840" t="s">
        <v>319</v>
      </c>
      <c r="S840">
        <v>1</v>
      </c>
    </row>
    <row r="841" spans="1:19" x14ac:dyDescent="0.25">
      <c r="A841" t="str">
        <f>TableSTRUENGLM[[#This Row],[Study Package Code]]</f>
        <v>EDSC4018</v>
      </c>
      <c r="B841" s="5">
        <f>TableSTRUENGLM[[#This Row],[Ver]]</f>
        <v>2</v>
      </c>
      <c r="D841" t="str">
        <f>TableSTRUENGLM[[#This Row],[Structure Line]]</f>
        <v>Curriculum and Instruction Senior Secondary: English</v>
      </c>
      <c r="E841" s="125">
        <f>TableSTRUENGLM[[#This Row],[Credit Points]]</f>
        <v>25</v>
      </c>
      <c r="F841">
        <v>6</v>
      </c>
      <c r="G841" t="s">
        <v>865</v>
      </c>
      <c r="H841">
        <v>3</v>
      </c>
      <c r="I841" t="s">
        <v>529</v>
      </c>
      <c r="J841" t="s">
        <v>342</v>
      </c>
      <c r="K841">
        <v>2</v>
      </c>
      <c r="L841" t="s">
        <v>669</v>
      </c>
      <c r="M841">
        <v>25</v>
      </c>
      <c r="N841" s="195">
        <v>43831</v>
      </c>
      <c r="O841" s="195"/>
      <c r="R841" t="s">
        <v>342</v>
      </c>
      <c r="S841">
        <v>2</v>
      </c>
    </row>
    <row r="842" spans="1:19" x14ac:dyDescent="0.25">
      <c r="A842" s="122"/>
      <c r="B842" s="124"/>
      <c r="C842" s="122"/>
      <c r="G842" s="123" t="s">
        <v>855</v>
      </c>
      <c r="H842" s="199">
        <v>43466</v>
      </c>
      <c r="J842" s="197" t="s">
        <v>263</v>
      </c>
      <c r="K842" s="124" t="s">
        <v>200</v>
      </c>
      <c r="L842" s="122" t="s">
        <v>262</v>
      </c>
      <c r="M842" s="122"/>
    </row>
    <row r="843" spans="1:19" ht="31.5" x14ac:dyDescent="0.25">
      <c r="A843" s="159" t="s">
        <v>0</v>
      </c>
      <c r="B843" s="160" t="s">
        <v>60</v>
      </c>
      <c r="C843" s="159" t="s">
        <v>856</v>
      </c>
      <c r="D843" s="159" t="s">
        <v>3</v>
      </c>
      <c r="E843" s="161" t="s">
        <v>857</v>
      </c>
      <c r="F843" s="159" t="s">
        <v>858</v>
      </c>
      <c r="G843" s="159" t="s">
        <v>859</v>
      </c>
      <c r="H843" s="159" t="s">
        <v>860</v>
      </c>
      <c r="I843" s="159" t="s">
        <v>17</v>
      </c>
      <c r="J843" s="159" t="s">
        <v>861</v>
      </c>
      <c r="K843" s="159" t="s">
        <v>1</v>
      </c>
      <c r="L843" s="159" t="s">
        <v>44</v>
      </c>
      <c r="M843" s="159" t="s">
        <v>61</v>
      </c>
      <c r="N843" s="159" t="s">
        <v>862</v>
      </c>
      <c r="O843" s="159" t="s">
        <v>863</v>
      </c>
      <c r="R843" t="s">
        <v>538</v>
      </c>
      <c r="S843" t="s">
        <v>864</v>
      </c>
    </row>
    <row r="844" spans="1:19" x14ac:dyDescent="0.25">
      <c r="A844" t="str">
        <f>TableSTRUGEOB1[[#This Row],[Study Package Code]]</f>
        <v>EDUC1027</v>
      </c>
      <c r="B844" s="5">
        <f>TableSTRUGEOB1[[#This Row],[Ver]]</f>
        <v>1</v>
      </c>
      <c r="D844" t="str">
        <f>TableSTRUGEOB1[[#This Row],[Structure Line]]</f>
        <v>Educators Inquiring About the World</v>
      </c>
      <c r="E844" s="125">
        <f>TableSTRUGEOB1[[#This Row],[Credit Points]]</f>
        <v>25</v>
      </c>
      <c r="F844">
        <v>1</v>
      </c>
      <c r="G844" t="s">
        <v>865</v>
      </c>
      <c r="H844">
        <v>1</v>
      </c>
      <c r="I844" t="s">
        <v>529</v>
      </c>
      <c r="J844" t="s">
        <v>53</v>
      </c>
      <c r="K844">
        <v>1</v>
      </c>
      <c r="L844" t="s">
        <v>688</v>
      </c>
      <c r="M844">
        <v>25</v>
      </c>
      <c r="N844" s="195">
        <v>43466</v>
      </c>
      <c r="O844" s="195"/>
      <c r="R844" t="s">
        <v>53</v>
      </c>
      <c r="S844">
        <v>1</v>
      </c>
    </row>
    <row r="845" spans="1:19" x14ac:dyDescent="0.25">
      <c r="A845" t="str">
        <f>TableSTRUGEOB1[[#This Row],[Study Package Code]]</f>
        <v>ECON1000</v>
      </c>
      <c r="B845" s="5">
        <f>TableSTRUGEOB1[[#This Row],[Ver]]</f>
        <v>1</v>
      </c>
      <c r="D845" t="str">
        <f>TableSTRUGEOB1[[#This Row],[Structure Line]]</f>
        <v>Introductory Economics</v>
      </c>
      <c r="E845" s="125">
        <f>TableSTRUGEOB1[[#This Row],[Credit Points]]</f>
        <v>25</v>
      </c>
      <c r="F845">
        <v>2</v>
      </c>
      <c r="G845" t="s">
        <v>865</v>
      </c>
      <c r="H845">
        <v>2</v>
      </c>
      <c r="I845" t="s">
        <v>528</v>
      </c>
      <c r="J845" t="s">
        <v>304</v>
      </c>
      <c r="K845">
        <v>1</v>
      </c>
      <c r="L845" t="s">
        <v>599</v>
      </c>
      <c r="M845">
        <v>25</v>
      </c>
      <c r="N845" s="195">
        <v>42005</v>
      </c>
      <c r="O845" s="195"/>
      <c r="R845" t="s">
        <v>304</v>
      </c>
      <c r="S845">
        <v>1</v>
      </c>
    </row>
    <row r="846" spans="1:19" x14ac:dyDescent="0.25">
      <c r="A846" t="str">
        <f>TableSTRUGEOB1[[#This Row],[Study Package Code]]</f>
        <v>HIST2000</v>
      </c>
      <c r="B846" s="5">
        <f>TableSTRUGEOB1[[#This Row],[Ver]]</f>
        <v>2</v>
      </c>
      <c r="D846" t="str">
        <f>TableSTRUGEOB1[[#This Row],[Structure Line]]</f>
        <v>Social Change in Contemporary Australian History</v>
      </c>
      <c r="E846" s="125">
        <f>TableSTRUGEOB1[[#This Row],[Credit Points]]</f>
        <v>25</v>
      </c>
      <c r="F846">
        <v>3</v>
      </c>
      <c r="G846" t="s">
        <v>865</v>
      </c>
      <c r="H846">
        <v>2</v>
      </c>
      <c r="I846" t="s">
        <v>529</v>
      </c>
      <c r="J846" t="s">
        <v>354</v>
      </c>
      <c r="K846">
        <v>2</v>
      </c>
      <c r="L846" t="s">
        <v>730</v>
      </c>
      <c r="M846">
        <v>25</v>
      </c>
      <c r="N846" s="195">
        <v>44562</v>
      </c>
      <c r="O846" s="195"/>
      <c r="R846" t="s">
        <v>354</v>
      </c>
      <c r="S846">
        <v>2</v>
      </c>
    </row>
    <row r="847" spans="1:19" x14ac:dyDescent="0.25">
      <c r="A847" t="str">
        <f>TableSTRUGEOB1[[#This Row],[Study Package Code]]</f>
        <v>AltCoreSTRUGEOB1</v>
      </c>
      <c r="B847" s="5">
        <f>TableSTRUGEOB1[[#This Row],[Ver]]</f>
        <v>0</v>
      </c>
      <c r="D847" t="str">
        <f>TableSTRUGEOB1[[#This Row],[Structure Line]]</f>
        <v>Choose INDS2001 or INDS2004</v>
      </c>
      <c r="E847" s="125">
        <f>TableSTRUGEOB1[[#This Row],[Credit Points]]</f>
        <v>25</v>
      </c>
      <c r="F847">
        <v>4</v>
      </c>
      <c r="G847" t="s">
        <v>865</v>
      </c>
      <c r="H847">
        <v>3</v>
      </c>
      <c r="I847" t="s">
        <v>528</v>
      </c>
      <c r="J847" t="s">
        <v>500</v>
      </c>
      <c r="K847">
        <v>0</v>
      </c>
      <c r="L847" t="s">
        <v>890</v>
      </c>
      <c r="M847">
        <v>25</v>
      </c>
      <c r="N847" s="195"/>
      <c r="O847" s="195"/>
      <c r="R847" t="s">
        <v>500</v>
      </c>
      <c r="S847">
        <v>0</v>
      </c>
    </row>
    <row r="848" spans="1:19" x14ac:dyDescent="0.25">
      <c r="A848" t="str">
        <f>TableSTRUGEOB1[[#This Row],[Study Package Code]]</f>
        <v>OptionStream</v>
      </c>
      <c r="B848" s="5">
        <f>TableSTRUGEOB1[[#This Row],[Ver]]</f>
        <v>0</v>
      </c>
      <c r="D848" t="str">
        <f>TableSTRUGEOB1[[#This Row],[Structure Line]]</f>
        <v>Choose your optional unit</v>
      </c>
      <c r="E848" s="125">
        <f>TableSTRUGEOB1[[#This Row],[Credit Points]]</f>
        <v>25</v>
      </c>
      <c r="F848">
        <v>5</v>
      </c>
      <c r="G848" t="s">
        <v>102</v>
      </c>
      <c r="H848">
        <v>3</v>
      </c>
      <c r="I848" t="s">
        <v>528</v>
      </c>
      <c r="J848" t="s">
        <v>886</v>
      </c>
      <c r="K848">
        <v>0</v>
      </c>
      <c r="L848" t="s">
        <v>897</v>
      </c>
      <c r="M848">
        <v>25</v>
      </c>
      <c r="N848" s="195"/>
      <c r="O848" s="195"/>
      <c r="R848" t="s">
        <v>886</v>
      </c>
      <c r="S848">
        <v>0</v>
      </c>
    </row>
    <row r="849" spans="1:19" x14ac:dyDescent="0.25">
      <c r="A849" t="str">
        <f>TableSTRUGEOB1[[#This Row],[Study Package Code]]</f>
        <v>EDPR3003</v>
      </c>
      <c r="B849" s="5">
        <f>TableSTRUGEOB1[[#This Row],[Ver]]</f>
        <v>2</v>
      </c>
      <c r="D849" t="str">
        <f>TableSTRUGEOB1[[#This Row],[Structure Line]]</f>
        <v>Inquiry in the Humanities and Social Sciences Classroom</v>
      </c>
      <c r="E849" s="125">
        <f>TableSTRUGEOB1[[#This Row],[Credit Points]]</f>
        <v>25</v>
      </c>
      <c r="F849">
        <v>6</v>
      </c>
      <c r="G849" t="s">
        <v>865</v>
      </c>
      <c r="H849">
        <v>3</v>
      </c>
      <c r="I849" t="s">
        <v>529</v>
      </c>
      <c r="J849" t="s">
        <v>112</v>
      </c>
      <c r="K849">
        <v>2</v>
      </c>
      <c r="L849" t="s">
        <v>645</v>
      </c>
      <c r="M849">
        <v>25</v>
      </c>
      <c r="N849" s="195">
        <v>43466</v>
      </c>
      <c r="O849" s="195"/>
      <c r="R849" t="s">
        <v>112</v>
      </c>
      <c r="S849">
        <v>2</v>
      </c>
    </row>
    <row r="850" spans="1:19" x14ac:dyDescent="0.25">
      <c r="A850" t="str">
        <f>TableSTRUGEOB1[[#This Row],[Study Package Code]]</f>
        <v>INDS2001</v>
      </c>
      <c r="B850" s="5">
        <f>TableSTRUGEOB1[[#This Row],[Ver]]</f>
        <v>1</v>
      </c>
      <c r="D850" t="str">
        <f>TableSTRUGEOB1[[#This Row],[Structure Line]]</f>
        <v>Indigenous Australian Land and Environments</v>
      </c>
      <c r="E850" s="125">
        <f>TableSTRUGEOB1[[#This Row],[Credit Points]]</f>
        <v>25</v>
      </c>
      <c r="F850">
        <v>4</v>
      </c>
      <c r="G850" t="s">
        <v>871</v>
      </c>
      <c r="H850">
        <v>3</v>
      </c>
      <c r="I850" t="s">
        <v>528</v>
      </c>
      <c r="J850" t="s">
        <v>414</v>
      </c>
      <c r="K850">
        <v>1</v>
      </c>
      <c r="L850" t="s">
        <v>750</v>
      </c>
      <c r="M850">
        <v>25</v>
      </c>
      <c r="N850" s="195">
        <v>42005</v>
      </c>
      <c r="O850" s="195"/>
      <c r="R850" t="s">
        <v>414</v>
      </c>
      <c r="S850">
        <v>1</v>
      </c>
    </row>
    <row r="851" spans="1:19" x14ac:dyDescent="0.25">
      <c r="A851" t="str">
        <f>TableSTRUGEOB1[[#This Row],[Study Package Code]]</f>
        <v>INDS2004</v>
      </c>
      <c r="B851" s="5">
        <f>TableSTRUGEOB1[[#This Row],[Ver]]</f>
        <v>2</v>
      </c>
      <c r="D851" t="str">
        <f>TableSTRUGEOB1[[#This Row],[Structure Line]]</f>
        <v>Listening to Country: First Nations’ Perspectives</v>
      </c>
      <c r="E851" s="125">
        <f>TableSTRUGEOB1[[#This Row],[Credit Points]]</f>
        <v>25</v>
      </c>
      <c r="F851">
        <v>4</v>
      </c>
      <c r="G851" t="s">
        <v>871</v>
      </c>
      <c r="H851">
        <v>3</v>
      </c>
      <c r="I851" t="s">
        <v>528</v>
      </c>
      <c r="J851" t="s">
        <v>417</v>
      </c>
      <c r="K851">
        <v>2</v>
      </c>
      <c r="L851" t="s">
        <v>751</v>
      </c>
      <c r="M851">
        <v>25</v>
      </c>
      <c r="N851" s="195">
        <v>44562</v>
      </c>
      <c r="O851" s="195"/>
      <c r="R851" t="s">
        <v>417</v>
      </c>
      <c r="S851">
        <v>2</v>
      </c>
    </row>
    <row r="852" spans="1:19" x14ac:dyDescent="0.25">
      <c r="A852" t="str">
        <f>TableSTRUGEOB1[[#This Row],[Study Package Code]]</f>
        <v>CTED4000</v>
      </c>
      <c r="B852" s="5">
        <f>TableSTRUGEOB1[[#This Row],[Ver]]</f>
        <v>1</v>
      </c>
      <c r="D852" t="str">
        <f>TableSTRUGEOB1[[#This Row],[Structure Line]]</f>
        <v>An Introduction to Catholic Education</v>
      </c>
      <c r="E852" s="125">
        <f>TableSTRUGEOB1[[#This Row],[Credit Points]]</f>
        <v>25</v>
      </c>
      <c r="F852">
        <v>5</v>
      </c>
      <c r="G852" t="s">
        <v>102</v>
      </c>
      <c r="H852">
        <v>3</v>
      </c>
      <c r="I852" t="s">
        <v>528</v>
      </c>
      <c r="J852" t="s">
        <v>171</v>
      </c>
      <c r="K852">
        <v>1</v>
      </c>
      <c r="L852" t="s">
        <v>583</v>
      </c>
      <c r="M852">
        <v>25</v>
      </c>
      <c r="N852" s="195">
        <v>42005</v>
      </c>
      <c r="O852" s="195"/>
      <c r="R852" t="s">
        <v>171</v>
      </c>
      <c r="S852">
        <v>1</v>
      </c>
    </row>
    <row r="853" spans="1:19" x14ac:dyDescent="0.25">
      <c r="A853" t="str">
        <f>TableSTRUGEOB1[[#This Row],[Study Package Code]]</f>
        <v>CTED4001</v>
      </c>
      <c r="B853" s="5">
        <f>TableSTRUGEOB1[[#This Row],[Ver]]</f>
        <v>1</v>
      </c>
      <c r="D853" t="str">
        <f>TableSTRUGEOB1[[#This Row],[Structure Line]]</f>
        <v>Creed and Sacraments in Catholic Studies</v>
      </c>
      <c r="E853" s="125">
        <f>TableSTRUGEOB1[[#This Row],[Credit Points]]</f>
        <v>25</v>
      </c>
      <c r="F853">
        <v>5</v>
      </c>
      <c r="G853" t="s">
        <v>102</v>
      </c>
      <c r="H853">
        <v>3</v>
      </c>
      <c r="I853" t="s">
        <v>528</v>
      </c>
      <c r="J853" t="s">
        <v>150</v>
      </c>
      <c r="K853">
        <v>1</v>
      </c>
      <c r="L853" t="s">
        <v>588</v>
      </c>
      <c r="M853">
        <v>25</v>
      </c>
      <c r="N853" s="195">
        <v>42005</v>
      </c>
      <c r="O853" s="195">
        <v>45291</v>
      </c>
      <c r="R853" t="s">
        <v>150</v>
      </c>
      <c r="S853">
        <v>1</v>
      </c>
    </row>
    <row r="854" spans="1:19" x14ac:dyDescent="0.25">
      <c r="A854" t="str">
        <f>TableSTRUGEOB1[[#This Row],[Study Package Code]]</f>
        <v>CTED4001</v>
      </c>
      <c r="B854" s="5">
        <f>TableSTRUGEOB1[[#This Row],[Ver]]</f>
        <v>2</v>
      </c>
      <c r="D854" t="str">
        <f>TableSTRUGEOB1[[#This Row],[Structure Line]]</f>
        <v>Teaching About Sacraments in Catholic Schools</v>
      </c>
      <c r="E854" s="125">
        <f>TableSTRUGEOB1[[#This Row],[Credit Points]]</f>
        <v>25</v>
      </c>
      <c r="F854">
        <v>5</v>
      </c>
      <c r="G854" t="s">
        <v>102</v>
      </c>
      <c r="H854">
        <v>3</v>
      </c>
      <c r="I854" t="s">
        <v>528</v>
      </c>
      <c r="J854" t="s">
        <v>150</v>
      </c>
      <c r="K854">
        <v>2</v>
      </c>
      <c r="L854" t="s">
        <v>585</v>
      </c>
      <c r="M854">
        <v>25</v>
      </c>
      <c r="N854" s="195">
        <v>45292</v>
      </c>
      <c r="O854" s="195"/>
    </row>
    <row r="855" spans="1:19" x14ac:dyDescent="0.25">
      <c r="A855" t="str">
        <f>TableSTRUGEOB1[[#This Row],[Study Package Code]]</f>
        <v>CTED4002</v>
      </c>
      <c r="B855" s="5">
        <f>TableSTRUGEOB1[[#This Row],[Ver]]</f>
        <v>2</v>
      </c>
      <c r="D855" t="str">
        <f>TableSTRUGEOB1[[#This Row],[Structure Line]]</f>
        <v>Prayer and Morality in Catholic Studies</v>
      </c>
      <c r="E855" s="125">
        <f>TableSTRUGEOB1[[#This Row],[Credit Points]]</f>
        <v>25</v>
      </c>
      <c r="F855">
        <v>5</v>
      </c>
      <c r="G855" t="s">
        <v>102</v>
      </c>
      <c r="H855">
        <v>3</v>
      </c>
      <c r="I855" t="s">
        <v>528</v>
      </c>
      <c r="J855" t="s">
        <v>172</v>
      </c>
      <c r="K855">
        <v>2</v>
      </c>
      <c r="L855" t="s">
        <v>591</v>
      </c>
      <c r="M855">
        <v>25</v>
      </c>
      <c r="N855" s="195">
        <v>44197</v>
      </c>
      <c r="O855" s="195"/>
      <c r="R855" t="s">
        <v>172</v>
      </c>
      <c r="S855">
        <v>2</v>
      </c>
    </row>
    <row r="856" spans="1:19" x14ac:dyDescent="0.25">
      <c r="A856" t="str">
        <f>TableSTRUGEOB1[[#This Row],[Study Package Code]]</f>
        <v>CTED4006</v>
      </c>
      <c r="B856" s="5">
        <f>TableSTRUGEOB1[[#This Row],[Ver]]</f>
        <v>1</v>
      </c>
      <c r="D856" t="str">
        <f>TableSTRUGEOB1[[#This Row],[Structure Line]]</f>
        <v>Teaching About Jesus in Catholic Schools</v>
      </c>
      <c r="E856" s="125">
        <f>TableSTRUGEOB1[[#This Row],[Credit Points]]</f>
        <v>25</v>
      </c>
      <c r="F856">
        <v>5</v>
      </c>
      <c r="G856" t="s">
        <v>102</v>
      </c>
      <c r="H856">
        <v>3</v>
      </c>
      <c r="I856" t="s">
        <v>528</v>
      </c>
      <c r="J856" t="s">
        <v>152</v>
      </c>
      <c r="K856">
        <v>1</v>
      </c>
      <c r="L856" t="s">
        <v>592</v>
      </c>
      <c r="M856">
        <v>25</v>
      </c>
      <c r="N856" s="195">
        <v>45292</v>
      </c>
      <c r="O856" s="195"/>
    </row>
    <row r="857" spans="1:19" x14ac:dyDescent="0.25">
      <c r="A857" t="str">
        <f>TableSTRUGEOB1[[#This Row],[Study Package Code]]</f>
        <v>CTED4008</v>
      </c>
      <c r="B857" s="5">
        <f>TableSTRUGEOB1[[#This Row],[Ver]]</f>
        <v>1</v>
      </c>
      <c r="D857" t="str">
        <f>TableSTRUGEOB1[[#This Row],[Structure Line]]</f>
        <v>Teaching About the Gospels in Catholic Schools</v>
      </c>
      <c r="E857" s="125">
        <f>TableSTRUGEOB1[[#This Row],[Credit Points]]</f>
        <v>25</v>
      </c>
      <c r="F857">
        <v>5</v>
      </c>
      <c r="G857" t="s">
        <v>102</v>
      </c>
      <c r="H857">
        <v>3</v>
      </c>
      <c r="I857" t="s">
        <v>528</v>
      </c>
      <c r="J857" t="s">
        <v>154</v>
      </c>
      <c r="K857">
        <v>1</v>
      </c>
      <c r="L857" t="s">
        <v>593</v>
      </c>
      <c r="M857">
        <v>25</v>
      </c>
      <c r="N857" s="195">
        <v>45292</v>
      </c>
      <c r="O857" s="195"/>
    </row>
    <row r="858" spans="1:19" x14ac:dyDescent="0.25">
      <c r="A858" t="str">
        <f>TableSTRUGEOB1[[#This Row],[Study Package Code]]</f>
        <v>EDIB4000</v>
      </c>
      <c r="B858" s="5">
        <f>TableSTRUGEOB1[[#This Row],[Ver]]</f>
        <v>1</v>
      </c>
      <c r="D858" t="str">
        <f>TableSTRUGEOB1[[#This Row],[Structure Line]]</f>
        <v>Introduction to the International Baccalaureate Programme</v>
      </c>
      <c r="E858" s="125">
        <f>TableSTRUGEOB1[[#This Row],[Credit Points]]</f>
        <v>25</v>
      </c>
      <c r="F858">
        <v>5</v>
      </c>
      <c r="G858" t="s">
        <v>102</v>
      </c>
      <c r="H858">
        <v>3</v>
      </c>
      <c r="I858" t="s">
        <v>528</v>
      </c>
      <c r="J858" t="s">
        <v>166</v>
      </c>
      <c r="K858">
        <v>1</v>
      </c>
      <c r="L858" t="s">
        <v>631</v>
      </c>
      <c r="M858">
        <v>25</v>
      </c>
      <c r="N858" s="195">
        <v>42005</v>
      </c>
      <c r="O858" s="195"/>
      <c r="R858" t="s">
        <v>166</v>
      </c>
      <c r="S858">
        <v>1</v>
      </c>
    </row>
    <row r="859" spans="1:19" x14ac:dyDescent="0.25">
      <c r="A859" t="str">
        <f>TableSTRUGEOB1[[#This Row],[Study Package Code]]</f>
        <v>EDIB4002</v>
      </c>
      <c r="B859" s="5">
        <f>TableSTRUGEOB1[[#This Row],[Ver]]</f>
        <v>1</v>
      </c>
      <c r="D859" t="str">
        <f>TableSTRUGEOB1[[#This Row],[Structure Line]]</f>
        <v>International Baccalaureate Middle Years Programme</v>
      </c>
      <c r="E859" s="125">
        <f>TableSTRUGEOB1[[#This Row],[Credit Points]]</f>
        <v>25</v>
      </c>
      <c r="F859">
        <v>5</v>
      </c>
      <c r="G859" t="s">
        <v>102</v>
      </c>
      <c r="H859">
        <v>3</v>
      </c>
      <c r="I859" t="s">
        <v>528</v>
      </c>
      <c r="J859" t="s">
        <v>170</v>
      </c>
      <c r="K859">
        <v>1</v>
      </c>
      <c r="L859" t="s">
        <v>634</v>
      </c>
      <c r="M859">
        <v>25</v>
      </c>
      <c r="N859" s="195">
        <v>42005</v>
      </c>
      <c r="O859" s="195"/>
      <c r="R859" t="s">
        <v>170</v>
      </c>
      <c r="S859">
        <v>1</v>
      </c>
    </row>
    <row r="860" spans="1:19" x14ac:dyDescent="0.25">
      <c r="A860" t="str">
        <f>TableSTRUGEOB1[[#This Row],[Study Package Code]]</f>
        <v>EDIB4003</v>
      </c>
      <c r="B860" s="5">
        <f>TableSTRUGEOB1[[#This Row],[Ver]]</f>
        <v>1</v>
      </c>
      <c r="D860" t="str">
        <f>TableSTRUGEOB1[[#This Row],[Structure Line]]</f>
        <v>The International Baccalaureate in Action</v>
      </c>
      <c r="E860" s="125">
        <f>TableSTRUGEOB1[[#This Row],[Credit Points]]</f>
        <v>25</v>
      </c>
      <c r="F860">
        <v>5</v>
      </c>
      <c r="G860" t="s">
        <v>102</v>
      </c>
      <c r="H860">
        <v>3</v>
      </c>
      <c r="I860" t="s">
        <v>528</v>
      </c>
      <c r="J860" t="s">
        <v>168</v>
      </c>
      <c r="K860">
        <v>1</v>
      </c>
      <c r="L860" t="s">
        <v>635</v>
      </c>
      <c r="M860">
        <v>25</v>
      </c>
      <c r="N860" s="195">
        <v>42005</v>
      </c>
      <c r="O860" s="195"/>
      <c r="R860" t="s">
        <v>168</v>
      </c>
      <c r="S860">
        <v>1</v>
      </c>
    </row>
    <row r="861" spans="1:19" x14ac:dyDescent="0.25">
      <c r="A861" t="str">
        <f>TableSTRUGEOB1[[#This Row],[Study Package Code]]</f>
        <v>EDUC4012</v>
      </c>
      <c r="B861" s="5">
        <f>TableSTRUGEOB1[[#This Row],[Ver]]</f>
        <v>2</v>
      </c>
      <c r="D861" t="str">
        <f>TableSTRUGEOB1[[#This Row],[Structure Line]]</f>
        <v>Relationships and Sexuality Education</v>
      </c>
      <c r="E861" s="125">
        <f>TableSTRUGEOB1[[#This Row],[Credit Points]]</f>
        <v>25</v>
      </c>
      <c r="F861">
        <v>5</v>
      </c>
      <c r="G861" t="s">
        <v>102</v>
      </c>
      <c r="H861">
        <v>3</v>
      </c>
      <c r="I861" t="s">
        <v>528</v>
      </c>
      <c r="J861" t="s">
        <v>156</v>
      </c>
      <c r="K861">
        <v>2</v>
      </c>
      <c r="L861" t="s">
        <v>697</v>
      </c>
      <c r="M861">
        <v>25</v>
      </c>
      <c r="N861" s="195">
        <v>44927</v>
      </c>
      <c r="O861" s="195"/>
      <c r="R861" t="s">
        <v>156</v>
      </c>
      <c r="S861">
        <v>2</v>
      </c>
    </row>
    <row r="862" spans="1:19" x14ac:dyDescent="0.25">
      <c r="A862" t="str">
        <f>TableSTRUGEOB1[[#This Row],[Study Package Code]]</f>
        <v>EDUC4014</v>
      </c>
      <c r="B862" s="5">
        <f>TableSTRUGEOB1[[#This Row],[Ver]]</f>
        <v>1</v>
      </c>
      <c r="D862" t="str">
        <f>TableSTRUGEOB1[[#This Row],[Structure Line]]</f>
        <v>Diverse Abilities and Curriculum Differentiation</v>
      </c>
      <c r="E862" s="125">
        <f>TableSTRUGEOB1[[#This Row],[Credit Points]]</f>
        <v>25</v>
      </c>
      <c r="F862">
        <v>5</v>
      </c>
      <c r="G862" t="s">
        <v>102</v>
      </c>
      <c r="H862">
        <v>3</v>
      </c>
      <c r="I862" t="s">
        <v>528</v>
      </c>
      <c r="J862" t="s">
        <v>158</v>
      </c>
      <c r="K862">
        <v>1</v>
      </c>
      <c r="L862" t="s">
        <v>698</v>
      </c>
      <c r="M862">
        <v>25</v>
      </c>
      <c r="N862" s="195">
        <v>42005</v>
      </c>
      <c r="O862" s="195"/>
      <c r="R862" t="s">
        <v>158</v>
      </c>
      <c r="S862">
        <v>1</v>
      </c>
    </row>
    <row r="863" spans="1:19" x14ac:dyDescent="0.25">
      <c r="A863" t="str">
        <f>TableSTRUGEOB1[[#This Row],[Study Package Code]]</f>
        <v>EDUC4020</v>
      </c>
      <c r="B863" s="5">
        <f>TableSTRUGEOB1[[#This Row],[Ver]]</f>
        <v>1</v>
      </c>
      <c r="D863" t="str">
        <f>TableSTRUGEOB1[[#This Row],[Structure Line]]</f>
        <v>Supporting Literacy and Numeracy Development for Diverse Learners</v>
      </c>
      <c r="E863" s="125">
        <f>TableSTRUGEOB1[[#This Row],[Credit Points]]</f>
        <v>25</v>
      </c>
      <c r="F863">
        <v>5</v>
      </c>
      <c r="G863" t="s">
        <v>102</v>
      </c>
      <c r="H863">
        <v>3</v>
      </c>
      <c r="I863" t="s">
        <v>528</v>
      </c>
      <c r="J863" t="s">
        <v>153</v>
      </c>
      <c r="K863">
        <v>1</v>
      </c>
      <c r="L863" t="s">
        <v>699</v>
      </c>
      <c r="M863">
        <v>25</v>
      </c>
      <c r="N863" s="195">
        <v>43282</v>
      </c>
      <c r="O863" s="195"/>
      <c r="R863" t="s">
        <v>153</v>
      </c>
      <c r="S863">
        <v>1</v>
      </c>
    </row>
    <row r="864" spans="1:19" x14ac:dyDescent="0.25">
      <c r="A864" t="str">
        <f>TableSTRUGEOB1[[#This Row],[Study Package Code]]</f>
        <v>EDUC4021</v>
      </c>
      <c r="B864" s="5">
        <f>TableSTRUGEOB1[[#This Row],[Ver]]</f>
        <v>1</v>
      </c>
      <c r="D864" t="str">
        <f>TableSTRUGEOB1[[#This Row],[Structure Line]]</f>
        <v>Project-based iSTEM Education</v>
      </c>
      <c r="E864" s="125">
        <f>TableSTRUGEOB1[[#This Row],[Credit Points]]</f>
        <v>25</v>
      </c>
      <c r="F864">
        <v>5</v>
      </c>
      <c r="G864" t="s">
        <v>102</v>
      </c>
      <c r="H864">
        <v>3</v>
      </c>
      <c r="I864" t="s">
        <v>528</v>
      </c>
      <c r="J864" t="s">
        <v>142</v>
      </c>
      <c r="K864">
        <v>1</v>
      </c>
      <c r="L864" t="s">
        <v>700</v>
      </c>
      <c r="M864">
        <v>25</v>
      </c>
      <c r="N864" s="195">
        <v>43282</v>
      </c>
      <c r="O864" s="195"/>
      <c r="R864" t="s">
        <v>142</v>
      </c>
      <c r="S864">
        <v>1</v>
      </c>
    </row>
    <row r="865" spans="1:19" x14ac:dyDescent="0.25">
      <c r="A865" t="str">
        <f>TableSTRUGEOB1[[#This Row],[Study Package Code]]</f>
        <v>EDUC4022</v>
      </c>
      <c r="B865" s="5">
        <f>TableSTRUGEOB1[[#This Row],[Ver]]</f>
        <v>1</v>
      </c>
      <c r="D865" t="str">
        <f>TableSTRUGEOB1[[#This Row],[Structure Line]]</f>
        <v>Creative Literacies</v>
      </c>
      <c r="E865" s="125">
        <f>TableSTRUGEOB1[[#This Row],[Credit Points]]</f>
        <v>25</v>
      </c>
      <c r="F865">
        <v>5</v>
      </c>
      <c r="G865" t="s">
        <v>102</v>
      </c>
      <c r="H865">
        <v>3</v>
      </c>
      <c r="I865" t="s">
        <v>528</v>
      </c>
      <c r="J865" t="s">
        <v>147</v>
      </c>
      <c r="K865">
        <v>1</v>
      </c>
      <c r="L865" t="s">
        <v>701</v>
      </c>
      <c r="M865">
        <v>25</v>
      </c>
      <c r="N865" s="195">
        <v>43282</v>
      </c>
      <c r="O865" s="195"/>
      <c r="R865" t="s">
        <v>147</v>
      </c>
      <c r="S865">
        <v>1</v>
      </c>
    </row>
    <row r="866" spans="1:19" x14ac:dyDescent="0.25">
      <c r="A866" t="str">
        <f>TableSTRUGEOB1[[#This Row],[Study Package Code]]</f>
        <v>EDUC4023</v>
      </c>
      <c r="B866" s="5">
        <f>TableSTRUGEOB1[[#This Row],[Ver]]</f>
        <v>1</v>
      </c>
      <c r="D866" t="str">
        <f>TableSTRUGEOB1[[#This Row],[Structure Line]]</f>
        <v>Creating and Responding to Literature</v>
      </c>
      <c r="E866" s="125">
        <f>TableSTRUGEOB1[[#This Row],[Credit Points]]</f>
        <v>25</v>
      </c>
      <c r="F866">
        <v>5</v>
      </c>
      <c r="G866" t="s">
        <v>102</v>
      </c>
      <c r="H866">
        <v>3</v>
      </c>
      <c r="I866" t="s">
        <v>528</v>
      </c>
      <c r="J866" t="s">
        <v>148</v>
      </c>
      <c r="K866">
        <v>1</v>
      </c>
      <c r="L866" t="s">
        <v>702</v>
      </c>
      <c r="M866">
        <v>25</v>
      </c>
      <c r="N866" s="195">
        <v>43282</v>
      </c>
      <c r="O866" s="195"/>
      <c r="R866" t="s">
        <v>148</v>
      </c>
      <c r="S866">
        <v>1</v>
      </c>
    </row>
    <row r="867" spans="1:19" x14ac:dyDescent="0.25">
      <c r="A867" t="str">
        <f>TableSTRUGEOB1[[#This Row],[Study Package Code]]</f>
        <v>EDUC4029</v>
      </c>
      <c r="B867" s="5">
        <f>TableSTRUGEOB1[[#This Row],[Ver]]</f>
        <v>1</v>
      </c>
      <c r="D867" t="str">
        <f>TableSTRUGEOB1[[#This Row],[Structure Line]]</f>
        <v>Technologies: Coding for Teachers</v>
      </c>
      <c r="E867" s="125">
        <f>TableSTRUGEOB1[[#This Row],[Credit Points]]</f>
        <v>25</v>
      </c>
      <c r="F867">
        <v>5</v>
      </c>
      <c r="G867" t="s">
        <v>102</v>
      </c>
      <c r="H867">
        <v>3</v>
      </c>
      <c r="I867" t="s">
        <v>528</v>
      </c>
      <c r="J867" t="s">
        <v>160</v>
      </c>
      <c r="K867">
        <v>1</v>
      </c>
      <c r="L867" t="s">
        <v>703</v>
      </c>
      <c r="M867">
        <v>25</v>
      </c>
      <c r="N867" s="195">
        <v>43282</v>
      </c>
      <c r="O867" s="195"/>
      <c r="R867" t="s">
        <v>160</v>
      </c>
      <c r="S867">
        <v>1</v>
      </c>
    </row>
    <row r="868" spans="1:19" x14ac:dyDescent="0.25">
      <c r="A868" t="str">
        <f>TableSTRUGEOB1[[#This Row],[Study Package Code]]</f>
        <v>EDUC4031</v>
      </c>
      <c r="B868" s="5">
        <f>TableSTRUGEOB1[[#This Row],[Ver]]</f>
        <v>1</v>
      </c>
      <c r="D868" t="str">
        <f>TableSTRUGEOB1[[#This Row],[Structure Line]]</f>
        <v>Social Justice in Literacy and Numeracy Learning</v>
      </c>
      <c r="E868" s="125">
        <f>TableSTRUGEOB1[[#This Row],[Credit Points]]</f>
        <v>25</v>
      </c>
      <c r="F868">
        <v>5</v>
      </c>
      <c r="G868" t="s">
        <v>102</v>
      </c>
      <c r="H868">
        <v>3</v>
      </c>
      <c r="I868" t="s">
        <v>528</v>
      </c>
      <c r="J868" t="s">
        <v>169</v>
      </c>
      <c r="K868">
        <v>1</v>
      </c>
      <c r="L868" t="s">
        <v>705</v>
      </c>
      <c r="M868">
        <v>25</v>
      </c>
      <c r="N868" s="195">
        <v>43282</v>
      </c>
      <c r="O868" s="195">
        <v>44750</v>
      </c>
      <c r="R868" t="s">
        <v>169</v>
      </c>
      <c r="S868">
        <v>1</v>
      </c>
    </row>
    <row r="869" spans="1:19" x14ac:dyDescent="0.25">
      <c r="A869" t="str">
        <f>TableSTRUGEOB1[[#This Row],[Study Package Code]]</f>
        <v>EDUC4032</v>
      </c>
      <c r="B869" s="5">
        <f>TableSTRUGEOB1[[#This Row],[Ver]]</f>
        <v>1</v>
      </c>
      <c r="D869" t="str">
        <f>TableSTRUGEOB1[[#This Row],[Structure Line]]</f>
        <v>iSTEM Education through Digital Stories</v>
      </c>
      <c r="E869" s="125">
        <f>TableSTRUGEOB1[[#This Row],[Credit Points]]</f>
        <v>25</v>
      </c>
      <c r="F869">
        <v>5</v>
      </c>
      <c r="G869" t="s">
        <v>102</v>
      </c>
      <c r="H869">
        <v>3</v>
      </c>
      <c r="I869" t="s">
        <v>528</v>
      </c>
      <c r="J869" t="s">
        <v>143</v>
      </c>
      <c r="K869" s="196">
        <v>1</v>
      </c>
      <c r="L869" s="196" t="s">
        <v>707</v>
      </c>
      <c r="M869" s="196">
        <v>25</v>
      </c>
      <c r="N869" s="195">
        <v>43466</v>
      </c>
      <c r="O869" s="195"/>
      <c r="R869" t="s">
        <v>143</v>
      </c>
      <c r="S869">
        <v>1</v>
      </c>
    </row>
    <row r="870" spans="1:19" x14ac:dyDescent="0.25">
      <c r="A870" t="str">
        <f>TableSTRUGEOB1[[#This Row],[Study Package Code]]</f>
        <v>EDUC4034</v>
      </c>
      <c r="B870" s="5">
        <f>TableSTRUGEOB1[[#This Row],[Ver]]</f>
        <v>1</v>
      </c>
      <c r="D870" t="str">
        <f>TableSTRUGEOB1[[#This Row],[Structure Line]]</f>
        <v>iSTEM: Social Issues</v>
      </c>
      <c r="E870" s="125">
        <f>TableSTRUGEOB1[[#This Row],[Credit Points]]</f>
        <v>25</v>
      </c>
      <c r="F870">
        <v>5</v>
      </c>
      <c r="G870" t="s">
        <v>102</v>
      </c>
      <c r="H870">
        <v>3</v>
      </c>
      <c r="I870" t="s">
        <v>528</v>
      </c>
      <c r="J870" t="s">
        <v>144</v>
      </c>
      <c r="K870">
        <v>1</v>
      </c>
      <c r="L870" t="s">
        <v>708</v>
      </c>
      <c r="M870">
        <v>25</v>
      </c>
      <c r="N870" s="195">
        <v>43466</v>
      </c>
      <c r="O870" s="195"/>
      <c r="R870" t="s">
        <v>144</v>
      </c>
      <c r="S870">
        <v>1</v>
      </c>
    </row>
    <row r="871" spans="1:19" x14ac:dyDescent="0.25">
      <c r="A871" t="str">
        <f>TableSTRUGEOB1[[#This Row],[Study Package Code]]</f>
        <v>EDUC4036</v>
      </c>
      <c r="B871" s="5">
        <f>TableSTRUGEOB1[[#This Row],[Ver]]</f>
        <v>1</v>
      </c>
      <c r="D871" t="str">
        <f>TableSTRUGEOB1[[#This Row],[Structure Line]]</f>
        <v>Language and Diversity</v>
      </c>
      <c r="E871" s="125">
        <f>TableSTRUGEOB1[[#This Row],[Credit Points]]</f>
        <v>25</v>
      </c>
      <c r="F871">
        <v>5</v>
      </c>
      <c r="G871" t="s">
        <v>102</v>
      </c>
      <c r="H871">
        <v>3</v>
      </c>
      <c r="I871" t="s">
        <v>528</v>
      </c>
      <c r="J871" t="s">
        <v>149</v>
      </c>
      <c r="K871">
        <v>1</v>
      </c>
      <c r="L871" t="s">
        <v>709</v>
      </c>
      <c r="M871">
        <v>25</v>
      </c>
      <c r="N871" s="195">
        <v>43466</v>
      </c>
      <c r="O871" s="195"/>
      <c r="R871" t="s">
        <v>149</v>
      </c>
      <c r="S871">
        <v>1</v>
      </c>
    </row>
    <row r="872" spans="1:19" x14ac:dyDescent="0.25">
      <c r="A872" t="str">
        <f>TableSTRUGEOB1[[#This Row],[Study Package Code]]</f>
        <v>EDUC4038</v>
      </c>
      <c r="B872" s="5">
        <f>TableSTRUGEOB1[[#This Row],[Ver]]</f>
        <v>1</v>
      </c>
      <c r="D872" t="str">
        <f>TableSTRUGEOB1[[#This Row],[Structure Line]]</f>
        <v>Technologies: Design Solutions</v>
      </c>
      <c r="E872" s="125">
        <f>TableSTRUGEOB1[[#This Row],[Credit Points]]</f>
        <v>25</v>
      </c>
      <c r="F872">
        <v>5</v>
      </c>
      <c r="G872" t="s">
        <v>102</v>
      </c>
      <c r="H872">
        <v>3</v>
      </c>
      <c r="I872" t="s">
        <v>528</v>
      </c>
      <c r="J872" t="s">
        <v>161</v>
      </c>
      <c r="K872">
        <v>1</v>
      </c>
      <c r="L872" t="s">
        <v>710</v>
      </c>
      <c r="M872">
        <v>25</v>
      </c>
      <c r="N872" s="195">
        <v>43466</v>
      </c>
      <c r="O872" s="195"/>
      <c r="R872" t="s">
        <v>161</v>
      </c>
      <c r="S872">
        <v>1</v>
      </c>
    </row>
    <row r="873" spans="1:19" x14ac:dyDescent="0.25">
      <c r="A873" t="str">
        <f>TableSTRUGEOB1[[#This Row],[Study Package Code]]</f>
        <v>EDUC4042</v>
      </c>
      <c r="B873" s="5">
        <f>TableSTRUGEOB1[[#This Row],[Ver]]</f>
        <v>1</v>
      </c>
      <c r="D873" t="str">
        <f>TableSTRUGEOB1[[#This Row],[Structure Line]]</f>
        <v>Alternative Approaches to Teaching Literacy and Numeracy</v>
      </c>
      <c r="E873" s="125">
        <f>TableSTRUGEOB1[[#This Row],[Credit Points]]</f>
        <v>25</v>
      </c>
      <c r="F873">
        <v>5</v>
      </c>
      <c r="G873" t="s">
        <v>102</v>
      </c>
      <c r="H873">
        <v>3</v>
      </c>
      <c r="I873" t="s">
        <v>528</v>
      </c>
      <c r="J873" t="s">
        <v>155</v>
      </c>
      <c r="K873">
        <v>1</v>
      </c>
      <c r="L873" t="s">
        <v>713</v>
      </c>
      <c r="M873">
        <v>25</v>
      </c>
      <c r="N873" s="195">
        <v>43466</v>
      </c>
      <c r="O873" s="195"/>
      <c r="R873" t="s">
        <v>155</v>
      </c>
      <c r="S873">
        <v>1</v>
      </c>
    </row>
    <row r="874" spans="1:19" x14ac:dyDescent="0.25">
      <c r="A874" t="str">
        <f>TableSTRUGEOB1[[#This Row],[Study Package Code]]</f>
        <v>EDUC4044</v>
      </c>
      <c r="B874" s="5">
        <f>TableSTRUGEOB1[[#This Row],[Ver]]</f>
        <v>1</v>
      </c>
      <c r="D874" t="str">
        <f>TableSTRUGEOB1[[#This Row],[Structure Line]]</f>
        <v>Literacy and Numeracy for Aboriginal and Torres Strait Islander (ATSI) Learners</v>
      </c>
      <c r="E874" s="125">
        <f>TableSTRUGEOB1[[#This Row],[Credit Points]]</f>
        <v>25</v>
      </c>
      <c r="F874">
        <v>5</v>
      </c>
      <c r="G874" t="s">
        <v>102</v>
      </c>
      <c r="H874">
        <v>3</v>
      </c>
      <c r="I874" t="s">
        <v>528</v>
      </c>
      <c r="J874" t="s">
        <v>157</v>
      </c>
      <c r="K874">
        <v>1</v>
      </c>
      <c r="L874" t="s">
        <v>887</v>
      </c>
      <c r="M874">
        <v>25</v>
      </c>
      <c r="N874" s="195">
        <v>43466</v>
      </c>
      <c r="O874" s="195">
        <v>44926</v>
      </c>
      <c r="R874" t="s">
        <v>157</v>
      </c>
      <c r="S874">
        <v>1</v>
      </c>
    </row>
    <row r="875" spans="1:19" x14ac:dyDescent="0.25">
      <c r="A875" t="str">
        <f>TableSTRUGEOB1[[#This Row],[Study Package Code]]</f>
        <v>EDUC4044</v>
      </c>
      <c r="B875" s="5">
        <f>TableSTRUGEOB1[[#This Row],[Ver]]</f>
        <v>2</v>
      </c>
      <c r="D875" t="str">
        <f>TableSTRUGEOB1[[#This Row],[Structure Line]]</f>
        <v>Literacy and Numeracy for First Nations Peoples of Australia</v>
      </c>
      <c r="E875" s="125">
        <f>TableSTRUGEOB1[[#This Row],[Credit Points]]</f>
        <v>25</v>
      </c>
      <c r="F875">
        <v>5</v>
      </c>
      <c r="G875" t="s">
        <v>102</v>
      </c>
      <c r="H875">
        <v>3</v>
      </c>
      <c r="I875" t="s">
        <v>528</v>
      </c>
      <c r="J875" t="s">
        <v>157</v>
      </c>
      <c r="K875">
        <v>2</v>
      </c>
      <c r="L875" t="s">
        <v>714</v>
      </c>
      <c r="M875">
        <v>25</v>
      </c>
      <c r="N875" s="195">
        <v>44927</v>
      </c>
      <c r="O875" s="195"/>
    </row>
    <row r="876" spans="1:19" x14ac:dyDescent="0.25">
      <c r="A876" t="str">
        <f>TableSTRUGEOB1[[#This Row],[Study Package Code]]</f>
        <v>EDUC4046</v>
      </c>
      <c r="B876" s="5">
        <f>TableSTRUGEOB1[[#This Row],[Ver]]</f>
        <v>1</v>
      </c>
      <c r="D876" t="str">
        <f>TableSTRUGEOB1[[#This Row],[Structure Line]]</f>
        <v>Technologies: Digital Solutions</v>
      </c>
      <c r="E876" s="125">
        <f>TableSTRUGEOB1[[#This Row],[Credit Points]]</f>
        <v>25</v>
      </c>
      <c r="F876">
        <v>5</v>
      </c>
      <c r="G876" t="s">
        <v>102</v>
      </c>
      <c r="H876">
        <v>3</v>
      </c>
      <c r="I876" t="s">
        <v>528</v>
      </c>
      <c r="J876" t="s">
        <v>162</v>
      </c>
      <c r="K876">
        <v>1</v>
      </c>
      <c r="L876" t="s">
        <v>715</v>
      </c>
      <c r="M876">
        <v>25</v>
      </c>
      <c r="N876" s="195">
        <v>43466</v>
      </c>
      <c r="O876" s="195"/>
      <c r="R876" t="s">
        <v>162</v>
      </c>
      <c r="S876">
        <v>1</v>
      </c>
    </row>
    <row r="877" spans="1:19" x14ac:dyDescent="0.25">
      <c r="A877" t="str">
        <f>TableSTRUGEOB1[[#This Row],[Study Package Code]]</f>
        <v>EDUC4048</v>
      </c>
      <c r="B877" s="5">
        <f>TableSTRUGEOB1[[#This Row],[Ver]]</f>
        <v>1</v>
      </c>
      <c r="D877" t="str">
        <f>TableSTRUGEOB1[[#This Row],[Structure Line]]</f>
        <v>Mentoring, Coaching and Tutoring</v>
      </c>
      <c r="E877" s="125">
        <f>TableSTRUGEOB1[[#This Row],[Credit Points]]</f>
        <v>25</v>
      </c>
      <c r="F877">
        <v>5</v>
      </c>
      <c r="G877" t="s">
        <v>102</v>
      </c>
      <c r="H877">
        <v>3</v>
      </c>
      <c r="I877" t="s">
        <v>528</v>
      </c>
      <c r="J877" t="s">
        <v>117</v>
      </c>
      <c r="K877">
        <v>1</v>
      </c>
      <c r="L877" t="s">
        <v>716</v>
      </c>
      <c r="M877">
        <v>25</v>
      </c>
      <c r="N877" s="195">
        <v>43466</v>
      </c>
      <c r="O877" s="195"/>
      <c r="R877" t="s">
        <v>117</v>
      </c>
      <c r="S877">
        <v>1</v>
      </c>
    </row>
    <row r="878" spans="1:19" x14ac:dyDescent="0.25">
      <c r="A878" s="122"/>
      <c r="B878" s="124"/>
      <c r="C878" s="122"/>
      <c r="G878" s="123" t="s">
        <v>855</v>
      </c>
      <c r="H878" s="199">
        <v>43466</v>
      </c>
      <c r="J878" s="197" t="s">
        <v>265</v>
      </c>
      <c r="K878" s="124" t="s">
        <v>200</v>
      </c>
      <c r="L878" s="122" t="s">
        <v>264</v>
      </c>
      <c r="M878" s="122"/>
    </row>
    <row r="879" spans="1:19" ht="31.5" x14ac:dyDescent="0.25">
      <c r="A879" s="159" t="s">
        <v>0</v>
      </c>
      <c r="B879" s="160" t="s">
        <v>60</v>
      </c>
      <c r="C879" s="159" t="s">
        <v>856</v>
      </c>
      <c r="D879" s="159" t="s">
        <v>3</v>
      </c>
      <c r="E879" s="161" t="s">
        <v>857</v>
      </c>
      <c r="F879" s="159" t="s">
        <v>858</v>
      </c>
      <c r="G879" s="159" t="s">
        <v>859</v>
      </c>
      <c r="H879" s="159" t="s">
        <v>860</v>
      </c>
      <c r="I879" s="159" t="s">
        <v>17</v>
      </c>
      <c r="J879" s="159" t="s">
        <v>861</v>
      </c>
      <c r="K879" s="159" t="s">
        <v>1</v>
      </c>
      <c r="L879" s="159" t="s">
        <v>44</v>
      </c>
      <c r="M879" s="159" t="s">
        <v>61</v>
      </c>
      <c r="N879" s="159" t="s">
        <v>862</v>
      </c>
      <c r="O879" s="159" t="s">
        <v>863</v>
      </c>
      <c r="R879" t="s">
        <v>538</v>
      </c>
      <c r="S879" t="s">
        <v>864</v>
      </c>
    </row>
    <row r="880" spans="1:19" x14ac:dyDescent="0.25">
      <c r="A880" t="str">
        <f>TableSTRUHISB1[[#This Row],[Study Package Code]]</f>
        <v>EDUC1027</v>
      </c>
      <c r="B880" s="5">
        <f>TableSTRUHISB1[[#This Row],[Ver]]</f>
        <v>1</v>
      </c>
      <c r="D880" t="str">
        <f>TableSTRUHISB1[[#This Row],[Structure Line]]</f>
        <v>Educators Inquiring About the World</v>
      </c>
      <c r="E880" s="125">
        <f>TableSTRUHISB1[[#This Row],[Credit Points]]</f>
        <v>25</v>
      </c>
      <c r="F880">
        <v>1</v>
      </c>
      <c r="G880" t="s">
        <v>865</v>
      </c>
      <c r="H880">
        <v>1</v>
      </c>
      <c r="I880" t="s">
        <v>529</v>
      </c>
      <c r="J880" t="s">
        <v>53</v>
      </c>
      <c r="K880">
        <v>1</v>
      </c>
      <c r="L880" t="s">
        <v>688</v>
      </c>
      <c r="M880">
        <v>25</v>
      </c>
      <c r="N880" s="195">
        <v>43466</v>
      </c>
      <c r="O880" s="195"/>
      <c r="R880" t="s">
        <v>53</v>
      </c>
      <c r="S880">
        <v>1</v>
      </c>
    </row>
    <row r="881" spans="1:24" x14ac:dyDescent="0.25">
      <c r="A881" t="str">
        <f>TableSTRUHISB1[[#This Row],[Study Package Code]]</f>
        <v>ECON1000</v>
      </c>
      <c r="B881" s="5">
        <f>TableSTRUHISB1[[#This Row],[Ver]]</f>
        <v>1</v>
      </c>
      <c r="D881" t="str">
        <f>TableSTRUHISB1[[#This Row],[Structure Line]]</f>
        <v>Introductory Economics</v>
      </c>
      <c r="E881" s="125">
        <f>TableSTRUHISB1[[#This Row],[Credit Points]]</f>
        <v>25</v>
      </c>
      <c r="F881">
        <v>2</v>
      </c>
      <c r="G881" t="s">
        <v>865</v>
      </c>
      <c r="H881" s="343">
        <v>2</v>
      </c>
      <c r="I881" s="343" t="s">
        <v>528</v>
      </c>
      <c r="J881" s="343" t="s">
        <v>304</v>
      </c>
      <c r="K881" s="343">
        <v>1</v>
      </c>
      <c r="L881" s="343" t="s">
        <v>599</v>
      </c>
      <c r="M881">
        <v>25</v>
      </c>
      <c r="N881" s="195"/>
      <c r="O881" s="195"/>
      <c r="R881" t="s">
        <v>480</v>
      </c>
      <c r="S881">
        <v>0</v>
      </c>
    </row>
    <row r="882" spans="1:24" x14ac:dyDescent="0.25">
      <c r="A882" t="str">
        <f>TableSTRUHISB1[[#This Row],[Study Package Code]]</f>
        <v>PHGY2000</v>
      </c>
      <c r="B882" s="5">
        <f>TableSTRUHISB1[[#This Row],[Ver]]</f>
        <v>1</v>
      </c>
      <c r="D882" t="str">
        <f>TableSTRUHISB1[[#This Row],[Structure Line]]</f>
        <v>Natural Hazards</v>
      </c>
      <c r="E882" s="125">
        <f>TableSTRUHISB1[[#This Row],[Credit Points]]</f>
        <v>25</v>
      </c>
      <c r="F882">
        <v>3</v>
      </c>
      <c r="G882" t="s">
        <v>865</v>
      </c>
      <c r="H882">
        <v>2</v>
      </c>
      <c r="I882" t="s">
        <v>529</v>
      </c>
      <c r="J882" t="s">
        <v>353</v>
      </c>
      <c r="K882">
        <v>1</v>
      </c>
      <c r="L882" t="s">
        <v>788</v>
      </c>
      <c r="M882">
        <v>25</v>
      </c>
      <c r="N882" s="195">
        <v>42005</v>
      </c>
      <c r="O882" s="195"/>
      <c r="R882" t="s">
        <v>353</v>
      </c>
      <c r="S882">
        <v>1</v>
      </c>
    </row>
    <row r="883" spans="1:24" x14ac:dyDescent="0.25">
      <c r="A883" t="str">
        <f>TableSTRUHISB1[[#This Row],[Study Package Code]]</f>
        <v>AltCoreSTRUHISB1</v>
      </c>
      <c r="B883" s="5">
        <f>TableSTRUHISB1[[#This Row],[Ver]]</f>
        <v>0</v>
      </c>
      <c r="D883" t="str">
        <f>TableSTRUHISB1[[#This Row],[Structure Line]]</f>
        <v>Choose INDS2004 or INDS2001</v>
      </c>
      <c r="E883" s="125">
        <f>TableSTRUHISB1[[#This Row],[Credit Points]]</f>
        <v>25</v>
      </c>
      <c r="F883">
        <v>4</v>
      </c>
      <c r="G883" t="s">
        <v>865</v>
      </c>
      <c r="H883" s="343">
        <v>3</v>
      </c>
      <c r="I883" s="343" t="s">
        <v>528</v>
      </c>
      <c r="J883" s="343" t="s">
        <v>480</v>
      </c>
      <c r="K883" s="343">
        <v>0</v>
      </c>
      <c r="L883" s="343" t="s">
        <v>880</v>
      </c>
      <c r="M883">
        <v>25</v>
      </c>
      <c r="N883" s="195">
        <v>42005</v>
      </c>
      <c r="O883" s="195"/>
      <c r="R883" t="s">
        <v>304</v>
      </c>
      <c r="S883">
        <v>1</v>
      </c>
      <c r="U883" t="s">
        <v>528</v>
      </c>
      <c r="V883" t="s">
        <v>480</v>
      </c>
      <c r="W883">
        <v>0</v>
      </c>
      <c r="X883" t="s">
        <v>880</v>
      </c>
    </row>
    <row r="884" spans="1:24" x14ac:dyDescent="0.25">
      <c r="A884" t="str">
        <f>TableSTRUHISB1[[#This Row],[Study Package Code]]</f>
        <v>OptionStream</v>
      </c>
      <c r="B884" s="5">
        <f>TableSTRUHISB1[[#This Row],[Ver]]</f>
        <v>0</v>
      </c>
      <c r="D884" t="str">
        <f>TableSTRUHISB1[[#This Row],[Structure Line]]</f>
        <v/>
      </c>
      <c r="E884" s="125">
        <f>TableSTRUHISB1[[#This Row],[Credit Points]]</f>
        <v>25</v>
      </c>
      <c r="F884">
        <v>5</v>
      </c>
      <c r="G884" t="s">
        <v>102</v>
      </c>
      <c r="H884">
        <v>3</v>
      </c>
      <c r="I884" t="s">
        <v>528</v>
      </c>
      <c r="J884" t="s">
        <v>886</v>
      </c>
      <c r="K884">
        <v>0</v>
      </c>
      <c r="L884" t="s">
        <v>874</v>
      </c>
      <c r="M884">
        <v>25</v>
      </c>
      <c r="N884" s="195"/>
      <c r="O884" s="195"/>
      <c r="R884" t="s">
        <v>886</v>
      </c>
      <c r="S884">
        <v>0</v>
      </c>
    </row>
    <row r="885" spans="1:24" x14ac:dyDescent="0.25">
      <c r="A885" t="str">
        <f>TableSTRUHISB1[[#This Row],[Study Package Code]]</f>
        <v>EDPR3003</v>
      </c>
      <c r="B885" s="5">
        <f>TableSTRUHISB1[[#This Row],[Ver]]</f>
        <v>2</v>
      </c>
      <c r="D885" t="str">
        <f>TableSTRUHISB1[[#This Row],[Structure Line]]</f>
        <v>Inquiry in the Humanities and Social Sciences Classroom</v>
      </c>
      <c r="E885" s="125">
        <f>TableSTRUHISB1[[#This Row],[Credit Points]]</f>
        <v>25</v>
      </c>
      <c r="F885">
        <v>6</v>
      </c>
      <c r="G885" t="s">
        <v>865</v>
      </c>
      <c r="H885">
        <v>3</v>
      </c>
      <c r="I885" t="s">
        <v>529</v>
      </c>
      <c r="J885" t="s">
        <v>112</v>
      </c>
      <c r="K885">
        <v>2</v>
      </c>
      <c r="L885" t="s">
        <v>645</v>
      </c>
      <c r="M885">
        <v>25</v>
      </c>
      <c r="N885" s="195">
        <v>43466</v>
      </c>
      <c r="O885" s="195"/>
      <c r="R885" t="s">
        <v>112</v>
      </c>
      <c r="S885">
        <v>2</v>
      </c>
    </row>
    <row r="886" spans="1:24" x14ac:dyDescent="0.25">
      <c r="A886" t="str">
        <f>TableSTRUHISB1[[#This Row],[Study Package Code]]</f>
        <v>INDS2001</v>
      </c>
      <c r="B886" s="5">
        <f>TableSTRUHISB1[[#This Row],[Ver]]</f>
        <v>1</v>
      </c>
      <c r="D886" t="str">
        <f>TableSTRUHISB1[[#This Row],[Structure Line]]</f>
        <v>Indigenous Australian Land and Environments</v>
      </c>
      <c r="E886" s="125">
        <f>TableSTRUHISB1[[#This Row],[Credit Points]]</f>
        <v>25</v>
      </c>
      <c r="F886">
        <v>2</v>
      </c>
      <c r="G886" t="s">
        <v>871</v>
      </c>
      <c r="H886">
        <v>2</v>
      </c>
      <c r="I886" t="s">
        <v>528</v>
      </c>
      <c r="J886" t="s">
        <v>414</v>
      </c>
      <c r="K886">
        <v>1</v>
      </c>
      <c r="L886" t="s">
        <v>750</v>
      </c>
      <c r="M886">
        <v>25</v>
      </c>
      <c r="N886" s="195">
        <v>42005</v>
      </c>
      <c r="O886" s="195"/>
      <c r="R886" t="s">
        <v>414</v>
      </c>
      <c r="S886">
        <v>1</v>
      </c>
    </row>
    <row r="887" spans="1:24" x14ac:dyDescent="0.25">
      <c r="A887" t="str">
        <f>TableSTRUHISB1[[#This Row],[Study Package Code]]</f>
        <v>INDS2004</v>
      </c>
      <c r="B887" s="5">
        <f>TableSTRUHISB1[[#This Row],[Ver]]</f>
        <v>2</v>
      </c>
      <c r="D887" t="str">
        <f>TableSTRUHISB1[[#This Row],[Structure Line]]</f>
        <v>Listening to Country: First Nations’ Perspectives</v>
      </c>
      <c r="E887" s="125">
        <f>TableSTRUHISB1[[#This Row],[Credit Points]]</f>
        <v>25</v>
      </c>
      <c r="F887">
        <v>2</v>
      </c>
      <c r="G887" t="s">
        <v>871</v>
      </c>
      <c r="H887">
        <v>2</v>
      </c>
      <c r="I887" t="s">
        <v>528</v>
      </c>
      <c r="J887" t="s">
        <v>417</v>
      </c>
      <c r="K887">
        <v>2</v>
      </c>
      <c r="L887" t="s">
        <v>751</v>
      </c>
      <c r="M887">
        <v>25</v>
      </c>
      <c r="N887" s="195">
        <v>44562</v>
      </c>
      <c r="O887" s="195"/>
      <c r="R887" t="s">
        <v>417</v>
      </c>
      <c r="S887">
        <v>2</v>
      </c>
    </row>
    <row r="888" spans="1:24" x14ac:dyDescent="0.25">
      <c r="A888" t="str">
        <f>TableSTRUHISB1[[#This Row],[Study Package Code]]</f>
        <v>CTED4000</v>
      </c>
      <c r="B888" s="5">
        <f>TableSTRUHISB1[[#This Row],[Ver]]</f>
        <v>1</v>
      </c>
      <c r="D888" t="str">
        <f>TableSTRUHISB1[[#This Row],[Structure Line]]</f>
        <v>An Introduction to Catholic Education</v>
      </c>
      <c r="E888" s="125">
        <f>TableSTRUHISB1[[#This Row],[Credit Points]]</f>
        <v>25</v>
      </c>
      <c r="F888">
        <v>5</v>
      </c>
      <c r="G888" t="s">
        <v>102</v>
      </c>
      <c r="H888">
        <v>3</v>
      </c>
      <c r="I888" t="s">
        <v>528</v>
      </c>
      <c r="J888" t="s">
        <v>171</v>
      </c>
      <c r="K888">
        <v>1</v>
      </c>
      <c r="L888" t="s">
        <v>583</v>
      </c>
      <c r="M888">
        <v>25</v>
      </c>
      <c r="N888" s="195">
        <v>42005</v>
      </c>
      <c r="O888" s="195"/>
      <c r="R888" t="s">
        <v>171</v>
      </c>
      <c r="S888">
        <v>1</v>
      </c>
    </row>
    <row r="889" spans="1:24" x14ac:dyDescent="0.25">
      <c r="A889" t="str">
        <f>TableSTRUHISB1[[#This Row],[Study Package Code]]</f>
        <v>CTED4001</v>
      </c>
      <c r="B889" s="5">
        <f>TableSTRUHISB1[[#This Row],[Ver]]</f>
        <v>2</v>
      </c>
      <c r="D889" t="str">
        <f>TableSTRUHISB1[[#This Row],[Structure Line]]</f>
        <v>Teaching About Sacraments in Catholic Schools</v>
      </c>
      <c r="E889" s="125">
        <f>TableSTRUHISB1[[#This Row],[Credit Points]]</f>
        <v>25</v>
      </c>
      <c r="F889">
        <v>5</v>
      </c>
      <c r="G889" t="s">
        <v>102</v>
      </c>
      <c r="H889">
        <v>3</v>
      </c>
      <c r="I889" t="s">
        <v>528</v>
      </c>
      <c r="J889" t="s">
        <v>150</v>
      </c>
      <c r="K889">
        <v>2</v>
      </c>
      <c r="L889" t="s">
        <v>585</v>
      </c>
      <c r="M889">
        <v>25</v>
      </c>
      <c r="N889" s="195">
        <v>45292</v>
      </c>
      <c r="O889" s="195"/>
      <c r="R889" t="s">
        <v>150</v>
      </c>
      <c r="S889">
        <v>1</v>
      </c>
    </row>
    <row r="890" spans="1:24" x14ac:dyDescent="0.25">
      <c r="A890" t="str">
        <f>TableSTRUHISB1[[#This Row],[Study Package Code]]</f>
        <v>CTED4002</v>
      </c>
      <c r="B890" s="5">
        <f>TableSTRUHISB1[[#This Row],[Ver]]</f>
        <v>2</v>
      </c>
      <c r="D890" t="str">
        <f>TableSTRUHISB1[[#This Row],[Structure Line]]</f>
        <v>Prayer and Morality in Catholic Studies</v>
      </c>
      <c r="E890" s="125">
        <f>TableSTRUHISB1[[#This Row],[Credit Points]]</f>
        <v>25</v>
      </c>
      <c r="F890">
        <v>5</v>
      </c>
      <c r="G890" t="s">
        <v>102</v>
      </c>
      <c r="H890">
        <v>3</v>
      </c>
      <c r="I890" t="s">
        <v>528</v>
      </c>
      <c r="J890" t="s">
        <v>172</v>
      </c>
      <c r="K890">
        <v>2</v>
      </c>
      <c r="L890" t="s">
        <v>591</v>
      </c>
      <c r="M890">
        <v>25</v>
      </c>
      <c r="N890" s="195">
        <v>44197</v>
      </c>
      <c r="O890" s="195"/>
      <c r="R890" t="s">
        <v>172</v>
      </c>
      <c r="S890">
        <v>2</v>
      </c>
    </row>
    <row r="891" spans="1:24" x14ac:dyDescent="0.25">
      <c r="A891" t="str">
        <f>TableSTRUHISB1[[#This Row],[Study Package Code]]</f>
        <v>CTED4006</v>
      </c>
      <c r="B891" s="5">
        <f>TableSTRUHISB1[[#This Row],[Ver]]</f>
        <v>1</v>
      </c>
      <c r="D891" t="str">
        <f>TableSTRUHISB1[[#This Row],[Structure Line]]</f>
        <v>Teaching About Jesus in Catholic Schools</v>
      </c>
      <c r="E891" s="125">
        <f>TableSTRUHISB1[[#This Row],[Credit Points]]</f>
        <v>25</v>
      </c>
      <c r="F891">
        <v>5</v>
      </c>
      <c r="G891" t="s">
        <v>102</v>
      </c>
      <c r="H891">
        <v>3</v>
      </c>
      <c r="I891" t="s">
        <v>528</v>
      </c>
      <c r="J891" t="s">
        <v>152</v>
      </c>
      <c r="K891">
        <v>1</v>
      </c>
      <c r="L891" t="s">
        <v>592</v>
      </c>
      <c r="M891">
        <v>25</v>
      </c>
      <c r="N891" s="195">
        <v>45292</v>
      </c>
      <c r="O891" s="195"/>
    </row>
    <row r="892" spans="1:24" x14ac:dyDescent="0.25">
      <c r="A892" t="str">
        <f>TableSTRUHISB1[[#This Row],[Study Package Code]]</f>
        <v>CTED4008</v>
      </c>
      <c r="B892" s="5">
        <f>TableSTRUHISB1[[#This Row],[Ver]]</f>
        <v>1</v>
      </c>
      <c r="D892" t="str">
        <f>TableSTRUHISB1[[#This Row],[Structure Line]]</f>
        <v>Teaching About the Gospels in Catholic Schools</v>
      </c>
      <c r="E892" s="125">
        <f>TableSTRUHISB1[[#This Row],[Credit Points]]</f>
        <v>25</v>
      </c>
      <c r="F892">
        <v>5</v>
      </c>
      <c r="G892" t="s">
        <v>102</v>
      </c>
      <c r="H892">
        <v>3</v>
      </c>
      <c r="I892" t="s">
        <v>528</v>
      </c>
      <c r="J892" t="s">
        <v>154</v>
      </c>
      <c r="K892">
        <v>1</v>
      </c>
      <c r="L892" t="s">
        <v>593</v>
      </c>
      <c r="M892">
        <v>25</v>
      </c>
      <c r="N892" s="195">
        <v>45292</v>
      </c>
      <c r="O892" s="195"/>
    </row>
    <row r="893" spans="1:24" x14ac:dyDescent="0.25">
      <c r="A893" t="str">
        <f>TableSTRUHISB1[[#This Row],[Study Package Code]]</f>
        <v>EDIB4000</v>
      </c>
      <c r="B893" s="5">
        <f>TableSTRUHISB1[[#This Row],[Ver]]</f>
        <v>1</v>
      </c>
      <c r="D893" t="str">
        <f>TableSTRUHISB1[[#This Row],[Structure Line]]</f>
        <v>Introduction to the International Baccalaureate Programme</v>
      </c>
      <c r="E893" s="125">
        <f>TableSTRUHISB1[[#This Row],[Credit Points]]</f>
        <v>25</v>
      </c>
      <c r="F893">
        <v>5</v>
      </c>
      <c r="G893" t="s">
        <v>102</v>
      </c>
      <c r="H893">
        <v>3</v>
      </c>
      <c r="I893" t="s">
        <v>528</v>
      </c>
      <c r="J893" t="s">
        <v>166</v>
      </c>
      <c r="K893">
        <v>1</v>
      </c>
      <c r="L893" t="s">
        <v>631</v>
      </c>
      <c r="M893">
        <v>25</v>
      </c>
      <c r="N893" s="195">
        <v>42005</v>
      </c>
      <c r="O893" s="195"/>
      <c r="R893" t="s">
        <v>166</v>
      </c>
      <c r="S893">
        <v>1</v>
      </c>
    </row>
    <row r="894" spans="1:24" x14ac:dyDescent="0.25">
      <c r="A894" t="str">
        <f>TableSTRUHISB1[[#This Row],[Study Package Code]]</f>
        <v>EDIB4002</v>
      </c>
      <c r="B894" s="5">
        <f>TableSTRUHISB1[[#This Row],[Ver]]</f>
        <v>1</v>
      </c>
      <c r="D894" t="str">
        <f>TableSTRUHISB1[[#This Row],[Structure Line]]</f>
        <v>International Baccalaureate Middle Years Programme</v>
      </c>
      <c r="E894" s="125">
        <f>TableSTRUHISB1[[#This Row],[Credit Points]]</f>
        <v>25</v>
      </c>
      <c r="F894">
        <v>5</v>
      </c>
      <c r="G894" t="s">
        <v>102</v>
      </c>
      <c r="H894">
        <v>3</v>
      </c>
      <c r="I894" t="s">
        <v>528</v>
      </c>
      <c r="J894" t="s">
        <v>170</v>
      </c>
      <c r="K894">
        <v>1</v>
      </c>
      <c r="L894" t="s">
        <v>634</v>
      </c>
      <c r="M894">
        <v>25</v>
      </c>
      <c r="N894" s="195">
        <v>42005</v>
      </c>
      <c r="O894" s="195"/>
      <c r="R894" t="s">
        <v>170</v>
      </c>
      <c r="S894">
        <v>1</v>
      </c>
    </row>
    <row r="895" spans="1:24" x14ac:dyDescent="0.25">
      <c r="A895" t="str">
        <f>TableSTRUHISB1[[#This Row],[Study Package Code]]</f>
        <v>EDIB4003</v>
      </c>
      <c r="B895" s="5">
        <f>TableSTRUHISB1[[#This Row],[Ver]]</f>
        <v>1</v>
      </c>
      <c r="D895" t="str">
        <f>TableSTRUHISB1[[#This Row],[Structure Line]]</f>
        <v>The International Baccalaureate in Action</v>
      </c>
      <c r="E895" s="125">
        <f>TableSTRUHISB1[[#This Row],[Credit Points]]</f>
        <v>25</v>
      </c>
      <c r="F895">
        <v>5</v>
      </c>
      <c r="G895" t="s">
        <v>102</v>
      </c>
      <c r="H895">
        <v>3</v>
      </c>
      <c r="I895" t="s">
        <v>528</v>
      </c>
      <c r="J895" t="s">
        <v>168</v>
      </c>
      <c r="K895">
        <v>1</v>
      </c>
      <c r="L895" t="s">
        <v>635</v>
      </c>
      <c r="M895">
        <v>25</v>
      </c>
      <c r="N895" s="195">
        <v>42005</v>
      </c>
      <c r="O895" s="195"/>
      <c r="R895" t="s">
        <v>168</v>
      </c>
      <c r="S895">
        <v>1</v>
      </c>
    </row>
    <row r="896" spans="1:24" x14ac:dyDescent="0.25">
      <c r="A896" t="str">
        <f>TableSTRUHISB1[[#This Row],[Study Package Code]]</f>
        <v>EDUC4012</v>
      </c>
      <c r="B896" s="5">
        <f>TableSTRUHISB1[[#This Row],[Ver]]</f>
        <v>2</v>
      </c>
      <c r="D896" t="str">
        <f>TableSTRUHISB1[[#This Row],[Structure Line]]</f>
        <v>Relationships and Sexuality Education</v>
      </c>
      <c r="E896" s="125">
        <f>TableSTRUHISB1[[#This Row],[Credit Points]]</f>
        <v>25</v>
      </c>
      <c r="F896">
        <v>5</v>
      </c>
      <c r="G896" t="s">
        <v>102</v>
      </c>
      <c r="H896">
        <v>3</v>
      </c>
      <c r="I896" t="s">
        <v>528</v>
      </c>
      <c r="J896" t="s">
        <v>156</v>
      </c>
      <c r="K896">
        <v>2</v>
      </c>
      <c r="L896" t="s">
        <v>697</v>
      </c>
      <c r="M896">
        <v>25</v>
      </c>
      <c r="N896" s="195">
        <v>44927</v>
      </c>
      <c r="O896" s="195"/>
      <c r="R896" t="s">
        <v>156</v>
      </c>
      <c r="S896">
        <v>2</v>
      </c>
    </row>
    <row r="897" spans="1:19" x14ac:dyDescent="0.25">
      <c r="A897" t="str">
        <f>TableSTRUHISB1[[#This Row],[Study Package Code]]</f>
        <v>EDUC4014</v>
      </c>
      <c r="B897" s="5">
        <f>TableSTRUHISB1[[#This Row],[Ver]]</f>
        <v>1</v>
      </c>
      <c r="D897" t="str">
        <f>TableSTRUHISB1[[#This Row],[Structure Line]]</f>
        <v>Diverse Abilities and Curriculum Differentiation</v>
      </c>
      <c r="E897" s="125">
        <f>TableSTRUHISB1[[#This Row],[Credit Points]]</f>
        <v>25</v>
      </c>
      <c r="F897">
        <v>5</v>
      </c>
      <c r="G897" t="s">
        <v>102</v>
      </c>
      <c r="H897">
        <v>3</v>
      </c>
      <c r="I897" t="s">
        <v>528</v>
      </c>
      <c r="J897" t="s">
        <v>158</v>
      </c>
      <c r="K897">
        <v>1</v>
      </c>
      <c r="L897" t="s">
        <v>698</v>
      </c>
      <c r="M897">
        <v>25</v>
      </c>
      <c r="N897" s="195">
        <v>42005</v>
      </c>
      <c r="O897" s="195"/>
      <c r="R897" t="s">
        <v>158</v>
      </c>
      <c r="S897">
        <v>1</v>
      </c>
    </row>
    <row r="898" spans="1:19" x14ac:dyDescent="0.25">
      <c r="A898" t="str">
        <f>TableSTRUHISB1[[#This Row],[Study Package Code]]</f>
        <v>EDUC4020</v>
      </c>
      <c r="B898" s="5">
        <f>TableSTRUHISB1[[#This Row],[Ver]]</f>
        <v>1</v>
      </c>
      <c r="D898" t="str">
        <f>TableSTRUHISB1[[#This Row],[Structure Line]]</f>
        <v>Supporting Literacy and Numeracy Development for Diverse Learners</v>
      </c>
      <c r="E898" s="125">
        <f>TableSTRUHISB1[[#This Row],[Credit Points]]</f>
        <v>25</v>
      </c>
      <c r="F898">
        <v>5</v>
      </c>
      <c r="G898" t="s">
        <v>102</v>
      </c>
      <c r="H898">
        <v>3</v>
      </c>
      <c r="I898" t="s">
        <v>528</v>
      </c>
      <c r="J898" t="s">
        <v>153</v>
      </c>
      <c r="K898">
        <v>1</v>
      </c>
      <c r="L898" t="s">
        <v>699</v>
      </c>
      <c r="M898">
        <v>25</v>
      </c>
      <c r="N898" s="195">
        <v>43282</v>
      </c>
      <c r="O898" s="195"/>
      <c r="R898" t="s">
        <v>153</v>
      </c>
      <c r="S898">
        <v>1</v>
      </c>
    </row>
    <row r="899" spans="1:19" x14ac:dyDescent="0.25">
      <c r="A899" t="str">
        <f>TableSTRUHISB1[[#This Row],[Study Package Code]]</f>
        <v>EDUC4021</v>
      </c>
      <c r="B899" s="5">
        <f>TableSTRUHISB1[[#This Row],[Ver]]</f>
        <v>1</v>
      </c>
      <c r="D899" t="str">
        <f>TableSTRUHISB1[[#This Row],[Structure Line]]</f>
        <v>Project-based iSTEM Education</v>
      </c>
      <c r="E899" s="125">
        <f>TableSTRUHISB1[[#This Row],[Credit Points]]</f>
        <v>25</v>
      </c>
      <c r="F899">
        <v>5</v>
      </c>
      <c r="G899" t="s">
        <v>102</v>
      </c>
      <c r="H899">
        <v>3</v>
      </c>
      <c r="I899" t="s">
        <v>528</v>
      </c>
      <c r="J899" t="s">
        <v>142</v>
      </c>
      <c r="K899">
        <v>1</v>
      </c>
      <c r="L899" t="s">
        <v>700</v>
      </c>
      <c r="M899">
        <v>25</v>
      </c>
      <c r="N899" s="195">
        <v>43282</v>
      </c>
      <c r="O899" s="195"/>
      <c r="R899" t="s">
        <v>142</v>
      </c>
      <c r="S899">
        <v>1</v>
      </c>
    </row>
    <row r="900" spans="1:19" x14ac:dyDescent="0.25">
      <c r="A900" t="str">
        <f>TableSTRUHISB1[[#This Row],[Study Package Code]]</f>
        <v>EDUC4022</v>
      </c>
      <c r="B900" s="5">
        <f>TableSTRUHISB1[[#This Row],[Ver]]</f>
        <v>1</v>
      </c>
      <c r="D900" t="str">
        <f>TableSTRUHISB1[[#This Row],[Structure Line]]</f>
        <v>Creative Literacies</v>
      </c>
      <c r="E900" s="125">
        <f>TableSTRUHISB1[[#This Row],[Credit Points]]</f>
        <v>25</v>
      </c>
      <c r="F900">
        <v>5</v>
      </c>
      <c r="G900" t="s">
        <v>102</v>
      </c>
      <c r="H900">
        <v>3</v>
      </c>
      <c r="I900" t="s">
        <v>528</v>
      </c>
      <c r="J900" t="s">
        <v>147</v>
      </c>
      <c r="K900">
        <v>1</v>
      </c>
      <c r="L900" t="s">
        <v>701</v>
      </c>
      <c r="M900">
        <v>25</v>
      </c>
      <c r="N900" s="195">
        <v>43282</v>
      </c>
      <c r="O900" s="195"/>
      <c r="R900" t="s">
        <v>147</v>
      </c>
      <c r="S900">
        <v>1</v>
      </c>
    </row>
    <row r="901" spans="1:19" x14ac:dyDescent="0.25">
      <c r="A901" t="str">
        <f>TableSTRUHISB1[[#This Row],[Study Package Code]]</f>
        <v>EDUC4023</v>
      </c>
      <c r="B901" s="5">
        <f>TableSTRUHISB1[[#This Row],[Ver]]</f>
        <v>1</v>
      </c>
      <c r="D901" t="str">
        <f>TableSTRUHISB1[[#This Row],[Structure Line]]</f>
        <v>Creating and Responding to Literature</v>
      </c>
      <c r="E901" s="125">
        <f>TableSTRUHISB1[[#This Row],[Credit Points]]</f>
        <v>25</v>
      </c>
      <c r="F901">
        <v>5</v>
      </c>
      <c r="G901" t="s">
        <v>102</v>
      </c>
      <c r="H901">
        <v>3</v>
      </c>
      <c r="I901" t="s">
        <v>528</v>
      </c>
      <c r="J901" t="s">
        <v>148</v>
      </c>
      <c r="K901">
        <v>1</v>
      </c>
      <c r="L901" t="s">
        <v>702</v>
      </c>
      <c r="M901">
        <v>25</v>
      </c>
      <c r="N901" s="195">
        <v>43282</v>
      </c>
      <c r="O901" s="195"/>
      <c r="R901" t="s">
        <v>148</v>
      </c>
      <c r="S901">
        <v>1</v>
      </c>
    </row>
    <row r="902" spans="1:19" x14ac:dyDescent="0.25">
      <c r="A902" t="str">
        <f>TableSTRUHISB1[[#This Row],[Study Package Code]]</f>
        <v>EDUC4029</v>
      </c>
      <c r="B902" s="5">
        <f>TableSTRUHISB1[[#This Row],[Ver]]</f>
        <v>1</v>
      </c>
      <c r="D902" t="str">
        <f>TableSTRUHISB1[[#This Row],[Structure Line]]</f>
        <v>Technologies: Coding for Teachers</v>
      </c>
      <c r="E902" s="125">
        <f>TableSTRUHISB1[[#This Row],[Credit Points]]</f>
        <v>25</v>
      </c>
      <c r="F902">
        <v>5</v>
      </c>
      <c r="G902" t="s">
        <v>102</v>
      </c>
      <c r="H902">
        <v>3</v>
      </c>
      <c r="I902" t="s">
        <v>528</v>
      </c>
      <c r="J902" t="s">
        <v>160</v>
      </c>
      <c r="K902">
        <v>1</v>
      </c>
      <c r="L902" t="s">
        <v>703</v>
      </c>
      <c r="M902">
        <v>25</v>
      </c>
      <c r="N902" s="195">
        <v>43282</v>
      </c>
      <c r="O902" s="195"/>
      <c r="R902" t="s">
        <v>160</v>
      </c>
      <c r="S902">
        <v>1</v>
      </c>
    </row>
    <row r="903" spans="1:19" x14ac:dyDescent="0.25">
      <c r="A903" t="str">
        <f>TableSTRUHISB1[[#This Row],[Study Package Code]]</f>
        <v>EDUC4031</v>
      </c>
      <c r="B903" s="5">
        <f>TableSTRUHISB1[[#This Row],[Ver]]</f>
        <v>1</v>
      </c>
      <c r="D903" t="str">
        <f>TableSTRUHISB1[[#This Row],[Structure Line]]</f>
        <v>Social Justice in Literacy and Numeracy Learning</v>
      </c>
      <c r="E903" s="125">
        <f>TableSTRUHISB1[[#This Row],[Credit Points]]</f>
        <v>25</v>
      </c>
      <c r="F903">
        <v>5</v>
      </c>
      <c r="G903" t="s">
        <v>102</v>
      </c>
      <c r="H903">
        <v>3</v>
      </c>
      <c r="I903" t="s">
        <v>528</v>
      </c>
      <c r="J903" t="s">
        <v>169</v>
      </c>
      <c r="K903">
        <v>1</v>
      </c>
      <c r="L903" t="s">
        <v>705</v>
      </c>
      <c r="M903">
        <v>25</v>
      </c>
      <c r="N903" s="195">
        <v>43282</v>
      </c>
      <c r="O903" s="195">
        <v>44750</v>
      </c>
      <c r="R903" t="s">
        <v>169</v>
      </c>
      <c r="S903">
        <v>1</v>
      </c>
    </row>
    <row r="904" spans="1:19" x14ac:dyDescent="0.25">
      <c r="A904" t="str">
        <f>TableSTRUHISB1[[#This Row],[Study Package Code]]</f>
        <v>EDUC4032</v>
      </c>
      <c r="B904" s="5">
        <f>TableSTRUHISB1[[#This Row],[Ver]]</f>
        <v>1</v>
      </c>
      <c r="D904" t="str">
        <f>TableSTRUHISB1[[#This Row],[Structure Line]]</f>
        <v>iSTEM Education through Digital Stories</v>
      </c>
      <c r="E904" s="125">
        <f>TableSTRUHISB1[[#This Row],[Credit Points]]</f>
        <v>25</v>
      </c>
      <c r="F904">
        <v>5</v>
      </c>
      <c r="G904" t="s">
        <v>102</v>
      </c>
      <c r="H904">
        <v>3</v>
      </c>
      <c r="I904" t="s">
        <v>528</v>
      </c>
      <c r="J904" t="s">
        <v>143</v>
      </c>
      <c r="K904">
        <v>1</v>
      </c>
      <c r="L904" t="s">
        <v>707</v>
      </c>
      <c r="M904">
        <v>25</v>
      </c>
      <c r="N904" s="195">
        <v>43466</v>
      </c>
      <c r="O904" s="195"/>
      <c r="R904" t="s">
        <v>143</v>
      </c>
      <c r="S904">
        <v>1</v>
      </c>
    </row>
    <row r="905" spans="1:19" x14ac:dyDescent="0.25">
      <c r="A905" t="str">
        <f>TableSTRUHISB1[[#This Row],[Study Package Code]]</f>
        <v>EDUC4034</v>
      </c>
      <c r="B905" s="5">
        <f>TableSTRUHISB1[[#This Row],[Ver]]</f>
        <v>1</v>
      </c>
      <c r="D905" t="str">
        <f>TableSTRUHISB1[[#This Row],[Structure Line]]</f>
        <v>iSTEM: Social Issues</v>
      </c>
      <c r="E905" s="125">
        <f>TableSTRUHISB1[[#This Row],[Credit Points]]</f>
        <v>25</v>
      </c>
      <c r="F905">
        <v>5</v>
      </c>
      <c r="G905" t="s">
        <v>102</v>
      </c>
      <c r="H905">
        <v>3</v>
      </c>
      <c r="I905" t="s">
        <v>528</v>
      </c>
      <c r="J905" t="s">
        <v>144</v>
      </c>
      <c r="K905" s="196">
        <v>1</v>
      </c>
      <c r="L905" s="196" t="s">
        <v>708</v>
      </c>
      <c r="M905" s="196">
        <v>25</v>
      </c>
      <c r="N905" s="195">
        <v>43466</v>
      </c>
      <c r="O905" s="195"/>
      <c r="R905" t="s">
        <v>144</v>
      </c>
      <c r="S905">
        <v>1</v>
      </c>
    </row>
    <row r="906" spans="1:19" x14ac:dyDescent="0.25">
      <c r="A906" t="str">
        <f>TableSTRUHISB1[[#This Row],[Study Package Code]]</f>
        <v>EDUC4036</v>
      </c>
      <c r="B906" s="5">
        <f>TableSTRUHISB1[[#This Row],[Ver]]</f>
        <v>1</v>
      </c>
      <c r="D906" t="str">
        <f>TableSTRUHISB1[[#This Row],[Structure Line]]</f>
        <v>Language and Diversity</v>
      </c>
      <c r="E906" s="125">
        <f>TableSTRUHISB1[[#This Row],[Credit Points]]</f>
        <v>25</v>
      </c>
      <c r="F906">
        <v>5</v>
      </c>
      <c r="G906" t="s">
        <v>102</v>
      </c>
      <c r="H906">
        <v>3</v>
      </c>
      <c r="I906" t="s">
        <v>528</v>
      </c>
      <c r="J906" t="s">
        <v>149</v>
      </c>
      <c r="K906">
        <v>1</v>
      </c>
      <c r="L906" t="s">
        <v>709</v>
      </c>
      <c r="M906">
        <v>25</v>
      </c>
      <c r="N906" s="195">
        <v>43466</v>
      </c>
      <c r="O906" s="195"/>
      <c r="R906" t="s">
        <v>149</v>
      </c>
      <c r="S906">
        <v>1</v>
      </c>
    </row>
    <row r="907" spans="1:19" x14ac:dyDescent="0.25">
      <c r="A907" t="str">
        <f>TableSTRUHISB1[[#This Row],[Study Package Code]]</f>
        <v>EDUC4038</v>
      </c>
      <c r="B907" s="5">
        <f>TableSTRUHISB1[[#This Row],[Ver]]</f>
        <v>1</v>
      </c>
      <c r="D907" t="str">
        <f>TableSTRUHISB1[[#This Row],[Structure Line]]</f>
        <v>Technologies: Design Solutions</v>
      </c>
      <c r="E907" s="125">
        <f>TableSTRUHISB1[[#This Row],[Credit Points]]</f>
        <v>25</v>
      </c>
      <c r="F907">
        <v>5</v>
      </c>
      <c r="G907" t="s">
        <v>102</v>
      </c>
      <c r="H907">
        <v>3</v>
      </c>
      <c r="I907" t="s">
        <v>528</v>
      </c>
      <c r="J907" t="s">
        <v>161</v>
      </c>
      <c r="K907">
        <v>1</v>
      </c>
      <c r="L907" t="s">
        <v>710</v>
      </c>
      <c r="M907">
        <v>25</v>
      </c>
      <c r="N907" s="195">
        <v>43466</v>
      </c>
      <c r="O907" s="195"/>
      <c r="R907" t="s">
        <v>161</v>
      </c>
      <c r="S907">
        <v>1</v>
      </c>
    </row>
    <row r="908" spans="1:19" x14ac:dyDescent="0.25">
      <c r="A908" t="str">
        <f>TableSTRUHISB1[[#This Row],[Study Package Code]]</f>
        <v>EDUC4042</v>
      </c>
      <c r="B908" s="5">
        <f>TableSTRUHISB1[[#This Row],[Ver]]</f>
        <v>1</v>
      </c>
      <c r="D908" t="str">
        <f>TableSTRUHISB1[[#This Row],[Structure Line]]</f>
        <v>Alternative Approaches to Teaching Literacy and Numeracy</v>
      </c>
      <c r="E908" s="125">
        <f>TableSTRUHISB1[[#This Row],[Credit Points]]</f>
        <v>25</v>
      </c>
      <c r="F908">
        <v>5</v>
      </c>
      <c r="G908" t="s">
        <v>102</v>
      </c>
      <c r="H908">
        <v>3</v>
      </c>
      <c r="I908" t="s">
        <v>528</v>
      </c>
      <c r="J908" t="s">
        <v>155</v>
      </c>
      <c r="K908">
        <v>1</v>
      </c>
      <c r="L908" t="s">
        <v>713</v>
      </c>
      <c r="M908">
        <v>25</v>
      </c>
      <c r="N908" s="195">
        <v>43466</v>
      </c>
      <c r="O908" s="195"/>
      <c r="R908" t="s">
        <v>155</v>
      </c>
      <c r="S908">
        <v>1</v>
      </c>
    </row>
    <row r="909" spans="1:19" x14ac:dyDescent="0.25">
      <c r="A909" t="str">
        <f>TableSTRUHISB1[[#This Row],[Study Package Code]]</f>
        <v>EDUC4044</v>
      </c>
      <c r="B909" s="5">
        <f>TableSTRUHISB1[[#This Row],[Ver]]</f>
        <v>2</v>
      </c>
      <c r="D909" t="str">
        <f>TableSTRUHISB1[[#This Row],[Structure Line]]</f>
        <v>Literacy and Numeracy for First Nations Peoples of Australia</v>
      </c>
      <c r="E909" s="125">
        <f>TableSTRUHISB1[[#This Row],[Credit Points]]</f>
        <v>25</v>
      </c>
      <c r="F909">
        <v>5</v>
      </c>
      <c r="G909" t="s">
        <v>102</v>
      </c>
      <c r="H909">
        <v>3</v>
      </c>
      <c r="I909" t="s">
        <v>528</v>
      </c>
      <c r="J909" t="s">
        <v>157</v>
      </c>
      <c r="K909">
        <v>2</v>
      </c>
      <c r="L909" t="s">
        <v>714</v>
      </c>
      <c r="M909">
        <v>25</v>
      </c>
      <c r="N909" s="195">
        <v>44927</v>
      </c>
      <c r="O909" s="195"/>
      <c r="R909" t="s">
        <v>157</v>
      </c>
      <c r="S909">
        <v>1</v>
      </c>
    </row>
    <row r="910" spans="1:19" x14ac:dyDescent="0.25">
      <c r="A910" t="str">
        <f>TableSTRUHISB1[[#This Row],[Study Package Code]]</f>
        <v>EDUC4046</v>
      </c>
      <c r="B910" s="5">
        <f>TableSTRUHISB1[[#This Row],[Ver]]</f>
        <v>1</v>
      </c>
      <c r="D910" t="str">
        <f>TableSTRUHISB1[[#This Row],[Structure Line]]</f>
        <v>Technologies: Digital Solutions</v>
      </c>
      <c r="E910" s="125">
        <f>TableSTRUHISB1[[#This Row],[Credit Points]]</f>
        <v>25</v>
      </c>
      <c r="F910">
        <v>5</v>
      </c>
      <c r="G910" t="s">
        <v>102</v>
      </c>
      <c r="H910">
        <v>3</v>
      </c>
      <c r="I910" t="s">
        <v>528</v>
      </c>
      <c r="J910" t="s">
        <v>162</v>
      </c>
      <c r="K910">
        <v>1</v>
      </c>
      <c r="L910" t="s">
        <v>715</v>
      </c>
      <c r="M910">
        <v>25</v>
      </c>
      <c r="N910" s="195">
        <v>43466</v>
      </c>
      <c r="O910" s="195"/>
      <c r="R910" t="s">
        <v>162</v>
      </c>
      <c r="S910">
        <v>1</v>
      </c>
    </row>
    <row r="911" spans="1:19" x14ac:dyDescent="0.25">
      <c r="A911" t="str">
        <f>TableSTRUHISB1[[#This Row],[Study Package Code]]</f>
        <v>EDUC4048</v>
      </c>
      <c r="B911" s="5">
        <f>TableSTRUHISB1[[#This Row],[Ver]]</f>
        <v>1</v>
      </c>
      <c r="D911" t="str">
        <f>TableSTRUHISB1[[#This Row],[Structure Line]]</f>
        <v>Mentoring, Coaching and Tutoring</v>
      </c>
      <c r="E911" s="125">
        <f>TableSTRUHISB1[[#This Row],[Credit Points]]</f>
        <v>25</v>
      </c>
      <c r="F911">
        <v>5</v>
      </c>
      <c r="G911" t="s">
        <v>102</v>
      </c>
      <c r="H911">
        <v>3</v>
      </c>
      <c r="I911" t="s">
        <v>528</v>
      </c>
      <c r="J911" t="s">
        <v>117</v>
      </c>
      <c r="K911">
        <v>1</v>
      </c>
      <c r="L911" t="s">
        <v>716</v>
      </c>
      <c r="M911">
        <v>25</v>
      </c>
      <c r="N911" s="195">
        <v>43466</v>
      </c>
      <c r="O911" s="195"/>
      <c r="R911" t="s">
        <v>117</v>
      </c>
      <c r="S911">
        <v>1</v>
      </c>
    </row>
    <row r="912" spans="1:19" x14ac:dyDescent="0.25">
      <c r="A912" s="122"/>
      <c r="B912" s="124"/>
      <c r="C912" s="122"/>
      <c r="G912" s="123" t="s">
        <v>855</v>
      </c>
      <c r="H912" s="199">
        <v>43101</v>
      </c>
      <c r="J912" s="197" t="s">
        <v>198</v>
      </c>
      <c r="K912" s="124" t="s">
        <v>67</v>
      </c>
      <c r="L912" s="122" t="s">
        <v>297</v>
      </c>
      <c r="M912" s="122"/>
    </row>
    <row r="913" spans="1:19" ht="31.5" x14ac:dyDescent="0.25">
      <c r="A913" s="159" t="s">
        <v>0</v>
      </c>
      <c r="B913" s="160" t="s">
        <v>60</v>
      </c>
      <c r="C913" s="159" t="s">
        <v>856</v>
      </c>
      <c r="D913" s="159" t="s">
        <v>3</v>
      </c>
      <c r="E913" s="161" t="s">
        <v>857</v>
      </c>
      <c r="F913" s="159" t="s">
        <v>858</v>
      </c>
      <c r="G913" s="159" t="s">
        <v>859</v>
      </c>
      <c r="H913" s="159" t="s">
        <v>860</v>
      </c>
      <c r="I913" s="159" t="s">
        <v>17</v>
      </c>
      <c r="J913" s="159" t="s">
        <v>861</v>
      </c>
      <c r="K913" s="159" t="s">
        <v>1</v>
      </c>
      <c r="L913" s="159" t="s">
        <v>44</v>
      </c>
      <c r="M913" s="159" t="s">
        <v>61</v>
      </c>
      <c r="N913" s="159" t="s">
        <v>862</v>
      </c>
      <c r="O913" s="159" t="s">
        <v>863</v>
      </c>
      <c r="R913" t="s">
        <v>538</v>
      </c>
      <c r="S913" t="s">
        <v>864</v>
      </c>
    </row>
    <row r="914" spans="1:19" x14ac:dyDescent="0.25">
      <c r="A914" t="str">
        <f>TableSTRUHUMAM[[#This Row],[Study Package Code]]</f>
        <v>ANTH1001</v>
      </c>
      <c r="B914" s="5">
        <f>TableSTRUHUMAM[[#This Row],[Ver]]</f>
        <v>2</v>
      </c>
      <c r="D914" t="str">
        <f>TableSTRUHUMAM[[#This Row],[Structure Line]]</f>
        <v>Society and Culture in a Globalising World</v>
      </c>
      <c r="E914" s="125">
        <f>TableSTRUHUMAM[[#This Row],[Credit Points]]</f>
        <v>25</v>
      </c>
      <c r="F914">
        <v>1</v>
      </c>
      <c r="G914" t="s">
        <v>865</v>
      </c>
      <c r="H914">
        <v>1</v>
      </c>
      <c r="I914" t="s">
        <v>529</v>
      </c>
      <c r="J914" t="s">
        <v>307</v>
      </c>
      <c r="K914">
        <v>2</v>
      </c>
      <c r="L914" t="s">
        <v>554</v>
      </c>
      <c r="M914">
        <v>25</v>
      </c>
      <c r="N914" s="195">
        <v>42736</v>
      </c>
      <c r="O914" s="195"/>
      <c r="R914" t="s">
        <v>307</v>
      </c>
      <c r="S914">
        <v>2</v>
      </c>
    </row>
    <row r="915" spans="1:19" x14ac:dyDescent="0.25">
      <c r="A915" t="str">
        <f>TableSTRUHUMAM[[#This Row],[Study Package Code]]</f>
        <v>HIST1000</v>
      </c>
      <c r="B915" s="5">
        <f>TableSTRUHUMAM[[#This Row],[Ver]]</f>
        <v>1</v>
      </c>
      <c r="D915" t="str">
        <f>TableSTRUHUMAM[[#This Row],[Structure Line]]</f>
        <v>Legacies of Empire</v>
      </c>
      <c r="E915" s="125">
        <f>TableSTRUHUMAM[[#This Row],[Credit Points]]</f>
        <v>25</v>
      </c>
      <c r="F915">
        <v>2</v>
      </c>
      <c r="G915" t="s">
        <v>865</v>
      </c>
      <c r="H915">
        <v>2</v>
      </c>
      <c r="I915" t="s">
        <v>528</v>
      </c>
      <c r="J915" t="s">
        <v>332</v>
      </c>
      <c r="K915">
        <v>1</v>
      </c>
      <c r="L915" t="s">
        <v>729</v>
      </c>
      <c r="M915">
        <v>25</v>
      </c>
      <c r="N915" s="195">
        <v>42736</v>
      </c>
      <c r="O915" s="195"/>
      <c r="R915" t="s">
        <v>332</v>
      </c>
      <c r="S915">
        <v>1</v>
      </c>
    </row>
    <row r="916" spans="1:19" x14ac:dyDescent="0.25">
      <c r="A916" t="str">
        <f>TableSTRUHUMAM[[#This Row],[Study Package Code]]</f>
        <v>HIST2000</v>
      </c>
      <c r="B916" s="5">
        <f>TableSTRUHUMAM[[#This Row],[Ver]]</f>
        <v>2</v>
      </c>
      <c r="D916" t="str">
        <f>TableSTRUHUMAM[[#This Row],[Structure Line]]</f>
        <v>Social Change in Contemporary Australian History</v>
      </c>
      <c r="E916" s="125">
        <f>TableSTRUHUMAM[[#This Row],[Credit Points]]</f>
        <v>25</v>
      </c>
      <c r="F916">
        <v>3</v>
      </c>
      <c r="G916" t="s">
        <v>865</v>
      </c>
      <c r="H916">
        <v>2</v>
      </c>
      <c r="I916" t="s">
        <v>529</v>
      </c>
      <c r="J916" t="s">
        <v>354</v>
      </c>
      <c r="K916">
        <v>2</v>
      </c>
      <c r="L916" t="s">
        <v>730</v>
      </c>
      <c r="M916">
        <v>25</v>
      </c>
      <c r="N916" s="195">
        <v>44562</v>
      </c>
      <c r="O916" s="195"/>
      <c r="R916" t="s">
        <v>354</v>
      </c>
      <c r="S916">
        <v>2</v>
      </c>
    </row>
    <row r="917" spans="1:19" x14ac:dyDescent="0.25">
      <c r="A917" t="str">
        <f>TableSTRUHUMAM[[#This Row],[Study Package Code]]</f>
        <v>EDSC4024</v>
      </c>
      <c r="B917" s="5">
        <f>TableSTRUHUMAM[[#This Row],[Ver]]</f>
        <v>1</v>
      </c>
      <c r="D917" t="str">
        <f>TableSTRUHUMAM[[#This Row],[Structure Line]]</f>
        <v>Curriculum and Instruction Lower Secondary: Humanities and Social Sciences</v>
      </c>
      <c r="E917" s="125">
        <f>TableSTRUHUMAM[[#This Row],[Credit Points]]</f>
        <v>25</v>
      </c>
      <c r="F917">
        <v>4</v>
      </c>
      <c r="G917" t="s">
        <v>865</v>
      </c>
      <c r="H917">
        <v>3</v>
      </c>
      <c r="I917" t="s">
        <v>528</v>
      </c>
      <c r="J917" t="s">
        <v>320</v>
      </c>
      <c r="K917">
        <v>1</v>
      </c>
      <c r="L917" t="s">
        <v>676</v>
      </c>
      <c r="M917">
        <v>25</v>
      </c>
      <c r="N917" s="195">
        <v>43466</v>
      </c>
      <c r="O917" s="195"/>
      <c r="R917" t="s">
        <v>320</v>
      </c>
      <c r="S917">
        <v>1</v>
      </c>
    </row>
    <row r="918" spans="1:19" x14ac:dyDescent="0.25">
      <c r="A918" t="str">
        <f>TableSTRUHUMAM[[#This Row],[Study Package Code]]</f>
        <v>AltCoreSTRUHUMAM</v>
      </c>
      <c r="B918" s="5">
        <f>TableSTRUHUMAM[[#This Row],[Ver]]</f>
        <v>0</v>
      </c>
      <c r="D918" t="str">
        <f>TableSTRUHUMAM[[#This Row],[Structure Line]]</f>
        <v>Choose INDS2001 or INDS2004</v>
      </c>
      <c r="E918" s="125">
        <f>TableSTRUHUMAM[[#This Row],[Credit Points]]</f>
        <v>25</v>
      </c>
      <c r="F918">
        <v>5</v>
      </c>
      <c r="G918" t="s">
        <v>865</v>
      </c>
      <c r="H918">
        <v>3</v>
      </c>
      <c r="I918" t="s">
        <v>528</v>
      </c>
      <c r="J918" t="s">
        <v>507</v>
      </c>
      <c r="K918">
        <v>0</v>
      </c>
      <c r="L918" t="s">
        <v>890</v>
      </c>
      <c r="M918">
        <v>25</v>
      </c>
      <c r="N918" s="195"/>
      <c r="O918" s="195"/>
      <c r="R918" t="s">
        <v>507</v>
      </c>
      <c r="S918">
        <v>0</v>
      </c>
    </row>
    <row r="919" spans="1:19" x14ac:dyDescent="0.25">
      <c r="A919" t="str">
        <f>TableSTRUHUMAM[[#This Row],[Study Package Code]]</f>
        <v>EDSC4026</v>
      </c>
      <c r="B919" s="5">
        <f>TableSTRUHUMAM[[#This Row],[Ver]]</f>
        <v>2</v>
      </c>
      <c r="D919" t="str">
        <f>TableSTRUHUMAM[[#This Row],[Structure Line]]</f>
        <v>Curriculum and Instruction Senior Secondary: Humanities and Social Sciences</v>
      </c>
      <c r="E919" s="125">
        <f>TableSTRUHUMAM[[#This Row],[Credit Points]]</f>
        <v>25</v>
      </c>
      <c r="F919">
        <v>6</v>
      </c>
      <c r="G919" t="s">
        <v>865</v>
      </c>
      <c r="H919">
        <v>3</v>
      </c>
      <c r="I919" t="s">
        <v>529</v>
      </c>
      <c r="J919" t="s">
        <v>343</v>
      </c>
      <c r="K919">
        <v>2</v>
      </c>
      <c r="L919" t="s">
        <v>677</v>
      </c>
      <c r="M919">
        <v>25</v>
      </c>
      <c r="N919" s="195">
        <v>43831</v>
      </c>
      <c r="O919" s="195"/>
      <c r="R919" t="s">
        <v>343</v>
      </c>
      <c r="S919">
        <v>2</v>
      </c>
    </row>
    <row r="920" spans="1:19" x14ac:dyDescent="0.25">
      <c r="A920" t="str">
        <f>TableSTRUHUMAM[[#This Row],[Study Package Code]]</f>
        <v>INDS2001</v>
      </c>
      <c r="B920" s="5">
        <f>TableSTRUHUMAM[[#This Row],[Ver]]</f>
        <v>1</v>
      </c>
      <c r="D920" t="str">
        <f>TableSTRUHUMAM[[#This Row],[Structure Line]]</f>
        <v>Indigenous Australian Land and Environments</v>
      </c>
      <c r="E920" s="125">
        <f>TableSTRUHUMAM[[#This Row],[Credit Points]]</f>
        <v>25</v>
      </c>
      <c r="F920">
        <v>5</v>
      </c>
      <c r="G920" t="s">
        <v>871</v>
      </c>
      <c r="H920">
        <v>3</v>
      </c>
      <c r="I920" t="s">
        <v>528</v>
      </c>
      <c r="J920" t="s">
        <v>414</v>
      </c>
      <c r="K920">
        <v>1</v>
      </c>
      <c r="L920" t="s">
        <v>750</v>
      </c>
      <c r="M920">
        <v>25</v>
      </c>
      <c r="N920" s="195">
        <v>42005</v>
      </c>
      <c r="O920" s="195"/>
      <c r="R920" t="s">
        <v>414</v>
      </c>
      <c r="S920">
        <v>1</v>
      </c>
    </row>
    <row r="921" spans="1:19" x14ac:dyDescent="0.25">
      <c r="A921" t="str">
        <f>TableSTRUHUMAM[[#This Row],[Study Package Code]]</f>
        <v>INDS2004</v>
      </c>
      <c r="B921" s="5">
        <f>TableSTRUHUMAM[[#This Row],[Ver]]</f>
        <v>2</v>
      </c>
      <c r="D921" t="str">
        <f>TableSTRUHUMAM[[#This Row],[Structure Line]]</f>
        <v>Listening to Country: First Nations’ Perspectives</v>
      </c>
      <c r="E921" s="125">
        <f>TableSTRUHUMAM[[#This Row],[Credit Points]]</f>
        <v>25</v>
      </c>
      <c r="F921">
        <v>5</v>
      </c>
      <c r="G921" t="s">
        <v>871</v>
      </c>
      <c r="H921">
        <v>3</v>
      </c>
      <c r="I921" t="s">
        <v>528</v>
      </c>
      <c r="J921" t="s">
        <v>417</v>
      </c>
      <c r="K921">
        <v>2</v>
      </c>
      <c r="L921" t="s">
        <v>751</v>
      </c>
      <c r="M921">
        <v>25</v>
      </c>
      <c r="N921" s="195">
        <v>44562</v>
      </c>
      <c r="O921" s="195"/>
      <c r="R921" t="s">
        <v>417</v>
      </c>
      <c r="S921">
        <v>2</v>
      </c>
    </row>
    <row r="922" spans="1:19" x14ac:dyDescent="0.25">
      <c r="A922" s="122"/>
      <c r="B922" s="124"/>
      <c r="C922" s="122"/>
      <c r="G922" s="123" t="s">
        <v>855</v>
      </c>
      <c r="H922" s="199">
        <v>43101</v>
      </c>
      <c r="J922" s="197" t="s">
        <v>314</v>
      </c>
      <c r="K922" s="124" t="s">
        <v>67</v>
      </c>
      <c r="L922" s="122" t="s">
        <v>313</v>
      </c>
      <c r="M922" s="122"/>
    </row>
    <row r="923" spans="1:19" ht="31.5" x14ac:dyDescent="0.25">
      <c r="A923" s="159" t="s">
        <v>0</v>
      </c>
      <c r="B923" s="160" t="s">
        <v>60</v>
      </c>
      <c r="C923" s="159" t="s">
        <v>856</v>
      </c>
      <c r="D923" s="159" t="s">
        <v>3</v>
      </c>
      <c r="E923" s="161" t="s">
        <v>857</v>
      </c>
      <c r="F923" s="159" t="s">
        <v>858</v>
      </c>
      <c r="G923" s="159" t="s">
        <v>859</v>
      </c>
      <c r="H923" s="159" t="s">
        <v>860</v>
      </c>
      <c r="I923" s="159" t="s">
        <v>17</v>
      </c>
      <c r="J923" s="159" t="s">
        <v>861</v>
      </c>
      <c r="K923" s="159" t="s">
        <v>1</v>
      </c>
      <c r="L923" s="159" t="s">
        <v>44</v>
      </c>
      <c r="M923" s="159" t="s">
        <v>61</v>
      </c>
      <c r="N923" s="159" t="s">
        <v>862</v>
      </c>
      <c r="O923" s="159" t="s">
        <v>863</v>
      </c>
      <c r="R923" t="s">
        <v>538</v>
      </c>
      <c r="S923" t="s">
        <v>864</v>
      </c>
    </row>
    <row r="924" spans="1:19" x14ac:dyDescent="0.25">
      <c r="A924" t="str">
        <f>TableSTRUHUMBB[[#This Row],[Study Package Code]]</f>
        <v>EDUC1027</v>
      </c>
      <c r="B924" s="5">
        <f>TableSTRUHUMBB[[#This Row],[Ver]]</f>
        <v>1</v>
      </c>
      <c r="D924" t="str">
        <f>TableSTRUHUMBB[[#This Row],[Structure Line]]</f>
        <v>Educators Inquiring About the World</v>
      </c>
      <c r="E924" s="125">
        <f>TableSTRUHUMBB[[#This Row],[Credit Points]]</f>
        <v>25</v>
      </c>
      <c r="F924">
        <v>1</v>
      </c>
      <c r="G924" t="s">
        <v>865</v>
      </c>
      <c r="H924">
        <v>1</v>
      </c>
      <c r="I924" t="s">
        <v>529</v>
      </c>
      <c r="J924" t="s">
        <v>53</v>
      </c>
      <c r="K924">
        <v>1</v>
      </c>
      <c r="L924" t="s">
        <v>688</v>
      </c>
      <c r="M924">
        <v>25</v>
      </c>
      <c r="N924" s="195">
        <v>43466</v>
      </c>
      <c r="O924" s="195"/>
      <c r="R924" t="s">
        <v>53</v>
      </c>
      <c r="S924">
        <v>1</v>
      </c>
    </row>
    <row r="925" spans="1:19" x14ac:dyDescent="0.25">
      <c r="A925" t="str">
        <f>TableSTRUHUMBB[[#This Row],[Study Package Code]]</f>
        <v>MEDI1000</v>
      </c>
      <c r="B925" s="5">
        <f>TableSTRUHUMBB[[#This Row],[Ver]]</f>
        <v>1</v>
      </c>
      <c r="D925" t="str">
        <f>TableSTRUHUMBB[[#This Row],[Structure Line]]</f>
        <v>Foundations of Biomedical Science</v>
      </c>
      <c r="E925" s="125">
        <f>TableSTRUHUMBB[[#This Row],[Credit Points]]</f>
        <v>25</v>
      </c>
      <c r="F925">
        <v>2</v>
      </c>
      <c r="G925" t="s">
        <v>865</v>
      </c>
      <c r="H925">
        <v>2</v>
      </c>
      <c r="I925" t="s">
        <v>528</v>
      </c>
      <c r="J925" t="s">
        <v>481</v>
      </c>
      <c r="K925">
        <v>1</v>
      </c>
      <c r="L925" t="s">
        <v>772</v>
      </c>
      <c r="M925">
        <v>25</v>
      </c>
      <c r="N925" s="195">
        <v>42005</v>
      </c>
      <c r="O925" s="195"/>
      <c r="R925" t="s">
        <v>481</v>
      </c>
      <c r="S925">
        <v>1</v>
      </c>
    </row>
    <row r="926" spans="1:19" x14ac:dyDescent="0.25">
      <c r="A926" t="str">
        <f>TableSTRUHUMBB[[#This Row],[Study Package Code]]</f>
        <v>EDPR2000</v>
      </c>
      <c r="B926" s="5">
        <f>TableSTRUHUMBB[[#This Row],[Ver]]</f>
        <v>1</v>
      </c>
      <c r="D926" t="str">
        <f>TableSTRUHUMBB[[#This Row],[Structure Line]]</f>
        <v>Inquiry in the Science Classroom</v>
      </c>
      <c r="E926" s="125">
        <f>TableSTRUHUMBB[[#This Row],[Credit Points]]</f>
        <v>25</v>
      </c>
      <c r="F926">
        <v>3</v>
      </c>
      <c r="G926" t="s">
        <v>865</v>
      </c>
      <c r="H926">
        <v>2</v>
      </c>
      <c r="I926" t="s">
        <v>529</v>
      </c>
      <c r="J926" t="s">
        <v>93</v>
      </c>
      <c r="K926">
        <v>1</v>
      </c>
      <c r="L926" t="s">
        <v>637</v>
      </c>
      <c r="M926">
        <v>25</v>
      </c>
      <c r="N926" s="195">
        <v>42005</v>
      </c>
      <c r="O926" s="195"/>
      <c r="R926" t="s">
        <v>93</v>
      </c>
      <c r="S926">
        <v>1</v>
      </c>
    </row>
    <row r="927" spans="1:19" x14ac:dyDescent="0.25">
      <c r="A927" t="str">
        <f>TableSTRUHUMBB[[#This Row],[Study Package Code]]</f>
        <v>HUMB2014</v>
      </c>
      <c r="B927" s="5">
        <f>TableSTRUHUMBB[[#This Row],[Ver]]</f>
        <v>1</v>
      </c>
      <c r="D927" t="str">
        <f>TableSTRUHUMBB[[#This Row],[Structure Line]]</f>
        <v>Vital Physiology</v>
      </c>
      <c r="E927" s="125">
        <f>TableSTRUHUMBB[[#This Row],[Credit Points]]</f>
        <v>25</v>
      </c>
      <c r="F927">
        <v>4</v>
      </c>
      <c r="G927" t="s">
        <v>865</v>
      </c>
      <c r="H927">
        <v>3</v>
      </c>
      <c r="I927" t="s">
        <v>528</v>
      </c>
      <c r="J927" t="s">
        <v>501</v>
      </c>
      <c r="K927">
        <v>1</v>
      </c>
      <c r="L927" t="s">
        <v>747</v>
      </c>
      <c r="M927">
        <v>25</v>
      </c>
      <c r="N927" s="195">
        <v>44197</v>
      </c>
      <c r="O927" s="195"/>
      <c r="R927" t="s">
        <v>501</v>
      </c>
      <c r="S927">
        <v>1</v>
      </c>
    </row>
    <row r="928" spans="1:19" x14ac:dyDescent="0.25">
      <c r="A928" t="str">
        <f>TableSTRUHUMBB[[#This Row],[Study Package Code]]</f>
        <v>MEDI2000</v>
      </c>
      <c r="B928" s="5">
        <f>TableSTRUHUMBB[[#This Row],[Ver]]</f>
        <v>1</v>
      </c>
      <c r="D928" t="str">
        <f>TableSTRUHUMBB[[#This Row],[Structure Line]]</f>
        <v>Foundations of Immunobiology</v>
      </c>
      <c r="E928" s="125">
        <f>TableSTRUHUMBB[[#This Row],[Credit Points]]</f>
        <v>25</v>
      </c>
      <c r="F928">
        <v>5</v>
      </c>
      <c r="G928" t="s">
        <v>865</v>
      </c>
      <c r="H928">
        <v>3</v>
      </c>
      <c r="I928" t="s">
        <v>529</v>
      </c>
      <c r="J928" t="s">
        <v>513</v>
      </c>
      <c r="K928">
        <v>1</v>
      </c>
      <c r="L928" t="s">
        <v>774</v>
      </c>
      <c r="M928">
        <v>25</v>
      </c>
      <c r="N928" s="195">
        <v>42005</v>
      </c>
      <c r="O928" s="195"/>
      <c r="R928" t="s">
        <v>513</v>
      </c>
      <c r="S928">
        <v>1</v>
      </c>
    </row>
    <row r="929" spans="1:19" x14ac:dyDescent="0.25">
      <c r="A929" t="str">
        <f>TableSTRUHUMBB[[#This Row],[Study Package Code]]</f>
        <v>OptionStream</v>
      </c>
      <c r="B929" s="5">
        <f>TableSTRUHUMBB[[#This Row],[Ver]]</f>
        <v>0</v>
      </c>
      <c r="D929" t="str">
        <f>TableSTRUHUMBB[[#This Row],[Structure Line]]</f>
        <v>Choose an Option</v>
      </c>
      <c r="E929" s="125" t="str">
        <f>TableSTRUHUMBB[[#This Row],[Credit Points]]</f>
        <v/>
      </c>
      <c r="F929">
        <v>6</v>
      </c>
      <c r="G929" t="s">
        <v>102</v>
      </c>
      <c r="H929">
        <v>3</v>
      </c>
      <c r="I929" t="s">
        <v>875</v>
      </c>
      <c r="J929" t="s">
        <v>886</v>
      </c>
      <c r="K929">
        <v>0</v>
      </c>
      <c r="L929" t="s">
        <v>867</v>
      </c>
      <c r="M929" t="s">
        <v>874</v>
      </c>
      <c r="N929" s="195"/>
      <c r="O929" s="195"/>
      <c r="R929" t="s">
        <v>886</v>
      </c>
      <c r="S929">
        <v>0</v>
      </c>
    </row>
    <row r="930" spans="1:19" x14ac:dyDescent="0.25">
      <c r="A930" t="str">
        <f>TableSTRUHUMBB[[#This Row],[Study Package Code]]</f>
        <v>CTED4000</v>
      </c>
      <c r="B930" s="5">
        <f>TableSTRUHUMBB[[#This Row],[Ver]]</f>
        <v>1</v>
      </c>
      <c r="D930" t="str">
        <f>TableSTRUHUMBB[[#This Row],[Structure Line]]</f>
        <v>An Introduction to Catholic Education</v>
      </c>
      <c r="E930" s="125">
        <f>TableSTRUHUMBB[[#This Row],[Credit Points]]</f>
        <v>25</v>
      </c>
      <c r="F930">
        <v>6</v>
      </c>
      <c r="G930" t="s">
        <v>102</v>
      </c>
      <c r="H930">
        <v>3</v>
      </c>
      <c r="I930" t="s">
        <v>875</v>
      </c>
      <c r="J930" t="s">
        <v>171</v>
      </c>
      <c r="K930">
        <v>1</v>
      </c>
      <c r="L930" t="s">
        <v>583</v>
      </c>
      <c r="M930">
        <v>25</v>
      </c>
      <c r="N930" s="195">
        <v>42005</v>
      </c>
      <c r="O930" s="195"/>
      <c r="R930" t="s">
        <v>171</v>
      </c>
      <c r="S930">
        <v>1</v>
      </c>
    </row>
    <row r="931" spans="1:19" x14ac:dyDescent="0.25">
      <c r="A931" t="str">
        <f>TableSTRUHUMBB[[#This Row],[Study Package Code]]</f>
        <v>CTED4001</v>
      </c>
      <c r="B931" s="5">
        <f>TableSTRUHUMBB[[#This Row],[Ver]]</f>
        <v>2</v>
      </c>
      <c r="D931" t="str">
        <f>TableSTRUHUMBB[[#This Row],[Structure Line]]</f>
        <v>Teaching About Sacraments in Catholic Schools</v>
      </c>
      <c r="E931" s="125">
        <f>TableSTRUHUMBB[[#This Row],[Credit Points]]</f>
        <v>25</v>
      </c>
      <c r="F931">
        <v>6</v>
      </c>
      <c r="G931" t="s">
        <v>102</v>
      </c>
      <c r="H931">
        <v>3</v>
      </c>
      <c r="I931" t="s">
        <v>875</v>
      </c>
      <c r="J931" t="s">
        <v>150</v>
      </c>
      <c r="K931">
        <v>2</v>
      </c>
      <c r="L931" t="s">
        <v>585</v>
      </c>
      <c r="M931">
        <v>25</v>
      </c>
      <c r="N931" s="195">
        <v>45292</v>
      </c>
      <c r="O931" s="195"/>
      <c r="R931" t="s">
        <v>150</v>
      </c>
      <c r="S931">
        <v>1</v>
      </c>
    </row>
    <row r="932" spans="1:19" x14ac:dyDescent="0.25">
      <c r="A932" t="str">
        <f>TableSTRUHUMBB[[#This Row],[Study Package Code]]</f>
        <v>CTED4002</v>
      </c>
      <c r="B932" s="5">
        <f>TableSTRUHUMBB[[#This Row],[Ver]]</f>
        <v>2</v>
      </c>
      <c r="D932" t="str">
        <f>TableSTRUHUMBB[[#This Row],[Structure Line]]</f>
        <v>Prayer and Morality in Catholic Studies</v>
      </c>
      <c r="E932" s="125">
        <f>TableSTRUHUMBB[[#This Row],[Credit Points]]</f>
        <v>25</v>
      </c>
      <c r="F932">
        <v>6</v>
      </c>
      <c r="G932" t="s">
        <v>102</v>
      </c>
      <c r="H932">
        <v>3</v>
      </c>
      <c r="I932" t="s">
        <v>875</v>
      </c>
      <c r="J932" t="s">
        <v>172</v>
      </c>
      <c r="K932">
        <v>2</v>
      </c>
      <c r="L932" t="s">
        <v>591</v>
      </c>
      <c r="M932">
        <v>25</v>
      </c>
      <c r="N932" s="195">
        <v>44197</v>
      </c>
      <c r="O932" s="195"/>
      <c r="R932" t="s">
        <v>172</v>
      </c>
      <c r="S932">
        <v>2</v>
      </c>
    </row>
    <row r="933" spans="1:19" x14ac:dyDescent="0.25">
      <c r="A933" t="str">
        <f>TableSTRUHUMBB[[#This Row],[Study Package Code]]</f>
        <v>CTED4006</v>
      </c>
      <c r="B933" s="5">
        <f>TableSTRUHUMBB[[#This Row],[Ver]]</f>
        <v>1</v>
      </c>
      <c r="D933" t="str">
        <f>TableSTRUHUMBB[[#This Row],[Structure Line]]</f>
        <v>Teaching About Jesus in Catholic Schools</v>
      </c>
      <c r="E933" s="125">
        <f>TableSTRUHUMBB[[#This Row],[Credit Points]]</f>
        <v>25</v>
      </c>
      <c r="F933">
        <v>6</v>
      </c>
      <c r="G933" t="s">
        <v>102</v>
      </c>
      <c r="H933">
        <v>3</v>
      </c>
      <c r="I933" t="s">
        <v>875</v>
      </c>
      <c r="J933" t="s">
        <v>152</v>
      </c>
      <c r="K933">
        <v>1</v>
      </c>
      <c r="L933" t="s">
        <v>592</v>
      </c>
      <c r="M933">
        <v>25</v>
      </c>
      <c r="N933" s="195">
        <v>45292</v>
      </c>
      <c r="O933" s="195"/>
    </row>
    <row r="934" spans="1:19" x14ac:dyDescent="0.25">
      <c r="A934" t="str">
        <f>TableSTRUHUMBB[[#This Row],[Study Package Code]]</f>
        <v>CTED4008</v>
      </c>
      <c r="B934" s="5">
        <f>TableSTRUHUMBB[[#This Row],[Ver]]</f>
        <v>1</v>
      </c>
      <c r="D934" t="str">
        <f>TableSTRUHUMBB[[#This Row],[Structure Line]]</f>
        <v>Teaching About the Gospels in Catholic Schools</v>
      </c>
      <c r="E934" s="125">
        <f>TableSTRUHUMBB[[#This Row],[Credit Points]]</f>
        <v>25</v>
      </c>
      <c r="F934">
        <v>6</v>
      </c>
      <c r="G934" t="s">
        <v>102</v>
      </c>
      <c r="H934">
        <v>3</v>
      </c>
      <c r="I934" t="s">
        <v>875</v>
      </c>
      <c r="J934" t="s">
        <v>154</v>
      </c>
      <c r="K934">
        <v>1</v>
      </c>
      <c r="L934" t="s">
        <v>593</v>
      </c>
      <c r="M934">
        <v>25</v>
      </c>
      <c r="N934" s="195">
        <v>45292</v>
      </c>
      <c r="O934" s="195"/>
    </row>
    <row r="935" spans="1:19" x14ac:dyDescent="0.25">
      <c r="A935" t="str">
        <f>TableSTRUHUMBB[[#This Row],[Study Package Code]]</f>
        <v>EDIB4000</v>
      </c>
      <c r="B935" s="5">
        <f>TableSTRUHUMBB[[#This Row],[Ver]]</f>
        <v>1</v>
      </c>
      <c r="D935" t="str">
        <f>TableSTRUHUMBB[[#This Row],[Structure Line]]</f>
        <v>Introduction to the International Baccalaureate Programme</v>
      </c>
      <c r="E935" s="125">
        <f>TableSTRUHUMBB[[#This Row],[Credit Points]]</f>
        <v>25</v>
      </c>
      <c r="F935">
        <v>6</v>
      </c>
      <c r="G935" t="s">
        <v>102</v>
      </c>
      <c r="H935">
        <v>3</v>
      </c>
      <c r="I935" t="s">
        <v>875</v>
      </c>
      <c r="J935" t="s">
        <v>166</v>
      </c>
      <c r="K935">
        <v>1</v>
      </c>
      <c r="L935" t="s">
        <v>631</v>
      </c>
      <c r="M935">
        <v>25</v>
      </c>
      <c r="N935" s="195">
        <v>42005</v>
      </c>
      <c r="O935" s="195"/>
      <c r="R935" t="s">
        <v>166</v>
      </c>
      <c r="S935">
        <v>1</v>
      </c>
    </row>
    <row r="936" spans="1:19" x14ac:dyDescent="0.25">
      <c r="A936" t="str">
        <f>TableSTRUHUMBB[[#This Row],[Study Package Code]]</f>
        <v>EDIB4002</v>
      </c>
      <c r="B936" s="5">
        <f>TableSTRUHUMBB[[#This Row],[Ver]]</f>
        <v>1</v>
      </c>
      <c r="D936" t="str">
        <f>TableSTRUHUMBB[[#This Row],[Structure Line]]</f>
        <v>International Baccalaureate Middle Years Programme</v>
      </c>
      <c r="E936" s="125">
        <f>TableSTRUHUMBB[[#This Row],[Credit Points]]</f>
        <v>25</v>
      </c>
      <c r="F936">
        <v>6</v>
      </c>
      <c r="G936" t="s">
        <v>102</v>
      </c>
      <c r="H936">
        <v>3</v>
      </c>
      <c r="I936" t="s">
        <v>875</v>
      </c>
      <c r="J936" t="s">
        <v>170</v>
      </c>
      <c r="K936">
        <v>1</v>
      </c>
      <c r="L936" t="s">
        <v>634</v>
      </c>
      <c r="M936">
        <v>25</v>
      </c>
      <c r="N936" s="195">
        <v>42005</v>
      </c>
      <c r="O936" s="195"/>
      <c r="R936" t="s">
        <v>170</v>
      </c>
      <c r="S936">
        <v>1</v>
      </c>
    </row>
    <row r="937" spans="1:19" x14ac:dyDescent="0.25">
      <c r="A937" t="str">
        <f>TableSTRUHUMBB[[#This Row],[Study Package Code]]</f>
        <v>EDIB4003</v>
      </c>
      <c r="B937" s="5">
        <f>TableSTRUHUMBB[[#This Row],[Ver]]</f>
        <v>1</v>
      </c>
      <c r="D937" t="str">
        <f>TableSTRUHUMBB[[#This Row],[Structure Line]]</f>
        <v>The International Baccalaureate in Action</v>
      </c>
      <c r="E937" s="125">
        <f>TableSTRUHUMBB[[#This Row],[Credit Points]]</f>
        <v>25</v>
      </c>
      <c r="F937">
        <v>6</v>
      </c>
      <c r="G937" t="s">
        <v>102</v>
      </c>
      <c r="H937">
        <v>3</v>
      </c>
      <c r="I937" t="s">
        <v>875</v>
      </c>
      <c r="J937" t="s">
        <v>168</v>
      </c>
      <c r="K937">
        <v>1</v>
      </c>
      <c r="L937" t="s">
        <v>635</v>
      </c>
      <c r="M937">
        <v>25</v>
      </c>
      <c r="N937" s="195">
        <v>42005</v>
      </c>
      <c r="O937" s="195"/>
      <c r="R937" t="s">
        <v>168</v>
      </c>
      <c r="S937">
        <v>1</v>
      </c>
    </row>
    <row r="938" spans="1:19" x14ac:dyDescent="0.25">
      <c r="A938" t="str">
        <f>TableSTRUHUMBB[[#This Row],[Study Package Code]]</f>
        <v>EDUC4012</v>
      </c>
      <c r="B938" s="5">
        <f>TableSTRUHUMBB[[#This Row],[Ver]]</f>
        <v>2</v>
      </c>
      <c r="D938" t="str">
        <f>TableSTRUHUMBB[[#This Row],[Structure Line]]</f>
        <v>Relationships and Sexuality Education</v>
      </c>
      <c r="E938" s="125">
        <f>TableSTRUHUMBB[[#This Row],[Credit Points]]</f>
        <v>25</v>
      </c>
      <c r="F938">
        <v>6</v>
      </c>
      <c r="G938" t="s">
        <v>102</v>
      </c>
      <c r="H938">
        <v>3</v>
      </c>
      <c r="I938" t="s">
        <v>875</v>
      </c>
      <c r="J938" t="s">
        <v>156</v>
      </c>
      <c r="K938">
        <v>2</v>
      </c>
      <c r="L938" t="s">
        <v>697</v>
      </c>
      <c r="M938">
        <v>25</v>
      </c>
      <c r="N938" s="195">
        <v>44927</v>
      </c>
      <c r="O938" s="195"/>
      <c r="R938" t="s">
        <v>156</v>
      </c>
      <c r="S938">
        <v>2</v>
      </c>
    </row>
    <row r="939" spans="1:19" x14ac:dyDescent="0.25">
      <c r="A939" t="str">
        <f>TableSTRUHUMBB[[#This Row],[Study Package Code]]</f>
        <v>EDUC4014</v>
      </c>
      <c r="B939" s="5">
        <f>TableSTRUHUMBB[[#This Row],[Ver]]</f>
        <v>1</v>
      </c>
      <c r="D939" t="str">
        <f>TableSTRUHUMBB[[#This Row],[Structure Line]]</f>
        <v>Diverse Abilities and Curriculum Differentiation</v>
      </c>
      <c r="E939" s="125">
        <f>TableSTRUHUMBB[[#This Row],[Credit Points]]</f>
        <v>25</v>
      </c>
      <c r="F939">
        <v>6</v>
      </c>
      <c r="G939" t="s">
        <v>102</v>
      </c>
      <c r="H939">
        <v>3</v>
      </c>
      <c r="I939" t="s">
        <v>875</v>
      </c>
      <c r="J939" t="s">
        <v>158</v>
      </c>
      <c r="K939">
        <v>1</v>
      </c>
      <c r="L939" t="s">
        <v>698</v>
      </c>
      <c r="M939">
        <v>25</v>
      </c>
      <c r="N939" s="195">
        <v>42005</v>
      </c>
      <c r="O939" s="195"/>
      <c r="R939" t="s">
        <v>158</v>
      </c>
      <c r="S939">
        <v>1</v>
      </c>
    </row>
    <row r="940" spans="1:19" x14ac:dyDescent="0.25">
      <c r="A940" t="str">
        <f>TableSTRUHUMBB[[#This Row],[Study Package Code]]</f>
        <v>EDUC4020</v>
      </c>
      <c r="B940" s="5">
        <f>TableSTRUHUMBB[[#This Row],[Ver]]</f>
        <v>1</v>
      </c>
      <c r="D940" t="str">
        <f>TableSTRUHUMBB[[#This Row],[Structure Line]]</f>
        <v>Supporting Literacy and Numeracy Development for Diverse Learners</v>
      </c>
      <c r="E940" s="125">
        <f>TableSTRUHUMBB[[#This Row],[Credit Points]]</f>
        <v>25</v>
      </c>
      <c r="F940">
        <v>6</v>
      </c>
      <c r="G940" t="s">
        <v>102</v>
      </c>
      <c r="H940">
        <v>3</v>
      </c>
      <c r="I940" t="s">
        <v>875</v>
      </c>
      <c r="J940" t="s">
        <v>153</v>
      </c>
      <c r="K940">
        <v>1</v>
      </c>
      <c r="L940" t="s">
        <v>699</v>
      </c>
      <c r="M940">
        <v>25</v>
      </c>
      <c r="N940" s="195">
        <v>43282</v>
      </c>
      <c r="O940" s="195"/>
      <c r="R940" t="s">
        <v>153</v>
      </c>
      <c r="S940">
        <v>1</v>
      </c>
    </row>
    <row r="941" spans="1:19" x14ac:dyDescent="0.25">
      <c r="A941" t="str">
        <f>TableSTRUHUMBB[[#This Row],[Study Package Code]]</f>
        <v>EDUC4021</v>
      </c>
      <c r="B941" s="5">
        <f>TableSTRUHUMBB[[#This Row],[Ver]]</f>
        <v>1</v>
      </c>
      <c r="D941" t="str">
        <f>TableSTRUHUMBB[[#This Row],[Structure Line]]</f>
        <v>Project-based iSTEM Education</v>
      </c>
      <c r="E941" s="125">
        <f>TableSTRUHUMBB[[#This Row],[Credit Points]]</f>
        <v>25</v>
      </c>
      <c r="F941">
        <v>6</v>
      </c>
      <c r="G941" t="s">
        <v>102</v>
      </c>
      <c r="H941">
        <v>3</v>
      </c>
      <c r="I941" t="s">
        <v>875</v>
      </c>
      <c r="J941" t="s">
        <v>142</v>
      </c>
      <c r="K941">
        <v>1</v>
      </c>
      <c r="L941" t="s">
        <v>700</v>
      </c>
      <c r="M941">
        <v>25</v>
      </c>
      <c r="N941" s="195">
        <v>43282</v>
      </c>
      <c r="O941" s="195"/>
      <c r="R941" t="s">
        <v>142</v>
      </c>
      <c r="S941">
        <v>1</v>
      </c>
    </row>
    <row r="942" spans="1:19" x14ac:dyDescent="0.25">
      <c r="A942" t="str">
        <f>TableSTRUHUMBB[[#This Row],[Study Package Code]]</f>
        <v>EDUC4022</v>
      </c>
      <c r="B942" s="5">
        <f>TableSTRUHUMBB[[#This Row],[Ver]]</f>
        <v>1</v>
      </c>
      <c r="D942" t="str">
        <f>TableSTRUHUMBB[[#This Row],[Structure Line]]</f>
        <v>Creative Literacies</v>
      </c>
      <c r="E942" s="125">
        <f>TableSTRUHUMBB[[#This Row],[Credit Points]]</f>
        <v>25</v>
      </c>
      <c r="F942">
        <v>6</v>
      </c>
      <c r="G942" t="s">
        <v>102</v>
      </c>
      <c r="H942">
        <v>3</v>
      </c>
      <c r="I942" t="s">
        <v>875</v>
      </c>
      <c r="J942" t="s">
        <v>147</v>
      </c>
      <c r="K942">
        <v>1</v>
      </c>
      <c r="L942" t="s">
        <v>701</v>
      </c>
      <c r="M942">
        <v>25</v>
      </c>
      <c r="N942" s="195">
        <v>43282</v>
      </c>
      <c r="O942" s="195"/>
      <c r="R942" t="s">
        <v>147</v>
      </c>
      <c r="S942">
        <v>1</v>
      </c>
    </row>
    <row r="943" spans="1:19" x14ac:dyDescent="0.25">
      <c r="A943" t="str">
        <f>TableSTRUHUMBB[[#This Row],[Study Package Code]]</f>
        <v>EDUC4023</v>
      </c>
      <c r="B943" s="5">
        <f>TableSTRUHUMBB[[#This Row],[Ver]]</f>
        <v>1</v>
      </c>
      <c r="D943" t="str">
        <f>TableSTRUHUMBB[[#This Row],[Structure Line]]</f>
        <v>Creating and Responding to Literature</v>
      </c>
      <c r="E943" s="125">
        <f>TableSTRUHUMBB[[#This Row],[Credit Points]]</f>
        <v>25</v>
      </c>
      <c r="F943">
        <v>6</v>
      </c>
      <c r="G943" t="s">
        <v>102</v>
      </c>
      <c r="H943">
        <v>3</v>
      </c>
      <c r="I943" t="s">
        <v>875</v>
      </c>
      <c r="J943" t="s">
        <v>148</v>
      </c>
      <c r="K943">
        <v>1</v>
      </c>
      <c r="L943" t="s">
        <v>702</v>
      </c>
      <c r="M943">
        <v>25</v>
      </c>
      <c r="N943" s="195">
        <v>43282</v>
      </c>
      <c r="O943" s="195"/>
      <c r="R943" t="s">
        <v>148</v>
      </c>
      <c r="S943">
        <v>1</v>
      </c>
    </row>
    <row r="944" spans="1:19" x14ac:dyDescent="0.25">
      <c r="A944" t="str">
        <f>TableSTRUHUMBB[[#This Row],[Study Package Code]]</f>
        <v>EDUC4029</v>
      </c>
      <c r="B944" s="5">
        <f>TableSTRUHUMBB[[#This Row],[Ver]]</f>
        <v>1</v>
      </c>
      <c r="D944" t="str">
        <f>TableSTRUHUMBB[[#This Row],[Structure Line]]</f>
        <v>Technologies: Coding for Teachers</v>
      </c>
      <c r="E944" s="125">
        <f>TableSTRUHUMBB[[#This Row],[Credit Points]]</f>
        <v>25</v>
      </c>
      <c r="F944">
        <v>6</v>
      </c>
      <c r="G944" t="s">
        <v>102</v>
      </c>
      <c r="H944">
        <v>3</v>
      </c>
      <c r="I944" t="s">
        <v>875</v>
      </c>
      <c r="J944" t="s">
        <v>160</v>
      </c>
      <c r="K944">
        <v>1</v>
      </c>
      <c r="L944" t="s">
        <v>703</v>
      </c>
      <c r="M944">
        <v>25</v>
      </c>
      <c r="N944" s="195">
        <v>43282</v>
      </c>
      <c r="O944" s="195"/>
      <c r="R944" t="s">
        <v>160</v>
      </c>
      <c r="S944">
        <v>1</v>
      </c>
    </row>
    <row r="945" spans="1:19" x14ac:dyDescent="0.25">
      <c r="A945" t="str">
        <f>TableSTRUHUMBB[[#This Row],[Study Package Code]]</f>
        <v>EDUC4031</v>
      </c>
      <c r="B945" s="5">
        <f>TableSTRUHUMBB[[#This Row],[Ver]]</f>
        <v>1</v>
      </c>
      <c r="D945" t="str">
        <f>TableSTRUHUMBB[[#This Row],[Structure Line]]</f>
        <v>Social Justice in Literacy and Numeracy Learning</v>
      </c>
      <c r="E945" s="125">
        <f>TableSTRUHUMBB[[#This Row],[Credit Points]]</f>
        <v>25</v>
      </c>
      <c r="F945">
        <v>6</v>
      </c>
      <c r="G945" t="s">
        <v>102</v>
      </c>
      <c r="H945">
        <v>3</v>
      </c>
      <c r="I945" t="s">
        <v>875</v>
      </c>
      <c r="J945" t="s">
        <v>169</v>
      </c>
      <c r="K945">
        <v>1</v>
      </c>
      <c r="L945" t="s">
        <v>705</v>
      </c>
      <c r="M945">
        <v>25</v>
      </c>
      <c r="N945" s="195">
        <v>43282</v>
      </c>
      <c r="O945" s="195">
        <v>44750</v>
      </c>
      <c r="R945" t="s">
        <v>169</v>
      </c>
      <c r="S945">
        <v>1</v>
      </c>
    </row>
    <row r="946" spans="1:19" x14ac:dyDescent="0.25">
      <c r="A946" t="str">
        <f>TableSTRUHUMBB[[#This Row],[Study Package Code]]</f>
        <v>EDUC4032</v>
      </c>
      <c r="B946" s="5">
        <f>TableSTRUHUMBB[[#This Row],[Ver]]</f>
        <v>1</v>
      </c>
      <c r="D946" t="str">
        <f>TableSTRUHUMBB[[#This Row],[Structure Line]]</f>
        <v>iSTEM Education through Digital Stories</v>
      </c>
      <c r="E946" s="125">
        <f>TableSTRUHUMBB[[#This Row],[Credit Points]]</f>
        <v>25</v>
      </c>
      <c r="F946">
        <v>6</v>
      </c>
      <c r="G946" t="s">
        <v>102</v>
      </c>
      <c r="H946">
        <v>3</v>
      </c>
      <c r="I946" t="s">
        <v>875</v>
      </c>
      <c r="J946" t="s">
        <v>143</v>
      </c>
      <c r="K946">
        <v>1</v>
      </c>
      <c r="L946" t="s">
        <v>707</v>
      </c>
      <c r="M946">
        <v>25</v>
      </c>
      <c r="N946" s="195">
        <v>43466</v>
      </c>
      <c r="O946" s="195"/>
      <c r="R946" t="s">
        <v>143</v>
      </c>
      <c r="S946">
        <v>1</v>
      </c>
    </row>
    <row r="947" spans="1:19" x14ac:dyDescent="0.25">
      <c r="A947" t="str">
        <f>TableSTRUHUMBB[[#This Row],[Study Package Code]]</f>
        <v>EDUC4034</v>
      </c>
      <c r="B947" s="5">
        <f>TableSTRUHUMBB[[#This Row],[Ver]]</f>
        <v>1</v>
      </c>
      <c r="D947" t="str">
        <f>TableSTRUHUMBB[[#This Row],[Structure Line]]</f>
        <v>iSTEM: Social Issues</v>
      </c>
      <c r="E947" s="125">
        <f>TableSTRUHUMBB[[#This Row],[Credit Points]]</f>
        <v>25</v>
      </c>
      <c r="F947">
        <v>6</v>
      </c>
      <c r="G947" t="s">
        <v>102</v>
      </c>
      <c r="H947">
        <v>3</v>
      </c>
      <c r="I947" t="s">
        <v>875</v>
      </c>
      <c r="J947" t="s">
        <v>144</v>
      </c>
      <c r="K947">
        <v>1</v>
      </c>
      <c r="L947" t="s">
        <v>708</v>
      </c>
      <c r="M947">
        <v>25</v>
      </c>
      <c r="N947" s="195">
        <v>43466</v>
      </c>
      <c r="O947" s="195"/>
      <c r="R947" t="s">
        <v>144</v>
      </c>
      <c r="S947">
        <v>1</v>
      </c>
    </row>
    <row r="948" spans="1:19" x14ac:dyDescent="0.25">
      <c r="A948" t="str">
        <f>TableSTRUHUMBB[[#This Row],[Study Package Code]]</f>
        <v>EDUC4036</v>
      </c>
      <c r="B948" s="5">
        <f>TableSTRUHUMBB[[#This Row],[Ver]]</f>
        <v>1</v>
      </c>
      <c r="D948" t="str">
        <f>TableSTRUHUMBB[[#This Row],[Structure Line]]</f>
        <v>Language and Diversity</v>
      </c>
      <c r="E948" s="125">
        <f>TableSTRUHUMBB[[#This Row],[Credit Points]]</f>
        <v>25</v>
      </c>
      <c r="F948">
        <v>6</v>
      </c>
      <c r="G948" t="s">
        <v>102</v>
      </c>
      <c r="H948">
        <v>3</v>
      </c>
      <c r="I948" t="s">
        <v>875</v>
      </c>
      <c r="J948" t="s">
        <v>149</v>
      </c>
      <c r="K948">
        <v>1</v>
      </c>
      <c r="L948" t="s">
        <v>709</v>
      </c>
      <c r="M948">
        <v>25</v>
      </c>
      <c r="N948" s="195">
        <v>43466</v>
      </c>
      <c r="O948" s="195"/>
      <c r="R948" t="s">
        <v>149</v>
      </c>
      <c r="S948">
        <v>1</v>
      </c>
    </row>
    <row r="949" spans="1:19" x14ac:dyDescent="0.25">
      <c r="A949" t="str">
        <f>TableSTRUHUMBB[[#This Row],[Study Package Code]]</f>
        <v>EDUC4038</v>
      </c>
      <c r="B949" s="5">
        <f>TableSTRUHUMBB[[#This Row],[Ver]]</f>
        <v>1</v>
      </c>
      <c r="D949" t="str">
        <f>TableSTRUHUMBB[[#This Row],[Structure Line]]</f>
        <v>Technologies: Design Solutions</v>
      </c>
      <c r="E949" s="125">
        <f>TableSTRUHUMBB[[#This Row],[Credit Points]]</f>
        <v>25</v>
      </c>
      <c r="F949">
        <v>6</v>
      </c>
      <c r="G949" t="s">
        <v>102</v>
      </c>
      <c r="H949">
        <v>3</v>
      </c>
      <c r="I949" t="s">
        <v>875</v>
      </c>
      <c r="J949" t="s">
        <v>161</v>
      </c>
      <c r="K949" s="196">
        <v>1</v>
      </c>
      <c r="L949" s="196" t="s">
        <v>710</v>
      </c>
      <c r="M949">
        <v>25</v>
      </c>
      <c r="N949" s="195">
        <v>43466</v>
      </c>
      <c r="O949" s="195"/>
      <c r="R949" t="s">
        <v>161</v>
      </c>
      <c r="S949">
        <v>1</v>
      </c>
    </row>
    <row r="950" spans="1:19" x14ac:dyDescent="0.25">
      <c r="A950" t="str">
        <f>TableSTRUHUMBB[[#This Row],[Study Package Code]]</f>
        <v>EDUC4042</v>
      </c>
      <c r="B950" s="5">
        <f>TableSTRUHUMBB[[#This Row],[Ver]]</f>
        <v>1</v>
      </c>
      <c r="D950" t="str">
        <f>TableSTRUHUMBB[[#This Row],[Structure Line]]</f>
        <v>Alternative Approaches to Teaching Literacy and Numeracy</v>
      </c>
      <c r="E950" s="125">
        <f>TableSTRUHUMBB[[#This Row],[Credit Points]]</f>
        <v>25</v>
      </c>
      <c r="F950">
        <v>6</v>
      </c>
      <c r="G950" t="s">
        <v>102</v>
      </c>
      <c r="H950">
        <v>3</v>
      </c>
      <c r="I950" t="s">
        <v>875</v>
      </c>
      <c r="J950" t="s">
        <v>155</v>
      </c>
      <c r="K950">
        <v>1</v>
      </c>
      <c r="L950" t="s">
        <v>713</v>
      </c>
      <c r="M950">
        <v>25</v>
      </c>
      <c r="N950" s="195">
        <v>43466</v>
      </c>
      <c r="O950" s="195"/>
      <c r="R950" t="s">
        <v>155</v>
      </c>
      <c r="S950">
        <v>1</v>
      </c>
    </row>
    <row r="951" spans="1:19" x14ac:dyDescent="0.25">
      <c r="A951" t="str">
        <f>TableSTRUHUMBB[[#This Row],[Study Package Code]]</f>
        <v>EDUC4044</v>
      </c>
      <c r="B951" s="5">
        <f>TableSTRUHUMBB[[#This Row],[Ver]]</f>
        <v>2</v>
      </c>
      <c r="D951" t="str">
        <f>TableSTRUHUMBB[[#This Row],[Structure Line]]</f>
        <v>Literacy and Numeracy for First Nations Peoples of Australia</v>
      </c>
      <c r="E951" s="125">
        <f>TableSTRUHUMBB[[#This Row],[Credit Points]]</f>
        <v>25</v>
      </c>
      <c r="F951">
        <v>6</v>
      </c>
      <c r="G951" t="s">
        <v>102</v>
      </c>
      <c r="H951">
        <v>3</v>
      </c>
      <c r="I951" t="s">
        <v>875</v>
      </c>
      <c r="J951" t="s">
        <v>157</v>
      </c>
      <c r="K951">
        <v>2</v>
      </c>
      <c r="L951" t="s">
        <v>714</v>
      </c>
      <c r="M951">
        <v>25</v>
      </c>
      <c r="N951" s="195">
        <v>44927</v>
      </c>
      <c r="O951" s="195"/>
      <c r="R951" t="s">
        <v>157</v>
      </c>
      <c r="S951">
        <v>1</v>
      </c>
    </row>
    <row r="952" spans="1:19" x14ac:dyDescent="0.25">
      <c r="A952" t="str">
        <f>TableSTRUHUMBB[[#This Row],[Study Package Code]]</f>
        <v>EDUC4046</v>
      </c>
      <c r="B952" s="5">
        <f>TableSTRUHUMBB[[#This Row],[Ver]]</f>
        <v>1</v>
      </c>
      <c r="D952" t="str">
        <f>TableSTRUHUMBB[[#This Row],[Structure Line]]</f>
        <v>Technologies: Digital Solutions</v>
      </c>
      <c r="E952" s="125">
        <f>TableSTRUHUMBB[[#This Row],[Credit Points]]</f>
        <v>25</v>
      </c>
      <c r="F952">
        <v>6</v>
      </c>
      <c r="G952" t="s">
        <v>102</v>
      </c>
      <c r="H952">
        <v>3</v>
      </c>
      <c r="I952" t="s">
        <v>875</v>
      </c>
      <c r="J952" t="s">
        <v>162</v>
      </c>
      <c r="K952">
        <v>1</v>
      </c>
      <c r="L952" t="s">
        <v>715</v>
      </c>
      <c r="M952">
        <v>25</v>
      </c>
      <c r="N952" s="195">
        <v>43466</v>
      </c>
      <c r="O952" s="195"/>
      <c r="R952" t="s">
        <v>162</v>
      </c>
      <c r="S952">
        <v>1</v>
      </c>
    </row>
    <row r="953" spans="1:19" x14ac:dyDescent="0.25">
      <c r="A953" t="str">
        <f>TableSTRUHUMBB[[#This Row],[Study Package Code]]</f>
        <v>EDUC4048</v>
      </c>
      <c r="B953" s="5">
        <f>TableSTRUHUMBB[[#This Row],[Ver]]</f>
        <v>1</v>
      </c>
      <c r="D953" t="str">
        <f>TableSTRUHUMBB[[#This Row],[Structure Line]]</f>
        <v>Mentoring, Coaching and Tutoring</v>
      </c>
      <c r="E953" s="125">
        <f>TableSTRUHUMBB[[#This Row],[Credit Points]]</f>
        <v>25</v>
      </c>
      <c r="F953">
        <v>6</v>
      </c>
      <c r="G953" t="s">
        <v>102</v>
      </c>
      <c r="H953">
        <v>3</v>
      </c>
      <c r="I953" t="s">
        <v>875</v>
      </c>
      <c r="J953" t="s">
        <v>117</v>
      </c>
      <c r="K953">
        <v>1</v>
      </c>
      <c r="L953" t="s">
        <v>716</v>
      </c>
      <c r="M953">
        <v>25</v>
      </c>
      <c r="N953" s="195">
        <v>43466</v>
      </c>
      <c r="O953" s="195"/>
      <c r="R953" t="s">
        <v>117</v>
      </c>
      <c r="S953">
        <v>1</v>
      </c>
    </row>
    <row r="954" spans="1:19" x14ac:dyDescent="0.25">
      <c r="A954" s="122"/>
      <c r="B954" s="124"/>
      <c r="C954" s="122"/>
      <c r="G954" s="123" t="s">
        <v>855</v>
      </c>
      <c r="H954" s="199">
        <v>45292</v>
      </c>
      <c r="J954" s="197" t="s">
        <v>323</v>
      </c>
      <c r="K954" s="198" t="s">
        <v>77</v>
      </c>
      <c r="L954" s="197" t="s">
        <v>322</v>
      </c>
      <c r="M954" s="122"/>
    </row>
    <row r="955" spans="1:19" ht="31.5" x14ac:dyDescent="0.25">
      <c r="A955" s="159" t="s">
        <v>0</v>
      </c>
      <c r="B955" s="160" t="s">
        <v>60</v>
      </c>
      <c r="C955" s="159" t="s">
        <v>856</v>
      </c>
      <c r="D955" s="159" t="s">
        <v>3</v>
      </c>
      <c r="E955" s="161" t="s">
        <v>857</v>
      </c>
      <c r="F955" s="159" t="s">
        <v>858</v>
      </c>
      <c r="G955" s="159" t="s">
        <v>859</v>
      </c>
      <c r="H955" s="159" t="s">
        <v>860</v>
      </c>
      <c r="I955" s="159" t="s">
        <v>17</v>
      </c>
      <c r="J955" s="159" t="s">
        <v>861</v>
      </c>
      <c r="K955" s="159" t="s">
        <v>1</v>
      </c>
      <c r="L955" s="159" t="s">
        <v>44</v>
      </c>
      <c r="M955" s="159" t="s">
        <v>61</v>
      </c>
      <c r="N955" s="159" t="s">
        <v>862</v>
      </c>
      <c r="O955" s="159" t="s">
        <v>863</v>
      </c>
      <c r="R955" t="s">
        <v>538</v>
      </c>
      <c r="S955" t="s">
        <v>864</v>
      </c>
    </row>
    <row r="956" spans="1:19" x14ac:dyDescent="0.25">
      <c r="A956" t="str">
        <f>TableSTRUMATHB[[#This Row],[Study Package Code]]</f>
        <v>MATH1015</v>
      </c>
      <c r="B956" s="5">
        <f>TableSTRUMATHB[[#This Row],[Ver]]</f>
        <v>1</v>
      </c>
      <c r="D956" t="str">
        <f>TableSTRUMATHB[[#This Row],[Structure Line]]</f>
        <v>Linear Algebra 1</v>
      </c>
      <c r="E956" s="125">
        <f>TableSTRUMATHB[[#This Row],[Credit Points]]</f>
        <v>25</v>
      </c>
      <c r="F956">
        <v>1</v>
      </c>
      <c r="G956" t="s">
        <v>865</v>
      </c>
      <c r="H956">
        <v>1</v>
      </c>
      <c r="I956" t="s">
        <v>529</v>
      </c>
      <c r="J956" t="s">
        <v>299</v>
      </c>
      <c r="K956">
        <v>1</v>
      </c>
      <c r="L956" t="s">
        <v>766</v>
      </c>
      <c r="M956">
        <v>25</v>
      </c>
      <c r="N956" s="195">
        <v>42736</v>
      </c>
      <c r="O956" s="195"/>
      <c r="R956" t="s">
        <v>299</v>
      </c>
      <c r="S956">
        <v>1</v>
      </c>
    </row>
    <row r="957" spans="1:19" x14ac:dyDescent="0.25">
      <c r="A957" t="str">
        <f>TableSTRUMATHB[[#This Row],[Study Package Code]]</f>
        <v>STAT2006</v>
      </c>
      <c r="B957" s="5">
        <f>TableSTRUMATHB[[#This Row],[Ver]]</f>
        <v>1</v>
      </c>
      <c r="D957" t="str">
        <f>TableSTRUMATHB[[#This Row],[Structure Line]]</f>
        <v>Data Science in Practice</v>
      </c>
      <c r="E957" s="125">
        <f>TableSTRUMATHB[[#This Row],[Credit Points]]</f>
        <v>25</v>
      </c>
      <c r="F957">
        <v>2</v>
      </c>
      <c r="G957" t="s">
        <v>865</v>
      </c>
      <c r="H957">
        <v>2</v>
      </c>
      <c r="I957" t="s">
        <v>528</v>
      </c>
      <c r="J957" t="s">
        <v>482</v>
      </c>
      <c r="K957">
        <v>1</v>
      </c>
      <c r="L957" t="s">
        <v>826</v>
      </c>
      <c r="M957">
        <v>25</v>
      </c>
      <c r="N957" s="195">
        <v>45292</v>
      </c>
      <c r="O957" s="195"/>
      <c r="R957" t="s">
        <v>899</v>
      </c>
      <c r="S957">
        <v>1</v>
      </c>
    </row>
    <row r="958" spans="1:19" x14ac:dyDescent="0.25">
      <c r="A958" t="str">
        <f>TableSTRUMATHB[[#This Row],[Study Package Code]]</f>
        <v>EDPR2004</v>
      </c>
      <c r="B958" s="5">
        <f>TableSTRUMATHB[[#This Row],[Ver]]</f>
        <v>1</v>
      </c>
      <c r="D958" t="str">
        <f>TableSTRUMATHB[[#This Row],[Structure Line]]</f>
        <v>Children as Mathematical Learners</v>
      </c>
      <c r="E958" s="125">
        <f>TableSTRUMATHB[[#This Row],[Credit Points]]</f>
        <v>25</v>
      </c>
      <c r="F958">
        <v>3</v>
      </c>
      <c r="G958" t="s">
        <v>865</v>
      </c>
      <c r="H958">
        <v>2</v>
      </c>
      <c r="I958" t="s">
        <v>529</v>
      </c>
      <c r="J958" t="s">
        <v>87</v>
      </c>
      <c r="K958">
        <v>1</v>
      </c>
      <c r="L958" t="s">
        <v>638</v>
      </c>
      <c r="M958">
        <v>25</v>
      </c>
      <c r="N958" s="195">
        <v>42005</v>
      </c>
      <c r="O958" s="195"/>
      <c r="R958" t="s">
        <v>87</v>
      </c>
      <c r="S958">
        <v>1</v>
      </c>
    </row>
    <row r="959" spans="1:19" x14ac:dyDescent="0.25">
      <c r="A959" t="str">
        <f>TableSTRUMATHB[[#This Row],[Study Package Code]]</f>
        <v>STAT2001</v>
      </c>
      <c r="B959" s="5">
        <f>TableSTRUMATHB[[#This Row],[Ver]]</f>
        <v>2</v>
      </c>
      <c r="D959" t="str">
        <f>TableSTRUMATHB[[#This Row],[Structure Line]]</f>
        <v>Mathematical Statistics</v>
      </c>
      <c r="E959" s="125">
        <f>TableSTRUMATHB[[#This Row],[Credit Points]]</f>
        <v>25</v>
      </c>
      <c r="F959">
        <v>4</v>
      </c>
      <c r="G959" t="s">
        <v>865</v>
      </c>
      <c r="H959">
        <v>3</v>
      </c>
      <c r="I959" t="s">
        <v>528</v>
      </c>
      <c r="J959" t="s">
        <v>502</v>
      </c>
      <c r="K959">
        <v>2</v>
      </c>
      <c r="L959" t="s">
        <v>824</v>
      </c>
      <c r="M959">
        <v>25</v>
      </c>
      <c r="N959" s="195">
        <v>44197</v>
      </c>
      <c r="O959" s="195"/>
      <c r="R959" t="s">
        <v>502</v>
      </c>
      <c r="S959">
        <v>2</v>
      </c>
    </row>
    <row r="960" spans="1:19" x14ac:dyDescent="0.25">
      <c r="A960" t="str">
        <f>TableSTRUMATHB[[#This Row],[Study Package Code]]</f>
        <v>EDPR3000</v>
      </c>
      <c r="B960" s="5">
        <f>TableSTRUMATHB[[#This Row],[Ver]]</f>
        <v>1</v>
      </c>
      <c r="D960" t="str">
        <f>TableSTRUMATHB[[#This Row],[Structure Line]]</f>
        <v>Inquiry in the Mathematics Classroom</v>
      </c>
      <c r="E960" s="125">
        <f>TableSTRUMATHB[[#This Row],[Credit Points]]</f>
        <v>25</v>
      </c>
      <c r="F960">
        <v>5</v>
      </c>
      <c r="G960" t="s">
        <v>865</v>
      </c>
      <c r="H960">
        <v>3</v>
      </c>
      <c r="I960" t="s">
        <v>529</v>
      </c>
      <c r="J960" t="s">
        <v>124</v>
      </c>
      <c r="K960">
        <v>1</v>
      </c>
      <c r="L960" t="s">
        <v>643</v>
      </c>
      <c r="M960">
        <v>25</v>
      </c>
      <c r="N960" s="195">
        <v>42005</v>
      </c>
      <c r="O960" s="195"/>
      <c r="R960" t="s">
        <v>124</v>
      </c>
      <c r="S960">
        <v>1</v>
      </c>
    </row>
    <row r="961" spans="1:19" x14ac:dyDescent="0.25">
      <c r="A961" t="str">
        <f>TableSTRUMATHB[[#This Row],[Study Package Code]]</f>
        <v>OptionStream</v>
      </c>
      <c r="B961" s="5">
        <f>TableSTRUMATHB[[#This Row],[Ver]]</f>
        <v>0</v>
      </c>
      <c r="D961" t="str">
        <f>TableSTRUMATHB[[#This Row],[Structure Line]]</f>
        <v>Choose an Option for Year 3</v>
      </c>
      <c r="E961" s="125" t="str">
        <f>TableSTRUMATHB[[#This Row],[Credit Points]]</f>
        <v/>
      </c>
      <c r="F961">
        <v>6</v>
      </c>
      <c r="G961" t="s">
        <v>102</v>
      </c>
      <c r="H961">
        <v>3</v>
      </c>
      <c r="I961" t="s">
        <v>875</v>
      </c>
      <c r="J961" t="s">
        <v>886</v>
      </c>
      <c r="K961">
        <v>0</v>
      </c>
      <c r="L961" t="s">
        <v>900</v>
      </c>
      <c r="M961" t="s">
        <v>874</v>
      </c>
      <c r="N961" s="195"/>
      <c r="O961" s="195"/>
      <c r="R961" t="s">
        <v>886</v>
      </c>
      <c r="S961">
        <v>0</v>
      </c>
    </row>
    <row r="962" spans="1:19" x14ac:dyDescent="0.25">
      <c r="A962" t="str">
        <f>TableSTRUMATHB[[#This Row],[Study Package Code]]</f>
        <v>CTED4001</v>
      </c>
      <c r="B962" s="5">
        <f>TableSTRUMATHB[[#This Row],[Ver]]</f>
        <v>2</v>
      </c>
      <c r="D962" t="str">
        <f>TableSTRUMATHB[[#This Row],[Structure Line]]</f>
        <v>Teaching About Sacraments in Catholic Schools</v>
      </c>
      <c r="E962" s="125">
        <f>TableSTRUMATHB[[#This Row],[Credit Points]]</f>
        <v>25</v>
      </c>
      <c r="F962">
        <v>6</v>
      </c>
      <c r="G962" t="s">
        <v>102</v>
      </c>
      <c r="H962">
        <v>3</v>
      </c>
      <c r="I962" t="s">
        <v>875</v>
      </c>
      <c r="J962" t="s">
        <v>150</v>
      </c>
      <c r="K962">
        <v>2</v>
      </c>
      <c r="L962" t="s">
        <v>585</v>
      </c>
      <c r="M962">
        <v>25</v>
      </c>
      <c r="N962" s="195">
        <v>45292</v>
      </c>
      <c r="O962" s="195"/>
      <c r="R962" t="s">
        <v>171</v>
      </c>
      <c r="S962">
        <v>1</v>
      </c>
    </row>
    <row r="963" spans="1:19" x14ac:dyDescent="0.25">
      <c r="A963" t="str">
        <f>TableSTRUMATHB[[#This Row],[Study Package Code]]</f>
        <v>CTED4006</v>
      </c>
      <c r="B963" s="5">
        <f>TableSTRUMATHB[[#This Row],[Ver]]</f>
        <v>1</v>
      </c>
      <c r="D963" t="str">
        <f>TableSTRUMATHB[[#This Row],[Structure Line]]</f>
        <v>Teaching About Jesus in Catholic Schools</v>
      </c>
      <c r="E963" s="125">
        <f>TableSTRUMATHB[[#This Row],[Credit Points]]</f>
        <v>25</v>
      </c>
      <c r="F963">
        <v>6</v>
      </c>
      <c r="G963" t="s">
        <v>102</v>
      </c>
      <c r="H963">
        <v>3</v>
      </c>
      <c r="I963" t="s">
        <v>875</v>
      </c>
      <c r="J963" t="s">
        <v>152</v>
      </c>
      <c r="K963">
        <v>1</v>
      </c>
      <c r="L963" t="s">
        <v>592</v>
      </c>
      <c r="M963">
        <v>25</v>
      </c>
      <c r="N963" s="195">
        <v>45292</v>
      </c>
      <c r="O963" s="195"/>
      <c r="R963" t="s">
        <v>150</v>
      </c>
      <c r="S963">
        <v>1</v>
      </c>
    </row>
    <row r="964" spans="1:19" x14ac:dyDescent="0.25">
      <c r="A964" t="str">
        <f>TableSTRUMATHB[[#This Row],[Study Package Code]]</f>
        <v>CTED4008</v>
      </c>
      <c r="B964" s="5">
        <f>TableSTRUMATHB[[#This Row],[Ver]]</f>
        <v>1</v>
      </c>
      <c r="D964" t="str">
        <f>TableSTRUMATHB[[#This Row],[Structure Line]]</f>
        <v>Teaching About the Gospels in Catholic Schools</v>
      </c>
      <c r="E964" s="125">
        <f>TableSTRUMATHB[[#This Row],[Credit Points]]</f>
        <v>25</v>
      </c>
      <c r="F964">
        <v>6</v>
      </c>
      <c r="G964" t="s">
        <v>102</v>
      </c>
      <c r="H964">
        <v>3</v>
      </c>
      <c r="I964" t="s">
        <v>875</v>
      </c>
      <c r="J964" t="s">
        <v>154</v>
      </c>
      <c r="K964">
        <v>1</v>
      </c>
      <c r="L964" t="s">
        <v>593</v>
      </c>
      <c r="M964">
        <v>25</v>
      </c>
      <c r="N964" s="195">
        <v>45292</v>
      </c>
      <c r="O964" s="195"/>
      <c r="R964" t="s">
        <v>172</v>
      </c>
      <c r="S964">
        <v>2</v>
      </c>
    </row>
    <row r="965" spans="1:19" x14ac:dyDescent="0.25">
      <c r="A965" t="str">
        <f>TableSTRUMATHB[[#This Row],[Study Package Code]]</f>
        <v>EDIB4000</v>
      </c>
      <c r="B965" s="5">
        <f>TableSTRUMATHB[[#This Row],[Ver]]</f>
        <v>1</v>
      </c>
      <c r="D965" t="str">
        <f>TableSTRUMATHB[[#This Row],[Structure Line]]</f>
        <v>Introduction to the International Baccalaureate Programme</v>
      </c>
      <c r="E965" s="125">
        <f>TableSTRUMATHB[[#This Row],[Credit Points]]</f>
        <v>25</v>
      </c>
      <c r="F965">
        <v>6</v>
      </c>
      <c r="G965" t="s">
        <v>102</v>
      </c>
      <c r="H965">
        <v>3</v>
      </c>
      <c r="I965" t="s">
        <v>875</v>
      </c>
      <c r="J965" t="s">
        <v>166</v>
      </c>
      <c r="K965">
        <v>1</v>
      </c>
      <c r="L965" t="s">
        <v>631</v>
      </c>
      <c r="M965">
        <v>25</v>
      </c>
      <c r="N965" s="195">
        <v>42005</v>
      </c>
      <c r="O965" s="195"/>
      <c r="R965" t="s">
        <v>166</v>
      </c>
      <c r="S965">
        <v>1</v>
      </c>
    </row>
    <row r="966" spans="1:19" x14ac:dyDescent="0.25">
      <c r="A966" t="str">
        <f>TableSTRUMATHB[[#This Row],[Study Package Code]]</f>
        <v>EDIB4002</v>
      </c>
      <c r="B966" s="5">
        <f>TableSTRUMATHB[[#This Row],[Ver]]</f>
        <v>1</v>
      </c>
      <c r="D966" t="str">
        <f>TableSTRUMATHB[[#This Row],[Structure Line]]</f>
        <v>International Baccalaureate Middle Years Programme</v>
      </c>
      <c r="E966" s="125">
        <f>TableSTRUMATHB[[#This Row],[Credit Points]]</f>
        <v>25</v>
      </c>
      <c r="F966">
        <v>6</v>
      </c>
      <c r="G966" t="s">
        <v>102</v>
      </c>
      <c r="H966">
        <v>3</v>
      </c>
      <c r="I966" t="s">
        <v>875</v>
      </c>
      <c r="J966" t="s">
        <v>170</v>
      </c>
      <c r="K966">
        <v>1</v>
      </c>
      <c r="L966" t="s">
        <v>634</v>
      </c>
      <c r="M966">
        <v>25</v>
      </c>
      <c r="N966" s="195">
        <v>42005</v>
      </c>
      <c r="O966" s="195"/>
      <c r="R966" t="s">
        <v>170</v>
      </c>
      <c r="S966">
        <v>1</v>
      </c>
    </row>
    <row r="967" spans="1:19" x14ac:dyDescent="0.25">
      <c r="A967" t="str">
        <f>TableSTRUMATHB[[#This Row],[Study Package Code]]</f>
        <v>EDIB4003</v>
      </c>
      <c r="B967" s="5">
        <f>TableSTRUMATHB[[#This Row],[Ver]]</f>
        <v>1</v>
      </c>
      <c r="D967" t="str">
        <f>TableSTRUMATHB[[#This Row],[Structure Line]]</f>
        <v>The International Baccalaureate in Action</v>
      </c>
      <c r="E967" s="125">
        <f>TableSTRUMATHB[[#This Row],[Credit Points]]</f>
        <v>25</v>
      </c>
      <c r="F967">
        <v>6</v>
      </c>
      <c r="G967" t="s">
        <v>102</v>
      </c>
      <c r="H967">
        <v>3</v>
      </c>
      <c r="I967" t="s">
        <v>875</v>
      </c>
      <c r="J967" t="s">
        <v>168</v>
      </c>
      <c r="K967">
        <v>1</v>
      </c>
      <c r="L967" t="s">
        <v>635</v>
      </c>
      <c r="M967">
        <v>25</v>
      </c>
      <c r="N967" s="195">
        <v>42005</v>
      </c>
      <c r="O967" s="195"/>
      <c r="R967" t="s">
        <v>168</v>
      </c>
      <c r="S967">
        <v>1</v>
      </c>
    </row>
    <row r="968" spans="1:19" x14ac:dyDescent="0.25">
      <c r="A968" t="str">
        <f>TableSTRUMATHB[[#This Row],[Study Package Code]]</f>
        <v>EDUC4012</v>
      </c>
      <c r="B968" s="5">
        <f>TableSTRUMATHB[[#This Row],[Ver]]</f>
        <v>2</v>
      </c>
      <c r="D968" t="str">
        <f>TableSTRUMATHB[[#This Row],[Structure Line]]</f>
        <v>Relationships and Sexuality Education</v>
      </c>
      <c r="E968" s="125">
        <f>TableSTRUMATHB[[#This Row],[Credit Points]]</f>
        <v>25</v>
      </c>
      <c r="F968">
        <v>6</v>
      </c>
      <c r="G968" t="s">
        <v>102</v>
      </c>
      <c r="H968">
        <v>3</v>
      </c>
      <c r="I968" t="s">
        <v>875</v>
      </c>
      <c r="J968" t="s">
        <v>156</v>
      </c>
      <c r="K968">
        <v>2</v>
      </c>
      <c r="L968" t="s">
        <v>697</v>
      </c>
      <c r="M968">
        <v>25</v>
      </c>
      <c r="N968" s="195">
        <v>44927</v>
      </c>
      <c r="O968" s="195"/>
      <c r="R968" t="s">
        <v>156</v>
      </c>
      <c r="S968">
        <v>2</v>
      </c>
    </row>
    <row r="969" spans="1:19" x14ac:dyDescent="0.25">
      <c r="A969" t="str">
        <f>TableSTRUMATHB[[#This Row],[Study Package Code]]</f>
        <v>EDUC4014</v>
      </c>
      <c r="B969" s="5">
        <f>TableSTRUMATHB[[#This Row],[Ver]]</f>
        <v>1</v>
      </c>
      <c r="D969" t="str">
        <f>TableSTRUMATHB[[#This Row],[Structure Line]]</f>
        <v>Diverse Abilities and Curriculum Differentiation</v>
      </c>
      <c r="E969" s="125">
        <f>TableSTRUMATHB[[#This Row],[Credit Points]]</f>
        <v>25</v>
      </c>
      <c r="F969">
        <v>6</v>
      </c>
      <c r="G969" t="s">
        <v>102</v>
      </c>
      <c r="H969">
        <v>3</v>
      </c>
      <c r="I969" t="s">
        <v>875</v>
      </c>
      <c r="J969" t="s">
        <v>158</v>
      </c>
      <c r="K969">
        <v>1</v>
      </c>
      <c r="L969" t="s">
        <v>698</v>
      </c>
      <c r="M969">
        <v>25</v>
      </c>
      <c r="N969" s="195">
        <v>42005</v>
      </c>
      <c r="O969" s="195"/>
      <c r="R969" t="s">
        <v>158</v>
      </c>
      <c r="S969">
        <v>1</v>
      </c>
    </row>
    <row r="970" spans="1:19" x14ac:dyDescent="0.25">
      <c r="A970" t="str">
        <f>TableSTRUMATHB[[#This Row],[Study Package Code]]</f>
        <v>EDUC4020</v>
      </c>
      <c r="B970" s="5">
        <f>TableSTRUMATHB[[#This Row],[Ver]]</f>
        <v>1</v>
      </c>
      <c r="D970" t="str">
        <f>TableSTRUMATHB[[#This Row],[Structure Line]]</f>
        <v>Supporting Literacy and Numeracy Development for Diverse Learners</v>
      </c>
      <c r="E970" s="125">
        <f>TableSTRUMATHB[[#This Row],[Credit Points]]</f>
        <v>25</v>
      </c>
      <c r="F970">
        <v>6</v>
      </c>
      <c r="G970" t="s">
        <v>102</v>
      </c>
      <c r="H970">
        <v>3</v>
      </c>
      <c r="I970" t="s">
        <v>875</v>
      </c>
      <c r="J970" t="s">
        <v>153</v>
      </c>
      <c r="K970">
        <v>1</v>
      </c>
      <c r="L970" t="s">
        <v>699</v>
      </c>
      <c r="M970">
        <v>25</v>
      </c>
      <c r="N970" s="195">
        <v>43282</v>
      </c>
      <c r="O970" s="195"/>
      <c r="R970" t="s">
        <v>153</v>
      </c>
      <c r="S970">
        <v>1</v>
      </c>
    </row>
    <row r="971" spans="1:19" x14ac:dyDescent="0.25">
      <c r="A971" t="str">
        <f>TableSTRUMATHB[[#This Row],[Study Package Code]]</f>
        <v>EDUC4021</v>
      </c>
      <c r="B971" s="5">
        <f>TableSTRUMATHB[[#This Row],[Ver]]</f>
        <v>1</v>
      </c>
      <c r="D971" t="str">
        <f>TableSTRUMATHB[[#This Row],[Structure Line]]</f>
        <v>Project-based iSTEM Education</v>
      </c>
      <c r="E971" s="125">
        <f>TableSTRUMATHB[[#This Row],[Credit Points]]</f>
        <v>25</v>
      </c>
      <c r="F971">
        <v>6</v>
      </c>
      <c r="G971" t="s">
        <v>102</v>
      </c>
      <c r="H971">
        <v>3</v>
      </c>
      <c r="I971" t="s">
        <v>875</v>
      </c>
      <c r="J971" t="s">
        <v>142</v>
      </c>
      <c r="K971">
        <v>1</v>
      </c>
      <c r="L971" t="s">
        <v>700</v>
      </c>
      <c r="M971">
        <v>25</v>
      </c>
      <c r="N971" s="195">
        <v>43282</v>
      </c>
      <c r="O971" s="195"/>
      <c r="R971" t="s">
        <v>142</v>
      </c>
      <c r="S971">
        <v>1</v>
      </c>
    </row>
    <row r="972" spans="1:19" x14ac:dyDescent="0.25">
      <c r="A972" t="str">
        <f>TableSTRUMATHB[[#This Row],[Study Package Code]]</f>
        <v>EDUC4022</v>
      </c>
      <c r="B972" s="5">
        <f>TableSTRUMATHB[[#This Row],[Ver]]</f>
        <v>1</v>
      </c>
      <c r="D972" t="str">
        <f>TableSTRUMATHB[[#This Row],[Structure Line]]</f>
        <v>Creative Literacies</v>
      </c>
      <c r="E972" s="125">
        <f>TableSTRUMATHB[[#This Row],[Credit Points]]</f>
        <v>25</v>
      </c>
      <c r="F972">
        <v>6</v>
      </c>
      <c r="G972" t="s">
        <v>102</v>
      </c>
      <c r="H972">
        <v>3</v>
      </c>
      <c r="I972" t="s">
        <v>875</v>
      </c>
      <c r="J972" t="s">
        <v>147</v>
      </c>
      <c r="K972">
        <v>1</v>
      </c>
      <c r="L972" t="s">
        <v>701</v>
      </c>
      <c r="M972">
        <v>25</v>
      </c>
      <c r="N972" s="195">
        <v>43282</v>
      </c>
      <c r="O972" s="195"/>
      <c r="R972" t="s">
        <v>147</v>
      </c>
      <c r="S972">
        <v>1</v>
      </c>
    </row>
    <row r="973" spans="1:19" x14ac:dyDescent="0.25">
      <c r="A973" t="str">
        <f>TableSTRUMATHB[[#This Row],[Study Package Code]]</f>
        <v>EDUC4023</v>
      </c>
      <c r="B973" s="5">
        <f>TableSTRUMATHB[[#This Row],[Ver]]</f>
        <v>1</v>
      </c>
      <c r="D973" t="str">
        <f>TableSTRUMATHB[[#This Row],[Structure Line]]</f>
        <v>Creating and Responding to Literature</v>
      </c>
      <c r="E973" s="125">
        <f>TableSTRUMATHB[[#This Row],[Credit Points]]</f>
        <v>25</v>
      </c>
      <c r="F973">
        <v>6</v>
      </c>
      <c r="G973" t="s">
        <v>102</v>
      </c>
      <c r="H973">
        <v>3</v>
      </c>
      <c r="I973" t="s">
        <v>875</v>
      </c>
      <c r="J973" t="s">
        <v>148</v>
      </c>
      <c r="K973">
        <v>1</v>
      </c>
      <c r="L973" t="s">
        <v>702</v>
      </c>
      <c r="M973">
        <v>25</v>
      </c>
      <c r="N973" s="195">
        <v>43282</v>
      </c>
      <c r="O973" s="195"/>
      <c r="R973" t="s">
        <v>148</v>
      </c>
      <c r="S973">
        <v>1</v>
      </c>
    </row>
    <row r="974" spans="1:19" x14ac:dyDescent="0.25">
      <c r="A974" t="str">
        <f>TableSTRUMATHB[[#This Row],[Study Package Code]]</f>
        <v>EDUC4029</v>
      </c>
      <c r="B974" s="5">
        <f>TableSTRUMATHB[[#This Row],[Ver]]</f>
        <v>1</v>
      </c>
      <c r="D974" t="str">
        <f>TableSTRUMATHB[[#This Row],[Structure Line]]</f>
        <v>Technologies: Coding for Teachers</v>
      </c>
      <c r="E974" s="125">
        <f>TableSTRUMATHB[[#This Row],[Credit Points]]</f>
        <v>25</v>
      </c>
      <c r="F974">
        <v>6</v>
      </c>
      <c r="G974" t="s">
        <v>102</v>
      </c>
      <c r="H974">
        <v>3</v>
      </c>
      <c r="I974" t="s">
        <v>875</v>
      </c>
      <c r="J974" t="s">
        <v>160</v>
      </c>
      <c r="K974">
        <v>1</v>
      </c>
      <c r="L974" t="s">
        <v>703</v>
      </c>
      <c r="M974">
        <v>25</v>
      </c>
      <c r="N974" s="195">
        <v>43282</v>
      </c>
      <c r="O974" s="195"/>
      <c r="R974" t="s">
        <v>160</v>
      </c>
      <c r="S974">
        <v>1</v>
      </c>
    </row>
    <row r="975" spans="1:19" x14ac:dyDescent="0.25">
      <c r="A975" t="str">
        <f>TableSTRUMATHB[[#This Row],[Study Package Code]]</f>
        <v>EDUC4032</v>
      </c>
      <c r="B975" s="5">
        <f>TableSTRUMATHB[[#This Row],[Ver]]</f>
        <v>1</v>
      </c>
      <c r="D975" t="str">
        <f>TableSTRUMATHB[[#This Row],[Structure Line]]</f>
        <v>iSTEM Education through Digital Stories</v>
      </c>
      <c r="E975" s="125">
        <f>TableSTRUMATHB[[#This Row],[Credit Points]]</f>
        <v>25</v>
      </c>
      <c r="F975">
        <v>6</v>
      </c>
      <c r="G975" t="s">
        <v>102</v>
      </c>
      <c r="H975">
        <v>3</v>
      </c>
      <c r="I975" t="s">
        <v>875</v>
      </c>
      <c r="J975" t="s">
        <v>143</v>
      </c>
      <c r="K975">
        <v>1</v>
      </c>
      <c r="L975" t="s">
        <v>707</v>
      </c>
      <c r="M975">
        <v>25</v>
      </c>
      <c r="N975" s="195">
        <v>43466</v>
      </c>
      <c r="O975" s="195"/>
      <c r="R975" t="s">
        <v>143</v>
      </c>
      <c r="S975">
        <v>1</v>
      </c>
    </row>
    <row r="976" spans="1:19" x14ac:dyDescent="0.25">
      <c r="A976" t="str">
        <f>TableSTRUMATHB[[#This Row],[Study Package Code]]</f>
        <v>EDUC4034</v>
      </c>
      <c r="B976" s="5">
        <f>TableSTRUMATHB[[#This Row],[Ver]]</f>
        <v>1</v>
      </c>
      <c r="D976" t="str">
        <f>TableSTRUMATHB[[#This Row],[Structure Line]]</f>
        <v>iSTEM: Social Issues</v>
      </c>
      <c r="E976" s="125">
        <f>TableSTRUMATHB[[#This Row],[Credit Points]]</f>
        <v>25</v>
      </c>
      <c r="F976">
        <v>6</v>
      </c>
      <c r="G976" t="s">
        <v>102</v>
      </c>
      <c r="H976">
        <v>3</v>
      </c>
      <c r="I976" t="s">
        <v>875</v>
      </c>
      <c r="J976" t="s">
        <v>144</v>
      </c>
      <c r="K976">
        <v>1</v>
      </c>
      <c r="L976" t="s">
        <v>708</v>
      </c>
      <c r="M976">
        <v>25</v>
      </c>
      <c r="N976" s="195">
        <v>43466</v>
      </c>
      <c r="O976" s="195"/>
      <c r="R976" t="s">
        <v>144</v>
      </c>
      <c r="S976">
        <v>1</v>
      </c>
    </row>
    <row r="977" spans="1:19" x14ac:dyDescent="0.25">
      <c r="A977" t="str">
        <f>TableSTRUMATHB[[#This Row],[Study Package Code]]</f>
        <v>EDUC4036</v>
      </c>
      <c r="B977" s="5">
        <f>TableSTRUMATHB[[#This Row],[Ver]]</f>
        <v>1</v>
      </c>
      <c r="D977" t="str">
        <f>TableSTRUMATHB[[#This Row],[Structure Line]]</f>
        <v>Language and Diversity</v>
      </c>
      <c r="E977" s="125">
        <f>TableSTRUMATHB[[#This Row],[Credit Points]]</f>
        <v>25</v>
      </c>
      <c r="F977">
        <v>6</v>
      </c>
      <c r="G977" t="s">
        <v>102</v>
      </c>
      <c r="H977">
        <v>3</v>
      </c>
      <c r="I977" t="s">
        <v>875</v>
      </c>
      <c r="J977" t="s">
        <v>149</v>
      </c>
      <c r="K977">
        <v>1</v>
      </c>
      <c r="L977" t="s">
        <v>709</v>
      </c>
      <c r="M977">
        <v>25</v>
      </c>
      <c r="N977" s="195">
        <v>43466</v>
      </c>
      <c r="O977" s="195"/>
      <c r="R977" t="s">
        <v>149</v>
      </c>
      <c r="S977">
        <v>1</v>
      </c>
    </row>
    <row r="978" spans="1:19" x14ac:dyDescent="0.25">
      <c r="A978" t="str">
        <f>TableSTRUMATHB[[#This Row],[Study Package Code]]</f>
        <v>EDUC4038</v>
      </c>
      <c r="B978" s="5">
        <f>TableSTRUMATHB[[#This Row],[Ver]]</f>
        <v>1</v>
      </c>
      <c r="D978" t="str">
        <f>TableSTRUMATHB[[#This Row],[Structure Line]]</f>
        <v>Technologies: Design Solutions</v>
      </c>
      <c r="E978" s="125">
        <f>TableSTRUMATHB[[#This Row],[Credit Points]]</f>
        <v>25</v>
      </c>
      <c r="F978">
        <v>6</v>
      </c>
      <c r="G978" t="s">
        <v>102</v>
      </c>
      <c r="H978">
        <v>3</v>
      </c>
      <c r="I978" t="s">
        <v>875</v>
      </c>
      <c r="J978" t="s">
        <v>161</v>
      </c>
      <c r="K978">
        <v>1</v>
      </c>
      <c r="L978" t="s">
        <v>710</v>
      </c>
      <c r="M978">
        <v>25</v>
      </c>
      <c r="N978" s="195">
        <v>43466</v>
      </c>
      <c r="O978" s="195"/>
      <c r="R978" t="s">
        <v>161</v>
      </c>
      <c r="S978">
        <v>1</v>
      </c>
    </row>
    <row r="979" spans="1:19" x14ac:dyDescent="0.25">
      <c r="A979" t="str">
        <f>TableSTRUMATHB[[#This Row],[Study Package Code]]</f>
        <v>EDUC4042</v>
      </c>
      <c r="B979" s="5">
        <f>TableSTRUMATHB[[#This Row],[Ver]]</f>
        <v>1</v>
      </c>
      <c r="D979" t="str">
        <f>TableSTRUMATHB[[#This Row],[Structure Line]]</f>
        <v>Alternative Approaches to Teaching Literacy and Numeracy</v>
      </c>
      <c r="E979" s="125">
        <f>TableSTRUMATHB[[#This Row],[Credit Points]]</f>
        <v>25</v>
      </c>
      <c r="F979">
        <v>6</v>
      </c>
      <c r="G979" t="s">
        <v>102</v>
      </c>
      <c r="H979">
        <v>3</v>
      </c>
      <c r="I979" t="s">
        <v>875</v>
      </c>
      <c r="J979" t="s">
        <v>155</v>
      </c>
      <c r="K979">
        <v>1</v>
      </c>
      <c r="L979" t="s">
        <v>713</v>
      </c>
      <c r="M979">
        <v>25</v>
      </c>
      <c r="N979" s="195">
        <v>43466</v>
      </c>
      <c r="O979" s="195"/>
      <c r="R979" t="s">
        <v>155</v>
      </c>
      <c r="S979">
        <v>1</v>
      </c>
    </row>
    <row r="980" spans="1:19" x14ac:dyDescent="0.25">
      <c r="A980" t="str">
        <f>TableSTRUMATHB[[#This Row],[Study Package Code]]</f>
        <v>EDUC4044</v>
      </c>
      <c r="B980" s="5">
        <f>TableSTRUMATHB[[#This Row],[Ver]]</f>
        <v>2</v>
      </c>
      <c r="D980" t="str">
        <f>TableSTRUMATHB[[#This Row],[Structure Line]]</f>
        <v>Literacy and Numeracy for First Nations Peoples of Australia</v>
      </c>
      <c r="E980" s="125">
        <f>TableSTRUMATHB[[#This Row],[Credit Points]]</f>
        <v>25</v>
      </c>
      <c r="F980">
        <v>6</v>
      </c>
      <c r="G980" t="s">
        <v>102</v>
      </c>
      <c r="H980">
        <v>3</v>
      </c>
      <c r="I980" t="s">
        <v>875</v>
      </c>
      <c r="J980" t="s">
        <v>157</v>
      </c>
      <c r="K980">
        <v>2</v>
      </c>
      <c r="L980" t="s">
        <v>714</v>
      </c>
      <c r="M980">
        <v>25</v>
      </c>
      <c r="N980" s="195">
        <v>44927</v>
      </c>
      <c r="O980" s="195"/>
      <c r="R980" t="s">
        <v>157</v>
      </c>
      <c r="S980">
        <v>1</v>
      </c>
    </row>
    <row r="981" spans="1:19" x14ac:dyDescent="0.25">
      <c r="A981" t="str">
        <f>TableSTRUMATHB[[#This Row],[Study Package Code]]</f>
        <v>EDUC4046</v>
      </c>
      <c r="B981" s="5">
        <f>TableSTRUMATHB[[#This Row],[Ver]]</f>
        <v>1</v>
      </c>
      <c r="D981" t="str">
        <f>TableSTRUMATHB[[#This Row],[Structure Line]]</f>
        <v>Technologies: Digital Solutions</v>
      </c>
      <c r="E981" s="125">
        <f>TableSTRUMATHB[[#This Row],[Credit Points]]</f>
        <v>25</v>
      </c>
      <c r="F981">
        <v>6</v>
      </c>
      <c r="G981" t="s">
        <v>102</v>
      </c>
      <c r="H981">
        <v>3</v>
      </c>
      <c r="I981" t="s">
        <v>875</v>
      </c>
      <c r="J981" t="s">
        <v>162</v>
      </c>
      <c r="K981" s="196">
        <v>1</v>
      </c>
      <c r="L981" s="196" t="s">
        <v>715</v>
      </c>
      <c r="M981" s="196">
        <v>25</v>
      </c>
      <c r="N981" s="195">
        <v>43466</v>
      </c>
      <c r="O981" s="195"/>
      <c r="R981" t="s">
        <v>162</v>
      </c>
      <c r="S981">
        <v>1</v>
      </c>
    </row>
    <row r="982" spans="1:19" x14ac:dyDescent="0.25">
      <c r="A982" t="str">
        <f>TableSTRUMATHB[[#This Row],[Study Package Code]]</f>
        <v>EDUC4048</v>
      </c>
      <c r="B982" s="5">
        <f>TableSTRUMATHB[[#This Row],[Ver]]</f>
        <v>1</v>
      </c>
      <c r="D982" t="str">
        <f>TableSTRUMATHB[[#This Row],[Structure Line]]</f>
        <v>Mentoring, Coaching and Tutoring</v>
      </c>
      <c r="E982" s="125">
        <f>TableSTRUMATHB[[#This Row],[Credit Points]]</f>
        <v>25</v>
      </c>
      <c r="F982">
        <v>6</v>
      </c>
      <c r="G982" t="s">
        <v>102</v>
      </c>
      <c r="H982">
        <v>3</v>
      </c>
      <c r="I982" t="s">
        <v>875</v>
      </c>
      <c r="J982" t="s">
        <v>117</v>
      </c>
      <c r="K982">
        <v>1</v>
      </c>
      <c r="L982" t="s">
        <v>716</v>
      </c>
      <c r="M982">
        <v>25</v>
      </c>
      <c r="N982" s="195">
        <v>43466</v>
      </c>
      <c r="O982" s="195"/>
      <c r="R982" t="s">
        <v>117</v>
      </c>
      <c r="S982">
        <v>1</v>
      </c>
    </row>
    <row r="983" spans="1:19" x14ac:dyDescent="0.25">
      <c r="A983">
        <f>TableSTRUMATHB[[#This Row],[Study Package Code]]</f>
        <v>0</v>
      </c>
      <c r="B983" s="5">
        <f>TableSTRUMATHB[[#This Row],[Ver]]</f>
        <v>0</v>
      </c>
      <c r="D983">
        <f>TableSTRUMATHB[[#This Row],[Structure Line]]</f>
        <v>0</v>
      </c>
      <c r="E983" s="125">
        <f>TableSTRUMATHB[[#This Row],[Credit Points]]</f>
        <v>0</v>
      </c>
      <c r="N983" s="195"/>
      <c r="O983" s="195"/>
      <c r="R983" t="s">
        <v>169</v>
      </c>
      <c r="S983">
        <v>1</v>
      </c>
    </row>
    <row r="984" spans="1:19" x14ac:dyDescent="0.25">
      <c r="A984" s="122"/>
      <c r="B984" s="124"/>
      <c r="C984" s="122"/>
      <c r="G984" s="123" t="s">
        <v>855</v>
      </c>
      <c r="H984" s="199">
        <v>43101</v>
      </c>
      <c r="J984" s="197" t="s">
        <v>202</v>
      </c>
      <c r="K984" s="124" t="s">
        <v>67</v>
      </c>
      <c r="L984" s="122" t="s">
        <v>184</v>
      </c>
      <c r="M984" s="122"/>
    </row>
    <row r="985" spans="1:19" ht="31.5" x14ac:dyDescent="0.25">
      <c r="A985" s="159" t="s">
        <v>0</v>
      </c>
      <c r="B985" s="160" t="s">
        <v>60</v>
      </c>
      <c r="C985" s="159" t="s">
        <v>856</v>
      </c>
      <c r="D985" s="159" t="s">
        <v>3</v>
      </c>
      <c r="E985" s="161" t="s">
        <v>857</v>
      </c>
      <c r="F985" s="159" t="s">
        <v>858</v>
      </c>
      <c r="G985" s="159" t="s">
        <v>859</v>
      </c>
      <c r="H985" s="159" t="s">
        <v>860</v>
      </c>
      <c r="I985" s="159" t="s">
        <v>17</v>
      </c>
      <c r="J985" s="159" t="s">
        <v>861</v>
      </c>
      <c r="K985" s="159" t="s">
        <v>1</v>
      </c>
      <c r="L985" s="159" t="s">
        <v>44</v>
      </c>
      <c r="M985" s="159" t="s">
        <v>61</v>
      </c>
      <c r="N985" s="159" t="s">
        <v>862</v>
      </c>
      <c r="O985" s="159" t="s">
        <v>863</v>
      </c>
      <c r="R985" t="s">
        <v>538</v>
      </c>
      <c r="S985" t="s">
        <v>864</v>
      </c>
    </row>
    <row r="986" spans="1:19" x14ac:dyDescent="0.25">
      <c r="A986" t="str">
        <f>TableSTRUMATHM[[#This Row],[Study Package Code]]</f>
        <v>MATH1016</v>
      </c>
      <c r="B986" s="5">
        <f>TableSTRUMATHM[[#This Row],[Ver]]</f>
        <v>1</v>
      </c>
      <c r="D986" t="str">
        <f>TableSTRUMATHM[[#This Row],[Structure Line]]</f>
        <v>Calculus 1</v>
      </c>
      <c r="E986" s="125">
        <f>TableSTRUMATHM[[#This Row],[Credit Points]]</f>
        <v>25</v>
      </c>
      <c r="F986">
        <v>1</v>
      </c>
      <c r="G986" t="s">
        <v>865</v>
      </c>
      <c r="H986">
        <v>1</v>
      </c>
      <c r="I986" t="s">
        <v>529</v>
      </c>
      <c r="J986" t="s">
        <v>308</v>
      </c>
      <c r="K986">
        <v>1</v>
      </c>
      <c r="L986" t="s">
        <v>767</v>
      </c>
      <c r="M986">
        <v>25</v>
      </c>
      <c r="N986" s="195">
        <v>42736</v>
      </c>
      <c r="O986" s="195"/>
      <c r="R986" t="s">
        <v>308</v>
      </c>
      <c r="S986">
        <v>1</v>
      </c>
    </row>
    <row r="987" spans="1:19" x14ac:dyDescent="0.25">
      <c r="A987" t="str">
        <f>TableSTRUMATHM[[#This Row],[Study Package Code]]</f>
        <v>STAT1005</v>
      </c>
      <c r="B987" s="5">
        <f>TableSTRUMATHM[[#This Row],[Ver]]</f>
        <v>1</v>
      </c>
      <c r="D987" t="str">
        <f>TableSTRUMATHM[[#This Row],[Structure Line]]</f>
        <v>Introduction to Probability and Data Analysis</v>
      </c>
      <c r="E987" s="125">
        <f>TableSTRUMATHM[[#This Row],[Credit Points]]</f>
        <v>25</v>
      </c>
      <c r="F987">
        <v>2</v>
      </c>
      <c r="G987" t="s">
        <v>865</v>
      </c>
      <c r="H987">
        <v>2</v>
      </c>
      <c r="I987" t="s">
        <v>528</v>
      </c>
      <c r="J987" t="s">
        <v>334</v>
      </c>
      <c r="K987">
        <v>1</v>
      </c>
      <c r="L987" t="s">
        <v>823</v>
      </c>
      <c r="M987">
        <v>25</v>
      </c>
      <c r="N987" s="195">
        <v>43831</v>
      </c>
      <c r="O987" s="195"/>
      <c r="R987" t="s">
        <v>334</v>
      </c>
      <c r="S987">
        <v>1</v>
      </c>
    </row>
    <row r="988" spans="1:19" x14ac:dyDescent="0.25">
      <c r="A988" t="str">
        <f>TableSTRUMATHM[[#This Row],[Study Package Code]]</f>
        <v>MATH2000</v>
      </c>
      <c r="B988" s="5">
        <f>TableSTRUMATHM[[#This Row],[Ver]]</f>
        <v>1</v>
      </c>
      <c r="D988" t="str">
        <f>TableSTRUMATHM[[#This Row],[Structure Line]]</f>
        <v>Network Optimisation</v>
      </c>
      <c r="E988" s="125">
        <f>TableSTRUMATHM[[#This Row],[Credit Points]]</f>
        <v>25</v>
      </c>
      <c r="F988">
        <v>3</v>
      </c>
      <c r="G988" t="s">
        <v>865</v>
      </c>
      <c r="H988">
        <v>2</v>
      </c>
      <c r="I988" t="s">
        <v>529</v>
      </c>
      <c r="J988" t="s">
        <v>347</v>
      </c>
      <c r="K988">
        <v>1</v>
      </c>
      <c r="L988" t="s">
        <v>768</v>
      </c>
      <c r="M988">
        <v>25</v>
      </c>
      <c r="N988" s="195">
        <v>42005</v>
      </c>
      <c r="O988" s="195"/>
      <c r="R988" t="s">
        <v>347</v>
      </c>
      <c r="S988">
        <v>1</v>
      </c>
    </row>
    <row r="989" spans="1:19" x14ac:dyDescent="0.25">
      <c r="A989" t="str">
        <f>TableSTRUMATHM[[#This Row],[Study Package Code]]</f>
        <v>MATH2009</v>
      </c>
      <c r="B989" s="5">
        <f>TableSTRUMATHM[[#This Row],[Ver]]</f>
        <v>2</v>
      </c>
      <c r="D989" t="str">
        <f>TableSTRUMATHM[[#This Row],[Structure Line]]</f>
        <v>Calculus 2</v>
      </c>
      <c r="E989" s="125">
        <f>TableSTRUMATHM[[#This Row],[Credit Points]]</f>
        <v>25</v>
      </c>
      <c r="F989">
        <v>4</v>
      </c>
      <c r="G989" t="s">
        <v>865</v>
      </c>
      <c r="H989">
        <v>3</v>
      </c>
      <c r="I989" t="s">
        <v>528</v>
      </c>
      <c r="J989" t="s">
        <v>325</v>
      </c>
      <c r="K989">
        <v>2</v>
      </c>
      <c r="L989" t="s">
        <v>769</v>
      </c>
      <c r="M989">
        <v>25</v>
      </c>
      <c r="N989" s="195">
        <v>42736</v>
      </c>
      <c r="O989" s="195"/>
      <c r="R989" t="s">
        <v>325</v>
      </c>
      <c r="S989">
        <v>2</v>
      </c>
    </row>
    <row r="990" spans="1:19" x14ac:dyDescent="0.25">
      <c r="A990" t="str">
        <f>TableSTRUMATHM[[#This Row],[Study Package Code]]</f>
        <v>EDSC4020</v>
      </c>
      <c r="B990" s="5">
        <f>TableSTRUMATHM[[#This Row],[Ver]]</f>
        <v>1</v>
      </c>
      <c r="D990" t="str">
        <f>TableSTRUMATHM[[#This Row],[Structure Line]]</f>
        <v>Curriculum and Instruction Lower Secondary: Mathematics</v>
      </c>
      <c r="E990" s="125">
        <f>TableSTRUMATHM[[#This Row],[Credit Points]]</f>
        <v>25</v>
      </c>
      <c r="F990">
        <v>5</v>
      </c>
      <c r="G990" t="s">
        <v>865</v>
      </c>
      <c r="H990">
        <v>3</v>
      </c>
      <c r="I990" t="s">
        <v>528</v>
      </c>
      <c r="J990" t="s">
        <v>321</v>
      </c>
      <c r="K990">
        <v>1</v>
      </c>
      <c r="L990" t="s">
        <v>670</v>
      </c>
      <c r="M990">
        <v>25</v>
      </c>
      <c r="N990" s="195">
        <v>43466</v>
      </c>
      <c r="O990" s="195"/>
      <c r="R990" t="s">
        <v>321</v>
      </c>
      <c r="S990">
        <v>1</v>
      </c>
    </row>
    <row r="991" spans="1:19" x14ac:dyDescent="0.25">
      <c r="A991" t="str">
        <f>TableSTRUMATHM[[#This Row],[Study Package Code]]</f>
        <v>EDSC4021</v>
      </c>
      <c r="B991" s="5">
        <f>TableSTRUMATHM[[#This Row],[Ver]]</f>
        <v>2</v>
      </c>
      <c r="D991" t="str">
        <f>TableSTRUMATHM[[#This Row],[Structure Line]]</f>
        <v>Curriculum and Instruction Senior Secondary: Mathematics</v>
      </c>
      <c r="E991" s="125">
        <f>TableSTRUMATHM[[#This Row],[Credit Points]]</f>
        <v>25</v>
      </c>
      <c r="F991">
        <v>6</v>
      </c>
      <c r="G991" t="s">
        <v>865</v>
      </c>
      <c r="H991">
        <v>3</v>
      </c>
      <c r="I991" t="s">
        <v>529</v>
      </c>
      <c r="J991" t="s">
        <v>344</v>
      </c>
      <c r="K991">
        <v>2</v>
      </c>
      <c r="L991" t="s">
        <v>673</v>
      </c>
      <c r="M991">
        <v>25</v>
      </c>
      <c r="N991" s="195">
        <v>43831</v>
      </c>
      <c r="O991" s="195"/>
      <c r="R991" t="s">
        <v>344</v>
      </c>
      <c r="S991">
        <v>2</v>
      </c>
    </row>
    <row r="992" spans="1:19" x14ac:dyDescent="0.25">
      <c r="A992" t="str">
        <f>TableSTRUMATHM[[#This Row],[Study Package Code]]</f>
        <v>MATH1014</v>
      </c>
      <c r="B992" s="5">
        <f>TableSTRUMATHM[[#This Row],[Ver]]</f>
        <v>1</v>
      </c>
      <c r="D992" t="str">
        <f>TableSTRUMATHM[[#This Row],[Structure Line]]</f>
        <v>Foundations of Calculus</v>
      </c>
      <c r="E992" s="125">
        <f>TableSTRUMATHM[[#This Row],[Credit Points]]</f>
        <v>25</v>
      </c>
      <c r="G992" t="s">
        <v>121</v>
      </c>
      <c r="J992" t="s">
        <v>525</v>
      </c>
      <c r="K992">
        <v>1</v>
      </c>
      <c r="L992" t="s">
        <v>764</v>
      </c>
      <c r="M992">
        <v>25</v>
      </c>
      <c r="N992" s="195">
        <v>42736</v>
      </c>
      <c r="O992" s="195"/>
      <c r="R992" t="s">
        <v>525</v>
      </c>
      <c r="S992">
        <v>1</v>
      </c>
    </row>
    <row r="993" spans="1:19" x14ac:dyDescent="0.25">
      <c r="A993" s="122"/>
      <c r="B993" s="124"/>
      <c r="C993" s="122"/>
      <c r="G993" s="123" t="s">
        <v>855</v>
      </c>
      <c r="H993" s="199">
        <v>43831</v>
      </c>
      <c r="J993" s="197" t="s">
        <v>205</v>
      </c>
      <c r="K993" s="124" t="s">
        <v>67</v>
      </c>
      <c r="L993" s="122" t="s">
        <v>345</v>
      </c>
      <c r="M993" s="122"/>
    </row>
    <row r="994" spans="1:19" ht="31.5" x14ac:dyDescent="0.25">
      <c r="A994" s="159" t="s">
        <v>0</v>
      </c>
      <c r="B994" s="160" t="s">
        <v>60</v>
      </c>
      <c r="C994" s="159" t="s">
        <v>856</v>
      </c>
      <c r="D994" s="159" t="s">
        <v>3</v>
      </c>
      <c r="E994" s="161" t="s">
        <v>857</v>
      </c>
      <c r="F994" s="159" t="s">
        <v>858</v>
      </c>
      <c r="G994" s="159" t="s">
        <v>859</v>
      </c>
      <c r="H994" s="159" t="s">
        <v>860</v>
      </c>
      <c r="I994" s="159" t="s">
        <v>17</v>
      </c>
      <c r="J994" s="159" t="s">
        <v>861</v>
      </c>
      <c r="K994" s="159" t="s">
        <v>1</v>
      </c>
      <c r="L994" s="159" t="s">
        <v>44</v>
      </c>
      <c r="M994" s="159" t="s">
        <v>61</v>
      </c>
      <c r="N994" s="159" t="s">
        <v>862</v>
      </c>
      <c r="O994" s="159" t="s">
        <v>863</v>
      </c>
      <c r="R994" t="s">
        <v>538</v>
      </c>
      <c r="S994" t="s">
        <v>864</v>
      </c>
    </row>
    <row r="995" spans="1:19" x14ac:dyDescent="0.25">
      <c r="A995" t="str">
        <f>TableSTRUPARTB[[#This Row],[Study Package Code]]</f>
        <v>EDUC1029</v>
      </c>
      <c r="B995" s="5">
        <f>TableSTRUPARTB[[#This Row],[Ver]]</f>
        <v>1</v>
      </c>
      <c r="D995" t="str">
        <f>TableSTRUPARTB[[#This Row],[Structure Line]]</f>
        <v>Performing Arts for Educators</v>
      </c>
      <c r="E995" s="125">
        <f>TableSTRUPARTB[[#This Row],[Credit Points]]</f>
        <v>25</v>
      </c>
      <c r="F995">
        <v>1</v>
      </c>
      <c r="G995" t="s">
        <v>865</v>
      </c>
      <c r="H995">
        <v>1</v>
      </c>
      <c r="I995" t="s">
        <v>529</v>
      </c>
      <c r="J995" t="s">
        <v>55</v>
      </c>
      <c r="K995">
        <v>1</v>
      </c>
      <c r="L995" t="s">
        <v>689</v>
      </c>
      <c r="M995">
        <v>25</v>
      </c>
      <c r="N995" s="195">
        <v>43466</v>
      </c>
      <c r="O995" s="195"/>
      <c r="R995" t="s">
        <v>55</v>
      </c>
      <c r="S995">
        <v>1</v>
      </c>
    </row>
    <row r="996" spans="1:19" x14ac:dyDescent="0.25">
      <c r="A996" t="str">
        <f>TableSTRUPARTB[[#This Row],[Study Package Code]]</f>
        <v>THTR2004</v>
      </c>
      <c r="B996" s="5">
        <f>TableSTRUPARTB[[#This Row],[Ver]]</f>
        <v>1</v>
      </c>
      <c r="D996" t="str">
        <f>TableSTRUPARTB[[#This Row],[Structure Line]]</f>
        <v>Voice for the Actor</v>
      </c>
      <c r="E996" s="125">
        <f>TableSTRUPARTB[[#This Row],[Credit Points]]</f>
        <v>25</v>
      </c>
      <c r="F996">
        <v>2</v>
      </c>
      <c r="G996" t="s">
        <v>865</v>
      </c>
      <c r="H996">
        <v>2</v>
      </c>
      <c r="I996" t="s">
        <v>528</v>
      </c>
      <c r="J996" t="s">
        <v>483</v>
      </c>
      <c r="K996">
        <v>1</v>
      </c>
      <c r="L996" t="s">
        <v>837</v>
      </c>
      <c r="M996">
        <v>25</v>
      </c>
      <c r="N996" s="195">
        <v>42005</v>
      </c>
      <c r="O996" s="195"/>
      <c r="R996" t="s">
        <v>483</v>
      </c>
      <c r="S996">
        <v>1</v>
      </c>
    </row>
    <row r="997" spans="1:19" x14ac:dyDescent="0.25">
      <c r="A997" t="str">
        <f>TableSTRUPARTB[[#This Row],[Study Package Code]]</f>
        <v>VISA1004</v>
      </c>
      <c r="B997" s="5">
        <f>TableSTRUPARTB[[#This Row],[Ver]]</f>
        <v>2</v>
      </c>
      <c r="D997" t="str">
        <f>TableSTRUPARTB[[#This Row],[Structure Line]]</f>
        <v>Fine Art Studio Methods</v>
      </c>
      <c r="E997" s="125">
        <f>TableSTRUPARTB[[#This Row],[Credit Points]]</f>
        <v>25</v>
      </c>
      <c r="F997">
        <v>3</v>
      </c>
      <c r="G997" t="s">
        <v>865</v>
      </c>
      <c r="H997">
        <v>2</v>
      </c>
      <c r="I997" t="s">
        <v>529</v>
      </c>
      <c r="J997" t="s">
        <v>302</v>
      </c>
      <c r="K997">
        <v>2</v>
      </c>
      <c r="L997" t="s">
        <v>842</v>
      </c>
      <c r="M997">
        <v>25</v>
      </c>
      <c r="N997" s="195">
        <v>42370</v>
      </c>
      <c r="O997" s="195"/>
      <c r="R997" t="s">
        <v>302</v>
      </c>
      <c r="S997">
        <v>2</v>
      </c>
    </row>
    <row r="998" spans="1:19" x14ac:dyDescent="0.25">
      <c r="A998" t="str">
        <f>TableSTRUPARTB[[#This Row],[Study Package Code]]</f>
        <v>EDPR3014</v>
      </c>
      <c r="B998" s="5">
        <f>TableSTRUPARTB[[#This Row],[Ver]]</f>
        <v>1</v>
      </c>
      <c r="D998" t="str">
        <f>TableSTRUPARTB[[#This Row],[Structure Line]]</f>
        <v>Visual and Media Arts Education</v>
      </c>
      <c r="E998" s="125">
        <f>TableSTRUPARTB[[#This Row],[Credit Points]]</f>
        <v>25</v>
      </c>
      <c r="F998">
        <v>4</v>
      </c>
      <c r="G998" t="s">
        <v>865</v>
      </c>
      <c r="H998">
        <v>3</v>
      </c>
      <c r="I998" t="s">
        <v>528</v>
      </c>
      <c r="J998" t="s">
        <v>119</v>
      </c>
      <c r="K998">
        <v>1</v>
      </c>
      <c r="L998" t="s">
        <v>652</v>
      </c>
      <c r="M998">
        <v>25</v>
      </c>
      <c r="N998" s="195">
        <v>43466</v>
      </c>
      <c r="O998" s="195"/>
      <c r="R998" t="s">
        <v>119</v>
      </c>
      <c r="S998">
        <v>1</v>
      </c>
    </row>
    <row r="999" spans="1:19" x14ac:dyDescent="0.25">
      <c r="A999" t="str">
        <f>TableSTRUPARTB[[#This Row],[Study Package Code]]</f>
        <v>OptionStream</v>
      </c>
      <c r="B999" s="5">
        <f>TableSTRUPARTB[[#This Row],[Ver]]</f>
        <v>0</v>
      </c>
      <c r="D999" t="str">
        <f>TableSTRUPARTB[[#This Row],[Structure Line]]</f>
        <v>Choose an Option</v>
      </c>
      <c r="E999" s="125">
        <f>TableSTRUPARTB[[#This Row],[Credit Points]]</f>
        <v>25</v>
      </c>
      <c r="F999">
        <v>5</v>
      </c>
      <c r="G999" t="s">
        <v>102</v>
      </c>
      <c r="H999">
        <v>3</v>
      </c>
      <c r="I999" t="s">
        <v>875</v>
      </c>
      <c r="J999" t="s">
        <v>886</v>
      </c>
      <c r="K999">
        <v>0</v>
      </c>
      <c r="L999" t="s">
        <v>867</v>
      </c>
      <c r="M999">
        <v>25</v>
      </c>
      <c r="N999" s="195"/>
      <c r="O999" s="195"/>
      <c r="R999" t="s">
        <v>886</v>
      </c>
      <c r="S999">
        <v>0</v>
      </c>
    </row>
    <row r="1000" spans="1:19" x14ac:dyDescent="0.25">
      <c r="A1000" t="str">
        <f>TableSTRUPARTB[[#This Row],[Study Package Code]]</f>
        <v>SPRO2004</v>
      </c>
      <c r="B1000" s="5">
        <f>TableSTRUPARTB[[#This Row],[Ver]]</f>
        <v>1</v>
      </c>
      <c r="D1000" t="str">
        <f>TableSTRUPARTB[[#This Row],[Structure Line]]</f>
        <v>Creative Documentary and Actualities</v>
      </c>
      <c r="E1000" s="125">
        <f>TableSTRUPARTB[[#This Row],[Credit Points]]</f>
        <v>25</v>
      </c>
      <c r="F1000">
        <v>6</v>
      </c>
      <c r="G1000" t="s">
        <v>865</v>
      </c>
      <c r="H1000">
        <v>3</v>
      </c>
      <c r="I1000" t="s">
        <v>529</v>
      </c>
      <c r="J1000" t="s">
        <v>514</v>
      </c>
      <c r="K1000">
        <v>1</v>
      </c>
      <c r="L1000" t="s">
        <v>820</v>
      </c>
      <c r="M1000">
        <v>25</v>
      </c>
      <c r="N1000" s="195">
        <v>43831</v>
      </c>
      <c r="O1000" s="195"/>
      <c r="R1000" t="s">
        <v>514</v>
      </c>
      <c r="S1000">
        <v>1</v>
      </c>
    </row>
    <row r="1001" spans="1:19" x14ac:dyDescent="0.25">
      <c r="A1001" t="str">
        <f>TableSTRUPARTB[[#This Row],[Study Package Code]]</f>
        <v>CTED4000</v>
      </c>
      <c r="B1001" s="5">
        <f>TableSTRUPARTB[[#This Row],[Ver]]</f>
        <v>1</v>
      </c>
      <c r="D1001" t="str">
        <f>TableSTRUPARTB[[#This Row],[Structure Line]]</f>
        <v>An Introduction to Catholic Education</v>
      </c>
      <c r="E1001" s="125">
        <f>TableSTRUPARTB[[#This Row],[Credit Points]]</f>
        <v>25</v>
      </c>
      <c r="F1001">
        <v>5</v>
      </c>
      <c r="G1001" t="s">
        <v>102</v>
      </c>
      <c r="H1001">
        <v>3</v>
      </c>
      <c r="I1001" t="s">
        <v>875</v>
      </c>
      <c r="J1001" t="s">
        <v>171</v>
      </c>
      <c r="K1001">
        <v>1</v>
      </c>
      <c r="L1001" t="s">
        <v>583</v>
      </c>
      <c r="M1001">
        <v>25</v>
      </c>
      <c r="N1001" s="195">
        <v>42005</v>
      </c>
      <c r="O1001" s="195"/>
      <c r="R1001" t="s">
        <v>171</v>
      </c>
      <c r="S1001">
        <v>1</v>
      </c>
    </row>
    <row r="1002" spans="1:19" x14ac:dyDescent="0.25">
      <c r="A1002" t="str">
        <f>TableSTRUPARTB[[#This Row],[Study Package Code]]</f>
        <v>CTED4001</v>
      </c>
      <c r="B1002" s="5">
        <f>TableSTRUPARTB[[#This Row],[Ver]]</f>
        <v>2</v>
      </c>
      <c r="D1002" t="str">
        <f>TableSTRUPARTB[[#This Row],[Structure Line]]</f>
        <v>Teaching About Sacraments in Catholic Schools</v>
      </c>
      <c r="E1002" s="125">
        <f>TableSTRUPARTB[[#This Row],[Credit Points]]</f>
        <v>25</v>
      </c>
      <c r="F1002">
        <v>5</v>
      </c>
      <c r="G1002" t="s">
        <v>102</v>
      </c>
      <c r="H1002">
        <v>3</v>
      </c>
      <c r="I1002" t="s">
        <v>875</v>
      </c>
      <c r="J1002" t="s">
        <v>150</v>
      </c>
      <c r="K1002">
        <v>2</v>
      </c>
      <c r="L1002" t="s">
        <v>585</v>
      </c>
      <c r="M1002">
        <v>25</v>
      </c>
      <c r="N1002" s="195">
        <v>45292</v>
      </c>
      <c r="O1002" s="195"/>
      <c r="R1002" t="s">
        <v>150</v>
      </c>
      <c r="S1002">
        <v>1</v>
      </c>
    </row>
    <row r="1003" spans="1:19" x14ac:dyDescent="0.25">
      <c r="A1003" t="str">
        <f>TableSTRUPARTB[[#This Row],[Study Package Code]]</f>
        <v>CTED4002</v>
      </c>
      <c r="B1003" s="5">
        <f>TableSTRUPARTB[[#This Row],[Ver]]</f>
        <v>2</v>
      </c>
      <c r="D1003" t="str">
        <f>TableSTRUPARTB[[#This Row],[Structure Line]]</f>
        <v>Prayer and Morality in Catholic Studies</v>
      </c>
      <c r="E1003" s="125">
        <f>TableSTRUPARTB[[#This Row],[Credit Points]]</f>
        <v>25</v>
      </c>
      <c r="F1003">
        <v>5</v>
      </c>
      <c r="G1003" t="s">
        <v>102</v>
      </c>
      <c r="H1003">
        <v>3</v>
      </c>
      <c r="I1003" t="s">
        <v>875</v>
      </c>
      <c r="J1003" t="s">
        <v>172</v>
      </c>
      <c r="K1003">
        <v>2</v>
      </c>
      <c r="L1003" t="s">
        <v>591</v>
      </c>
      <c r="M1003">
        <v>25</v>
      </c>
      <c r="N1003" s="195">
        <v>44197</v>
      </c>
      <c r="O1003" s="195"/>
      <c r="R1003" t="s">
        <v>172</v>
      </c>
      <c r="S1003">
        <v>2</v>
      </c>
    </row>
    <row r="1004" spans="1:19" x14ac:dyDescent="0.25">
      <c r="A1004" t="str">
        <f>TableSTRUPARTB[[#This Row],[Study Package Code]]</f>
        <v>CTED4006</v>
      </c>
      <c r="B1004" s="5">
        <f>TableSTRUPARTB[[#This Row],[Ver]]</f>
        <v>1</v>
      </c>
      <c r="D1004" t="str">
        <f>TableSTRUPARTB[[#This Row],[Structure Line]]</f>
        <v>Teaching About Jesus in Catholic Schools</v>
      </c>
      <c r="E1004" s="125">
        <f>TableSTRUPARTB[[#This Row],[Credit Points]]</f>
        <v>25</v>
      </c>
      <c r="F1004">
        <v>5</v>
      </c>
      <c r="G1004" t="s">
        <v>102</v>
      </c>
      <c r="H1004">
        <v>3</v>
      </c>
      <c r="I1004" t="s">
        <v>875</v>
      </c>
      <c r="J1004" t="s">
        <v>152</v>
      </c>
      <c r="K1004">
        <v>1</v>
      </c>
      <c r="L1004" t="s">
        <v>592</v>
      </c>
      <c r="M1004">
        <v>25</v>
      </c>
      <c r="N1004" s="195">
        <v>45292</v>
      </c>
      <c r="O1004" s="195"/>
    </row>
    <row r="1005" spans="1:19" x14ac:dyDescent="0.25">
      <c r="A1005" t="str">
        <f>TableSTRUPARTB[[#This Row],[Study Package Code]]</f>
        <v>CTED4008</v>
      </c>
      <c r="B1005" s="5">
        <f>TableSTRUPARTB[[#This Row],[Ver]]</f>
        <v>1</v>
      </c>
      <c r="D1005" t="str">
        <f>TableSTRUPARTB[[#This Row],[Structure Line]]</f>
        <v>Teaching About the Gospels in Catholic Schools</v>
      </c>
      <c r="E1005" s="125">
        <f>TableSTRUPARTB[[#This Row],[Credit Points]]</f>
        <v>25</v>
      </c>
      <c r="F1005">
        <v>5</v>
      </c>
      <c r="G1005" t="s">
        <v>102</v>
      </c>
      <c r="H1005">
        <v>3</v>
      </c>
      <c r="I1005" t="s">
        <v>875</v>
      </c>
      <c r="J1005" t="s">
        <v>154</v>
      </c>
      <c r="K1005">
        <v>1</v>
      </c>
      <c r="L1005" t="s">
        <v>593</v>
      </c>
      <c r="M1005">
        <v>25</v>
      </c>
      <c r="N1005" s="195">
        <v>45292</v>
      </c>
      <c r="O1005" s="195"/>
    </row>
    <row r="1006" spans="1:19" x14ac:dyDescent="0.25">
      <c r="A1006" t="str">
        <f>TableSTRUPARTB[[#This Row],[Study Package Code]]</f>
        <v>EDIB4000</v>
      </c>
      <c r="B1006" s="5">
        <f>TableSTRUPARTB[[#This Row],[Ver]]</f>
        <v>1</v>
      </c>
      <c r="D1006" t="str">
        <f>TableSTRUPARTB[[#This Row],[Structure Line]]</f>
        <v>Introduction to the International Baccalaureate Programme</v>
      </c>
      <c r="E1006" s="125">
        <f>TableSTRUPARTB[[#This Row],[Credit Points]]</f>
        <v>25</v>
      </c>
      <c r="F1006">
        <v>5</v>
      </c>
      <c r="G1006" t="s">
        <v>102</v>
      </c>
      <c r="H1006">
        <v>3</v>
      </c>
      <c r="I1006" t="s">
        <v>875</v>
      </c>
      <c r="J1006" t="s">
        <v>166</v>
      </c>
      <c r="K1006">
        <v>1</v>
      </c>
      <c r="L1006" t="s">
        <v>631</v>
      </c>
      <c r="M1006">
        <v>25</v>
      </c>
      <c r="N1006" s="195">
        <v>42005</v>
      </c>
      <c r="O1006" s="195"/>
      <c r="R1006" t="s">
        <v>166</v>
      </c>
      <c r="S1006">
        <v>1</v>
      </c>
    </row>
    <row r="1007" spans="1:19" x14ac:dyDescent="0.25">
      <c r="A1007" t="str">
        <f>TableSTRUPARTB[[#This Row],[Study Package Code]]</f>
        <v>EDIB4002</v>
      </c>
      <c r="B1007" s="5">
        <f>TableSTRUPARTB[[#This Row],[Ver]]</f>
        <v>1</v>
      </c>
      <c r="D1007" t="str">
        <f>TableSTRUPARTB[[#This Row],[Structure Line]]</f>
        <v>International Baccalaureate Middle Years Programme</v>
      </c>
      <c r="E1007" s="125">
        <f>TableSTRUPARTB[[#This Row],[Credit Points]]</f>
        <v>25</v>
      </c>
      <c r="F1007">
        <v>5</v>
      </c>
      <c r="G1007" t="s">
        <v>102</v>
      </c>
      <c r="H1007">
        <v>3</v>
      </c>
      <c r="I1007" t="s">
        <v>875</v>
      </c>
      <c r="J1007" t="s">
        <v>170</v>
      </c>
      <c r="K1007">
        <v>1</v>
      </c>
      <c r="L1007" t="s">
        <v>634</v>
      </c>
      <c r="M1007">
        <v>25</v>
      </c>
      <c r="N1007" s="195">
        <v>42005</v>
      </c>
      <c r="O1007" s="195"/>
      <c r="R1007" t="s">
        <v>170</v>
      </c>
      <c r="S1007">
        <v>1</v>
      </c>
    </row>
    <row r="1008" spans="1:19" x14ac:dyDescent="0.25">
      <c r="A1008" t="str">
        <f>TableSTRUPARTB[[#This Row],[Study Package Code]]</f>
        <v>EDIB4003</v>
      </c>
      <c r="B1008" s="5">
        <f>TableSTRUPARTB[[#This Row],[Ver]]</f>
        <v>1</v>
      </c>
      <c r="D1008" t="str">
        <f>TableSTRUPARTB[[#This Row],[Structure Line]]</f>
        <v>The International Baccalaureate in Action</v>
      </c>
      <c r="E1008" s="125">
        <f>TableSTRUPARTB[[#This Row],[Credit Points]]</f>
        <v>25</v>
      </c>
      <c r="F1008">
        <v>5</v>
      </c>
      <c r="G1008" t="s">
        <v>102</v>
      </c>
      <c r="H1008">
        <v>3</v>
      </c>
      <c r="I1008" t="s">
        <v>875</v>
      </c>
      <c r="J1008" t="s">
        <v>168</v>
      </c>
      <c r="K1008">
        <v>1</v>
      </c>
      <c r="L1008" t="s">
        <v>635</v>
      </c>
      <c r="M1008">
        <v>25</v>
      </c>
      <c r="N1008" s="195">
        <v>42005</v>
      </c>
      <c r="O1008" s="195"/>
      <c r="R1008" t="s">
        <v>168</v>
      </c>
      <c r="S1008">
        <v>1</v>
      </c>
    </row>
    <row r="1009" spans="1:19" x14ac:dyDescent="0.25">
      <c r="A1009" t="str">
        <f>TableSTRUPARTB[[#This Row],[Study Package Code]]</f>
        <v>EDUC4012</v>
      </c>
      <c r="B1009" s="5">
        <f>TableSTRUPARTB[[#This Row],[Ver]]</f>
        <v>2</v>
      </c>
      <c r="D1009" t="str">
        <f>TableSTRUPARTB[[#This Row],[Structure Line]]</f>
        <v>Relationships and Sexuality Education</v>
      </c>
      <c r="E1009" s="125">
        <f>TableSTRUPARTB[[#This Row],[Credit Points]]</f>
        <v>25</v>
      </c>
      <c r="F1009">
        <v>5</v>
      </c>
      <c r="G1009" t="s">
        <v>102</v>
      </c>
      <c r="H1009">
        <v>3</v>
      </c>
      <c r="I1009" t="s">
        <v>875</v>
      </c>
      <c r="J1009" t="s">
        <v>156</v>
      </c>
      <c r="K1009">
        <v>2</v>
      </c>
      <c r="L1009" t="s">
        <v>697</v>
      </c>
      <c r="M1009">
        <v>25</v>
      </c>
      <c r="N1009" s="195">
        <v>44927</v>
      </c>
      <c r="O1009" s="195"/>
      <c r="R1009" t="s">
        <v>156</v>
      </c>
      <c r="S1009">
        <v>2</v>
      </c>
    </row>
    <row r="1010" spans="1:19" x14ac:dyDescent="0.25">
      <c r="A1010" t="str">
        <f>TableSTRUPARTB[[#This Row],[Study Package Code]]</f>
        <v>EDUC4014</v>
      </c>
      <c r="B1010" s="5">
        <f>TableSTRUPARTB[[#This Row],[Ver]]</f>
        <v>1</v>
      </c>
      <c r="D1010" t="str">
        <f>TableSTRUPARTB[[#This Row],[Structure Line]]</f>
        <v>Diverse Abilities and Curriculum Differentiation</v>
      </c>
      <c r="E1010" s="125">
        <f>TableSTRUPARTB[[#This Row],[Credit Points]]</f>
        <v>25</v>
      </c>
      <c r="F1010">
        <v>5</v>
      </c>
      <c r="G1010" t="s">
        <v>102</v>
      </c>
      <c r="H1010">
        <v>3</v>
      </c>
      <c r="I1010" t="s">
        <v>875</v>
      </c>
      <c r="J1010" t="s">
        <v>158</v>
      </c>
      <c r="K1010">
        <v>1</v>
      </c>
      <c r="L1010" t="s">
        <v>698</v>
      </c>
      <c r="M1010">
        <v>25</v>
      </c>
      <c r="N1010" s="195">
        <v>42005</v>
      </c>
      <c r="O1010" s="195"/>
      <c r="R1010" t="s">
        <v>158</v>
      </c>
      <c r="S1010">
        <v>1</v>
      </c>
    </row>
    <row r="1011" spans="1:19" x14ac:dyDescent="0.25">
      <c r="A1011" t="str">
        <f>TableSTRUPARTB[[#This Row],[Study Package Code]]</f>
        <v>EDUC4020</v>
      </c>
      <c r="B1011" s="5">
        <f>TableSTRUPARTB[[#This Row],[Ver]]</f>
        <v>1</v>
      </c>
      <c r="D1011" t="str">
        <f>TableSTRUPARTB[[#This Row],[Structure Line]]</f>
        <v>Supporting Literacy and Numeracy Development for Diverse Learners</v>
      </c>
      <c r="E1011" s="125">
        <f>TableSTRUPARTB[[#This Row],[Credit Points]]</f>
        <v>25</v>
      </c>
      <c r="F1011">
        <v>5</v>
      </c>
      <c r="G1011" t="s">
        <v>102</v>
      </c>
      <c r="H1011">
        <v>3</v>
      </c>
      <c r="I1011" t="s">
        <v>875</v>
      </c>
      <c r="J1011" t="s">
        <v>153</v>
      </c>
      <c r="K1011">
        <v>1</v>
      </c>
      <c r="L1011" t="s">
        <v>699</v>
      </c>
      <c r="M1011">
        <v>25</v>
      </c>
      <c r="N1011" s="195">
        <v>43282</v>
      </c>
      <c r="O1011" s="195"/>
      <c r="R1011" t="s">
        <v>153</v>
      </c>
      <c r="S1011">
        <v>1</v>
      </c>
    </row>
    <row r="1012" spans="1:19" x14ac:dyDescent="0.25">
      <c r="A1012" t="str">
        <f>TableSTRUPARTB[[#This Row],[Study Package Code]]</f>
        <v>EDUC4021</v>
      </c>
      <c r="B1012" s="5">
        <f>TableSTRUPARTB[[#This Row],[Ver]]</f>
        <v>1</v>
      </c>
      <c r="D1012" t="str">
        <f>TableSTRUPARTB[[#This Row],[Structure Line]]</f>
        <v>Project-based iSTEM Education</v>
      </c>
      <c r="E1012" s="125">
        <f>TableSTRUPARTB[[#This Row],[Credit Points]]</f>
        <v>25</v>
      </c>
      <c r="F1012">
        <v>5</v>
      </c>
      <c r="G1012" t="s">
        <v>102</v>
      </c>
      <c r="H1012">
        <v>3</v>
      </c>
      <c r="I1012" t="s">
        <v>875</v>
      </c>
      <c r="J1012" t="s">
        <v>142</v>
      </c>
      <c r="K1012">
        <v>1</v>
      </c>
      <c r="L1012" t="s">
        <v>700</v>
      </c>
      <c r="M1012">
        <v>25</v>
      </c>
      <c r="N1012" s="195">
        <v>43282</v>
      </c>
      <c r="O1012" s="195"/>
      <c r="R1012" t="s">
        <v>142</v>
      </c>
      <c r="S1012">
        <v>1</v>
      </c>
    </row>
    <row r="1013" spans="1:19" x14ac:dyDescent="0.25">
      <c r="A1013" t="str">
        <f>TableSTRUPARTB[[#This Row],[Study Package Code]]</f>
        <v>EDUC4022</v>
      </c>
      <c r="B1013" s="5">
        <f>TableSTRUPARTB[[#This Row],[Ver]]</f>
        <v>1</v>
      </c>
      <c r="D1013" t="str">
        <f>TableSTRUPARTB[[#This Row],[Structure Line]]</f>
        <v>Creative Literacies</v>
      </c>
      <c r="E1013" s="125">
        <f>TableSTRUPARTB[[#This Row],[Credit Points]]</f>
        <v>25</v>
      </c>
      <c r="F1013">
        <v>5</v>
      </c>
      <c r="G1013" t="s">
        <v>102</v>
      </c>
      <c r="H1013">
        <v>3</v>
      </c>
      <c r="I1013" t="s">
        <v>875</v>
      </c>
      <c r="J1013" t="s">
        <v>147</v>
      </c>
      <c r="K1013">
        <v>1</v>
      </c>
      <c r="L1013" t="s">
        <v>701</v>
      </c>
      <c r="M1013">
        <v>25</v>
      </c>
      <c r="N1013" s="195">
        <v>43282</v>
      </c>
      <c r="O1013" s="195"/>
      <c r="R1013" t="s">
        <v>147</v>
      </c>
      <c r="S1013">
        <v>1</v>
      </c>
    </row>
    <row r="1014" spans="1:19" x14ac:dyDescent="0.25">
      <c r="A1014" t="str">
        <f>TableSTRUPARTB[[#This Row],[Study Package Code]]</f>
        <v>EDUC4023</v>
      </c>
      <c r="B1014" s="5">
        <f>TableSTRUPARTB[[#This Row],[Ver]]</f>
        <v>1</v>
      </c>
      <c r="D1014" t="str">
        <f>TableSTRUPARTB[[#This Row],[Structure Line]]</f>
        <v>Creating and Responding to Literature</v>
      </c>
      <c r="E1014" s="125">
        <f>TableSTRUPARTB[[#This Row],[Credit Points]]</f>
        <v>25</v>
      </c>
      <c r="F1014">
        <v>5</v>
      </c>
      <c r="G1014" t="s">
        <v>102</v>
      </c>
      <c r="H1014">
        <v>3</v>
      </c>
      <c r="I1014" t="s">
        <v>875</v>
      </c>
      <c r="J1014" t="s">
        <v>148</v>
      </c>
      <c r="K1014">
        <v>1</v>
      </c>
      <c r="L1014" t="s">
        <v>702</v>
      </c>
      <c r="M1014">
        <v>25</v>
      </c>
      <c r="N1014" s="195">
        <v>43282</v>
      </c>
      <c r="O1014" s="195"/>
      <c r="R1014" t="s">
        <v>148</v>
      </c>
      <c r="S1014">
        <v>1</v>
      </c>
    </row>
    <row r="1015" spans="1:19" x14ac:dyDescent="0.25">
      <c r="A1015" t="str">
        <f>TableSTRUPARTB[[#This Row],[Study Package Code]]</f>
        <v>EDUC4029</v>
      </c>
      <c r="B1015" s="5">
        <f>TableSTRUPARTB[[#This Row],[Ver]]</f>
        <v>1</v>
      </c>
      <c r="D1015" t="str">
        <f>TableSTRUPARTB[[#This Row],[Structure Line]]</f>
        <v>Technologies: Coding for Teachers</v>
      </c>
      <c r="E1015" s="125">
        <f>TableSTRUPARTB[[#This Row],[Credit Points]]</f>
        <v>25</v>
      </c>
      <c r="F1015">
        <v>5</v>
      </c>
      <c r="G1015" t="s">
        <v>102</v>
      </c>
      <c r="H1015">
        <v>3</v>
      </c>
      <c r="I1015" t="s">
        <v>875</v>
      </c>
      <c r="J1015" t="s">
        <v>160</v>
      </c>
      <c r="K1015">
        <v>1</v>
      </c>
      <c r="L1015" t="s">
        <v>703</v>
      </c>
      <c r="M1015">
        <v>25</v>
      </c>
      <c r="N1015" s="195">
        <v>43282</v>
      </c>
      <c r="O1015" s="195"/>
      <c r="R1015" t="s">
        <v>160</v>
      </c>
      <c r="S1015">
        <v>1</v>
      </c>
    </row>
    <row r="1016" spans="1:19" x14ac:dyDescent="0.25">
      <c r="A1016" t="str">
        <f>TableSTRUPARTB[[#This Row],[Study Package Code]]</f>
        <v>EDUC4031</v>
      </c>
      <c r="B1016" s="5">
        <f>TableSTRUPARTB[[#This Row],[Ver]]</f>
        <v>1</v>
      </c>
      <c r="D1016" t="str">
        <f>TableSTRUPARTB[[#This Row],[Structure Line]]</f>
        <v>Social Justice in Literacy and Numeracy Learning</v>
      </c>
      <c r="E1016" s="125">
        <f>TableSTRUPARTB[[#This Row],[Credit Points]]</f>
        <v>25</v>
      </c>
      <c r="F1016">
        <v>5</v>
      </c>
      <c r="G1016" t="s">
        <v>102</v>
      </c>
      <c r="H1016">
        <v>3</v>
      </c>
      <c r="I1016" t="s">
        <v>875</v>
      </c>
      <c r="J1016" t="s">
        <v>169</v>
      </c>
      <c r="K1016">
        <v>1</v>
      </c>
      <c r="L1016" t="s">
        <v>705</v>
      </c>
      <c r="M1016">
        <v>25</v>
      </c>
      <c r="N1016" s="195">
        <v>43282</v>
      </c>
      <c r="O1016" s="195">
        <v>44750</v>
      </c>
      <c r="R1016" t="s">
        <v>169</v>
      </c>
      <c r="S1016">
        <v>1</v>
      </c>
    </row>
    <row r="1017" spans="1:19" x14ac:dyDescent="0.25">
      <c r="A1017" t="str">
        <f>TableSTRUPARTB[[#This Row],[Study Package Code]]</f>
        <v>EDUC4032</v>
      </c>
      <c r="B1017" s="5">
        <f>TableSTRUPARTB[[#This Row],[Ver]]</f>
        <v>1</v>
      </c>
      <c r="D1017" t="str">
        <f>TableSTRUPARTB[[#This Row],[Structure Line]]</f>
        <v>iSTEM Education through Digital Stories</v>
      </c>
      <c r="E1017" s="125">
        <f>TableSTRUPARTB[[#This Row],[Credit Points]]</f>
        <v>25</v>
      </c>
      <c r="F1017">
        <v>5</v>
      </c>
      <c r="G1017" t="s">
        <v>102</v>
      </c>
      <c r="H1017">
        <v>3</v>
      </c>
      <c r="I1017" t="s">
        <v>875</v>
      </c>
      <c r="J1017" t="s">
        <v>143</v>
      </c>
      <c r="K1017">
        <v>1</v>
      </c>
      <c r="L1017" t="s">
        <v>707</v>
      </c>
      <c r="M1017">
        <v>25</v>
      </c>
      <c r="N1017" s="195">
        <v>43466</v>
      </c>
      <c r="O1017" s="195"/>
      <c r="R1017" t="s">
        <v>143</v>
      </c>
      <c r="S1017">
        <v>1</v>
      </c>
    </row>
    <row r="1018" spans="1:19" x14ac:dyDescent="0.25">
      <c r="A1018" t="str">
        <f>TableSTRUPARTB[[#This Row],[Study Package Code]]</f>
        <v>EDUC4034</v>
      </c>
      <c r="B1018" s="5">
        <f>TableSTRUPARTB[[#This Row],[Ver]]</f>
        <v>1</v>
      </c>
      <c r="D1018" t="str">
        <f>TableSTRUPARTB[[#This Row],[Structure Line]]</f>
        <v>iSTEM: Social Issues</v>
      </c>
      <c r="E1018" s="125">
        <f>TableSTRUPARTB[[#This Row],[Credit Points]]</f>
        <v>25</v>
      </c>
      <c r="F1018">
        <v>5</v>
      </c>
      <c r="G1018" t="s">
        <v>102</v>
      </c>
      <c r="H1018">
        <v>3</v>
      </c>
      <c r="I1018" t="s">
        <v>875</v>
      </c>
      <c r="J1018" t="s">
        <v>144</v>
      </c>
      <c r="K1018">
        <v>1</v>
      </c>
      <c r="L1018" t="s">
        <v>708</v>
      </c>
      <c r="M1018">
        <v>25</v>
      </c>
      <c r="N1018" s="195">
        <v>43466</v>
      </c>
      <c r="O1018" s="195"/>
      <c r="R1018" t="s">
        <v>144</v>
      </c>
      <c r="S1018">
        <v>1</v>
      </c>
    </row>
    <row r="1019" spans="1:19" x14ac:dyDescent="0.25">
      <c r="A1019" t="str">
        <f>TableSTRUPARTB[[#This Row],[Study Package Code]]</f>
        <v>EDUC4036</v>
      </c>
      <c r="B1019" s="5">
        <f>TableSTRUPARTB[[#This Row],[Ver]]</f>
        <v>1</v>
      </c>
      <c r="D1019" t="str">
        <f>TableSTRUPARTB[[#This Row],[Structure Line]]</f>
        <v>Language and Diversity</v>
      </c>
      <c r="E1019" s="125">
        <f>TableSTRUPARTB[[#This Row],[Credit Points]]</f>
        <v>25</v>
      </c>
      <c r="F1019">
        <v>5</v>
      </c>
      <c r="G1019" t="s">
        <v>102</v>
      </c>
      <c r="H1019">
        <v>3</v>
      </c>
      <c r="I1019" t="s">
        <v>875</v>
      </c>
      <c r="J1019" t="s">
        <v>149</v>
      </c>
      <c r="K1019">
        <v>1</v>
      </c>
      <c r="L1019" t="s">
        <v>709</v>
      </c>
      <c r="M1019">
        <v>25</v>
      </c>
      <c r="N1019" s="195">
        <v>43466</v>
      </c>
      <c r="O1019" s="195"/>
      <c r="R1019" t="s">
        <v>149</v>
      </c>
      <c r="S1019">
        <v>1</v>
      </c>
    </row>
    <row r="1020" spans="1:19" x14ac:dyDescent="0.25">
      <c r="A1020" t="str">
        <f>TableSTRUPARTB[[#This Row],[Study Package Code]]</f>
        <v>EDUC4038</v>
      </c>
      <c r="B1020" s="5">
        <f>TableSTRUPARTB[[#This Row],[Ver]]</f>
        <v>1</v>
      </c>
      <c r="D1020" t="str">
        <f>TableSTRUPARTB[[#This Row],[Structure Line]]</f>
        <v>Technologies: Design Solutions</v>
      </c>
      <c r="E1020" s="125">
        <f>TableSTRUPARTB[[#This Row],[Credit Points]]</f>
        <v>25</v>
      </c>
      <c r="F1020">
        <v>5</v>
      </c>
      <c r="G1020" t="s">
        <v>102</v>
      </c>
      <c r="H1020">
        <v>3</v>
      </c>
      <c r="I1020" t="s">
        <v>875</v>
      </c>
      <c r="J1020" t="s">
        <v>161</v>
      </c>
      <c r="K1020" s="196">
        <v>1</v>
      </c>
      <c r="L1020" s="196" t="s">
        <v>710</v>
      </c>
      <c r="M1020" s="196">
        <v>25</v>
      </c>
      <c r="N1020" s="195">
        <v>43466</v>
      </c>
      <c r="O1020" s="195"/>
      <c r="R1020" t="s">
        <v>161</v>
      </c>
      <c r="S1020">
        <v>1</v>
      </c>
    </row>
    <row r="1021" spans="1:19" x14ac:dyDescent="0.25">
      <c r="A1021" t="str">
        <f>TableSTRUPARTB[[#This Row],[Study Package Code]]</f>
        <v>EDUC4042</v>
      </c>
      <c r="B1021" s="5">
        <f>TableSTRUPARTB[[#This Row],[Ver]]</f>
        <v>1</v>
      </c>
      <c r="D1021" t="str">
        <f>TableSTRUPARTB[[#This Row],[Structure Line]]</f>
        <v>Alternative Approaches to Teaching Literacy and Numeracy</v>
      </c>
      <c r="E1021" s="125">
        <f>TableSTRUPARTB[[#This Row],[Credit Points]]</f>
        <v>25</v>
      </c>
      <c r="F1021">
        <v>5</v>
      </c>
      <c r="G1021" t="s">
        <v>102</v>
      </c>
      <c r="H1021">
        <v>3</v>
      </c>
      <c r="I1021" t="s">
        <v>875</v>
      </c>
      <c r="J1021" t="s">
        <v>155</v>
      </c>
      <c r="K1021">
        <v>1</v>
      </c>
      <c r="L1021" t="s">
        <v>713</v>
      </c>
      <c r="M1021">
        <v>25</v>
      </c>
      <c r="N1021" s="195">
        <v>43466</v>
      </c>
      <c r="O1021" s="195"/>
      <c r="R1021" t="s">
        <v>155</v>
      </c>
      <c r="S1021">
        <v>1</v>
      </c>
    </row>
    <row r="1022" spans="1:19" x14ac:dyDescent="0.25">
      <c r="A1022" t="str">
        <f>TableSTRUPARTB[[#This Row],[Study Package Code]]</f>
        <v>EDUC4044</v>
      </c>
      <c r="B1022" s="5">
        <f>TableSTRUPARTB[[#This Row],[Ver]]</f>
        <v>2</v>
      </c>
      <c r="D1022" t="str">
        <f>TableSTRUPARTB[[#This Row],[Structure Line]]</f>
        <v>Literacy and Numeracy for First Nations Peoples of Australia</v>
      </c>
      <c r="E1022" s="125">
        <f>TableSTRUPARTB[[#This Row],[Credit Points]]</f>
        <v>25</v>
      </c>
      <c r="F1022">
        <v>5</v>
      </c>
      <c r="G1022" t="s">
        <v>102</v>
      </c>
      <c r="H1022">
        <v>3</v>
      </c>
      <c r="I1022" t="s">
        <v>875</v>
      </c>
      <c r="J1022" t="s">
        <v>157</v>
      </c>
      <c r="K1022">
        <v>2</v>
      </c>
      <c r="L1022" t="s">
        <v>714</v>
      </c>
      <c r="M1022">
        <v>25</v>
      </c>
      <c r="N1022" s="195">
        <v>44927</v>
      </c>
      <c r="O1022" s="195"/>
      <c r="R1022" t="s">
        <v>157</v>
      </c>
      <c r="S1022">
        <v>1</v>
      </c>
    </row>
    <row r="1023" spans="1:19" x14ac:dyDescent="0.25">
      <c r="A1023" t="str">
        <f>TableSTRUPARTB[[#This Row],[Study Package Code]]</f>
        <v>EDUC4046</v>
      </c>
      <c r="B1023" s="5">
        <f>TableSTRUPARTB[[#This Row],[Ver]]</f>
        <v>1</v>
      </c>
      <c r="D1023" t="str">
        <f>TableSTRUPARTB[[#This Row],[Structure Line]]</f>
        <v>Technologies: Digital Solutions</v>
      </c>
      <c r="E1023" s="125">
        <f>TableSTRUPARTB[[#This Row],[Credit Points]]</f>
        <v>25</v>
      </c>
      <c r="F1023">
        <v>5</v>
      </c>
      <c r="G1023" t="s">
        <v>102</v>
      </c>
      <c r="H1023">
        <v>3</v>
      </c>
      <c r="I1023" t="s">
        <v>875</v>
      </c>
      <c r="J1023" t="s">
        <v>162</v>
      </c>
      <c r="K1023">
        <v>1</v>
      </c>
      <c r="L1023" t="s">
        <v>715</v>
      </c>
      <c r="M1023">
        <v>25</v>
      </c>
      <c r="N1023" s="195">
        <v>43466</v>
      </c>
      <c r="O1023" s="195"/>
      <c r="R1023" t="s">
        <v>162</v>
      </c>
      <c r="S1023">
        <v>1</v>
      </c>
    </row>
    <row r="1024" spans="1:19" x14ac:dyDescent="0.25">
      <c r="A1024" t="str">
        <f>TableSTRUPARTB[[#This Row],[Study Package Code]]</f>
        <v>EDUC4048</v>
      </c>
      <c r="B1024" s="5">
        <f>TableSTRUPARTB[[#This Row],[Ver]]</f>
        <v>1</v>
      </c>
      <c r="D1024" t="str">
        <f>TableSTRUPARTB[[#This Row],[Structure Line]]</f>
        <v>Mentoring, Coaching and Tutoring</v>
      </c>
      <c r="E1024" s="125">
        <f>TableSTRUPARTB[[#This Row],[Credit Points]]</f>
        <v>25</v>
      </c>
      <c r="F1024">
        <v>5</v>
      </c>
      <c r="G1024" t="s">
        <v>102</v>
      </c>
      <c r="H1024">
        <v>3</v>
      </c>
      <c r="I1024" t="s">
        <v>875</v>
      </c>
      <c r="J1024" t="s">
        <v>117</v>
      </c>
      <c r="K1024">
        <v>1</v>
      </c>
      <c r="L1024" t="s">
        <v>716</v>
      </c>
      <c r="M1024">
        <v>25</v>
      </c>
      <c r="N1024" s="195">
        <v>43466</v>
      </c>
      <c r="O1024" s="195"/>
      <c r="R1024" t="s">
        <v>117</v>
      </c>
      <c r="S1024">
        <v>1</v>
      </c>
    </row>
    <row r="1025" spans="1:19" x14ac:dyDescent="0.25">
      <c r="A1025" s="122"/>
      <c r="B1025" s="124"/>
      <c r="C1025" s="122"/>
      <c r="G1025" s="123" t="s">
        <v>855</v>
      </c>
      <c r="H1025" s="199" t="s">
        <v>901</v>
      </c>
      <c r="J1025" s="197" t="s">
        <v>261</v>
      </c>
      <c r="K1025" s="124" t="s">
        <v>67</v>
      </c>
      <c r="L1025" s="122" t="s">
        <v>359</v>
      </c>
      <c r="M1025" s="122"/>
    </row>
    <row r="1026" spans="1:19" ht="31.5" x14ac:dyDescent="0.25">
      <c r="A1026" s="159" t="s">
        <v>0</v>
      </c>
      <c r="B1026" s="160" t="s">
        <v>60</v>
      </c>
      <c r="C1026" s="159" t="s">
        <v>856</v>
      </c>
      <c r="D1026" s="159" t="s">
        <v>3</v>
      </c>
      <c r="E1026" s="161" t="s">
        <v>857</v>
      </c>
      <c r="F1026" s="159" t="s">
        <v>858</v>
      </c>
      <c r="G1026" s="159" t="s">
        <v>859</v>
      </c>
      <c r="H1026" s="159" t="s">
        <v>860</v>
      </c>
      <c r="I1026" s="159" t="s">
        <v>17</v>
      </c>
      <c r="J1026" s="159" t="s">
        <v>861</v>
      </c>
      <c r="K1026" s="159" t="s">
        <v>1</v>
      </c>
      <c r="L1026" s="159" t="s">
        <v>44</v>
      </c>
      <c r="M1026" s="159" t="s">
        <v>61</v>
      </c>
      <c r="N1026" s="159" t="s">
        <v>862</v>
      </c>
      <c r="O1026" s="159" t="s">
        <v>863</v>
      </c>
      <c r="R1026" t="s">
        <v>538</v>
      </c>
      <c r="S1026" t="s">
        <v>864</v>
      </c>
    </row>
    <row r="1027" spans="1:19" x14ac:dyDescent="0.25">
      <c r="A1027" t="str">
        <f>TableSTRUPARTM[[#This Row],[Study Package Code]]</f>
        <v>SPRO1000</v>
      </c>
      <c r="B1027" s="5">
        <f>TableSTRUPARTM[[#This Row],[Ver]]</f>
        <v>2</v>
      </c>
      <c r="D1027" t="str">
        <f>TableSTRUPARTM[[#This Row],[Structure Line]]</f>
        <v>Introduction to Screen Industries</v>
      </c>
      <c r="E1027" s="125">
        <f>TableSTRUPARTM[[#This Row],[Credit Points]]</f>
        <v>25</v>
      </c>
      <c r="F1027">
        <v>1</v>
      </c>
      <c r="G1027" t="s">
        <v>865</v>
      </c>
      <c r="H1027">
        <v>1</v>
      </c>
      <c r="I1027" t="s">
        <v>529</v>
      </c>
      <c r="J1027" t="s">
        <v>327</v>
      </c>
      <c r="K1027">
        <v>2</v>
      </c>
      <c r="L1027" t="s">
        <v>816</v>
      </c>
      <c r="M1027">
        <v>25</v>
      </c>
      <c r="N1027" s="195">
        <v>43831</v>
      </c>
      <c r="O1027" s="195"/>
      <c r="R1027" t="s">
        <v>327</v>
      </c>
      <c r="S1027">
        <v>2</v>
      </c>
    </row>
    <row r="1028" spans="1:19" x14ac:dyDescent="0.25">
      <c r="A1028" t="str">
        <f>TableSTRUPARTM[[#This Row],[Study Package Code]]</f>
        <v>THTR1001</v>
      </c>
      <c r="B1028" s="5">
        <f>TableSTRUPARTM[[#This Row],[Ver]]</f>
        <v>1</v>
      </c>
      <c r="D1028" t="str">
        <f>TableSTRUPARTM[[#This Row],[Structure Line]]</f>
        <v>Acting Fundamentals</v>
      </c>
      <c r="E1028" s="125">
        <f>TableSTRUPARTM[[#This Row],[Credit Points]]</f>
        <v>25</v>
      </c>
      <c r="F1028">
        <v>2</v>
      </c>
      <c r="G1028" t="s">
        <v>865</v>
      </c>
      <c r="H1028">
        <v>2</v>
      </c>
      <c r="I1028" t="s">
        <v>528</v>
      </c>
      <c r="J1028" t="s">
        <v>326</v>
      </c>
      <c r="K1028">
        <v>1</v>
      </c>
      <c r="L1028" t="s">
        <v>833</v>
      </c>
      <c r="M1028">
        <v>25</v>
      </c>
      <c r="N1028" s="195">
        <v>42005</v>
      </c>
      <c r="O1028" s="195"/>
      <c r="R1028" t="s">
        <v>326</v>
      </c>
      <c r="S1028">
        <v>1</v>
      </c>
    </row>
    <row r="1029" spans="1:19" x14ac:dyDescent="0.25">
      <c r="A1029" t="str">
        <f>TableSTRUPARTM[[#This Row],[Study Package Code]]</f>
        <v>SPRO2000</v>
      </c>
      <c r="B1029" s="5">
        <f>TableSTRUPARTM[[#This Row],[Ver]]</f>
        <v>3</v>
      </c>
      <c r="D1029" t="str">
        <f>TableSTRUPARTM[[#This Row],[Structure Line]]</f>
        <v>Studio Production</v>
      </c>
      <c r="E1029" s="125">
        <f>TableSTRUPARTM[[#This Row],[Credit Points]]</f>
        <v>25</v>
      </c>
      <c r="F1029">
        <v>3</v>
      </c>
      <c r="G1029" t="s">
        <v>865</v>
      </c>
      <c r="H1029">
        <v>2</v>
      </c>
      <c r="I1029" t="s">
        <v>529</v>
      </c>
      <c r="J1029" t="s">
        <v>349</v>
      </c>
      <c r="K1029">
        <v>3</v>
      </c>
      <c r="L1029" t="s">
        <v>817</v>
      </c>
      <c r="M1029">
        <v>25</v>
      </c>
      <c r="N1029" s="195">
        <v>44927</v>
      </c>
      <c r="O1029" s="195"/>
      <c r="R1029" t="s">
        <v>349</v>
      </c>
      <c r="S1029">
        <v>3</v>
      </c>
    </row>
    <row r="1030" spans="1:19" x14ac:dyDescent="0.25">
      <c r="A1030" t="str">
        <f>TableSTRUPARTM[[#This Row],[Study Package Code]]</f>
        <v>EDSC4032</v>
      </c>
      <c r="B1030" s="5">
        <f>TableSTRUPARTM[[#This Row],[Ver]]</f>
        <v>1</v>
      </c>
      <c r="D1030" t="str">
        <f>TableSTRUPARTM[[#This Row],[Structure Line]]</f>
        <v>Curriculum and Instruction Lower Secondary: The Arts</v>
      </c>
      <c r="E1030" s="125">
        <f>TableSTRUPARTM[[#This Row],[Credit Points]]</f>
        <v>25</v>
      </c>
      <c r="F1030">
        <v>4</v>
      </c>
      <c r="G1030" t="s">
        <v>865</v>
      </c>
      <c r="H1030">
        <v>3</v>
      </c>
      <c r="I1030" t="s">
        <v>528</v>
      </c>
      <c r="J1030" t="s">
        <v>318</v>
      </c>
      <c r="K1030">
        <v>1</v>
      </c>
      <c r="L1030" t="s">
        <v>680</v>
      </c>
      <c r="M1030">
        <v>25</v>
      </c>
      <c r="N1030" s="195">
        <v>43466</v>
      </c>
      <c r="O1030" s="195"/>
      <c r="R1030" t="s">
        <v>318</v>
      </c>
      <c r="S1030">
        <v>1</v>
      </c>
    </row>
    <row r="1031" spans="1:19" x14ac:dyDescent="0.25">
      <c r="A1031" t="str">
        <f>TableSTRUPARTM[[#This Row],[Study Package Code]]</f>
        <v>THTR2004</v>
      </c>
      <c r="B1031" s="5">
        <f>TableSTRUPARTM[[#This Row],[Ver]]</f>
        <v>1</v>
      </c>
      <c r="D1031" t="str">
        <f>TableSTRUPARTM[[#This Row],[Structure Line]]</f>
        <v>Voice for the Actor</v>
      </c>
      <c r="E1031" s="125">
        <f>TableSTRUPARTM[[#This Row],[Credit Points]]</f>
        <v>25</v>
      </c>
      <c r="F1031">
        <v>5</v>
      </c>
      <c r="G1031" t="s">
        <v>865</v>
      </c>
      <c r="H1031">
        <v>3</v>
      </c>
      <c r="I1031" t="s">
        <v>528</v>
      </c>
      <c r="J1031" t="s">
        <v>483</v>
      </c>
      <c r="K1031">
        <v>1</v>
      </c>
      <c r="L1031" t="s">
        <v>837</v>
      </c>
      <c r="M1031">
        <v>25</v>
      </c>
      <c r="N1031" s="195">
        <v>42005</v>
      </c>
      <c r="O1031" s="195"/>
      <c r="R1031" t="s">
        <v>483</v>
      </c>
      <c r="S1031">
        <v>1</v>
      </c>
    </row>
    <row r="1032" spans="1:19" x14ac:dyDescent="0.25">
      <c r="A1032" t="str">
        <f>TableSTRUPARTM[[#This Row],[Study Package Code]]</f>
        <v>EDSC4028</v>
      </c>
      <c r="B1032" s="5">
        <f>TableSTRUPARTM[[#This Row],[Ver]]</f>
        <v>2</v>
      </c>
      <c r="D1032" t="str">
        <f>TableSTRUPARTM[[#This Row],[Structure Line]]</f>
        <v>Curriculum and Instruction Senior Secondary: The Arts</v>
      </c>
      <c r="E1032" s="125">
        <f>TableSTRUPARTM[[#This Row],[Credit Points]]</f>
        <v>25</v>
      </c>
      <c r="F1032">
        <v>6</v>
      </c>
      <c r="G1032" t="s">
        <v>865</v>
      </c>
      <c r="H1032">
        <v>3</v>
      </c>
      <c r="I1032" t="s">
        <v>529</v>
      </c>
      <c r="J1032" t="s">
        <v>341</v>
      </c>
      <c r="K1032">
        <v>2</v>
      </c>
      <c r="L1032" t="s">
        <v>678</v>
      </c>
      <c r="M1032">
        <v>25</v>
      </c>
      <c r="N1032" s="195">
        <v>43831</v>
      </c>
      <c r="O1032" s="195"/>
      <c r="R1032" t="s">
        <v>341</v>
      </c>
      <c r="S1032">
        <v>2</v>
      </c>
    </row>
    <row r="1033" spans="1:19" x14ac:dyDescent="0.25">
      <c r="A1033" s="122"/>
      <c r="B1033" s="124"/>
      <c r="C1033" s="122"/>
      <c r="G1033" s="123" t="s">
        <v>855</v>
      </c>
      <c r="H1033" s="199">
        <v>43466</v>
      </c>
      <c r="J1033" s="197" t="s">
        <v>362</v>
      </c>
      <c r="K1033" s="124" t="s">
        <v>200</v>
      </c>
      <c r="L1033" s="122" t="s">
        <v>361</v>
      </c>
      <c r="M1033" s="122"/>
    </row>
    <row r="1034" spans="1:19" ht="31.5" x14ac:dyDescent="0.25">
      <c r="A1034" s="159" t="s">
        <v>0</v>
      </c>
      <c r="B1034" s="160" t="s">
        <v>60</v>
      </c>
      <c r="C1034" s="159" t="s">
        <v>856</v>
      </c>
      <c r="D1034" s="159" t="s">
        <v>3</v>
      </c>
      <c r="E1034" s="161" t="s">
        <v>857</v>
      </c>
      <c r="F1034" s="159" t="s">
        <v>858</v>
      </c>
      <c r="G1034" s="159" t="s">
        <v>859</v>
      </c>
      <c r="H1034" s="159" t="s">
        <v>860</v>
      </c>
      <c r="I1034" s="159" t="s">
        <v>17</v>
      </c>
      <c r="J1034" s="159" t="s">
        <v>861</v>
      </c>
      <c r="K1034" s="159" t="s">
        <v>1</v>
      </c>
      <c r="L1034" s="159" t="s">
        <v>44</v>
      </c>
      <c r="M1034" s="159" t="s">
        <v>61</v>
      </c>
      <c r="N1034" s="159" t="s">
        <v>862</v>
      </c>
      <c r="O1034" s="159" t="s">
        <v>863</v>
      </c>
      <c r="R1034" t="s">
        <v>538</v>
      </c>
      <c r="S1034" t="s">
        <v>864</v>
      </c>
    </row>
    <row r="1035" spans="1:19" x14ac:dyDescent="0.25">
      <c r="A1035" t="str">
        <f>TableSTRUPOLB1[[#This Row],[Study Package Code]]</f>
        <v>EDUC1027</v>
      </c>
      <c r="B1035" s="5">
        <f>TableSTRUPOLB1[[#This Row],[Ver]]</f>
        <v>1</v>
      </c>
      <c r="D1035" t="str">
        <f>TableSTRUPOLB1[[#This Row],[Structure Line]]</f>
        <v>Educators Inquiring About the World</v>
      </c>
      <c r="E1035" s="125">
        <f>TableSTRUPOLB1[[#This Row],[Credit Points]]</f>
        <v>25</v>
      </c>
      <c r="F1035">
        <v>1</v>
      </c>
      <c r="G1035" t="s">
        <v>865</v>
      </c>
      <c r="H1035">
        <v>1</v>
      </c>
      <c r="I1035" t="s">
        <v>529</v>
      </c>
      <c r="J1035" t="s">
        <v>53</v>
      </c>
      <c r="K1035">
        <v>1</v>
      </c>
      <c r="L1035" t="s">
        <v>688</v>
      </c>
      <c r="M1035">
        <v>25</v>
      </c>
      <c r="N1035" s="195">
        <v>43466</v>
      </c>
      <c r="O1035" s="195"/>
      <c r="R1035" t="s">
        <v>53</v>
      </c>
      <c r="S1035">
        <v>1</v>
      </c>
    </row>
    <row r="1036" spans="1:19" x14ac:dyDescent="0.25">
      <c r="A1036" t="str">
        <f>TableSTRUPOLB1[[#This Row],[Study Package Code]]</f>
        <v>ECON1000</v>
      </c>
      <c r="B1036" s="5">
        <f>TableSTRUPOLB1[[#This Row],[Ver]]</f>
        <v>1</v>
      </c>
      <c r="D1036" t="str">
        <f>TableSTRUPOLB1[[#This Row],[Structure Line]]</f>
        <v>Introductory Economics</v>
      </c>
      <c r="E1036" s="125">
        <f>TableSTRUPOLB1[[#This Row],[Credit Points]]</f>
        <v>25</v>
      </c>
      <c r="F1036">
        <v>2</v>
      </c>
      <c r="G1036" t="s">
        <v>865</v>
      </c>
      <c r="H1036">
        <v>2</v>
      </c>
      <c r="I1036" t="s">
        <v>528</v>
      </c>
      <c r="J1036" t="s">
        <v>304</v>
      </c>
      <c r="K1036">
        <v>1</v>
      </c>
      <c r="L1036" t="s">
        <v>599</v>
      </c>
      <c r="M1036">
        <v>25</v>
      </c>
      <c r="N1036" s="195">
        <v>42005</v>
      </c>
      <c r="O1036" s="195"/>
      <c r="R1036" t="s">
        <v>304</v>
      </c>
      <c r="S1036">
        <v>1</v>
      </c>
    </row>
    <row r="1037" spans="1:19" x14ac:dyDescent="0.25">
      <c r="A1037" t="str">
        <f>TableSTRUPOLB1[[#This Row],[Study Package Code]]</f>
        <v>HIST2000</v>
      </c>
      <c r="B1037" s="5">
        <f>TableSTRUPOLB1[[#This Row],[Ver]]</f>
        <v>2</v>
      </c>
      <c r="D1037" t="str">
        <f>TableSTRUPOLB1[[#This Row],[Structure Line]]</f>
        <v>Social Change in Contemporary Australian History</v>
      </c>
      <c r="E1037" s="125">
        <f>TableSTRUPOLB1[[#This Row],[Credit Points]]</f>
        <v>25</v>
      </c>
      <c r="F1037">
        <v>3</v>
      </c>
      <c r="G1037" t="s">
        <v>865</v>
      </c>
      <c r="H1037">
        <v>2</v>
      </c>
      <c r="I1037" t="s">
        <v>529</v>
      </c>
      <c r="J1037" t="s">
        <v>354</v>
      </c>
      <c r="K1037">
        <v>2</v>
      </c>
      <c r="L1037" t="s">
        <v>730</v>
      </c>
      <c r="M1037">
        <v>25</v>
      </c>
      <c r="N1037" s="195">
        <v>44562</v>
      </c>
      <c r="O1037" s="195"/>
      <c r="R1037" t="s">
        <v>354</v>
      </c>
      <c r="S1037">
        <v>2</v>
      </c>
    </row>
    <row r="1038" spans="1:19" x14ac:dyDescent="0.25">
      <c r="A1038" t="str">
        <f>TableSTRUPOLB1[[#This Row],[Study Package Code]]</f>
        <v>GEOG2001</v>
      </c>
      <c r="B1038" s="5">
        <f>TableSTRUPOLB1[[#This Row],[Ver]]</f>
        <v>1</v>
      </c>
      <c r="D1038" t="str">
        <f>TableSTRUPOLB1[[#This Row],[Structure Line]]</f>
        <v>Geographies of Food Security</v>
      </c>
      <c r="E1038" s="125">
        <f>TableSTRUPOLB1[[#This Row],[Credit Points]]</f>
        <v>25</v>
      </c>
      <c r="F1038">
        <v>4</v>
      </c>
      <c r="G1038" t="s">
        <v>865</v>
      </c>
      <c r="H1038">
        <v>3</v>
      </c>
      <c r="I1038" t="s">
        <v>528</v>
      </c>
      <c r="J1038" t="s">
        <v>369</v>
      </c>
      <c r="K1038">
        <v>1</v>
      </c>
      <c r="L1038" t="s">
        <v>727</v>
      </c>
      <c r="M1038">
        <v>25</v>
      </c>
      <c r="N1038" s="195">
        <v>42005</v>
      </c>
      <c r="O1038" s="195"/>
      <c r="R1038" t="s">
        <v>369</v>
      </c>
      <c r="S1038">
        <v>1</v>
      </c>
    </row>
    <row r="1039" spans="1:19" x14ac:dyDescent="0.25">
      <c r="A1039" t="str">
        <f>TableSTRUPOLB1[[#This Row],[Study Package Code]]</f>
        <v>OptionStream</v>
      </c>
      <c r="B1039" s="5">
        <f>TableSTRUPOLB1[[#This Row],[Ver]]</f>
        <v>0</v>
      </c>
      <c r="D1039" t="str">
        <f>TableSTRUPOLB1[[#This Row],[Structure Line]]</f>
        <v>Choose your Year 3 Optional unit</v>
      </c>
      <c r="E1039" s="125">
        <f>TableSTRUPOLB1[[#This Row],[Credit Points]]</f>
        <v>25</v>
      </c>
      <c r="F1039">
        <v>5</v>
      </c>
      <c r="G1039" t="s">
        <v>102</v>
      </c>
      <c r="H1039">
        <v>3</v>
      </c>
      <c r="I1039" t="s">
        <v>875</v>
      </c>
      <c r="J1039" t="s">
        <v>886</v>
      </c>
      <c r="K1039">
        <v>0</v>
      </c>
      <c r="L1039" t="s">
        <v>902</v>
      </c>
      <c r="M1039">
        <v>25</v>
      </c>
      <c r="N1039" s="195"/>
      <c r="O1039" s="195"/>
      <c r="R1039" t="s">
        <v>886</v>
      </c>
      <c r="S1039">
        <v>0</v>
      </c>
    </row>
    <row r="1040" spans="1:19" x14ac:dyDescent="0.25">
      <c r="A1040" t="str">
        <f>TableSTRUPOLB1[[#This Row],[Study Package Code]]</f>
        <v>EDPR3003</v>
      </c>
      <c r="B1040" s="5">
        <f>TableSTRUPOLB1[[#This Row],[Ver]]</f>
        <v>2</v>
      </c>
      <c r="D1040" t="str">
        <f>TableSTRUPOLB1[[#This Row],[Structure Line]]</f>
        <v>Inquiry in the Humanities and Social Sciences Classroom</v>
      </c>
      <c r="E1040" s="125">
        <f>TableSTRUPOLB1[[#This Row],[Credit Points]]</f>
        <v>25</v>
      </c>
      <c r="F1040">
        <v>6</v>
      </c>
      <c r="G1040" t="s">
        <v>865</v>
      </c>
      <c r="H1040">
        <v>3</v>
      </c>
      <c r="I1040" t="s">
        <v>529</v>
      </c>
      <c r="J1040" t="s">
        <v>112</v>
      </c>
      <c r="K1040">
        <v>2</v>
      </c>
      <c r="L1040" t="s">
        <v>645</v>
      </c>
      <c r="M1040">
        <v>25</v>
      </c>
      <c r="N1040" s="195">
        <v>43466</v>
      </c>
      <c r="O1040" s="195"/>
      <c r="R1040" t="s">
        <v>112</v>
      </c>
      <c r="S1040">
        <v>2</v>
      </c>
    </row>
    <row r="1041" spans="1:19" x14ac:dyDescent="0.25">
      <c r="A1041" t="str">
        <f>TableSTRUPOLB1[[#This Row],[Study Package Code]]</f>
        <v>CTED4000</v>
      </c>
      <c r="B1041" s="5">
        <f>TableSTRUPOLB1[[#This Row],[Ver]]</f>
        <v>1</v>
      </c>
      <c r="D1041" t="str">
        <f>TableSTRUPOLB1[[#This Row],[Structure Line]]</f>
        <v>An Introduction to Catholic Education</v>
      </c>
      <c r="E1041" s="125">
        <f>TableSTRUPOLB1[[#This Row],[Credit Points]]</f>
        <v>25</v>
      </c>
      <c r="F1041">
        <v>5</v>
      </c>
      <c r="G1041" t="s">
        <v>102</v>
      </c>
      <c r="H1041">
        <v>3</v>
      </c>
      <c r="I1041" t="s">
        <v>875</v>
      </c>
      <c r="J1041" t="s">
        <v>171</v>
      </c>
      <c r="K1041">
        <v>1</v>
      </c>
      <c r="L1041" t="s">
        <v>583</v>
      </c>
      <c r="M1041">
        <v>25</v>
      </c>
      <c r="N1041" s="195">
        <v>42005</v>
      </c>
      <c r="O1041" s="195"/>
      <c r="R1041" t="s">
        <v>171</v>
      </c>
      <c r="S1041">
        <v>1</v>
      </c>
    </row>
    <row r="1042" spans="1:19" x14ac:dyDescent="0.25">
      <c r="A1042" t="str">
        <f>TableSTRUPOLB1[[#This Row],[Study Package Code]]</f>
        <v>CTED4001</v>
      </c>
      <c r="B1042" s="5">
        <f>TableSTRUPOLB1[[#This Row],[Ver]]</f>
        <v>2</v>
      </c>
      <c r="D1042" t="str">
        <f>TableSTRUPOLB1[[#This Row],[Structure Line]]</f>
        <v>Teaching About Sacraments in Catholic Schools</v>
      </c>
      <c r="E1042" s="125">
        <f>TableSTRUPOLB1[[#This Row],[Credit Points]]</f>
        <v>25</v>
      </c>
      <c r="F1042">
        <v>5</v>
      </c>
      <c r="G1042" t="s">
        <v>102</v>
      </c>
      <c r="H1042">
        <v>3</v>
      </c>
      <c r="I1042" t="s">
        <v>875</v>
      </c>
      <c r="J1042" t="s">
        <v>150</v>
      </c>
      <c r="K1042">
        <v>2</v>
      </c>
      <c r="L1042" t="s">
        <v>585</v>
      </c>
      <c r="M1042">
        <v>25</v>
      </c>
      <c r="N1042" s="195">
        <v>45292</v>
      </c>
      <c r="O1042" s="195"/>
      <c r="R1042" t="s">
        <v>150</v>
      </c>
      <c r="S1042">
        <v>1</v>
      </c>
    </row>
    <row r="1043" spans="1:19" x14ac:dyDescent="0.25">
      <c r="A1043" t="str">
        <f>TableSTRUPOLB1[[#This Row],[Study Package Code]]</f>
        <v>CTED4002</v>
      </c>
      <c r="B1043" s="5">
        <f>TableSTRUPOLB1[[#This Row],[Ver]]</f>
        <v>2</v>
      </c>
      <c r="D1043" t="str">
        <f>TableSTRUPOLB1[[#This Row],[Structure Line]]</f>
        <v>Prayer and Morality in Catholic Studies</v>
      </c>
      <c r="E1043" s="125">
        <f>TableSTRUPOLB1[[#This Row],[Credit Points]]</f>
        <v>25</v>
      </c>
      <c r="F1043">
        <v>5</v>
      </c>
      <c r="G1043" t="s">
        <v>102</v>
      </c>
      <c r="H1043">
        <v>3</v>
      </c>
      <c r="I1043" t="s">
        <v>875</v>
      </c>
      <c r="J1043" t="s">
        <v>172</v>
      </c>
      <c r="K1043">
        <v>2</v>
      </c>
      <c r="L1043" t="s">
        <v>591</v>
      </c>
      <c r="M1043">
        <v>25</v>
      </c>
      <c r="N1043" s="195">
        <v>44197</v>
      </c>
      <c r="O1043" s="195"/>
      <c r="R1043" t="s">
        <v>172</v>
      </c>
      <c r="S1043">
        <v>2</v>
      </c>
    </row>
    <row r="1044" spans="1:19" x14ac:dyDescent="0.25">
      <c r="A1044" t="str">
        <f>TableSTRUPOLB1[[#This Row],[Study Package Code]]</f>
        <v>CTED4006</v>
      </c>
      <c r="B1044" s="5">
        <f>TableSTRUPOLB1[[#This Row],[Ver]]</f>
        <v>1</v>
      </c>
      <c r="D1044" t="str">
        <f>TableSTRUPOLB1[[#This Row],[Structure Line]]</f>
        <v>Teaching About Jesus in Catholic Schools</v>
      </c>
      <c r="E1044" s="125">
        <f>TableSTRUPOLB1[[#This Row],[Credit Points]]</f>
        <v>25</v>
      </c>
      <c r="F1044">
        <v>5</v>
      </c>
      <c r="G1044" t="s">
        <v>102</v>
      </c>
      <c r="H1044">
        <v>3</v>
      </c>
      <c r="I1044" t="s">
        <v>875</v>
      </c>
      <c r="J1044" t="s">
        <v>152</v>
      </c>
      <c r="K1044">
        <v>1</v>
      </c>
      <c r="L1044" t="s">
        <v>592</v>
      </c>
      <c r="M1044">
        <v>25</v>
      </c>
      <c r="N1044" s="195">
        <v>45292</v>
      </c>
      <c r="O1044" s="195"/>
    </row>
    <row r="1045" spans="1:19" x14ac:dyDescent="0.25">
      <c r="A1045" t="str">
        <f>TableSTRUPOLB1[[#This Row],[Study Package Code]]</f>
        <v>CTED4008</v>
      </c>
      <c r="B1045" s="5">
        <f>TableSTRUPOLB1[[#This Row],[Ver]]</f>
        <v>1</v>
      </c>
      <c r="D1045" t="str">
        <f>TableSTRUPOLB1[[#This Row],[Structure Line]]</f>
        <v>Teaching About the Gospels in Catholic Schools</v>
      </c>
      <c r="E1045" s="125">
        <f>TableSTRUPOLB1[[#This Row],[Credit Points]]</f>
        <v>25</v>
      </c>
      <c r="F1045">
        <v>5</v>
      </c>
      <c r="G1045" t="s">
        <v>102</v>
      </c>
      <c r="H1045">
        <v>3</v>
      </c>
      <c r="I1045" t="s">
        <v>875</v>
      </c>
      <c r="J1045" t="s">
        <v>154</v>
      </c>
      <c r="K1045">
        <v>1</v>
      </c>
      <c r="L1045" t="s">
        <v>593</v>
      </c>
      <c r="M1045">
        <v>25</v>
      </c>
      <c r="N1045" s="195">
        <v>45292</v>
      </c>
      <c r="O1045" s="195"/>
    </row>
    <row r="1046" spans="1:19" x14ac:dyDescent="0.25">
      <c r="A1046" t="str">
        <f>TableSTRUPOLB1[[#This Row],[Study Package Code]]</f>
        <v>EDIB4000</v>
      </c>
      <c r="B1046" s="5">
        <f>TableSTRUPOLB1[[#This Row],[Ver]]</f>
        <v>1</v>
      </c>
      <c r="D1046" t="str">
        <f>TableSTRUPOLB1[[#This Row],[Structure Line]]</f>
        <v>Introduction to the International Baccalaureate Programme</v>
      </c>
      <c r="E1046" s="125">
        <f>TableSTRUPOLB1[[#This Row],[Credit Points]]</f>
        <v>25</v>
      </c>
      <c r="F1046">
        <v>5</v>
      </c>
      <c r="G1046" t="s">
        <v>102</v>
      </c>
      <c r="H1046">
        <v>3</v>
      </c>
      <c r="I1046" t="s">
        <v>875</v>
      </c>
      <c r="J1046" t="s">
        <v>166</v>
      </c>
      <c r="K1046">
        <v>1</v>
      </c>
      <c r="L1046" t="s">
        <v>631</v>
      </c>
      <c r="M1046">
        <v>25</v>
      </c>
      <c r="N1046" s="195">
        <v>42005</v>
      </c>
      <c r="O1046" s="195"/>
      <c r="R1046" t="s">
        <v>166</v>
      </c>
      <c r="S1046">
        <v>1</v>
      </c>
    </row>
    <row r="1047" spans="1:19" x14ac:dyDescent="0.25">
      <c r="A1047" t="str">
        <f>TableSTRUPOLB1[[#This Row],[Study Package Code]]</f>
        <v>EDIB4002</v>
      </c>
      <c r="B1047" s="5">
        <f>TableSTRUPOLB1[[#This Row],[Ver]]</f>
        <v>1</v>
      </c>
      <c r="D1047" t="str">
        <f>TableSTRUPOLB1[[#This Row],[Structure Line]]</f>
        <v>International Baccalaureate Middle Years Programme</v>
      </c>
      <c r="E1047" s="125">
        <f>TableSTRUPOLB1[[#This Row],[Credit Points]]</f>
        <v>25</v>
      </c>
      <c r="F1047">
        <v>5</v>
      </c>
      <c r="G1047" t="s">
        <v>102</v>
      </c>
      <c r="H1047">
        <v>3</v>
      </c>
      <c r="I1047" t="s">
        <v>875</v>
      </c>
      <c r="J1047" t="s">
        <v>170</v>
      </c>
      <c r="K1047">
        <v>1</v>
      </c>
      <c r="L1047" t="s">
        <v>634</v>
      </c>
      <c r="M1047">
        <v>25</v>
      </c>
      <c r="N1047" s="195">
        <v>42005</v>
      </c>
      <c r="O1047" s="195"/>
      <c r="R1047" t="s">
        <v>170</v>
      </c>
      <c r="S1047">
        <v>1</v>
      </c>
    </row>
    <row r="1048" spans="1:19" x14ac:dyDescent="0.25">
      <c r="A1048" t="str">
        <f>TableSTRUPOLB1[[#This Row],[Study Package Code]]</f>
        <v>EDIB4003</v>
      </c>
      <c r="B1048" s="5">
        <f>TableSTRUPOLB1[[#This Row],[Ver]]</f>
        <v>1</v>
      </c>
      <c r="D1048" t="str">
        <f>TableSTRUPOLB1[[#This Row],[Structure Line]]</f>
        <v>The International Baccalaureate in Action</v>
      </c>
      <c r="E1048" s="125">
        <f>TableSTRUPOLB1[[#This Row],[Credit Points]]</f>
        <v>25</v>
      </c>
      <c r="F1048">
        <v>5</v>
      </c>
      <c r="G1048" t="s">
        <v>102</v>
      </c>
      <c r="H1048">
        <v>3</v>
      </c>
      <c r="I1048" t="s">
        <v>875</v>
      </c>
      <c r="J1048" t="s">
        <v>168</v>
      </c>
      <c r="K1048">
        <v>1</v>
      </c>
      <c r="L1048" t="s">
        <v>635</v>
      </c>
      <c r="M1048">
        <v>25</v>
      </c>
      <c r="N1048" s="195">
        <v>42005</v>
      </c>
      <c r="O1048" s="195"/>
      <c r="R1048" t="s">
        <v>168</v>
      </c>
      <c r="S1048">
        <v>1</v>
      </c>
    </row>
    <row r="1049" spans="1:19" x14ac:dyDescent="0.25">
      <c r="A1049" t="str">
        <f>TableSTRUPOLB1[[#This Row],[Study Package Code]]</f>
        <v>EDUC4012</v>
      </c>
      <c r="B1049" s="5">
        <f>TableSTRUPOLB1[[#This Row],[Ver]]</f>
        <v>2</v>
      </c>
      <c r="D1049" t="str">
        <f>TableSTRUPOLB1[[#This Row],[Structure Line]]</f>
        <v>Relationships and Sexuality Education</v>
      </c>
      <c r="E1049" s="125">
        <f>TableSTRUPOLB1[[#This Row],[Credit Points]]</f>
        <v>25</v>
      </c>
      <c r="F1049">
        <v>5</v>
      </c>
      <c r="G1049" t="s">
        <v>102</v>
      </c>
      <c r="H1049">
        <v>3</v>
      </c>
      <c r="I1049" t="s">
        <v>875</v>
      </c>
      <c r="J1049" t="s">
        <v>156</v>
      </c>
      <c r="K1049">
        <v>2</v>
      </c>
      <c r="L1049" t="s">
        <v>697</v>
      </c>
      <c r="M1049">
        <v>25</v>
      </c>
      <c r="N1049" s="195">
        <v>44927</v>
      </c>
      <c r="O1049" s="195"/>
      <c r="R1049" t="s">
        <v>156</v>
      </c>
      <c r="S1049">
        <v>2</v>
      </c>
    </row>
    <row r="1050" spans="1:19" x14ac:dyDescent="0.25">
      <c r="A1050" t="str">
        <f>TableSTRUPOLB1[[#This Row],[Study Package Code]]</f>
        <v>EDUC4014</v>
      </c>
      <c r="B1050" s="5">
        <f>TableSTRUPOLB1[[#This Row],[Ver]]</f>
        <v>1</v>
      </c>
      <c r="D1050" t="str">
        <f>TableSTRUPOLB1[[#This Row],[Structure Line]]</f>
        <v>Diverse Abilities and Curriculum Differentiation</v>
      </c>
      <c r="E1050" s="125">
        <f>TableSTRUPOLB1[[#This Row],[Credit Points]]</f>
        <v>25</v>
      </c>
      <c r="F1050">
        <v>5</v>
      </c>
      <c r="G1050" t="s">
        <v>102</v>
      </c>
      <c r="H1050">
        <v>3</v>
      </c>
      <c r="I1050" t="s">
        <v>875</v>
      </c>
      <c r="J1050" t="s">
        <v>158</v>
      </c>
      <c r="K1050">
        <v>1</v>
      </c>
      <c r="L1050" t="s">
        <v>698</v>
      </c>
      <c r="M1050">
        <v>25</v>
      </c>
      <c r="N1050" s="195">
        <v>42005</v>
      </c>
      <c r="O1050" s="195"/>
      <c r="R1050" t="s">
        <v>158</v>
      </c>
      <c r="S1050">
        <v>1</v>
      </c>
    </row>
    <row r="1051" spans="1:19" x14ac:dyDescent="0.25">
      <c r="A1051" t="str">
        <f>TableSTRUPOLB1[[#This Row],[Study Package Code]]</f>
        <v>EDUC4020</v>
      </c>
      <c r="B1051" s="5">
        <f>TableSTRUPOLB1[[#This Row],[Ver]]</f>
        <v>1</v>
      </c>
      <c r="D1051" t="str">
        <f>TableSTRUPOLB1[[#This Row],[Structure Line]]</f>
        <v>Supporting Literacy and Numeracy Development for Diverse Learners</v>
      </c>
      <c r="E1051" s="125">
        <f>TableSTRUPOLB1[[#This Row],[Credit Points]]</f>
        <v>25</v>
      </c>
      <c r="F1051">
        <v>5</v>
      </c>
      <c r="G1051" t="s">
        <v>102</v>
      </c>
      <c r="H1051">
        <v>3</v>
      </c>
      <c r="I1051" t="s">
        <v>875</v>
      </c>
      <c r="J1051" t="s">
        <v>153</v>
      </c>
      <c r="K1051">
        <v>1</v>
      </c>
      <c r="L1051" t="s">
        <v>699</v>
      </c>
      <c r="M1051">
        <v>25</v>
      </c>
      <c r="N1051" s="195">
        <v>43282</v>
      </c>
      <c r="O1051" s="195"/>
      <c r="R1051" t="s">
        <v>153</v>
      </c>
      <c r="S1051">
        <v>1</v>
      </c>
    </row>
    <row r="1052" spans="1:19" x14ac:dyDescent="0.25">
      <c r="A1052" t="str">
        <f>TableSTRUPOLB1[[#This Row],[Study Package Code]]</f>
        <v>EDUC4021</v>
      </c>
      <c r="B1052" s="5">
        <f>TableSTRUPOLB1[[#This Row],[Ver]]</f>
        <v>1</v>
      </c>
      <c r="D1052" t="str">
        <f>TableSTRUPOLB1[[#This Row],[Structure Line]]</f>
        <v>Project-based iSTEM Education</v>
      </c>
      <c r="E1052" s="125">
        <f>TableSTRUPOLB1[[#This Row],[Credit Points]]</f>
        <v>25</v>
      </c>
      <c r="F1052">
        <v>5</v>
      </c>
      <c r="G1052" t="s">
        <v>102</v>
      </c>
      <c r="H1052">
        <v>3</v>
      </c>
      <c r="I1052" t="s">
        <v>875</v>
      </c>
      <c r="J1052" t="s">
        <v>142</v>
      </c>
      <c r="K1052">
        <v>1</v>
      </c>
      <c r="L1052" t="s">
        <v>700</v>
      </c>
      <c r="M1052">
        <v>25</v>
      </c>
      <c r="N1052" s="195">
        <v>43282</v>
      </c>
      <c r="O1052" s="195"/>
      <c r="R1052" t="s">
        <v>142</v>
      </c>
      <c r="S1052">
        <v>1</v>
      </c>
    </row>
    <row r="1053" spans="1:19" x14ac:dyDescent="0.25">
      <c r="A1053" t="str">
        <f>TableSTRUPOLB1[[#This Row],[Study Package Code]]</f>
        <v>EDUC4022</v>
      </c>
      <c r="B1053" s="5">
        <f>TableSTRUPOLB1[[#This Row],[Ver]]</f>
        <v>1</v>
      </c>
      <c r="D1053" t="str">
        <f>TableSTRUPOLB1[[#This Row],[Structure Line]]</f>
        <v>Creative Literacies</v>
      </c>
      <c r="E1053" s="125">
        <f>TableSTRUPOLB1[[#This Row],[Credit Points]]</f>
        <v>25</v>
      </c>
      <c r="F1053">
        <v>5</v>
      </c>
      <c r="G1053" t="s">
        <v>102</v>
      </c>
      <c r="H1053">
        <v>3</v>
      </c>
      <c r="I1053" t="s">
        <v>875</v>
      </c>
      <c r="J1053" t="s">
        <v>147</v>
      </c>
      <c r="K1053">
        <v>1</v>
      </c>
      <c r="L1053" t="s">
        <v>701</v>
      </c>
      <c r="M1053">
        <v>25</v>
      </c>
      <c r="N1053" s="195">
        <v>43282</v>
      </c>
      <c r="O1053" s="195"/>
      <c r="R1053" t="s">
        <v>147</v>
      </c>
      <c r="S1053">
        <v>1</v>
      </c>
    </row>
    <row r="1054" spans="1:19" x14ac:dyDescent="0.25">
      <c r="A1054" t="str">
        <f>TableSTRUPOLB1[[#This Row],[Study Package Code]]</f>
        <v>EDUC4023</v>
      </c>
      <c r="B1054" s="5">
        <f>TableSTRUPOLB1[[#This Row],[Ver]]</f>
        <v>1</v>
      </c>
      <c r="D1054" t="str">
        <f>TableSTRUPOLB1[[#This Row],[Structure Line]]</f>
        <v>Creating and Responding to Literature</v>
      </c>
      <c r="E1054" s="125">
        <f>TableSTRUPOLB1[[#This Row],[Credit Points]]</f>
        <v>25</v>
      </c>
      <c r="F1054">
        <v>5</v>
      </c>
      <c r="G1054" t="s">
        <v>102</v>
      </c>
      <c r="H1054">
        <v>3</v>
      </c>
      <c r="I1054" t="s">
        <v>875</v>
      </c>
      <c r="J1054" t="s">
        <v>148</v>
      </c>
      <c r="K1054">
        <v>1</v>
      </c>
      <c r="L1054" t="s">
        <v>702</v>
      </c>
      <c r="M1054">
        <v>25</v>
      </c>
      <c r="N1054" s="195">
        <v>43282</v>
      </c>
      <c r="O1054" s="195"/>
      <c r="R1054" t="s">
        <v>148</v>
      </c>
      <c r="S1054">
        <v>1</v>
      </c>
    </row>
    <row r="1055" spans="1:19" x14ac:dyDescent="0.25">
      <c r="A1055" t="str">
        <f>TableSTRUPOLB1[[#This Row],[Study Package Code]]</f>
        <v>EDUC4029</v>
      </c>
      <c r="B1055" s="5">
        <f>TableSTRUPOLB1[[#This Row],[Ver]]</f>
        <v>1</v>
      </c>
      <c r="D1055" t="str">
        <f>TableSTRUPOLB1[[#This Row],[Structure Line]]</f>
        <v>Technologies: Coding for Teachers</v>
      </c>
      <c r="E1055" s="125">
        <f>TableSTRUPOLB1[[#This Row],[Credit Points]]</f>
        <v>25</v>
      </c>
      <c r="F1055">
        <v>5</v>
      </c>
      <c r="G1055" t="s">
        <v>102</v>
      </c>
      <c r="H1055">
        <v>3</v>
      </c>
      <c r="I1055" t="s">
        <v>875</v>
      </c>
      <c r="J1055" t="s">
        <v>160</v>
      </c>
      <c r="K1055">
        <v>1</v>
      </c>
      <c r="L1055" t="s">
        <v>703</v>
      </c>
      <c r="M1055">
        <v>25</v>
      </c>
      <c r="N1055" s="195">
        <v>43282</v>
      </c>
      <c r="O1055" s="195"/>
      <c r="R1055" t="s">
        <v>160</v>
      </c>
      <c r="S1055">
        <v>1</v>
      </c>
    </row>
    <row r="1056" spans="1:19" x14ac:dyDescent="0.25">
      <c r="A1056" t="str">
        <f>TableSTRUPOLB1[[#This Row],[Study Package Code]]</f>
        <v>EDUC4031</v>
      </c>
      <c r="B1056" s="5">
        <f>TableSTRUPOLB1[[#This Row],[Ver]]</f>
        <v>1</v>
      </c>
      <c r="D1056" t="str">
        <f>TableSTRUPOLB1[[#This Row],[Structure Line]]</f>
        <v>Social Justice in Literacy and Numeracy Learning</v>
      </c>
      <c r="E1056" s="125">
        <f>TableSTRUPOLB1[[#This Row],[Credit Points]]</f>
        <v>25</v>
      </c>
      <c r="F1056">
        <v>5</v>
      </c>
      <c r="G1056" t="s">
        <v>102</v>
      </c>
      <c r="H1056">
        <v>3</v>
      </c>
      <c r="I1056" t="s">
        <v>875</v>
      </c>
      <c r="J1056" t="s">
        <v>169</v>
      </c>
      <c r="K1056">
        <v>1</v>
      </c>
      <c r="L1056" t="s">
        <v>705</v>
      </c>
      <c r="M1056">
        <v>25</v>
      </c>
      <c r="N1056" s="195">
        <v>43282</v>
      </c>
      <c r="O1056" s="195">
        <v>44750</v>
      </c>
      <c r="R1056" t="s">
        <v>169</v>
      </c>
      <c r="S1056">
        <v>1</v>
      </c>
    </row>
    <row r="1057" spans="1:19" x14ac:dyDescent="0.25">
      <c r="A1057" t="str">
        <f>TableSTRUPOLB1[[#This Row],[Study Package Code]]</f>
        <v>EDUC4032</v>
      </c>
      <c r="B1057" s="5">
        <f>TableSTRUPOLB1[[#This Row],[Ver]]</f>
        <v>1</v>
      </c>
      <c r="D1057" t="str">
        <f>TableSTRUPOLB1[[#This Row],[Structure Line]]</f>
        <v>iSTEM Education through Digital Stories</v>
      </c>
      <c r="E1057" s="125">
        <f>TableSTRUPOLB1[[#This Row],[Credit Points]]</f>
        <v>25</v>
      </c>
      <c r="F1057">
        <v>5</v>
      </c>
      <c r="G1057" t="s">
        <v>102</v>
      </c>
      <c r="H1057">
        <v>3</v>
      </c>
      <c r="I1057" t="s">
        <v>875</v>
      </c>
      <c r="J1057" t="s">
        <v>143</v>
      </c>
      <c r="K1057">
        <v>1</v>
      </c>
      <c r="L1057" t="s">
        <v>707</v>
      </c>
      <c r="M1057">
        <v>25</v>
      </c>
      <c r="N1057" s="195">
        <v>43466</v>
      </c>
      <c r="O1057" s="195"/>
      <c r="R1057" t="s">
        <v>143</v>
      </c>
      <c r="S1057">
        <v>1</v>
      </c>
    </row>
    <row r="1058" spans="1:19" x14ac:dyDescent="0.25">
      <c r="A1058" t="str">
        <f>TableSTRUPOLB1[[#This Row],[Study Package Code]]</f>
        <v>EDUC4034</v>
      </c>
      <c r="B1058" s="5">
        <f>TableSTRUPOLB1[[#This Row],[Ver]]</f>
        <v>1</v>
      </c>
      <c r="D1058" t="str">
        <f>TableSTRUPOLB1[[#This Row],[Structure Line]]</f>
        <v>iSTEM: Social Issues</v>
      </c>
      <c r="E1058" s="125">
        <f>TableSTRUPOLB1[[#This Row],[Credit Points]]</f>
        <v>25</v>
      </c>
      <c r="F1058">
        <v>5</v>
      </c>
      <c r="G1058" t="s">
        <v>102</v>
      </c>
      <c r="H1058">
        <v>3</v>
      </c>
      <c r="I1058" t="s">
        <v>875</v>
      </c>
      <c r="J1058" t="s">
        <v>144</v>
      </c>
      <c r="K1058">
        <v>1</v>
      </c>
      <c r="L1058" t="s">
        <v>708</v>
      </c>
      <c r="M1058">
        <v>25</v>
      </c>
      <c r="N1058" s="195">
        <v>43466</v>
      </c>
      <c r="O1058" s="195"/>
      <c r="R1058" t="s">
        <v>144</v>
      </c>
      <c r="S1058">
        <v>1</v>
      </c>
    </row>
    <row r="1059" spans="1:19" x14ac:dyDescent="0.25">
      <c r="A1059" t="str">
        <f>TableSTRUPOLB1[[#This Row],[Study Package Code]]</f>
        <v>EDUC4036</v>
      </c>
      <c r="B1059" s="5">
        <f>TableSTRUPOLB1[[#This Row],[Ver]]</f>
        <v>1</v>
      </c>
      <c r="D1059" t="str">
        <f>TableSTRUPOLB1[[#This Row],[Structure Line]]</f>
        <v>Language and Diversity</v>
      </c>
      <c r="E1059" s="125">
        <f>TableSTRUPOLB1[[#This Row],[Credit Points]]</f>
        <v>25</v>
      </c>
      <c r="F1059">
        <v>5</v>
      </c>
      <c r="G1059" t="s">
        <v>102</v>
      </c>
      <c r="H1059">
        <v>3</v>
      </c>
      <c r="I1059" t="s">
        <v>875</v>
      </c>
      <c r="J1059" t="s">
        <v>149</v>
      </c>
      <c r="K1059">
        <v>1</v>
      </c>
      <c r="L1059" t="s">
        <v>709</v>
      </c>
      <c r="M1059">
        <v>25</v>
      </c>
      <c r="N1059" s="195">
        <v>43466</v>
      </c>
      <c r="O1059" s="195"/>
      <c r="R1059" t="s">
        <v>149</v>
      </c>
      <c r="S1059">
        <v>1</v>
      </c>
    </row>
    <row r="1060" spans="1:19" x14ac:dyDescent="0.25">
      <c r="A1060" t="str">
        <f>TableSTRUPOLB1[[#This Row],[Study Package Code]]</f>
        <v>EDUC4038</v>
      </c>
      <c r="B1060" s="5">
        <f>TableSTRUPOLB1[[#This Row],[Ver]]</f>
        <v>1</v>
      </c>
      <c r="D1060" t="str">
        <f>TableSTRUPOLB1[[#This Row],[Structure Line]]</f>
        <v>Technologies: Design Solutions</v>
      </c>
      <c r="E1060" s="125">
        <f>TableSTRUPOLB1[[#This Row],[Credit Points]]</f>
        <v>25</v>
      </c>
      <c r="F1060">
        <v>5</v>
      </c>
      <c r="G1060" t="s">
        <v>102</v>
      </c>
      <c r="H1060">
        <v>3</v>
      </c>
      <c r="I1060" t="s">
        <v>875</v>
      </c>
      <c r="J1060" t="s">
        <v>161</v>
      </c>
      <c r="K1060" s="196">
        <v>1</v>
      </c>
      <c r="L1060" s="196" t="s">
        <v>710</v>
      </c>
      <c r="M1060">
        <v>25</v>
      </c>
      <c r="N1060" s="195">
        <v>43466</v>
      </c>
      <c r="O1060" s="195"/>
      <c r="R1060" t="s">
        <v>161</v>
      </c>
      <c r="S1060">
        <v>1</v>
      </c>
    </row>
    <row r="1061" spans="1:19" x14ac:dyDescent="0.25">
      <c r="A1061" t="str">
        <f>TableSTRUPOLB1[[#This Row],[Study Package Code]]</f>
        <v>EDUC4042</v>
      </c>
      <c r="B1061" s="5">
        <f>TableSTRUPOLB1[[#This Row],[Ver]]</f>
        <v>1</v>
      </c>
      <c r="D1061" t="str">
        <f>TableSTRUPOLB1[[#This Row],[Structure Line]]</f>
        <v>Alternative Approaches to Teaching Literacy and Numeracy</v>
      </c>
      <c r="E1061" s="125">
        <f>TableSTRUPOLB1[[#This Row],[Credit Points]]</f>
        <v>25</v>
      </c>
      <c r="F1061">
        <v>5</v>
      </c>
      <c r="G1061" t="s">
        <v>102</v>
      </c>
      <c r="H1061">
        <v>3</v>
      </c>
      <c r="I1061" t="s">
        <v>875</v>
      </c>
      <c r="J1061" t="s">
        <v>155</v>
      </c>
      <c r="K1061">
        <v>1</v>
      </c>
      <c r="L1061" t="s">
        <v>713</v>
      </c>
      <c r="M1061">
        <v>25</v>
      </c>
      <c r="N1061" s="195">
        <v>43466</v>
      </c>
      <c r="O1061" s="195"/>
      <c r="R1061" t="s">
        <v>155</v>
      </c>
      <c r="S1061">
        <v>1</v>
      </c>
    </row>
    <row r="1062" spans="1:19" x14ac:dyDescent="0.25">
      <c r="A1062" t="str">
        <f>TableSTRUPOLB1[[#This Row],[Study Package Code]]</f>
        <v>EDUC4044</v>
      </c>
      <c r="B1062" s="5">
        <f>TableSTRUPOLB1[[#This Row],[Ver]]</f>
        <v>2</v>
      </c>
      <c r="D1062" t="str">
        <f>TableSTRUPOLB1[[#This Row],[Structure Line]]</f>
        <v>Literacy and Numeracy for First Nations Peoples of Australia</v>
      </c>
      <c r="E1062" s="125">
        <f>TableSTRUPOLB1[[#This Row],[Credit Points]]</f>
        <v>25</v>
      </c>
      <c r="F1062">
        <v>5</v>
      </c>
      <c r="G1062" t="s">
        <v>102</v>
      </c>
      <c r="H1062">
        <v>3</v>
      </c>
      <c r="I1062" t="s">
        <v>875</v>
      </c>
      <c r="J1062" t="s">
        <v>157</v>
      </c>
      <c r="K1062">
        <v>2</v>
      </c>
      <c r="L1062" t="s">
        <v>714</v>
      </c>
      <c r="M1062">
        <v>25</v>
      </c>
      <c r="N1062" s="195">
        <v>44927</v>
      </c>
      <c r="O1062" s="195"/>
      <c r="R1062" t="s">
        <v>157</v>
      </c>
      <c r="S1062">
        <v>1</v>
      </c>
    </row>
    <row r="1063" spans="1:19" x14ac:dyDescent="0.25">
      <c r="A1063" t="str">
        <f>TableSTRUPOLB1[[#This Row],[Study Package Code]]</f>
        <v>EDUC4046</v>
      </c>
      <c r="B1063" s="5">
        <f>TableSTRUPOLB1[[#This Row],[Ver]]</f>
        <v>1</v>
      </c>
      <c r="D1063" t="str">
        <f>TableSTRUPOLB1[[#This Row],[Structure Line]]</f>
        <v>Technologies: Digital Solutions</v>
      </c>
      <c r="E1063" s="125">
        <f>TableSTRUPOLB1[[#This Row],[Credit Points]]</f>
        <v>25</v>
      </c>
      <c r="F1063">
        <v>5</v>
      </c>
      <c r="G1063" t="s">
        <v>102</v>
      </c>
      <c r="H1063">
        <v>3</v>
      </c>
      <c r="I1063" t="s">
        <v>875</v>
      </c>
      <c r="J1063" t="s">
        <v>162</v>
      </c>
      <c r="K1063">
        <v>1</v>
      </c>
      <c r="L1063" t="s">
        <v>715</v>
      </c>
      <c r="M1063">
        <v>25</v>
      </c>
      <c r="N1063" s="195">
        <v>43466</v>
      </c>
      <c r="O1063" s="195"/>
      <c r="R1063" t="s">
        <v>162</v>
      </c>
      <c r="S1063">
        <v>1</v>
      </c>
    </row>
    <row r="1064" spans="1:19" x14ac:dyDescent="0.25">
      <c r="A1064" t="str">
        <f>TableSTRUPOLB1[[#This Row],[Study Package Code]]</f>
        <v>EDUC4048</v>
      </c>
      <c r="B1064" s="5">
        <f>TableSTRUPOLB1[[#This Row],[Ver]]</f>
        <v>1</v>
      </c>
      <c r="D1064" t="str">
        <f>TableSTRUPOLB1[[#This Row],[Structure Line]]</f>
        <v>Mentoring, Coaching and Tutoring</v>
      </c>
      <c r="E1064" s="125">
        <f>TableSTRUPOLB1[[#This Row],[Credit Points]]</f>
        <v>25</v>
      </c>
      <c r="F1064">
        <v>5</v>
      </c>
      <c r="G1064" t="s">
        <v>102</v>
      </c>
      <c r="H1064">
        <v>3</v>
      </c>
      <c r="I1064" t="s">
        <v>875</v>
      </c>
      <c r="J1064" t="s">
        <v>117</v>
      </c>
      <c r="K1064">
        <v>1</v>
      </c>
      <c r="L1064" t="s">
        <v>716</v>
      </c>
      <c r="M1064">
        <v>25</v>
      </c>
      <c r="N1064" s="195">
        <v>43466</v>
      </c>
      <c r="O1064" s="195"/>
      <c r="R1064" t="s">
        <v>117</v>
      </c>
      <c r="S1064">
        <v>1</v>
      </c>
    </row>
    <row r="1065" spans="1:19" x14ac:dyDescent="0.25">
      <c r="A1065" s="122"/>
      <c r="B1065" s="124"/>
      <c r="C1065" s="122"/>
      <c r="G1065" s="123" t="s">
        <v>855</v>
      </c>
      <c r="H1065" s="199">
        <v>43101</v>
      </c>
      <c r="J1065" s="197" t="s">
        <v>208</v>
      </c>
      <c r="K1065" s="124" t="s">
        <v>67</v>
      </c>
      <c r="L1065" s="122" t="s">
        <v>376</v>
      </c>
      <c r="M1065" s="122"/>
    </row>
    <row r="1066" spans="1:19" ht="31.5" x14ac:dyDescent="0.25">
      <c r="A1066" s="159" t="s">
        <v>0</v>
      </c>
      <c r="B1066" s="160" t="s">
        <v>60</v>
      </c>
      <c r="C1066" s="159" t="s">
        <v>856</v>
      </c>
      <c r="D1066" s="159" t="s">
        <v>3</v>
      </c>
      <c r="E1066" s="161" t="s">
        <v>857</v>
      </c>
      <c r="F1066" s="159" t="s">
        <v>858</v>
      </c>
      <c r="G1066" s="159" t="s">
        <v>859</v>
      </c>
      <c r="H1066" s="159" t="s">
        <v>860</v>
      </c>
      <c r="I1066" s="159" t="s">
        <v>17</v>
      </c>
      <c r="J1066" s="159" t="s">
        <v>861</v>
      </c>
      <c r="K1066" s="159" t="s">
        <v>1</v>
      </c>
      <c r="L1066" s="159" t="s">
        <v>44</v>
      </c>
      <c r="M1066" s="159" t="s">
        <v>61</v>
      </c>
      <c r="N1066" s="159" t="s">
        <v>862</v>
      </c>
      <c r="O1066" s="159" t="s">
        <v>863</v>
      </c>
      <c r="R1066" t="s">
        <v>538</v>
      </c>
      <c r="S1066" t="s">
        <v>864</v>
      </c>
    </row>
    <row r="1067" spans="1:19" x14ac:dyDescent="0.25">
      <c r="A1067" t="str">
        <f>TableSTRUPSCIM[[#This Row],[Study Package Code]]</f>
        <v>CHEM1000</v>
      </c>
      <c r="B1067" s="5">
        <f>TableSTRUPSCIM[[#This Row],[Ver]]</f>
        <v>1</v>
      </c>
      <c r="D1067" t="str">
        <f>TableSTRUPSCIM[[#This Row],[Structure Line]]</f>
        <v>Principles and Processes in Chemistry</v>
      </c>
      <c r="E1067" s="125">
        <f>TableSTRUPSCIM[[#This Row],[Credit Points]]</f>
        <v>25</v>
      </c>
      <c r="F1067">
        <v>1</v>
      </c>
      <c r="G1067" t="s">
        <v>865</v>
      </c>
      <c r="H1067">
        <v>1</v>
      </c>
      <c r="I1067" t="s">
        <v>529</v>
      </c>
      <c r="J1067" t="s">
        <v>310</v>
      </c>
      <c r="K1067">
        <v>1</v>
      </c>
      <c r="L1067" t="s">
        <v>567</v>
      </c>
      <c r="M1067">
        <v>25</v>
      </c>
      <c r="N1067" s="195">
        <v>42005</v>
      </c>
      <c r="O1067" s="195"/>
      <c r="R1067" t="s">
        <v>310</v>
      </c>
      <c r="S1067">
        <v>1</v>
      </c>
    </row>
    <row r="1068" spans="1:19" x14ac:dyDescent="0.25">
      <c r="A1068" t="str">
        <f>TableSTRUPSCIM[[#This Row],[Study Package Code]]</f>
        <v>PHYS1005</v>
      </c>
      <c r="B1068" s="5">
        <f>TableSTRUPSCIM[[#This Row],[Ver]]</f>
        <v>1</v>
      </c>
      <c r="D1068" t="str">
        <f>TableSTRUPSCIM[[#This Row],[Structure Line]]</f>
        <v>Physics 1</v>
      </c>
      <c r="E1068" s="125">
        <f>TableSTRUPSCIM[[#This Row],[Credit Points]]</f>
        <v>25</v>
      </c>
      <c r="F1068">
        <v>2</v>
      </c>
      <c r="G1068" t="s">
        <v>865</v>
      </c>
      <c r="H1068">
        <v>2</v>
      </c>
      <c r="I1068" t="s">
        <v>528</v>
      </c>
      <c r="J1068" t="s">
        <v>477</v>
      </c>
      <c r="K1068">
        <v>1</v>
      </c>
      <c r="L1068" t="s">
        <v>790</v>
      </c>
      <c r="M1068">
        <v>25</v>
      </c>
      <c r="N1068" s="195">
        <v>42005</v>
      </c>
      <c r="O1068" s="195"/>
      <c r="R1068" t="s">
        <v>477</v>
      </c>
      <c r="S1068">
        <v>1</v>
      </c>
    </row>
    <row r="1069" spans="1:19" x14ac:dyDescent="0.25">
      <c r="A1069" t="str">
        <f>TableSTRUPSCIM[[#This Row],[Study Package Code]]</f>
        <v>CHEM2001</v>
      </c>
      <c r="B1069" s="5">
        <f>TableSTRUPSCIM[[#This Row],[Ver]]</f>
        <v>1</v>
      </c>
      <c r="D1069" t="str">
        <f>TableSTRUPSCIM[[#This Row],[Structure Line]]</f>
        <v>Materials Chemistry</v>
      </c>
      <c r="E1069" s="125">
        <f>TableSTRUPSCIM[[#This Row],[Credit Points]]</f>
        <v>25</v>
      </c>
      <c r="F1069">
        <v>3</v>
      </c>
      <c r="G1069" t="s">
        <v>865</v>
      </c>
      <c r="H1069">
        <v>2</v>
      </c>
      <c r="I1069" t="s">
        <v>529</v>
      </c>
      <c r="J1069" t="s">
        <v>490</v>
      </c>
      <c r="K1069">
        <v>1</v>
      </c>
      <c r="L1069" t="s">
        <v>573</v>
      </c>
      <c r="M1069">
        <v>25</v>
      </c>
      <c r="N1069" s="195">
        <v>42005</v>
      </c>
      <c r="O1069" s="195"/>
      <c r="R1069" t="s">
        <v>490</v>
      </c>
      <c r="S1069">
        <v>1</v>
      </c>
    </row>
    <row r="1070" spans="1:19" x14ac:dyDescent="0.25">
      <c r="A1070" t="str">
        <f>TableSTRUPSCIM[[#This Row],[Study Package Code]]</f>
        <v>ATOC2000</v>
      </c>
      <c r="B1070" s="5">
        <f>TableSTRUPSCIM[[#This Row],[Ver]]</f>
        <v>2</v>
      </c>
      <c r="D1070" t="str">
        <f>TableSTRUPSCIM[[#This Row],[Structure Line]]</f>
        <v>Atmospheric and Oceanographic Sciences</v>
      </c>
      <c r="E1070" s="125">
        <f>TableSTRUPSCIM[[#This Row],[Credit Points]]</f>
        <v>25</v>
      </c>
      <c r="F1070">
        <v>4</v>
      </c>
      <c r="G1070" t="s">
        <v>865</v>
      </c>
      <c r="H1070">
        <v>3</v>
      </c>
      <c r="I1070" t="s">
        <v>528</v>
      </c>
      <c r="J1070" t="s">
        <v>503</v>
      </c>
      <c r="K1070">
        <v>2</v>
      </c>
      <c r="L1070" t="s">
        <v>556</v>
      </c>
      <c r="M1070">
        <v>25</v>
      </c>
      <c r="N1070" s="195">
        <v>43831</v>
      </c>
      <c r="O1070" s="195"/>
      <c r="R1070" t="s">
        <v>503</v>
      </c>
      <c r="S1070">
        <v>2</v>
      </c>
    </row>
    <row r="1071" spans="1:19" x14ac:dyDescent="0.25">
      <c r="A1071" t="str">
        <f>TableSTRUPSCIM[[#This Row],[Study Package Code]]</f>
        <v>EDSC4022</v>
      </c>
      <c r="B1071" s="5">
        <f>TableSTRUPSCIM[[#This Row],[Ver]]</f>
        <v>1</v>
      </c>
      <c r="D1071" t="str">
        <f>TableSTRUPSCIM[[#This Row],[Structure Line]]</f>
        <v>Curriculum and Instruction Lower Secondary: Science</v>
      </c>
      <c r="E1071" s="125">
        <f>TableSTRUPSCIM[[#This Row],[Credit Points]]</f>
        <v>25</v>
      </c>
      <c r="F1071">
        <v>5</v>
      </c>
      <c r="G1071" t="s">
        <v>865</v>
      </c>
      <c r="H1071">
        <v>3</v>
      </c>
      <c r="I1071" t="s">
        <v>528</v>
      </c>
      <c r="J1071" t="s">
        <v>317</v>
      </c>
      <c r="K1071">
        <v>1</v>
      </c>
      <c r="L1071" t="s">
        <v>674</v>
      </c>
      <c r="M1071">
        <v>25</v>
      </c>
      <c r="N1071" s="195">
        <v>43466</v>
      </c>
      <c r="O1071" s="195"/>
      <c r="R1071" t="s">
        <v>317</v>
      </c>
      <c r="S1071">
        <v>1</v>
      </c>
    </row>
    <row r="1072" spans="1:19" x14ac:dyDescent="0.25">
      <c r="A1072" t="str">
        <f>TableSTRUPSCIM[[#This Row],[Study Package Code]]</f>
        <v>EDSC4023</v>
      </c>
      <c r="B1072" s="5">
        <f>TableSTRUPSCIM[[#This Row],[Ver]]</f>
        <v>2</v>
      </c>
      <c r="D1072" t="str">
        <f>TableSTRUPSCIM[[#This Row],[Structure Line]]</f>
        <v>Curriculum and Instruction Senior Secondary: Science</v>
      </c>
      <c r="E1072" s="125">
        <f>TableSTRUPSCIM[[#This Row],[Credit Points]]</f>
        <v>25</v>
      </c>
      <c r="F1072">
        <v>6</v>
      </c>
      <c r="G1072" t="s">
        <v>865</v>
      </c>
      <c r="H1072">
        <v>3</v>
      </c>
      <c r="I1072" t="s">
        <v>529</v>
      </c>
      <c r="J1072" t="s">
        <v>340</v>
      </c>
      <c r="K1072">
        <v>2</v>
      </c>
      <c r="L1072" t="s">
        <v>675</v>
      </c>
      <c r="M1072">
        <v>25</v>
      </c>
      <c r="N1072" s="195">
        <v>43831</v>
      </c>
      <c r="O1072" s="195"/>
      <c r="R1072" t="s">
        <v>340</v>
      </c>
      <c r="S1072">
        <v>2</v>
      </c>
    </row>
    <row r="1073" spans="1:19" x14ac:dyDescent="0.25">
      <c r="A1073" s="122"/>
      <c r="B1073" s="124"/>
      <c r="C1073" s="122"/>
      <c r="G1073" s="123" t="s">
        <v>855</v>
      </c>
      <c r="H1073" s="199">
        <v>43466</v>
      </c>
      <c r="J1073" s="197" t="s">
        <v>391</v>
      </c>
      <c r="K1073" s="124" t="s">
        <v>67</v>
      </c>
      <c r="L1073" s="122" t="s">
        <v>390</v>
      </c>
      <c r="M1073" s="122"/>
    </row>
    <row r="1074" spans="1:19" ht="31.5" x14ac:dyDescent="0.25">
      <c r="A1074" s="159" t="s">
        <v>0</v>
      </c>
      <c r="B1074" s="160" t="s">
        <v>60</v>
      </c>
      <c r="C1074" s="159" t="s">
        <v>856</v>
      </c>
      <c r="D1074" s="159" t="s">
        <v>3</v>
      </c>
      <c r="E1074" s="161" t="s">
        <v>857</v>
      </c>
      <c r="F1074" s="159" t="s">
        <v>858</v>
      </c>
      <c r="G1074" s="159" t="s">
        <v>859</v>
      </c>
      <c r="H1074" s="159" t="s">
        <v>860</v>
      </c>
      <c r="I1074" s="159" t="s">
        <v>17</v>
      </c>
      <c r="J1074" s="159" t="s">
        <v>861</v>
      </c>
      <c r="K1074" s="159" t="s">
        <v>1</v>
      </c>
      <c r="L1074" s="159" t="s">
        <v>44</v>
      </c>
      <c r="M1074" s="159" t="s">
        <v>61</v>
      </c>
      <c r="N1074" s="159" t="s">
        <v>862</v>
      </c>
      <c r="O1074" s="159" t="s">
        <v>863</v>
      </c>
      <c r="R1074" t="s">
        <v>538</v>
      </c>
      <c r="S1074" t="s">
        <v>864</v>
      </c>
    </row>
    <row r="1075" spans="1:19" x14ac:dyDescent="0.25">
      <c r="A1075" t="str">
        <f>TableSTRUPSYCB[[#This Row],[Study Package Code]]</f>
        <v>EDUC1027</v>
      </c>
      <c r="B1075" s="5">
        <f>TableSTRUPSYCB[[#This Row],[Ver]]</f>
        <v>1</v>
      </c>
      <c r="D1075" t="str">
        <f>TableSTRUPSYCB[[#This Row],[Structure Line]]</f>
        <v>Educators Inquiring About the World</v>
      </c>
      <c r="E1075" s="125">
        <f>TableSTRUPSYCB[[#This Row],[Credit Points]]</f>
        <v>25</v>
      </c>
      <c r="F1075">
        <v>1</v>
      </c>
      <c r="G1075" t="s">
        <v>865</v>
      </c>
      <c r="H1075">
        <v>1</v>
      </c>
      <c r="I1075" t="s">
        <v>529</v>
      </c>
      <c r="J1075" t="s">
        <v>53</v>
      </c>
      <c r="K1075">
        <v>1</v>
      </c>
      <c r="L1075" t="s">
        <v>688</v>
      </c>
      <c r="M1075">
        <v>25</v>
      </c>
      <c r="N1075" s="195">
        <v>43466</v>
      </c>
      <c r="O1075" s="195"/>
      <c r="R1075" t="s">
        <v>53</v>
      </c>
      <c r="S1075">
        <v>1</v>
      </c>
    </row>
    <row r="1076" spans="1:19" x14ac:dyDescent="0.25">
      <c r="A1076" t="str">
        <f>TableSTRUPSYCB[[#This Row],[Study Package Code]]</f>
        <v>EPID1000</v>
      </c>
      <c r="B1076" s="5">
        <f>TableSTRUPSYCB[[#This Row],[Ver]]</f>
        <v>1</v>
      </c>
      <c r="D1076" t="str">
        <f>TableSTRUPSYCB[[#This Row],[Structure Line]]</f>
        <v>Foundations of Biostatistics and Epidemiology</v>
      </c>
      <c r="E1076" s="125">
        <f>TableSTRUPSYCB[[#This Row],[Credit Points]]</f>
        <v>25</v>
      </c>
      <c r="F1076">
        <v>2</v>
      </c>
      <c r="G1076" t="s">
        <v>865</v>
      </c>
      <c r="H1076">
        <v>2</v>
      </c>
      <c r="I1076" t="s">
        <v>528</v>
      </c>
      <c r="J1076" t="s">
        <v>484</v>
      </c>
      <c r="K1076">
        <v>1</v>
      </c>
      <c r="L1076" t="s">
        <v>724</v>
      </c>
      <c r="M1076">
        <v>25</v>
      </c>
      <c r="N1076" s="195">
        <v>43101</v>
      </c>
      <c r="O1076" s="195"/>
      <c r="R1076" t="s">
        <v>484</v>
      </c>
      <c r="S1076">
        <v>1</v>
      </c>
    </row>
    <row r="1077" spans="1:19" x14ac:dyDescent="0.25">
      <c r="A1077" t="str">
        <f>TableSTRUPSYCB[[#This Row],[Study Package Code]]</f>
        <v>EDPR2000</v>
      </c>
      <c r="B1077" s="5">
        <f>TableSTRUPSYCB[[#This Row],[Ver]]</f>
        <v>1</v>
      </c>
      <c r="D1077" t="str">
        <f>TableSTRUPSYCB[[#This Row],[Structure Line]]</f>
        <v>Inquiry in the Science Classroom</v>
      </c>
      <c r="E1077" s="125">
        <f>TableSTRUPSYCB[[#This Row],[Credit Points]]</f>
        <v>25</v>
      </c>
      <c r="F1077">
        <v>3</v>
      </c>
      <c r="G1077" t="s">
        <v>865</v>
      </c>
      <c r="H1077">
        <v>2</v>
      </c>
      <c r="I1077" t="s">
        <v>529</v>
      </c>
      <c r="J1077" t="s">
        <v>93</v>
      </c>
      <c r="K1077">
        <v>1</v>
      </c>
      <c r="L1077" t="s">
        <v>637</v>
      </c>
      <c r="M1077">
        <v>25</v>
      </c>
      <c r="N1077" s="195">
        <v>42005</v>
      </c>
      <c r="O1077" s="195"/>
      <c r="R1077" t="s">
        <v>93</v>
      </c>
      <c r="S1077">
        <v>1</v>
      </c>
    </row>
    <row r="1078" spans="1:19" x14ac:dyDescent="0.25">
      <c r="A1078" t="str">
        <f>TableSTRUPSYCB[[#This Row],[Study Package Code]]</f>
        <v>BEHV2000</v>
      </c>
      <c r="B1078" s="5">
        <f>TableSTRUPSYCB[[#This Row],[Ver]]</f>
        <v>1</v>
      </c>
      <c r="D1078" t="str">
        <f>TableSTRUPSYCB[[#This Row],[Structure Line]]</f>
        <v>Psychological Science Experimental Methods</v>
      </c>
      <c r="E1078" s="125">
        <f>TableSTRUPSYCB[[#This Row],[Credit Points]]</f>
        <v>25</v>
      </c>
      <c r="F1078">
        <v>4</v>
      </c>
      <c r="G1078" t="s">
        <v>865</v>
      </c>
      <c r="H1078">
        <v>3</v>
      </c>
      <c r="I1078" t="s">
        <v>528</v>
      </c>
      <c r="J1078" t="s">
        <v>504</v>
      </c>
      <c r="K1078">
        <v>1</v>
      </c>
      <c r="L1078" t="s">
        <v>557</v>
      </c>
      <c r="M1078">
        <v>25</v>
      </c>
      <c r="N1078" s="195">
        <v>42005</v>
      </c>
      <c r="O1078" s="195"/>
      <c r="R1078" t="s">
        <v>504</v>
      </c>
      <c r="S1078">
        <v>1</v>
      </c>
    </row>
    <row r="1079" spans="1:19" x14ac:dyDescent="0.25">
      <c r="A1079" t="str">
        <f>TableSTRUPSYCB[[#This Row],[Study Package Code]]</f>
        <v>PSYC2002</v>
      </c>
      <c r="B1079" s="5">
        <f>TableSTRUPSYCB[[#This Row],[Ver]]</f>
        <v>1</v>
      </c>
      <c r="D1079" t="str">
        <f>TableSTRUPSYCB[[#This Row],[Structure Line]]</f>
        <v>Psychological Science Correlational Methods</v>
      </c>
      <c r="E1079" s="125">
        <f>TableSTRUPSYCB[[#This Row],[Credit Points]]</f>
        <v>25</v>
      </c>
      <c r="F1079">
        <v>5</v>
      </c>
      <c r="G1079" t="s">
        <v>865</v>
      </c>
      <c r="H1079">
        <v>3</v>
      </c>
      <c r="I1079" t="s">
        <v>529</v>
      </c>
      <c r="J1079" t="s">
        <v>515</v>
      </c>
      <c r="K1079">
        <v>1</v>
      </c>
      <c r="L1079" t="s">
        <v>801</v>
      </c>
      <c r="M1079">
        <v>25</v>
      </c>
      <c r="N1079" s="195">
        <v>42005</v>
      </c>
      <c r="O1079" s="195"/>
      <c r="R1079" t="s">
        <v>515</v>
      </c>
      <c r="S1079">
        <v>1</v>
      </c>
    </row>
    <row r="1080" spans="1:19" x14ac:dyDescent="0.25">
      <c r="A1080" t="str">
        <f>TableSTRUPSYCB[[#This Row],[Study Package Code]]</f>
        <v>OptionStream</v>
      </c>
      <c r="B1080" s="5">
        <f>TableSTRUPSYCB[[#This Row],[Ver]]</f>
        <v>0</v>
      </c>
      <c r="D1080" t="str">
        <f>TableSTRUPSYCB[[#This Row],[Structure Line]]</f>
        <v>Choose your Optional unit</v>
      </c>
      <c r="E1080" s="125">
        <f>TableSTRUPSYCB[[#This Row],[Credit Points]]</f>
        <v>25</v>
      </c>
      <c r="F1080">
        <v>6</v>
      </c>
      <c r="G1080" t="s">
        <v>102</v>
      </c>
      <c r="H1080">
        <v>3</v>
      </c>
      <c r="I1080" t="s">
        <v>875</v>
      </c>
      <c r="J1080" t="s">
        <v>886</v>
      </c>
      <c r="K1080">
        <v>0</v>
      </c>
      <c r="L1080" t="s">
        <v>896</v>
      </c>
      <c r="M1080">
        <v>25</v>
      </c>
      <c r="N1080" s="195"/>
      <c r="O1080" s="195"/>
      <c r="R1080" t="s">
        <v>886</v>
      </c>
      <c r="S1080">
        <v>0</v>
      </c>
    </row>
    <row r="1081" spans="1:19" x14ac:dyDescent="0.25">
      <c r="A1081" t="str">
        <f>TableSTRUPSYCB[[#This Row],[Study Package Code]]</f>
        <v>CTED4000</v>
      </c>
      <c r="B1081" s="5">
        <f>TableSTRUPSYCB[[#This Row],[Ver]]</f>
        <v>1</v>
      </c>
      <c r="D1081" t="str">
        <f>TableSTRUPSYCB[[#This Row],[Structure Line]]</f>
        <v>An Introduction to Catholic Education</v>
      </c>
      <c r="E1081" s="125">
        <f>TableSTRUPSYCB[[#This Row],[Credit Points]]</f>
        <v>25</v>
      </c>
      <c r="F1081">
        <v>6</v>
      </c>
      <c r="G1081" t="s">
        <v>102</v>
      </c>
      <c r="H1081">
        <v>3</v>
      </c>
      <c r="I1081" t="s">
        <v>875</v>
      </c>
      <c r="J1081" t="s">
        <v>171</v>
      </c>
      <c r="K1081">
        <v>1</v>
      </c>
      <c r="L1081" t="s">
        <v>583</v>
      </c>
      <c r="M1081">
        <v>25</v>
      </c>
      <c r="N1081" s="195">
        <v>42005</v>
      </c>
      <c r="O1081" s="195"/>
      <c r="R1081" t="s">
        <v>171</v>
      </c>
      <c r="S1081">
        <v>1</v>
      </c>
    </row>
    <row r="1082" spans="1:19" x14ac:dyDescent="0.25">
      <c r="A1082" t="str">
        <f>TableSTRUPSYCB[[#This Row],[Study Package Code]]</f>
        <v>CTED4001</v>
      </c>
      <c r="B1082" s="5">
        <f>TableSTRUPSYCB[[#This Row],[Ver]]</f>
        <v>2</v>
      </c>
      <c r="D1082" t="str">
        <f>TableSTRUPSYCB[[#This Row],[Structure Line]]</f>
        <v>Teaching About Sacraments in Catholic Schools</v>
      </c>
      <c r="E1082" s="125">
        <f>TableSTRUPSYCB[[#This Row],[Credit Points]]</f>
        <v>25</v>
      </c>
      <c r="F1082">
        <v>6</v>
      </c>
      <c r="G1082" t="s">
        <v>102</v>
      </c>
      <c r="H1082">
        <v>3</v>
      </c>
      <c r="I1082" t="s">
        <v>875</v>
      </c>
      <c r="J1082" t="s">
        <v>150</v>
      </c>
      <c r="K1082">
        <v>2</v>
      </c>
      <c r="L1082" t="s">
        <v>585</v>
      </c>
      <c r="M1082">
        <v>25</v>
      </c>
      <c r="N1082" s="195">
        <v>45292</v>
      </c>
      <c r="O1082" s="195"/>
      <c r="R1082" t="s">
        <v>150</v>
      </c>
      <c r="S1082">
        <v>1</v>
      </c>
    </row>
    <row r="1083" spans="1:19" x14ac:dyDescent="0.25">
      <c r="A1083" t="str">
        <f>TableSTRUPSYCB[[#This Row],[Study Package Code]]</f>
        <v>CTED4002</v>
      </c>
      <c r="B1083" s="5">
        <f>TableSTRUPSYCB[[#This Row],[Ver]]</f>
        <v>2</v>
      </c>
      <c r="D1083" t="str">
        <f>TableSTRUPSYCB[[#This Row],[Structure Line]]</f>
        <v>Prayer and Morality in Catholic Studies</v>
      </c>
      <c r="E1083" s="125">
        <f>TableSTRUPSYCB[[#This Row],[Credit Points]]</f>
        <v>25</v>
      </c>
      <c r="F1083">
        <v>6</v>
      </c>
      <c r="G1083" t="s">
        <v>102</v>
      </c>
      <c r="H1083">
        <v>3</v>
      </c>
      <c r="I1083" t="s">
        <v>875</v>
      </c>
      <c r="J1083" t="s">
        <v>172</v>
      </c>
      <c r="K1083">
        <v>2</v>
      </c>
      <c r="L1083" t="s">
        <v>591</v>
      </c>
      <c r="M1083">
        <v>25</v>
      </c>
      <c r="N1083" s="195">
        <v>44197</v>
      </c>
      <c r="O1083" s="195"/>
      <c r="R1083" t="s">
        <v>172</v>
      </c>
      <c r="S1083">
        <v>2</v>
      </c>
    </row>
    <row r="1084" spans="1:19" x14ac:dyDescent="0.25">
      <c r="A1084" t="str">
        <f>TableSTRUPSYCB[[#This Row],[Study Package Code]]</f>
        <v>CTED4006</v>
      </c>
      <c r="B1084" s="5">
        <f>TableSTRUPSYCB[[#This Row],[Ver]]</f>
        <v>1</v>
      </c>
      <c r="D1084" t="str">
        <f>TableSTRUPSYCB[[#This Row],[Structure Line]]</f>
        <v>Teaching About Jesus in Catholic Schools</v>
      </c>
      <c r="E1084" s="125">
        <f>TableSTRUPSYCB[[#This Row],[Credit Points]]</f>
        <v>25</v>
      </c>
      <c r="F1084">
        <v>6</v>
      </c>
      <c r="G1084" t="s">
        <v>102</v>
      </c>
      <c r="H1084">
        <v>3</v>
      </c>
      <c r="I1084" t="s">
        <v>875</v>
      </c>
      <c r="J1084" t="s">
        <v>152</v>
      </c>
      <c r="K1084">
        <v>1</v>
      </c>
      <c r="L1084" t="s">
        <v>592</v>
      </c>
      <c r="M1084">
        <v>25</v>
      </c>
      <c r="N1084" s="195">
        <v>45292</v>
      </c>
      <c r="O1084" s="195"/>
    </row>
    <row r="1085" spans="1:19" x14ac:dyDescent="0.25">
      <c r="A1085" t="str">
        <f>TableSTRUPSYCB[[#This Row],[Study Package Code]]</f>
        <v>CTED4008</v>
      </c>
      <c r="B1085" s="5">
        <f>TableSTRUPSYCB[[#This Row],[Ver]]</f>
        <v>1</v>
      </c>
      <c r="D1085" t="str">
        <f>TableSTRUPSYCB[[#This Row],[Structure Line]]</f>
        <v>Teaching About the Gospels in Catholic Schools</v>
      </c>
      <c r="E1085" s="125">
        <f>TableSTRUPSYCB[[#This Row],[Credit Points]]</f>
        <v>25</v>
      </c>
      <c r="F1085">
        <v>6</v>
      </c>
      <c r="G1085" t="s">
        <v>102</v>
      </c>
      <c r="H1085">
        <v>3</v>
      </c>
      <c r="I1085" t="s">
        <v>875</v>
      </c>
      <c r="J1085" t="s">
        <v>154</v>
      </c>
      <c r="K1085">
        <v>1</v>
      </c>
      <c r="L1085" t="s">
        <v>593</v>
      </c>
      <c r="M1085">
        <v>25</v>
      </c>
      <c r="N1085" s="195">
        <v>45292</v>
      </c>
      <c r="O1085" s="195"/>
    </row>
    <row r="1086" spans="1:19" x14ac:dyDescent="0.25">
      <c r="A1086" t="str">
        <f>TableSTRUPSYCB[[#This Row],[Study Package Code]]</f>
        <v>EDIB4000</v>
      </c>
      <c r="B1086" s="5">
        <f>TableSTRUPSYCB[[#This Row],[Ver]]</f>
        <v>1</v>
      </c>
      <c r="D1086" t="str">
        <f>TableSTRUPSYCB[[#This Row],[Structure Line]]</f>
        <v>Introduction to the International Baccalaureate Programme</v>
      </c>
      <c r="E1086" s="125">
        <f>TableSTRUPSYCB[[#This Row],[Credit Points]]</f>
        <v>25</v>
      </c>
      <c r="F1086">
        <v>6</v>
      </c>
      <c r="G1086" t="s">
        <v>102</v>
      </c>
      <c r="H1086">
        <v>3</v>
      </c>
      <c r="I1086" t="s">
        <v>875</v>
      </c>
      <c r="J1086" t="s">
        <v>166</v>
      </c>
      <c r="K1086">
        <v>1</v>
      </c>
      <c r="L1086" t="s">
        <v>631</v>
      </c>
      <c r="M1086">
        <v>25</v>
      </c>
      <c r="N1086" s="195">
        <v>42005</v>
      </c>
      <c r="O1086" s="195"/>
      <c r="R1086" t="s">
        <v>166</v>
      </c>
      <c r="S1086">
        <v>1</v>
      </c>
    </row>
    <row r="1087" spans="1:19" x14ac:dyDescent="0.25">
      <c r="A1087" t="str">
        <f>TableSTRUPSYCB[[#This Row],[Study Package Code]]</f>
        <v>EDIB4002</v>
      </c>
      <c r="B1087" s="5">
        <f>TableSTRUPSYCB[[#This Row],[Ver]]</f>
        <v>1</v>
      </c>
      <c r="D1087" t="str">
        <f>TableSTRUPSYCB[[#This Row],[Structure Line]]</f>
        <v>International Baccalaureate Middle Years Programme</v>
      </c>
      <c r="E1087" s="125">
        <f>TableSTRUPSYCB[[#This Row],[Credit Points]]</f>
        <v>25</v>
      </c>
      <c r="F1087">
        <v>6</v>
      </c>
      <c r="G1087" t="s">
        <v>102</v>
      </c>
      <c r="H1087">
        <v>3</v>
      </c>
      <c r="I1087" t="s">
        <v>875</v>
      </c>
      <c r="J1087" t="s">
        <v>170</v>
      </c>
      <c r="K1087">
        <v>1</v>
      </c>
      <c r="L1087" t="s">
        <v>634</v>
      </c>
      <c r="M1087">
        <v>25</v>
      </c>
      <c r="N1087" s="195">
        <v>42005</v>
      </c>
      <c r="O1087" s="195"/>
      <c r="R1087" t="s">
        <v>170</v>
      </c>
      <c r="S1087">
        <v>1</v>
      </c>
    </row>
    <row r="1088" spans="1:19" x14ac:dyDescent="0.25">
      <c r="A1088" t="str">
        <f>TableSTRUPSYCB[[#This Row],[Study Package Code]]</f>
        <v>EDIB4003</v>
      </c>
      <c r="B1088" s="5">
        <f>TableSTRUPSYCB[[#This Row],[Ver]]</f>
        <v>1</v>
      </c>
      <c r="D1088" t="str">
        <f>TableSTRUPSYCB[[#This Row],[Structure Line]]</f>
        <v>The International Baccalaureate in Action</v>
      </c>
      <c r="E1088" s="125">
        <f>TableSTRUPSYCB[[#This Row],[Credit Points]]</f>
        <v>25</v>
      </c>
      <c r="F1088">
        <v>6</v>
      </c>
      <c r="G1088" t="s">
        <v>102</v>
      </c>
      <c r="H1088">
        <v>3</v>
      </c>
      <c r="I1088" t="s">
        <v>875</v>
      </c>
      <c r="J1088" t="s">
        <v>168</v>
      </c>
      <c r="K1088">
        <v>1</v>
      </c>
      <c r="L1088" t="s">
        <v>635</v>
      </c>
      <c r="M1088">
        <v>25</v>
      </c>
      <c r="N1088" s="195">
        <v>42005</v>
      </c>
      <c r="O1088" s="195"/>
      <c r="R1088" t="s">
        <v>168</v>
      </c>
      <c r="S1088">
        <v>1</v>
      </c>
    </row>
    <row r="1089" spans="1:19" x14ac:dyDescent="0.25">
      <c r="A1089" t="str">
        <f>TableSTRUPSYCB[[#This Row],[Study Package Code]]</f>
        <v>EDUC4012</v>
      </c>
      <c r="B1089" s="5">
        <f>TableSTRUPSYCB[[#This Row],[Ver]]</f>
        <v>2</v>
      </c>
      <c r="D1089" t="str">
        <f>TableSTRUPSYCB[[#This Row],[Structure Line]]</f>
        <v>Relationships and Sexuality Education</v>
      </c>
      <c r="E1089" s="125">
        <f>TableSTRUPSYCB[[#This Row],[Credit Points]]</f>
        <v>25</v>
      </c>
      <c r="F1089">
        <v>6</v>
      </c>
      <c r="G1089" t="s">
        <v>102</v>
      </c>
      <c r="H1089">
        <v>3</v>
      </c>
      <c r="I1089" t="s">
        <v>875</v>
      </c>
      <c r="J1089" t="s">
        <v>156</v>
      </c>
      <c r="K1089">
        <v>2</v>
      </c>
      <c r="L1089" t="s">
        <v>697</v>
      </c>
      <c r="M1089">
        <v>25</v>
      </c>
      <c r="N1089" s="195">
        <v>44927</v>
      </c>
      <c r="O1089" s="195"/>
      <c r="R1089" t="s">
        <v>156</v>
      </c>
      <c r="S1089">
        <v>2</v>
      </c>
    </row>
    <row r="1090" spans="1:19" x14ac:dyDescent="0.25">
      <c r="A1090" t="str">
        <f>TableSTRUPSYCB[[#This Row],[Study Package Code]]</f>
        <v>EDUC4014</v>
      </c>
      <c r="B1090" s="5">
        <f>TableSTRUPSYCB[[#This Row],[Ver]]</f>
        <v>1</v>
      </c>
      <c r="D1090" t="str">
        <f>TableSTRUPSYCB[[#This Row],[Structure Line]]</f>
        <v>Diverse Abilities and Curriculum Differentiation</v>
      </c>
      <c r="E1090" s="125">
        <f>TableSTRUPSYCB[[#This Row],[Credit Points]]</f>
        <v>25</v>
      </c>
      <c r="F1090">
        <v>6</v>
      </c>
      <c r="G1090" t="s">
        <v>102</v>
      </c>
      <c r="H1090">
        <v>3</v>
      </c>
      <c r="I1090" t="s">
        <v>875</v>
      </c>
      <c r="J1090" t="s">
        <v>158</v>
      </c>
      <c r="K1090">
        <v>1</v>
      </c>
      <c r="L1090" t="s">
        <v>698</v>
      </c>
      <c r="M1090">
        <v>25</v>
      </c>
      <c r="N1090" s="195">
        <v>42005</v>
      </c>
      <c r="O1090" s="195"/>
      <c r="R1090" t="s">
        <v>158</v>
      </c>
      <c r="S1090">
        <v>1</v>
      </c>
    </row>
    <row r="1091" spans="1:19" x14ac:dyDescent="0.25">
      <c r="A1091" t="str">
        <f>TableSTRUPSYCB[[#This Row],[Study Package Code]]</f>
        <v>EDUC4020</v>
      </c>
      <c r="B1091" s="5">
        <f>TableSTRUPSYCB[[#This Row],[Ver]]</f>
        <v>1</v>
      </c>
      <c r="D1091" t="str">
        <f>TableSTRUPSYCB[[#This Row],[Structure Line]]</f>
        <v>Supporting Literacy and Numeracy Development for Diverse Learners</v>
      </c>
      <c r="E1091" s="125">
        <f>TableSTRUPSYCB[[#This Row],[Credit Points]]</f>
        <v>25</v>
      </c>
      <c r="F1091">
        <v>6</v>
      </c>
      <c r="G1091" t="s">
        <v>102</v>
      </c>
      <c r="H1091">
        <v>3</v>
      </c>
      <c r="I1091" t="s">
        <v>875</v>
      </c>
      <c r="J1091" t="s">
        <v>153</v>
      </c>
      <c r="K1091">
        <v>1</v>
      </c>
      <c r="L1091" t="s">
        <v>699</v>
      </c>
      <c r="M1091">
        <v>25</v>
      </c>
      <c r="N1091" s="195">
        <v>43282</v>
      </c>
      <c r="O1091" s="195"/>
      <c r="R1091" t="s">
        <v>153</v>
      </c>
      <c r="S1091">
        <v>1</v>
      </c>
    </row>
    <row r="1092" spans="1:19" x14ac:dyDescent="0.25">
      <c r="A1092" t="str">
        <f>TableSTRUPSYCB[[#This Row],[Study Package Code]]</f>
        <v>EDUC4021</v>
      </c>
      <c r="B1092" s="5">
        <f>TableSTRUPSYCB[[#This Row],[Ver]]</f>
        <v>1</v>
      </c>
      <c r="D1092" t="str">
        <f>TableSTRUPSYCB[[#This Row],[Structure Line]]</f>
        <v>Project-based iSTEM Education</v>
      </c>
      <c r="E1092" s="125">
        <f>TableSTRUPSYCB[[#This Row],[Credit Points]]</f>
        <v>25</v>
      </c>
      <c r="F1092">
        <v>6</v>
      </c>
      <c r="G1092" t="s">
        <v>102</v>
      </c>
      <c r="H1092">
        <v>3</v>
      </c>
      <c r="I1092" t="s">
        <v>875</v>
      </c>
      <c r="J1092" t="s">
        <v>142</v>
      </c>
      <c r="K1092">
        <v>1</v>
      </c>
      <c r="L1092" t="s">
        <v>700</v>
      </c>
      <c r="M1092">
        <v>25</v>
      </c>
      <c r="N1092" s="195">
        <v>43282</v>
      </c>
      <c r="O1092" s="195"/>
      <c r="R1092" t="s">
        <v>142</v>
      </c>
      <c r="S1092">
        <v>1</v>
      </c>
    </row>
    <row r="1093" spans="1:19" x14ac:dyDescent="0.25">
      <c r="A1093" t="str">
        <f>TableSTRUPSYCB[[#This Row],[Study Package Code]]</f>
        <v>EDUC4022</v>
      </c>
      <c r="B1093" s="5">
        <f>TableSTRUPSYCB[[#This Row],[Ver]]</f>
        <v>1</v>
      </c>
      <c r="D1093" t="str">
        <f>TableSTRUPSYCB[[#This Row],[Structure Line]]</f>
        <v>Creative Literacies</v>
      </c>
      <c r="E1093" s="125">
        <f>TableSTRUPSYCB[[#This Row],[Credit Points]]</f>
        <v>25</v>
      </c>
      <c r="F1093">
        <v>6</v>
      </c>
      <c r="G1093" t="s">
        <v>102</v>
      </c>
      <c r="H1093">
        <v>3</v>
      </c>
      <c r="I1093" t="s">
        <v>875</v>
      </c>
      <c r="J1093" t="s">
        <v>147</v>
      </c>
      <c r="K1093">
        <v>1</v>
      </c>
      <c r="L1093" t="s">
        <v>701</v>
      </c>
      <c r="M1093">
        <v>25</v>
      </c>
      <c r="N1093" s="195">
        <v>43282</v>
      </c>
      <c r="O1093" s="195"/>
      <c r="R1093" t="s">
        <v>147</v>
      </c>
      <c r="S1093">
        <v>1</v>
      </c>
    </row>
    <row r="1094" spans="1:19" x14ac:dyDescent="0.25">
      <c r="A1094" t="str">
        <f>TableSTRUPSYCB[[#This Row],[Study Package Code]]</f>
        <v>EDUC4023</v>
      </c>
      <c r="B1094" s="5">
        <f>TableSTRUPSYCB[[#This Row],[Ver]]</f>
        <v>1</v>
      </c>
      <c r="D1094" t="str">
        <f>TableSTRUPSYCB[[#This Row],[Structure Line]]</f>
        <v>Creating and Responding to Literature</v>
      </c>
      <c r="E1094" s="125">
        <f>TableSTRUPSYCB[[#This Row],[Credit Points]]</f>
        <v>25</v>
      </c>
      <c r="F1094">
        <v>6</v>
      </c>
      <c r="G1094" t="s">
        <v>102</v>
      </c>
      <c r="H1094">
        <v>3</v>
      </c>
      <c r="I1094" t="s">
        <v>875</v>
      </c>
      <c r="J1094" t="s">
        <v>148</v>
      </c>
      <c r="K1094">
        <v>1</v>
      </c>
      <c r="L1094" t="s">
        <v>702</v>
      </c>
      <c r="M1094">
        <v>25</v>
      </c>
      <c r="N1094" s="195">
        <v>43282</v>
      </c>
      <c r="O1094" s="195"/>
      <c r="R1094" t="s">
        <v>148</v>
      </c>
      <c r="S1094">
        <v>1</v>
      </c>
    </row>
    <row r="1095" spans="1:19" x14ac:dyDescent="0.25">
      <c r="A1095" t="str">
        <f>TableSTRUPSYCB[[#This Row],[Study Package Code]]</f>
        <v>EDUC4029</v>
      </c>
      <c r="B1095" s="5">
        <f>TableSTRUPSYCB[[#This Row],[Ver]]</f>
        <v>1</v>
      </c>
      <c r="D1095" t="str">
        <f>TableSTRUPSYCB[[#This Row],[Structure Line]]</f>
        <v>Technologies: Coding for Teachers</v>
      </c>
      <c r="E1095" s="125">
        <f>TableSTRUPSYCB[[#This Row],[Credit Points]]</f>
        <v>25</v>
      </c>
      <c r="F1095">
        <v>6</v>
      </c>
      <c r="G1095" t="s">
        <v>102</v>
      </c>
      <c r="H1095">
        <v>3</v>
      </c>
      <c r="I1095" t="s">
        <v>875</v>
      </c>
      <c r="J1095" t="s">
        <v>160</v>
      </c>
      <c r="K1095">
        <v>1</v>
      </c>
      <c r="L1095" t="s">
        <v>703</v>
      </c>
      <c r="M1095">
        <v>25</v>
      </c>
      <c r="N1095" s="195">
        <v>43282</v>
      </c>
      <c r="O1095" s="195"/>
      <c r="R1095" t="s">
        <v>160</v>
      </c>
      <c r="S1095">
        <v>1</v>
      </c>
    </row>
    <row r="1096" spans="1:19" x14ac:dyDescent="0.25">
      <c r="A1096" t="str">
        <f>TableSTRUPSYCB[[#This Row],[Study Package Code]]</f>
        <v>EDUC4031</v>
      </c>
      <c r="B1096" s="5">
        <f>TableSTRUPSYCB[[#This Row],[Ver]]</f>
        <v>1</v>
      </c>
      <c r="D1096" t="str">
        <f>TableSTRUPSYCB[[#This Row],[Structure Line]]</f>
        <v>Social Justice in Literacy and Numeracy Learning</v>
      </c>
      <c r="E1096" s="125">
        <f>TableSTRUPSYCB[[#This Row],[Credit Points]]</f>
        <v>25</v>
      </c>
      <c r="F1096">
        <v>6</v>
      </c>
      <c r="G1096" t="s">
        <v>102</v>
      </c>
      <c r="H1096">
        <v>3</v>
      </c>
      <c r="I1096" t="s">
        <v>875</v>
      </c>
      <c r="J1096" t="s">
        <v>169</v>
      </c>
      <c r="K1096">
        <v>1</v>
      </c>
      <c r="L1096" t="s">
        <v>705</v>
      </c>
      <c r="M1096">
        <v>25</v>
      </c>
      <c r="N1096" s="195">
        <v>43282</v>
      </c>
      <c r="O1096" s="195">
        <v>44750</v>
      </c>
      <c r="R1096" t="s">
        <v>169</v>
      </c>
      <c r="S1096">
        <v>1</v>
      </c>
    </row>
    <row r="1097" spans="1:19" x14ac:dyDescent="0.25">
      <c r="A1097" t="str">
        <f>TableSTRUPSYCB[[#This Row],[Study Package Code]]</f>
        <v>EDUC4032</v>
      </c>
      <c r="B1097" s="5">
        <f>TableSTRUPSYCB[[#This Row],[Ver]]</f>
        <v>1</v>
      </c>
      <c r="D1097" t="str">
        <f>TableSTRUPSYCB[[#This Row],[Structure Line]]</f>
        <v>iSTEM Education through Digital Stories</v>
      </c>
      <c r="E1097" s="125">
        <f>TableSTRUPSYCB[[#This Row],[Credit Points]]</f>
        <v>25</v>
      </c>
      <c r="F1097">
        <v>6</v>
      </c>
      <c r="G1097" t="s">
        <v>102</v>
      </c>
      <c r="H1097">
        <v>3</v>
      </c>
      <c r="I1097" t="s">
        <v>875</v>
      </c>
      <c r="J1097" t="s">
        <v>143</v>
      </c>
      <c r="K1097">
        <v>1</v>
      </c>
      <c r="L1097" t="s">
        <v>707</v>
      </c>
      <c r="M1097">
        <v>25</v>
      </c>
      <c r="N1097" s="195">
        <v>43466</v>
      </c>
      <c r="O1097" s="195"/>
      <c r="R1097" t="s">
        <v>143</v>
      </c>
      <c r="S1097">
        <v>1</v>
      </c>
    </row>
    <row r="1098" spans="1:19" x14ac:dyDescent="0.25">
      <c r="A1098" t="str">
        <f>TableSTRUPSYCB[[#This Row],[Study Package Code]]</f>
        <v>EDUC4034</v>
      </c>
      <c r="B1098" s="5">
        <f>TableSTRUPSYCB[[#This Row],[Ver]]</f>
        <v>1</v>
      </c>
      <c r="D1098" t="str">
        <f>TableSTRUPSYCB[[#This Row],[Structure Line]]</f>
        <v>iSTEM: Social Issues</v>
      </c>
      <c r="E1098" s="125">
        <f>TableSTRUPSYCB[[#This Row],[Credit Points]]</f>
        <v>25</v>
      </c>
      <c r="F1098">
        <v>6</v>
      </c>
      <c r="G1098" t="s">
        <v>102</v>
      </c>
      <c r="H1098">
        <v>3</v>
      </c>
      <c r="I1098" t="s">
        <v>875</v>
      </c>
      <c r="J1098" t="s">
        <v>144</v>
      </c>
      <c r="K1098">
        <v>1</v>
      </c>
      <c r="L1098" t="s">
        <v>708</v>
      </c>
      <c r="M1098">
        <v>25</v>
      </c>
      <c r="N1098" s="195">
        <v>43466</v>
      </c>
      <c r="O1098" s="195"/>
      <c r="R1098" t="s">
        <v>144</v>
      </c>
      <c r="S1098">
        <v>1</v>
      </c>
    </row>
    <row r="1099" spans="1:19" x14ac:dyDescent="0.25">
      <c r="A1099" t="str">
        <f>TableSTRUPSYCB[[#This Row],[Study Package Code]]</f>
        <v>EDUC4036</v>
      </c>
      <c r="B1099" s="5">
        <f>TableSTRUPSYCB[[#This Row],[Ver]]</f>
        <v>1</v>
      </c>
      <c r="D1099" t="str">
        <f>TableSTRUPSYCB[[#This Row],[Structure Line]]</f>
        <v>Language and Diversity</v>
      </c>
      <c r="E1099" s="125">
        <f>TableSTRUPSYCB[[#This Row],[Credit Points]]</f>
        <v>25</v>
      </c>
      <c r="F1099">
        <v>6</v>
      </c>
      <c r="G1099" t="s">
        <v>102</v>
      </c>
      <c r="H1099">
        <v>3</v>
      </c>
      <c r="I1099" t="s">
        <v>875</v>
      </c>
      <c r="J1099" t="s">
        <v>149</v>
      </c>
      <c r="K1099">
        <v>1</v>
      </c>
      <c r="L1099" t="s">
        <v>709</v>
      </c>
      <c r="M1099">
        <v>25</v>
      </c>
      <c r="N1099" s="195">
        <v>43466</v>
      </c>
      <c r="O1099" s="195"/>
      <c r="R1099" t="s">
        <v>149</v>
      </c>
      <c r="S1099">
        <v>1</v>
      </c>
    </row>
    <row r="1100" spans="1:19" x14ac:dyDescent="0.25">
      <c r="A1100" t="str">
        <f>TableSTRUPSYCB[[#This Row],[Study Package Code]]</f>
        <v>EDUC4038</v>
      </c>
      <c r="B1100" s="5">
        <f>TableSTRUPSYCB[[#This Row],[Ver]]</f>
        <v>1</v>
      </c>
      <c r="D1100" t="str">
        <f>TableSTRUPSYCB[[#This Row],[Structure Line]]</f>
        <v>Technologies: Design Solutions</v>
      </c>
      <c r="E1100" s="125">
        <f>TableSTRUPSYCB[[#This Row],[Credit Points]]</f>
        <v>25</v>
      </c>
      <c r="F1100">
        <v>6</v>
      </c>
      <c r="G1100" t="s">
        <v>102</v>
      </c>
      <c r="H1100">
        <v>3</v>
      </c>
      <c r="I1100" t="s">
        <v>875</v>
      </c>
      <c r="J1100" t="s">
        <v>161</v>
      </c>
      <c r="K1100" s="196">
        <v>1</v>
      </c>
      <c r="L1100" s="196" t="s">
        <v>710</v>
      </c>
      <c r="M1100" s="196">
        <v>25</v>
      </c>
      <c r="N1100" s="195">
        <v>43466</v>
      </c>
      <c r="O1100" s="195"/>
      <c r="R1100" t="s">
        <v>161</v>
      </c>
      <c r="S1100">
        <v>1</v>
      </c>
    </row>
    <row r="1101" spans="1:19" x14ac:dyDescent="0.25">
      <c r="A1101" t="str">
        <f>TableSTRUPSYCB[[#This Row],[Study Package Code]]</f>
        <v>EDUC4042</v>
      </c>
      <c r="B1101" s="5">
        <f>TableSTRUPSYCB[[#This Row],[Ver]]</f>
        <v>1</v>
      </c>
      <c r="D1101" t="str">
        <f>TableSTRUPSYCB[[#This Row],[Structure Line]]</f>
        <v>Alternative Approaches to Teaching Literacy and Numeracy</v>
      </c>
      <c r="E1101" s="125">
        <f>TableSTRUPSYCB[[#This Row],[Credit Points]]</f>
        <v>25</v>
      </c>
      <c r="F1101">
        <v>6</v>
      </c>
      <c r="G1101" t="s">
        <v>102</v>
      </c>
      <c r="H1101">
        <v>3</v>
      </c>
      <c r="I1101" t="s">
        <v>875</v>
      </c>
      <c r="J1101" t="s">
        <v>155</v>
      </c>
      <c r="K1101">
        <v>1</v>
      </c>
      <c r="L1101" t="s">
        <v>713</v>
      </c>
      <c r="M1101">
        <v>25</v>
      </c>
      <c r="N1101" s="195">
        <v>43466</v>
      </c>
      <c r="O1101" s="195"/>
      <c r="R1101" t="s">
        <v>155</v>
      </c>
      <c r="S1101">
        <v>1</v>
      </c>
    </row>
    <row r="1102" spans="1:19" x14ac:dyDescent="0.25">
      <c r="A1102" t="str">
        <f>TableSTRUPSYCB[[#This Row],[Study Package Code]]</f>
        <v>EDUC4044</v>
      </c>
      <c r="B1102" s="5">
        <f>TableSTRUPSYCB[[#This Row],[Ver]]</f>
        <v>2</v>
      </c>
      <c r="D1102" t="str">
        <f>TableSTRUPSYCB[[#This Row],[Structure Line]]</f>
        <v>Literacy and Numeracy for First Nations Peoples of Australia</v>
      </c>
      <c r="E1102" s="125">
        <f>TableSTRUPSYCB[[#This Row],[Credit Points]]</f>
        <v>25</v>
      </c>
      <c r="F1102">
        <v>6</v>
      </c>
      <c r="G1102" t="s">
        <v>102</v>
      </c>
      <c r="H1102">
        <v>3</v>
      </c>
      <c r="I1102" t="s">
        <v>875</v>
      </c>
      <c r="J1102" t="s">
        <v>157</v>
      </c>
      <c r="K1102">
        <v>2</v>
      </c>
      <c r="L1102" t="s">
        <v>714</v>
      </c>
      <c r="M1102">
        <v>25</v>
      </c>
      <c r="N1102" s="195">
        <v>44927</v>
      </c>
      <c r="O1102" s="195"/>
      <c r="R1102" t="s">
        <v>157</v>
      </c>
      <c r="S1102">
        <v>1</v>
      </c>
    </row>
    <row r="1103" spans="1:19" x14ac:dyDescent="0.25">
      <c r="A1103" t="str">
        <f>TableSTRUPSYCB[[#This Row],[Study Package Code]]</f>
        <v>EDUC4046</v>
      </c>
      <c r="B1103" s="5">
        <f>TableSTRUPSYCB[[#This Row],[Ver]]</f>
        <v>1</v>
      </c>
      <c r="D1103" t="str">
        <f>TableSTRUPSYCB[[#This Row],[Structure Line]]</f>
        <v>Technologies: Digital Solutions</v>
      </c>
      <c r="E1103" s="125">
        <f>TableSTRUPSYCB[[#This Row],[Credit Points]]</f>
        <v>25</v>
      </c>
      <c r="F1103">
        <v>6</v>
      </c>
      <c r="G1103" t="s">
        <v>102</v>
      </c>
      <c r="H1103">
        <v>3</v>
      </c>
      <c r="I1103" t="s">
        <v>875</v>
      </c>
      <c r="J1103" t="s">
        <v>162</v>
      </c>
      <c r="K1103">
        <v>1</v>
      </c>
      <c r="L1103" t="s">
        <v>715</v>
      </c>
      <c r="M1103">
        <v>25</v>
      </c>
      <c r="N1103" s="195">
        <v>43466</v>
      </c>
      <c r="O1103" s="195"/>
      <c r="R1103" t="s">
        <v>162</v>
      </c>
      <c r="S1103">
        <v>1</v>
      </c>
    </row>
    <row r="1104" spans="1:19" x14ac:dyDescent="0.25">
      <c r="A1104" t="str">
        <f>TableSTRUPSYCB[[#This Row],[Study Package Code]]</f>
        <v>EDUC4048</v>
      </c>
      <c r="B1104" s="5">
        <f>TableSTRUPSYCB[[#This Row],[Ver]]</f>
        <v>1</v>
      </c>
      <c r="D1104" t="str">
        <f>TableSTRUPSYCB[[#This Row],[Structure Line]]</f>
        <v>Mentoring, Coaching and Tutoring</v>
      </c>
      <c r="E1104" s="125">
        <f>TableSTRUPSYCB[[#This Row],[Credit Points]]</f>
        <v>25</v>
      </c>
      <c r="F1104">
        <v>6</v>
      </c>
      <c r="G1104" t="s">
        <v>102</v>
      </c>
      <c r="H1104">
        <v>3</v>
      </c>
      <c r="I1104" t="s">
        <v>875</v>
      </c>
      <c r="J1104" t="s">
        <v>117</v>
      </c>
      <c r="K1104">
        <v>1</v>
      </c>
      <c r="L1104" t="s">
        <v>716</v>
      </c>
      <c r="M1104">
        <v>25</v>
      </c>
      <c r="N1104" s="195">
        <v>43466</v>
      </c>
      <c r="O1104" s="195"/>
      <c r="R1104" t="s">
        <v>117</v>
      </c>
      <c r="S1104">
        <v>1</v>
      </c>
    </row>
    <row r="1105" spans="1:19" x14ac:dyDescent="0.25">
      <c r="A1105" s="122"/>
      <c r="B1105" s="124"/>
      <c r="C1105" s="122"/>
      <c r="G1105" s="123" t="s">
        <v>855</v>
      </c>
      <c r="H1105" s="199">
        <v>43101</v>
      </c>
      <c r="J1105" s="197" t="s">
        <v>212</v>
      </c>
      <c r="K1105" s="124" t="s">
        <v>67</v>
      </c>
      <c r="L1105" s="122" t="s">
        <v>407</v>
      </c>
      <c r="M1105" s="122"/>
    </row>
    <row r="1106" spans="1:19" ht="31.5" x14ac:dyDescent="0.25">
      <c r="A1106" s="159" t="s">
        <v>0</v>
      </c>
      <c r="B1106" s="160" t="s">
        <v>60</v>
      </c>
      <c r="C1106" s="159" t="s">
        <v>856</v>
      </c>
      <c r="D1106" s="159" t="s">
        <v>3</v>
      </c>
      <c r="E1106" s="161" t="s">
        <v>857</v>
      </c>
      <c r="F1106" s="159" t="s">
        <v>858</v>
      </c>
      <c r="G1106" s="159" t="s">
        <v>859</v>
      </c>
      <c r="H1106" s="159" t="s">
        <v>860</v>
      </c>
      <c r="I1106" s="159" t="s">
        <v>17</v>
      </c>
      <c r="J1106" s="159" t="s">
        <v>861</v>
      </c>
      <c r="K1106" s="159" t="s">
        <v>1</v>
      </c>
      <c r="L1106" s="159" t="s">
        <v>44</v>
      </c>
      <c r="M1106" s="159" t="s">
        <v>61</v>
      </c>
      <c r="N1106" s="159" t="s">
        <v>862</v>
      </c>
      <c r="O1106" s="159" t="s">
        <v>863</v>
      </c>
      <c r="R1106" t="s">
        <v>538</v>
      </c>
      <c r="S1106" t="s">
        <v>864</v>
      </c>
    </row>
    <row r="1107" spans="1:19" x14ac:dyDescent="0.25">
      <c r="A1107" t="str">
        <f>TableSTRUPSYCM[[#This Row],[Study Package Code]]</f>
        <v>PSYC1001</v>
      </c>
      <c r="B1107" s="5">
        <f>TableSTRUPSYCM[[#This Row],[Ver]]</f>
        <v>1</v>
      </c>
      <c r="D1107" t="str">
        <f>TableSTRUPSYCM[[#This Row],[Structure Line]]</f>
        <v>Foundations of Psychology</v>
      </c>
      <c r="E1107" s="125">
        <f>TableSTRUPSYCM[[#This Row],[Credit Points]]</f>
        <v>25</v>
      </c>
      <c r="F1107">
        <v>1</v>
      </c>
      <c r="G1107" t="s">
        <v>865</v>
      </c>
      <c r="H1107">
        <v>1</v>
      </c>
      <c r="I1107" t="s">
        <v>529</v>
      </c>
      <c r="J1107" t="s">
        <v>312</v>
      </c>
      <c r="K1107">
        <v>1</v>
      </c>
      <c r="L1107" t="s">
        <v>799</v>
      </c>
      <c r="M1107">
        <v>25</v>
      </c>
      <c r="N1107" s="195">
        <v>42005</v>
      </c>
      <c r="O1107" s="195"/>
      <c r="R1107" t="s">
        <v>312</v>
      </c>
      <c r="S1107">
        <v>1</v>
      </c>
    </row>
    <row r="1108" spans="1:19" x14ac:dyDescent="0.25">
      <c r="A1108" t="str">
        <f>TableSTRUPSYCM[[#This Row],[Study Package Code]]</f>
        <v>PSYC1000</v>
      </c>
      <c r="B1108" s="5">
        <f>TableSTRUPSYCM[[#This Row],[Ver]]</f>
        <v>1</v>
      </c>
      <c r="D1108" t="str">
        <f>TableSTRUPSYCM[[#This Row],[Structure Line]]</f>
        <v>Introduction to Psychology</v>
      </c>
      <c r="E1108" s="125">
        <f>TableSTRUPSYCM[[#This Row],[Credit Points]]</f>
        <v>25</v>
      </c>
      <c r="F1108">
        <v>2</v>
      </c>
      <c r="G1108" t="s">
        <v>865</v>
      </c>
      <c r="H1108">
        <v>2</v>
      </c>
      <c r="I1108" t="s">
        <v>528</v>
      </c>
      <c r="J1108" t="s">
        <v>338</v>
      </c>
      <c r="K1108">
        <v>1</v>
      </c>
      <c r="L1108" t="s">
        <v>798</v>
      </c>
      <c r="M1108">
        <v>25</v>
      </c>
      <c r="N1108" s="195">
        <v>42005</v>
      </c>
      <c r="O1108" s="195"/>
      <c r="R1108" t="s">
        <v>338</v>
      </c>
      <c r="S1108">
        <v>1</v>
      </c>
    </row>
    <row r="1109" spans="1:19" x14ac:dyDescent="0.25">
      <c r="A1109" t="str">
        <f>TableSTRUPSYCM[[#This Row],[Study Package Code]]</f>
        <v>EDSC4022</v>
      </c>
      <c r="B1109" s="5">
        <f>TableSTRUPSYCM[[#This Row],[Ver]]</f>
        <v>1</v>
      </c>
      <c r="D1109" t="str">
        <f>TableSTRUPSYCM[[#This Row],[Structure Line]]</f>
        <v>Curriculum and Instruction Lower Secondary: Science</v>
      </c>
      <c r="E1109" s="125">
        <f>TableSTRUPSYCM[[#This Row],[Credit Points]]</f>
        <v>25</v>
      </c>
      <c r="F1109">
        <v>3</v>
      </c>
      <c r="G1109" t="s">
        <v>865</v>
      </c>
      <c r="H1109">
        <v>3</v>
      </c>
      <c r="I1109" t="s">
        <v>528</v>
      </c>
      <c r="J1109" t="s">
        <v>317</v>
      </c>
      <c r="K1109">
        <v>1</v>
      </c>
      <c r="L1109" t="s">
        <v>674</v>
      </c>
      <c r="M1109">
        <v>25</v>
      </c>
      <c r="N1109" s="195">
        <v>43466</v>
      </c>
      <c r="O1109" s="195"/>
      <c r="R1109" t="s">
        <v>317</v>
      </c>
      <c r="S1109">
        <v>1</v>
      </c>
    </row>
    <row r="1110" spans="1:19" x14ac:dyDescent="0.25">
      <c r="A1110" t="str">
        <f>TableSTRUPSYCM[[#This Row],[Study Package Code]]</f>
        <v>PSYC2001</v>
      </c>
      <c r="B1110" s="5">
        <f>TableSTRUPSYCM[[#This Row],[Ver]]</f>
        <v>1</v>
      </c>
      <c r="D1110" t="str">
        <f>TableSTRUPSYCM[[#This Row],[Structure Line]]</f>
        <v>Social Psychology</v>
      </c>
      <c r="E1110" s="125">
        <f>TableSTRUPSYCM[[#This Row],[Credit Points]]</f>
        <v>25</v>
      </c>
      <c r="F1110">
        <v>4</v>
      </c>
      <c r="G1110" t="s">
        <v>865</v>
      </c>
      <c r="H1110">
        <v>3</v>
      </c>
      <c r="I1110" t="s">
        <v>528</v>
      </c>
      <c r="J1110" t="s">
        <v>375</v>
      </c>
      <c r="K1110">
        <v>1</v>
      </c>
      <c r="L1110" t="s">
        <v>800</v>
      </c>
      <c r="M1110">
        <v>25</v>
      </c>
      <c r="N1110" s="195">
        <v>42005</v>
      </c>
      <c r="O1110" s="195"/>
      <c r="R1110" t="s">
        <v>375</v>
      </c>
      <c r="S1110">
        <v>1</v>
      </c>
    </row>
    <row r="1111" spans="1:19" x14ac:dyDescent="0.25">
      <c r="A1111" t="str">
        <f>TableSTRUPSYCM[[#This Row],[Study Package Code]]</f>
        <v>EDSC4023</v>
      </c>
      <c r="B1111" s="5">
        <f>TableSTRUPSYCM[[#This Row],[Ver]]</f>
        <v>2</v>
      </c>
      <c r="D1111" t="str">
        <f>TableSTRUPSYCM[[#This Row],[Structure Line]]</f>
        <v>Curriculum and Instruction Senior Secondary: Science</v>
      </c>
      <c r="E1111" s="125">
        <f>TableSTRUPSYCM[[#This Row],[Credit Points]]</f>
        <v>25</v>
      </c>
      <c r="F1111">
        <v>5</v>
      </c>
      <c r="G1111" t="s">
        <v>865</v>
      </c>
      <c r="H1111">
        <v>3</v>
      </c>
      <c r="I1111" t="s">
        <v>529</v>
      </c>
      <c r="J1111" t="s">
        <v>340</v>
      </c>
      <c r="K1111">
        <v>2</v>
      </c>
      <c r="L1111" t="s">
        <v>675</v>
      </c>
      <c r="M1111">
        <v>25</v>
      </c>
      <c r="N1111" s="195">
        <v>43831</v>
      </c>
      <c r="O1111" s="195"/>
      <c r="R1111" t="s">
        <v>340</v>
      </c>
      <c r="S1111">
        <v>2</v>
      </c>
    </row>
    <row r="1112" spans="1:19" x14ac:dyDescent="0.25">
      <c r="A1112" t="str">
        <f>TableSTRUPSYCM[[#This Row],[Study Package Code]]</f>
        <v>AltCoreSTRUPSYCM</v>
      </c>
      <c r="B1112" s="5">
        <f>TableSTRUPSYCM[[#This Row],[Ver]]</f>
        <v>0</v>
      </c>
      <c r="D1112" t="str">
        <f>TableSTRUPSYCM[[#This Row],[Structure Line]]</f>
        <v>Choose ANTH3003 or PSYC2003</v>
      </c>
      <c r="E1112" s="125">
        <f>TableSTRUPSYCM[[#This Row],[Credit Points]]</f>
        <v>25</v>
      </c>
      <c r="F1112">
        <v>6</v>
      </c>
      <c r="G1112" t="s">
        <v>865</v>
      </c>
      <c r="H1112">
        <v>2</v>
      </c>
      <c r="I1112" t="s">
        <v>529</v>
      </c>
      <c r="J1112" t="s">
        <v>491</v>
      </c>
      <c r="K1112">
        <v>0</v>
      </c>
      <c r="L1112" t="s">
        <v>903</v>
      </c>
      <c r="M1112">
        <v>25</v>
      </c>
      <c r="N1112" s="195"/>
      <c r="O1112" s="195"/>
      <c r="R1112" t="s">
        <v>491</v>
      </c>
      <c r="S1112">
        <v>0</v>
      </c>
    </row>
    <row r="1113" spans="1:19" x14ac:dyDescent="0.25">
      <c r="A1113" t="str">
        <f>TableSTRUPSYCM[[#This Row],[Study Package Code]]</f>
        <v>ANTH3003</v>
      </c>
      <c r="B1113" s="5">
        <f>TableSTRUPSYCM[[#This Row],[Ver]]</f>
        <v>1</v>
      </c>
      <c r="D1113" t="str">
        <f>TableSTRUPSYCM[[#This Row],[Structure Line]]</f>
        <v>Human Rights and Social Justice</v>
      </c>
      <c r="E1113" s="125">
        <f>TableSTRUPSYCM[[#This Row],[Credit Points]]</f>
        <v>25</v>
      </c>
      <c r="F1113">
        <v>6</v>
      </c>
      <c r="G1113" t="s">
        <v>871</v>
      </c>
      <c r="H1113">
        <v>2</v>
      </c>
      <c r="I1113" t="s">
        <v>529</v>
      </c>
      <c r="J1113" t="s">
        <v>355</v>
      </c>
      <c r="K1113">
        <v>1</v>
      </c>
      <c r="L1113" t="s">
        <v>555</v>
      </c>
      <c r="M1113">
        <v>25</v>
      </c>
      <c r="N1113" s="195">
        <v>42005</v>
      </c>
      <c r="O1113" s="195"/>
      <c r="R1113" t="s">
        <v>355</v>
      </c>
      <c r="S1113">
        <v>1</v>
      </c>
    </row>
    <row r="1114" spans="1:19" x14ac:dyDescent="0.25">
      <c r="A1114" t="str">
        <f>TableSTRUPSYCM[[#This Row],[Study Package Code]]</f>
        <v>PSYC2003</v>
      </c>
      <c r="B1114" s="5">
        <f>TableSTRUPSYCM[[#This Row],[Ver]]</f>
        <v>1</v>
      </c>
      <c r="D1114" t="str">
        <f>TableSTRUPSYCM[[#This Row],[Structure Line]]</f>
        <v>Child Developmental Psychology</v>
      </c>
      <c r="E1114" s="125">
        <f>TableSTRUPSYCM[[#This Row],[Credit Points]]</f>
        <v>25</v>
      </c>
      <c r="F1114">
        <v>6</v>
      </c>
      <c r="G1114" t="s">
        <v>871</v>
      </c>
      <c r="H1114">
        <v>2</v>
      </c>
      <c r="I1114" t="s">
        <v>529</v>
      </c>
      <c r="J1114" t="s">
        <v>521</v>
      </c>
      <c r="K1114">
        <v>1</v>
      </c>
      <c r="L1114" t="s">
        <v>802</v>
      </c>
      <c r="M1114">
        <v>25</v>
      </c>
      <c r="N1114" s="195">
        <v>42005</v>
      </c>
      <c r="O1114" s="195"/>
      <c r="R1114" t="s">
        <v>521</v>
      </c>
      <c r="S1114">
        <v>1</v>
      </c>
    </row>
    <row r="1115" spans="1:19" x14ac:dyDescent="0.25">
      <c r="A1115" s="122"/>
      <c r="B1115" s="124"/>
      <c r="C1115" s="122"/>
      <c r="G1115" s="123" t="s">
        <v>855</v>
      </c>
      <c r="H1115" s="199">
        <v>43101</v>
      </c>
      <c r="J1115" s="197" t="s">
        <v>216</v>
      </c>
      <c r="K1115" s="124" t="s">
        <v>67</v>
      </c>
      <c r="L1115" s="122" t="s">
        <v>410</v>
      </c>
      <c r="M1115" s="122"/>
    </row>
    <row r="1116" spans="1:19" ht="31.5" x14ac:dyDescent="0.25">
      <c r="A1116" s="159" t="s">
        <v>0</v>
      </c>
      <c r="B1116" s="160" t="s">
        <v>60</v>
      </c>
      <c r="C1116" s="159" t="s">
        <v>856</v>
      </c>
      <c r="D1116" s="159" t="s">
        <v>3</v>
      </c>
      <c r="E1116" s="161" t="s">
        <v>857</v>
      </c>
      <c r="F1116" s="159" t="s">
        <v>858</v>
      </c>
      <c r="G1116" s="159" t="s">
        <v>859</v>
      </c>
      <c r="H1116" s="159" t="s">
        <v>860</v>
      </c>
      <c r="I1116" s="159" t="s">
        <v>17</v>
      </c>
      <c r="J1116" s="159" t="s">
        <v>861</v>
      </c>
      <c r="K1116" s="159" t="s">
        <v>1</v>
      </c>
      <c r="L1116" s="159" t="s">
        <v>44</v>
      </c>
      <c r="M1116" s="159" t="s">
        <v>61</v>
      </c>
      <c r="N1116" s="159" t="s">
        <v>862</v>
      </c>
      <c r="O1116" s="159" t="s">
        <v>863</v>
      </c>
      <c r="R1116" t="s">
        <v>538</v>
      </c>
      <c r="S1116" t="s">
        <v>864</v>
      </c>
    </row>
    <row r="1117" spans="1:19" x14ac:dyDescent="0.25">
      <c r="A1117" t="str">
        <f>TableSTRUSOSCM[[#This Row],[Study Package Code]]</f>
        <v>PHGY1000</v>
      </c>
      <c r="B1117" s="5">
        <f>TableSTRUSOSCM[[#This Row],[Ver]]</f>
        <v>1</v>
      </c>
      <c r="D1117" t="str">
        <f>TableSTRUSOSCM[[#This Row],[Structure Line]]</f>
        <v>Physical Geography</v>
      </c>
      <c r="E1117" s="125">
        <f>TableSTRUSOSCM[[#This Row],[Credit Points]]</f>
        <v>25</v>
      </c>
      <c r="F1117">
        <v>1</v>
      </c>
      <c r="G1117" t="s">
        <v>865</v>
      </c>
      <c r="H1117">
        <v>1</v>
      </c>
      <c r="I1117" t="s">
        <v>529</v>
      </c>
      <c r="J1117" t="s">
        <v>305</v>
      </c>
      <c r="K1117">
        <v>1</v>
      </c>
      <c r="L1117" t="s">
        <v>787</v>
      </c>
      <c r="M1117">
        <v>25</v>
      </c>
      <c r="N1117" s="195">
        <v>42005</v>
      </c>
      <c r="O1117" s="195"/>
      <c r="R1117" t="s">
        <v>305</v>
      </c>
      <c r="S1117">
        <v>1</v>
      </c>
    </row>
    <row r="1118" spans="1:19" x14ac:dyDescent="0.25">
      <c r="A1118" t="str">
        <f>TableSTRUSOSCM[[#This Row],[Study Package Code]]</f>
        <v>ECON1000</v>
      </c>
      <c r="B1118" s="5">
        <f>TableSTRUSOSCM[[#This Row],[Ver]]</f>
        <v>1</v>
      </c>
      <c r="D1118" t="str">
        <f>TableSTRUSOSCM[[#This Row],[Structure Line]]</f>
        <v>Introductory Economics</v>
      </c>
      <c r="E1118" s="125">
        <f>TableSTRUSOSCM[[#This Row],[Credit Points]]</f>
        <v>25</v>
      </c>
      <c r="F1118">
        <v>2</v>
      </c>
      <c r="G1118" t="s">
        <v>865</v>
      </c>
      <c r="H1118">
        <v>2</v>
      </c>
      <c r="I1118" t="s">
        <v>528</v>
      </c>
      <c r="J1118" t="s">
        <v>304</v>
      </c>
      <c r="K1118">
        <v>1</v>
      </c>
      <c r="L1118" t="s">
        <v>599</v>
      </c>
      <c r="M1118">
        <v>25</v>
      </c>
      <c r="N1118" s="195">
        <v>42005</v>
      </c>
      <c r="O1118" s="195"/>
      <c r="R1118" t="s">
        <v>304</v>
      </c>
      <c r="S1118">
        <v>1</v>
      </c>
    </row>
    <row r="1119" spans="1:19" x14ac:dyDescent="0.25">
      <c r="A1119" t="str">
        <f>TableSTRUSOSCM[[#This Row],[Study Package Code]]</f>
        <v>ANTH3003</v>
      </c>
      <c r="B1119" s="5">
        <f>TableSTRUSOSCM[[#This Row],[Ver]]</f>
        <v>1</v>
      </c>
      <c r="D1119" t="str">
        <f>TableSTRUSOSCM[[#This Row],[Structure Line]]</f>
        <v>Human Rights and Social Justice</v>
      </c>
      <c r="E1119" s="125">
        <f>TableSTRUSOSCM[[#This Row],[Credit Points]]</f>
        <v>25</v>
      </c>
      <c r="F1119">
        <v>3</v>
      </c>
      <c r="G1119" t="s">
        <v>865</v>
      </c>
      <c r="H1119">
        <v>2</v>
      </c>
      <c r="I1119" t="s">
        <v>529</v>
      </c>
      <c r="J1119" t="s">
        <v>355</v>
      </c>
      <c r="K1119">
        <v>1</v>
      </c>
      <c r="L1119" t="s">
        <v>555</v>
      </c>
      <c r="M1119">
        <v>25</v>
      </c>
      <c r="N1119" s="195">
        <v>42005</v>
      </c>
      <c r="O1119" s="195"/>
      <c r="R1119" t="s">
        <v>355</v>
      </c>
      <c r="S1119">
        <v>1</v>
      </c>
    </row>
    <row r="1120" spans="1:19" x14ac:dyDescent="0.25">
      <c r="A1120" t="str">
        <f>TableSTRUSOSCM[[#This Row],[Study Package Code]]</f>
        <v>EDSC4024</v>
      </c>
      <c r="B1120" s="5">
        <f>TableSTRUSOSCM[[#This Row],[Ver]]</f>
        <v>1</v>
      </c>
      <c r="D1120" t="str">
        <f>TableSTRUSOSCM[[#This Row],[Structure Line]]</f>
        <v>Curriculum and Instruction Lower Secondary: Humanities and Social Sciences</v>
      </c>
      <c r="E1120" s="125">
        <f>TableSTRUSOSCM[[#This Row],[Credit Points]]</f>
        <v>25</v>
      </c>
      <c r="F1120">
        <v>4</v>
      </c>
      <c r="G1120" t="s">
        <v>865</v>
      </c>
      <c r="H1120">
        <v>3</v>
      </c>
      <c r="I1120" t="s">
        <v>528</v>
      </c>
      <c r="J1120" t="s">
        <v>320</v>
      </c>
      <c r="K1120">
        <v>1</v>
      </c>
      <c r="L1120" t="s">
        <v>676</v>
      </c>
      <c r="M1120">
        <v>25</v>
      </c>
      <c r="N1120" s="195">
        <v>43466</v>
      </c>
      <c r="O1120" s="195"/>
      <c r="R1120" t="s">
        <v>320</v>
      </c>
      <c r="S1120">
        <v>1</v>
      </c>
    </row>
    <row r="1121" spans="1:19" x14ac:dyDescent="0.25">
      <c r="A1121" t="str">
        <f>TableSTRUSOSCM[[#This Row],[Study Package Code]]</f>
        <v>AltCoreSTRUSOSCM</v>
      </c>
      <c r="B1121" s="5">
        <f>TableSTRUSOSCM[[#This Row],[Ver]]</f>
        <v>0</v>
      </c>
      <c r="D1121" t="str">
        <f>TableSTRUSOSCM[[#This Row],[Structure Line]]</f>
        <v>Choose INDS2001 or INDS2004</v>
      </c>
      <c r="E1121" s="125">
        <f>TableSTRUSOSCM[[#This Row],[Credit Points]]</f>
        <v>25</v>
      </c>
      <c r="F1121">
        <v>5</v>
      </c>
      <c r="G1121" t="s">
        <v>865</v>
      </c>
      <c r="H1121">
        <v>3</v>
      </c>
      <c r="I1121" t="s">
        <v>528</v>
      </c>
      <c r="J1121" t="s">
        <v>508</v>
      </c>
      <c r="K1121">
        <v>0</v>
      </c>
      <c r="L1121" t="s">
        <v>890</v>
      </c>
      <c r="M1121">
        <v>25</v>
      </c>
      <c r="N1121" s="195"/>
      <c r="O1121" s="195"/>
      <c r="R1121" t="s">
        <v>508</v>
      </c>
      <c r="S1121">
        <v>0</v>
      </c>
    </row>
    <row r="1122" spans="1:19" x14ac:dyDescent="0.25">
      <c r="A1122" t="str">
        <f>TableSTRUSOSCM[[#This Row],[Study Package Code]]</f>
        <v>EDSC4026</v>
      </c>
      <c r="B1122" s="5">
        <f>TableSTRUSOSCM[[#This Row],[Ver]]</f>
        <v>2</v>
      </c>
      <c r="D1122" t="str">
        <f>TableSTRUSOSCM[[#This Row],[Structure Line]]</f>
        <v>Curriculum and Instruction Senior Secondary: Humanities and Social Sciences</v>
      </c>
      <c r="E1122" s="125">
        <f>TableSTRUSOSCM[[#This Row],[Credit Points]]</f>
        <v>25</v>
      </c>
      <c r="F1122">
        <v>6</v>
      </c>
      <c r="G1122" t="s">
        <v>865</v>
      </c>
      <c r="H1122">
        <v>3</v>
      </c>
      <c r="I1122" t="s">
        <v>529</v>
      </c>
      <c r="J1122" t="s">
        <v>343</v>
      </c>
      <c r="K1122">
        <v>2</v>
      </c>
      <c r="L1122" t="s">
        <v>677</v>
      </c>
      <c r="M1122">
        <v>25</v>
      </c>
      <c r="N1122" s="195">
        <v>43831</v>
      </c>
      <c r="O1122" s="195"/>
      <c r="R1122" t="s">
        <v>343</v>
      </c>
      <c r="S1122">
        <v>2</v>
      </c>
    </row>
    <row r="1123" spans="1:19" x14ac:dyDescent="0.25">
      <c r="A1123" t="str">
        <f>TableSTRUSOSCM[[#This Row],[Study Package Code]]</f>
        <v>INDS2001</v>
      </c>
      <c r="B1123" s="5">
        <f>TableSTRUSOSCM[[#This Row],[Ver]]</f>
        <v>1</v>
      </c>
      <c r="D1123" t="str">
        <f>TableSTRUSOSCM[[#This Row],[Structure Line]]</f>
        <v>Indigenous Australian Land and Environments</v>
      </c>
      <c r="E1123" s="125">
        <f>TableSTRUSOSCM[[#This Row],[Credit Points]]</f>
        <v>25</v>
      </c>
      <c r="F1123">
        <v>5</v>
      </c>
      <c r="G1123" t="s">
        <v>871</v>
      </c>
      <c r="H1123">
        <v>3</v>
      </c>
      <c r="I1123" t="s">
        <v>528</v>
      </c>
      <c r="J1123" t="s">
        <v>414</v>
      </c>
      <c r="K1123">
        <v>1</v>
      </c>
      <c r="L1123" t="s">
        <v>750</v>
      </c>
      <c r="M1123">
        <v>25</v>
      </c>
      <c r="N1123" s="195">
        <v>42005</v>
      </c>
      <c r="O1123" s="195"/>
      <c r="R1123" t="s">
        <v>414</v>
      </c>
      <c r="S1123">
        <v>1</v>
      </c>
    </row>
    <row r="1124" spans="1:19" x14ac:dyDescent="0.25">
      <c r="A1124" t="str">
        <f>TableSTRUSOSCM[[#This Row],[Study Package Code]]</f>
        <v>INDS2004</v>
      </c>
      <c r="B1124" s="5">
        <f>TableSTRUSOSCM[[#This Row],[Ver]]</f>
        <v>2</v>
      </c>
      <c r="D1124" t="str">
        <f>TableSTRUSOSCM[[#This Row],[Structure Line]]</f>
        <v>Listening to Country: First Nations’ Perspectives</v>
      </c>
      <c r="E1124" s="125">
        <f>TableSTRUSOSCM[[#This Row],[Credit Points]]</f>
        <v>25</v>
      </c>
      <c r="F1124">
        <v>5</v>
      </c>
      <c r="G1124" t="s">
        <v>871</v>
      </c>
      <c r="H1124">
        <v>3</v>
      </c>
      <c r="I1124" t="s">
        <v>528</v>
      </c>
      <c r="J1124" t="s">
        <v>417</v>
      </c>
      <c r="K1124">
        <v>2</v>
      </c>
      <c r="L1124" t="s">
        <v>751</v>
      </c>
      <c r="M1124">
        <v>25</v>
      </c>
      <c r="N1124" s="195">
        <v>44562</v>
      </c>
      <c r="O1124" s="195"/>
      <c r="R1124" t="s">
        <v>417</v>
      </c>
      <c r="S1124">
        <v>2</v>
      </c>
    </row>
    <row r="1125" spans="1:19" x14ac:dyDescent="0.25">
      <c r="A1125" s="122"/>
      <c r="B1125" s="124"/>
      <c r="C1125" s="122"/>
      <c r="G1125" s="123" t="s">
        <v>855</v>
      </c>
      <c r="H1125" s="199">
        <v>43831</v>
      </c>
      <c r="J1125" s="197" t="s">
        <v>249</v>
      </c>
      <c r="K1125" s="124" t="s">
        <v>67</v>
      </c>
      <c r="L1125" s="122" t="s">
        <v>411</v>
      </c>
      <c r="M1125" s="122"/>
    </row>
    <row r="1126" spans="1:19" ht="31.5" x14ac:dyDescent="0.25">
      <c r="A1126" s="159" t="s">
        <v>0</v>
      </c>
      <c r="B1126" s="160" t="s">
        <v>60</v>
      </c>
      <c r="C1126" s="159" t="s">
        <v>856</v>
      </c>
      <c r="D1126" s="159" t="s">
        <v>3</v>
      </c>
      <c r="E1126" s="161" t="s">
        <v>857</v>
      </c>
      <c r="F1126" s="159" t="s">
        <v>858</v>
      </c>
      <c r="G1126" s="159" t="s">
        <v>859</v>
      </c>
      <c r="H1126" s="159" t="s">
        <v>860</v>
      </c>
      <c r="I1126" s="159" t="s">
        <v>17</v>
      </c>
      <c r="J1126" s="159" t="s">
        <v>861</v>
      </c>
      <c r="K1126" s="159" t="s">
        <v>1</v>
      </c>
      <c r="L1126" s="159" t="s">
        <v>44</v>
      </c>
      <c r="M1126" s="159" t="s">
        <v>61</v>
      </c>
      <c r="N1126" s="159" t="s">
        <v>862</v>
      </c>
      <c r="O1126" s="159" t="s">
        <v>863</v>
      </c>
      <c r="R1126" t="s">
        <v>538</v>
      </c>
      <c r="S1126" t="s">
        <v>864</v>
      </c>
    </row>
    <row r="1127" spans="1:19" x14ac:dyDescent="0.25">
      <c r="A1127" t="str">
        <f>TableSTRUVARTB[[#This Row],[Study Package Code]]</f>
        <v>EDUC1029</v>
      </c>
      <c r="B1127" s="5">
        <f>TableSTRUVARTB[[#This Row],[Ver]]</f>
        <v>1</v>
      </c>
      <c r="D1127" t="str">
        <f>TableSTRUVARTB[[#This Row],[Structure Line]]</f>
        <v>Performing Arts for Educators</v>
      </c>
      <c r="E1127" s="125">
        <f>TableSTRUVARTB[[#This Row],[Credit Points]]</f>
        <v>25</v>
      </c>
      <c r="F1127">
        <v>1</v>
      </c>
      <c r="G1127" t="s">
        <v>865</v>
      </c>
      <c r="H1127">
        <v>1</v>
      </c>
      <c r="I1127" t="s">
        <v>529</v>
      </c>
      <c r="J1127" t="s">
        <v>55</v>
      </c>
      <c r="K1127">
        <v>1</v>
      </c>
      <c r="L1127" t="s">
        <v>689</v>
      </c>
      <c r="M1127">
        <v>25</v>
      </c>
      <c r="N1127" s="195">
        <v>43466</v>
      </c>
      <c r="O1127" s="195"/>
      <c r="R1127" t="s">
        <v>55</v>
      </c>
      <c r="S1127">
        <v>1</v>
      </c>
    </row>
    <row r="1128" spans="1:19" x14ac:dyDescent="0.25">
      <c r="A1128" t="str">
        <f>TableSTRUVARTB[[#This Row],[Study Package Code]]</f>
        <v>VISA1005</v>
      </c>
      <c r="B1128" s="5">
        <f>TableSTRUVARTB[[#This Row],[Ver]]</f>
        <v>2</v>
      </c>
      <c r="D1128" t="str">
        <f>TableSTRUVARTB[[#This Row],[Structure Line]]</f>
        <v>Fine Art Studio Materials</v>
      </c>
      <c r="E1128" s="125">
        <f>TableSTRUVARTB[[#This Row],[Credit Points]]</f>
        <v>25</v>
      </c>
      <c r="F1128">
        <v>2</v>
      </c>
      <c r="G1128" t="s">
        <v>865</v>
      </c>
      <c r="H1128">
        <v>2</v>
      </c>
      <c r="I1128" t="s">
        <v>528</v>
      </c>
      <c r="J1128" t="s">
        <v>485</v>
      </c>
      <c r="K1128">
        <v>2</v>
      </c>
      <c r="L1128" t="s">
        <v>843</v>
      </c>
      <c r="M1128">
        <v>25</v>
      </c>
      <c r="N1128" s="195">
        <v>42370</v>
      </c>
      <c r="O1128" s="195"/>
      <c r="R1128" t="s">
        <v>485</v>
      </c>
      <c r="S1128">
        <v>2</v>
      </c>
    </row>
    <row r="1129" spans="1:19" x14ac:dyDescent="0.25">
      <c r="A1129" t="str">
        <f>TableSTRUVARTB[[#This Row],[Study Package Code]]</f>
        <v>VISA2007</v>
      </c>
      <c r="B1129" s="5">
        <f>TableSTRUVARTB[[#This Row],[Ver]]</f>
        <v>2</v>
      </c>
      <c r="D1129" t="str">
        <f>TableSTRUVARTB[[#This Row],[Structure Line]]</f>
        <v>Fine Art Project</v>
      </c>
      <c r="E1129" s="125">
        <f>TableSTRUVARTB[[#This Row],[Credit Points]]</f>
        <v>25</v>
      </c>
      <c r="F1129">
        <v>3</v>
      </c>
      <c r="G1129" t="s">
        <v>865</v>
      </c>
      <c r="H1129">
        <v>2</v>
      </c>
      <c r="I1129" t="s">
        <v>529</v>
      </c>
      <c r="J1129" t="s">
        <v>492</v>
      </c>
      <c r="K1129">
        <v>2</v>
      </c>
      <c r="L1129" t="s">
        <v>845</v>
      </c>
      <c r="M1129">
        <v>25</v>
      </c>
      <c r="N1129" s="195">
        <v>42370</v>
      </c>
      <c r="O1129" s="195"/>
      <c r="R1129" t="s">
        <v>492</v>
      </c>
      <c r="S1129">
        <v>2</v>
      </c>
    </row>
    <row r="1130" spans="1:19" x14ac:dyDescent="0.25">
      <c r="A1130" t="str">
        <f>TableSTRUVARTB[[#This Row],[Study Package Code]]</f>
        <v>EDPR3014</v>
      </c>
      <c r="B1130" s="5">
        <f>TableSTRUVARTB[[#This Row],[Ver]]</f>
        <v>1</v>
      </c>
      <c r="D1130" t="str">
        <f>TableSTRUVARTB[[#This Row],[Structure Line]]</f>
        <v>Visual and Media Arts Education</v>
      </c>
      <c r="E1130" s="125">
        <f>TableSTRUVARTB[[#This Row],[Credit Points]]</f>
        <v>25</v>
      </c>
      <c r="F1130">
        <v>4</v>
      </c>
      <c r="G1130" t="s">
        <v>865</v>
      </c>
      <c r="H1130">
        <v>3</v>
      </c>
      <c r="I1130" t="s">
        <v>528</v>
      </c>
      <c r="J1130" t="s">
        <v>119</v>
      </c>
      <c r="K1130">
        <v>1</v>
      </c>
      <c r="L1130" t="s">
        <v>652</v>
      </c>
      <c r="M1130">
        <v>25</v>
      </c>
      <c r="N1130" s="195">
        <v>43466</v>
      </c>
      <c r="O1130" s="195"/>
      <c r="R1130" t="s">
        <v>119</v>
      </c>
      <c r="S1130">
        <v>1</v>
      </c>
    </row>
    <row r="1131" spans="1:19" x14ac:dyDescent="0.25">
      <c r="A1131" t="str">
        <f>TableSTRUVARTB[[#This Row],[Study Package Code]]</f>
        <v>OptionStream</v>
      </c>
      <c r="B1131" s="5">
        <f>TableSTRUVARTB[[#This Row],[Ver]]</f>
        <v>0</v>
      </c>
      <c r="D1131" t="str">
        <f>TableSTRUVARTB[[#This Row],[Structure Line]]</f>
        <v>Choose an Option</v>
      </c>
      <c r="E1131" s="125">
        <f>TableSTRUVARTB[[#This Row],[Credit Points]]</f>
        <v>25</v>
      </c>
      <c r="F1131">
        <v>5</v>
      </c>
      <c r="G1131" t="s">
        <v>102</v>
      </c>
      <c r="H1131">
        <v>3</v>
      </c>
      <c r="I1131" t="s">
        <v>528</v>
      </c>
      <c r="J1131" t="s">
        <v>886</v>
      </c>
      <c r="K1131">
        <v>0</v>
      </c>
      <c r="L1131" t="s">
        <v>867</v>
      </c>
      <c r="M1131">
        <v>25</v>
      </c>
      <c r="N1131" s="195"/>
      <c r="O1131" s="195"/>
      <c r="R1131" t="s">
        <v>886</v>
      </c>
      <c r="S1131">
        <v>0</v>
      </c>
    </row>
    <row r="1132" spans="1:19" x14ac:dyDescent="0.25">
      <c r="A1132" t="str">
        <f>TableSTRUVARTB[[#This Row],[Study Package Code]]</f>
        <v>VISA3023</v>
      </c>
      <c r="B1132" s="5">
        <f>TableSTRUVARTB[[#This Row],[Ver]]</f>
        <v>1</v>
      </c>
      <c r="D1132" t="str">
        <f>TableSTRUVARTB[[#This Row],[Structure Line]]</f>
        <v>Fine Art Project Advanced</v>
      </c>
      <c r="E1132" s="125">
        <f>TableSTRUVARTB[[#This Row],[Credit Points]]</f>
        <v>25</v>
      </c>
      <c r="F1132">
        <v>6</v>
      </c>
      <c r="G1132" t="s">
        <v>865</v>
      </c>
      <c r="H1132">
        <v>3</v>
      </c>
      <c r="I1132" t="s">
        <v>529</v>
      </c>
      <c r="J1132" t="s">
        <v>516</v>
      </c>
      <c r="K1132">
        <v>1</v>
      </c>
      <c r="L1132" t="s">
        <v>851</v>
      </c>
      <c r="M1132">
        <v>25</v>
      </c>
      <c r="N1132" s="195">
        <v>43831</v>
      </c>
      <c r="O1132" s="195"/>
      <c r="R1132" t="s">
        <v>516</v>
      </c>
      <c r="S1132">
        <v>1</v>
      </c>
    </row>
    <row r="1133" spans="1:19" x14ac:dyDescent="0.25">
      <c r="A1133" t="str">
        <f>TableSTRUVARTB[[#This Row],[Study Package Code]]</f>
        <v>CTED4000</v>
      </c>
      <c r="B1133" s="5">
        <f>TableSTRUVARTB[[#This Row],[Ver]]</f>
        <v>1</v>
      </c>
      <c r="D1133" t="str">
        <f>TableSTRUVARTB[[#This Row],[Structure Line]]</f>
        <v>An Introduction to Catholic Education</v>
      </c>
      <c r="E1133" s="125">
        <f>TableSTRUVARTB[[#This Row],[Credit Points]]</f>
        <v>25</v>
      </c>
      <c r="F1133">
        <v>5</v>
      </c>
      <c r="G1133" t="s">
        <v>102</v>
      </c>
      <c r="H1133">
        <v>3</v>
      </c>
      <c r="I1133" t="s">
        <v>528</v>
      </c>
      <c r="J1133" t="s">
        <v>171</v>
      </c>
      <c r="K1133">
        <v>1</v>
      </c>
      <c r="L1133" t="s">
        <v>583</v>
      </c>
      <c r="M1133">
        <v>25</v>
      </c>
      <c r="N1133" s="195">
        <v>42005</v>
      </c>
      <c r="O1133" s="195"/>
      <c r="R1133" t="s">
        <v>171</v>
      </c>
      <c r="S1133">
        <v>1</v>
      </c>
    </row>
    <row r="1134" spans="1:19" x14ac:dyDescent="0.25">
      <c r="A1134" t="str">
        <f>TableSTRUVARTB[[#This Row],[Study Package Code]]</f>
        <v>CTED4001</v>
      </c>
      <c r="B1134" s="5">
        <f>TableSTRUVARTB[[#This Row],[Ver]]</f>
        <v>1</v>
      </c>
      <c r="D1134" t="str">
        <f>TableSTRUVARTB[[#This Row],[Structure Line]]</f>
        <v>Creed and Sacraments in Catholic Studies</v>
      </c>
      <c r="E1134" s="125">
        <f>TableSTRUVARTB[[#This Row],[Credit Points]]</f>
        <v>25</v>
      </c>
      <c r="F1134">
        <v>5</v>
      </c>
      <c r="G1134" t="s">
        <v>102</v>
      </c>
      <c r="H1134">
        <v>3</v>
      </c>
      <c r="I1134" t="s">
        <v>528</v>
      </c>
      <c r="J1134" t="s">
        <v>150</v>
      </c>
      <c r="K1134">
        <v>1</v>
      </c>
      <c r="L1134" t="s">
        <v>588</v>
      </c>
      <c r="M1134">
        <v>25</v>
      </c>
      <c r="N1134" s="195">
        <v>42005</v>
      </c>
      <c r="O1134" s="195">
        <v>45291</v>
      </c>
      <c r="R1134" t="s">
        <v>150</v>
      </c>
      <c r="S1134">
        <v>1</v>
      </c>
    </row>
    <row r="1135" spans="1:19" x14ac:dyDescent="0.25">
      <c r="A1135" t="str">
        <f>TableSTRUVARTB[[#This Row],[Study Package Code]]</f>
        <v>CTED4002</v>
      </c>
      <c r="B1135" s="5">
        <f>TableSTRUVARTB[[#This Row],[Ver]]</f>
        <v>2</v>
      </c>
      <c r="D1135" t="str">
        <f>TableSTRUVARTB[[#This Row],[Structure Line]]</f>
        <v>Prayer and Morality in Catholic Studies</v>
      </c>
      <c r="E1135" s="125">
        <f>TableSTRUVARTB[[#This Row],[Credit Points]]</f>
        <v>25</v>
      </c>
      <c r="F1135">
        <v>5</v>
      </c>
      <c r="G1135" t="s">
        <v>102</v>
      </c>
      <c r="H1135">
        <v>3</v>
      </c>
      <c r="I1135" t="s">
        <v>528</v>
      </c>
      <c r="J1135" t="s">
        <v>172</v>
      </c>
      <c r="K1135">
        <v>2</v>
      </c>
      <c r="L1135" t="s">
        <v>591</v>
      </c>
      <c r="M1135">
        <v>25</v>
      </c>
      <c r="N1135" s="195">
        <v>44197</v>
      </c>
      <c r="O1135" s="195"/>
      <c r="R1135" t="s">
        <v>172</v>
      </c>
      <c r="S1135">
        <v>2</v>
      </c>
    </row>
    <row r="1136" spans="1:19" x14ac:dyDescent="0.25">
      <c r="A1136" t="str">
        <f>TableSTRUVARTB[[#This Row],[Study Package Code]]</f>
        <v>CTED4006</v>
      </c>
      <c r="B1136" s="5">
        <f>TableSTRUVARTB[[#This Row],[Ver]]</f>
        <v>1</v>
      </c>
      <c r="D1136" t="str">
        <f>TableSTRUVARTB[[#This Row],[Structure Line]]</f>
        <v>Teaching About Jesus in Catholic Schools</v>
      </c>
      <c r="E1136" s="125">
        <f>TableSTRUVARTB[[#This Row],[Credit Points]]</f>
        <v>25</v>
      </c>
      <c r="F1136">
        <v>5</v>
      </c>
      <c r="G1136" t="s">
        <v>102</v>
      </c>
      <c r="H1136">
        <v>3</v>
      </c>
      <c r="I1136" t="s">
        <v>528</v>
      </c>
      <c r="J1136" t="s">
        <v>152</v>
      </c>
      <c r="K1136">
        <v>1</v>
      </c>
      <c r="L1136" t="s">
        <v>592</v>
      </c>
      <c r="M1136">
        <v>25</v>
      </c>
      <c r="N1136" s="195">
        <v>45292</v>
      </c>
      <c r="O1136" s="195"/>
    </row>
    <row r="1137" spans="1:19" x14ac:dyDescent="0.25">
      <c r="A1137" t="str">
        <f>TableSTRUVARTB[[#This Row],[Study Package Code]]</f>
        <v>CTED4008</v>
      </c>
      <c r="B1137" s="5">
        <f>TableSTRUVARTB[[#This Row],[Ver]]</f>
        <v>1</v>
      </c>
      <c r="D1137" t="str">
        <f>TableSTRUVARTB[[#This Row],[Structure Line]]</f>
        <v>Teaching About the Gospels in Catholic Schools</v>
      </c>
      <c r="E1137" s="125">
        <f>TableSTRUVARTB[[#This Row],[Credit Points]]</f>
        <v>25</v>
      </c>
      <c r="F1137">
        <v>5</v>
      </c>
      <c r="G1137" t="s">
        <v>102</v>
      </c>
      <c r="H1137">
        <v>3</v>
      </c>
      <c r="I1137" t="s">
        <v>528</v>
      </c>
      <c r="J1137" t="s">
        <v>154</v>
      </c>
      <c r="K1137">
        <v>1</v>
      </c>
      <c r="L1137" t="s">
        <v>593</v>
      </c>
      <c r="M1137">
        <v>25</v>
      </c>
      <c r="N1137" s="195">
        <v>45292</v>
      </c>
      <c r="O1137" s="195"/>
    </row>
    <row r="1138" spans="1:19" x14ac:dyDescent="0.25">
      <c r="A1138" t="str">
        <f>TableSTRUVARTB[[#This Row],[Study Package Code]]</f>
        <v>EDIB4000</v>
      </c>
      <c r="B1138" s="5">
        <f>TableSTRUVARTB[[#This Row],[Ver]]</f>
        <v>1</v>
      </c>
      <c r="D1138" t="str">
        <f>TableSTRUVARTB[[#This Row],[Structure Line]]</f>
        <v>Introduction to the International Baccalaureate Programme</v>
      </c>
      <c r="E1138" s="125">
        <f>TableSTRUVARTB[[#This Row],[Credit Points]]</f>
        <v>25</v>
      </c>
      <c r="F1138">
        <v>5</v>
      </c>
      <c r="G1138" t="s">
        <v>102</v>
      </c>
      <c r="H1138">
        <v>3</v>
      </c>
      <c r="I1138" t="s">
        <v>528</v>
      </c>
      <c r="J1138" t="s">
        <v>166</v>
      </c>
      <c r="K1138">
        <v>1</v>
      </c>
      <c r="L1138" t="s">
        <v>631</v>
      </c>
      <c r="M1138">
        <v>25</v>
      </c>
      <c r="N1138" s="195">
        <v>42005</v>
      </c>
      <c r="O1138" s="195"/>
      <c r="R1138" t="s">
        <v>166</v>
      </c>
      <c r="S1138">
        <v>1</v>
      </c>
    </row>
    <row r="1139" spans="1:19" x14ac:dyDescent="0.25">
      <c r="A1139" t="str">
        <f>TableSTRUVARTB[[#This Row],[Study Package Code]]</f>
        <v>EDIB4002</v>
      </c>
      <c r="B1139" s="5">
        <f>TableSTRUVARTB[[#This Row],[Ver]]</f>
        <v>1</v>
      </c>
      <c r="D1139" t="str">
        <f>TableSTRUVARTB[[#This Row],[Structure Line]]</f>
        <v>International Baccalaureate Middle Years Programme</v>
      </c>
      <c r="E1139" s="125">
        <f>TableSTRUVARTB[[#This Row],[Credit Points]]</f>
        <v>25</v>
      </c>
      <c r="F1139">
        <v>5</v>
      </c>
      <c r="G1139" t="s">
        <v>102</v>
      </c>
      <c r="H1139">
        <v>3</v>
      </c>
      <c r="I1139" t="s">
        <v>528</v>
      </c>
      <c r="J1139" t="s">
        <v>170</v>
      </c>
      <c r="K1139">
        <v>1</v>
      </c>
      <c r="L1139" t="s">
        <v>634</v>
      </c>
      <c r="M1139">
        <v>25</v>
      </c>
      <c r="N1139" s="195">
        <v>42005</v>
      </c>
      <c r="O1139" s="195"/>
      <c r="R1139" t="s">
        <v>170</v>
      </c>
      <c r="S1139">
        <v>1</v>
      </c>
    </row>
    <row r="1140" spans="1:19" x14ac:dyDescent="0.25">
      <c r="A1140" t="str">
        <f>TableSTRUVARTB[[#This Row],[Study Package Code]]</f>
        <v>EDIB4003</v>
      </c>
      <c r="B1140" s="5">
        <f>TableSTRUVARTB[[#This Row],[Ver]]</f>
        <v>1</v>
      </c>
      <c r="D1140" t="str">
        <f>TableSTRUVARTB[[#This Row],[Structure Line]]</f>
        <v>The International Baccalaureate in Action</v>
      </c>
      <c r="E1140" s="125">
        <f>TableSTRUVARTB[[#This Row],[Credit Points]]</f>
        <v>25</v>
      </c>
      <c r="F1140">
        <v>5</v>
      </c>
      <c r="G1140" t="s">
        <v>102</v>
      </c>
      <c r="H1140">
        <v>3</v>
      </c>
      <c r="I1140" t="s">
        <v>528</v>
      </c>
      <c r="J1140" t="s">
        <v>168</v>
      </c>
      <c r="K1140">
        <v>1</v>
      </c>
      <c r="L1140" t="s">
        <v>635</v>
      </c>
      <c r="M1140">
        <v>25</v>
      </c>
      <c r="N1140" s="195">
        <v>42005</v>
      </c>
      <c r="O1140" s="195"/>
      <c r="R1140" t="s">
        <v>168</v>
      </c>
      <c r="S1140">
        <v>1</v>
      </c>
    </row>
    <row r="1141" spans="1:19" x14ac:dyDescent="0.25">
      <c r="A1141" t="str">
        <f>TableSTRUVARTB[[#This Row],[Study Package Code]]</f>
        <v>EDUC4012</v>
      </c>
      <c r="B1141" s="5">
        <f>TableSTRUVARTB[[#This Row],[Ver]]</f>
        <v>2</v>
      </c>
      <c r="D1141" t="str">
        <f>TableSTRUVARTB[[#This Row],[Structure Line]]</f>
        <v>Relationships and Sexuality Education</v>
      </c>
      <c r="E1141" s="125">
        <f>TableSTRUVARTB[[#This Row],[Credit Points]]</f>
        <v>25</v>
      </c>
      <c r="F1141">
        <v>5</v>
      </c>
      <c r="G1141" t="s">
        <v>102</v>
      </c>
      <c r="H1141">
        <v>3</v>
      </c>
      <c r="I1141" t="s">
        <v>528</v>
      </c>
      <c r="J1141" t="s">
        <v>156</v>
      </c>
      <c r="K1141">
        <v>2</v>
      </c>
      <c r="L1141" t="s">
        <v>697</v>
      </c>
      <c r="M1141">
        <v>25</v>
      </c>
      <c r="N1141" s="195">
        <v>44927</v>
      </c>
      <c r="O1141" s="195"/>
      <c r="R1141" t="s">
        <v>156</v>
      </c>
      <c r="S1141">
        <v>2</v>
      </c>
    </row>
    <row r="1142" spans="1:19" x14ac:dyDescent="0.25">
      <c r="A1142" t="str">
        <f>TableSTRUVARTB[[#This Row],[Study Package Code]]</f>
        <v>EDUC4014</v>
      </c>
      <c r="B1142" s="5">
        <f>TableSTRUVARTB[[#This Row],[Ver]]</f>
        <v>1</v>
      </c>
      <c r="D1142" t="str">
        <f>TableSTRUVARTB[[#This Row],[Structure Line]]</f>
        <v>Diverse Abilities and Curriculum Differentiation</v>
      </c>
      <c r="E1142" s="125">
        <f>TableSTRUVARTB[[#This Row],[Credit Points]]</f>
        <v>25</v>
      </c>
      <c r="F1142">
        <v>5</v>
      </c>
      <c r="G1142" t="s">
        <v>102</v>
      </c>
      <c r="H1142">
        <v>3</v>
      </c>
      <c r="I1142" t="s">
        <v>528</v>
      </c>
      <c r="J1142" t="s">
        <v>158</v>
      </c>
      <c r="K1142">
        <v>1</v>
      </c>
      <c r="L1142" t="s">
        <v>698</v>
      </c>
      <c r="M1142">
        <v>25</v>
      </c>
      <c r="N1142" s="195">
        <v>42005</v>
      </c>
      <c r="O1142" s="195"/>
      <c r="R1142" t="s">
        <v>158</v>
      </c>
      <c r="S1142">
        <v>1</v>
      </c>
    </row>
    <row r="1143" spans="1:19" x14ac:dyDescent="0.25">
      <c r="A1143" t="str">
        <f>TableSTRUVARTB[[#This Row],[Study Package Code]]</f>
        <v>EDUC4020</v>
      </c>
      <c r="B1143" s="5">
        <f>TableSTRUVARTB[[#This Row],[Ver]]</f>
        <v>1</v>
      </c>
      <c r="D1143" t="str">
        <f>TableSTRUVARTB[[#This Row],[Structure Line]]</f>
        <v>Supporting Literacy and Numeracy Development for Diverse Learners</v>
      </c>
      <c r="E1143" s="125">
        <f>TableSTRUVARTB[[#This Row],[Credit Points]]</f>
        <v>25</v>
      </c>
      <c r="F1143">
        <v>5</v>
      </c>
      <c r="G1143" t="s">
        <v>102</v>
      </c>
      <c r="H1143">
        <v>3</v>
      </c>
      <c r="I1143" t="s">
        <v>528</v>
      </c>
      <c r="J1143" t="s">
        <v>153</v>
      </c>
      <c r="K1143">
        <v>1</v>
      </c>
      <c r="L1143" t="s">
        <v>699</v>
      </c>
      <c r="M1143">
        <v>25</v>
      </c>
      <c r="N1143" s="195">
        <v>43282</v>
      </c>
      <c r="O1143" s="195"/>
      <c r="R1143" t="s">
        <v>153</v>
      </c>
      <c r="S1143">
        <v>1</v>
      </c>
    </row>
    <row r="1144" spans="1:19" x14ac:dyDescent="0.25">
      <c r="A1144" t="str">
        <f>TableSTRUVARTB[[#This Row],[Study Package Code]]</f>
        <v>EDUC4021</v>
      </c>
      <c r="B1144" s="5">
        <f>TableSTRUVARTB[[#This Row],[Ver]]</f>
        <v>1</v>
      </c>
      <c r="D1144" t="str">
        <f>TableSTRUVARTB[[#This Row],[Structure Line]]</f>
        <v>Project-based iSTEM Education</v>
      </c>
      <c r="E1144" s="125">
        <f>TableSTRUVARTB[[#This Row],[Credit Points]]</f>
        <v>25</v>
      </c>
      <c r="F1144">
        <v>5</v>
      </c>
      <c r="G1144" t="s">
        <v>102</v>
      </c>
      <c r="H1144">
        <v>3</v>
      </c>
      <c r="I1144" t="s">
        <v>528</v>
      </c>
      <c r="J1144" t="s">
        <v>142</v>
      </c>
      <c r="K1144">
        <v>1</v>
      </c>
      <c r="L1144" t="s">
        <v>700</v>
      </c>
      <c r="M1144">
        <v>25</v>
      </c>
      <c r="N1144" s="195">
        <v>43282</v>
      </c>
      <c r="O1144" s="195"/>
      <c r="R1144" t="s">
        <v>142</v>
      </c>
      <c r="S1144">
        <v>1</v>
      </c>
    </row>
    <row r="1145" spans="1:19" x14ac:dyDescent="0.25">
      <c r="A1145" t="str">
        <f>TableSTRUVARTB[[#This Row],[Study Package Code]]</f>
        <v>EDUC4022</v>
      </c>
      <c r="B1145" s="5">
        <f>TableSTRUVARTB[[#This Row],[Ver]]</f>
        <v>1</v>
      </c>
      <c r="D1145" t="str">
        <f>TableSTRUVARTB[[#This Row],[Structure Line]]</f>
        <v>Creative Literacies</v>
      </c>
      <c r="E1145" s="125">
        <f>TableSTRUVARTB[[#This Row],[Credit Points]]</f>
        <v>25</v>
      </c>
      <c r="F1145">
        <v>5</v>
      </c>
      <c r="G1145" t="s">
        <v>102</v>
      </c>
      <c r="H1145">
        <v>3</v>
      </c>
      <c r="I1145" t="s">
        <v>528</v>
      </c>
      <c r="J1145" t="s">
        <v>147</v>
      </c>
      <c r="K1145">
        <v>1</v>
      </c>
      <c r="L1145" t="s">
        <v>701</v>
      </c>
      <c r="M1145">
        <v>25</v>
      </c>
      <c r="N1145" s="195">
        <v>43282</v>
      </c>
      <c r="O1145" s="195"/>
      <c r="R1145" t="s">
        <v>147</v>
      </c>
      <c r="S1145">
        <v>1</v>
      </c>
    </row>
    <row r="1146" spans="1:19" x14ac:dyDescent="0.25">
      <c r="A1146" t="str">
        <f>TableSTRUVARTB[[#This Row],[Study Package Code]]</f>
        <v>EDUC4023</v>
      </c>
      <c r="B1146" s="5">
        <f>TableSTRUVARTB[[#This Row],[Ver]]</f>
        <v>1</v>
      </c>
      <c r="D1146" t="str">
        <f>TableSTRUVARTB[[#This Row],[Structure Line]]</f>
        <v>Creating and Responding to Literature</v>
      </c>
      <c r="E1146" s="125">
        <f>TableSTRUVARTB[[#This Row],[Credit Points]]</f>
        <v>25</v>
      </c>
      <c r="F1146">
        <v>5</v>
      </c>
      <c r="G1146" t="s">
        <v>102</v>
      </c>
      <c r="H1146">
        <v>3</v>
      </c>
      <c r="I1146" t="s">
        <v>528</v>
      </c>
      <c r="J1146" t="s">
        <v>148</v>
      </c>
      <c r="K1146">
        <v>1</v>
      </c>
      <c r="L1146" t="s">
        <v>702</v>
      </c>
      <c r="M1146">
        <v>25</v>
      </c>
      <c r="N1146" s="195">
        <v>43282</v>
      </c>
      <c r="O1146" s="195"/>
      <c r="R1146" t="s">
        <v>148</v>
      </c>
      <c r="S1146">
        <v>1</v>
      </c>
    </row>
    <row r="1147" spans="1:19" x14ac:dyDescent="0.25">
      <c r="A1147" t="str">
        <f>TableSTRUVARTB[[#This Row],[Study Package Code]]</f>
        <v>EDUC4029</v>
      </c>
      <c r="B1147" s="5">
        <f>TableSTRUVARTB[[#This Row],[Ver]]</f>
        <v>1</v>
      </c>
      <c r="D1147" t="str">
        <f>TableSTRUVARTB[[#This Row],[Structure Line]]</f>
        <v>Technologies: Coding for Teachers</v>
      </c>
      <c r="E1147" s="125">
        <f>TableSTRUVARTB[[#This Row],[Credit Points]]</f>
        <v>25</v>
      </c>
      <c r="F1147">
        <v>5</v>
      </c>
      <c r="G1147" t="s">
        <v>102</v>
      </c>
      <c r="H1147">
        <v>3</v>
      </c>
      <c r="I1147" t="s">
        <v>528</v>
      </c>
      <c r="J1147" t="s">
        <v>160</v>
      </c>
      <c r="K1147">
        <v>1</v>
      </c>
      <c r="L1147" t="s">
        <v>703</v>
      </c>
      <c r="M1147">
        <v>25</v>
      </c>
      <c r="N1147" s="195">
        <v>43282</v>
      </c>
      <c r="O1147" s="195"/>
      <c r="R1147" t="s">
        <v>160</v>
      </c>
      <c r="S1147">
        <v>1</v>
      </c>
    </row>
    <row r="1148" spans="1:19" x14ac:dyDescent="0.25">
      <c r="A1148" t="str">
        <f>TableSTRUVARTB[[#This Row],[Study Package Code]]</f>
        <v>EDUC4031</v>
      </c>
      <c r="B1148" s="5">
        <f>TableSTRUVARTB[[#This Row],[Ver]]</f>
        <v>1</v>
      </c>
      <c r="D1148" t="str">
        <f>TableSTRUVARTB[[#This Row],[Structure Line]]</f>
        <v>Social Justice in Literacy and Numeracy Learning</v>
      </c>
      <c r="E1148" s="125">
        <f>TableSTRUVARTB[[#This Row],[Credit Points]]</f>
        <v>25</v>
      </c>
      <c r="F1148">
        <v>5</v>
      </c>
      <c r="G1148" t="s">
        <v>102</v>
      </c>
      <c r="H1148">
        <v>3</v>
      </c>
      <c r="I1148" t="s">
        <v>528</v>
      </c>
      <c r="J1148" t="s">
        <v>169</v>
      </c>
      <c r="K1148">
        <v>1</v>
      </c>
      <c r="L1148" t="s">
        <v>705</v>
      </c>
      <c r="M1148">
        <v>25</v>
      </c>
      <c r="N1148" s="195">
        <v>43282</v>
      </c>
      <c r="O1148" s="195">
        <v>44750</v>
      </c>
      <c r="R1148" t="s">
        <v>169</v>
      </c>
      <c r="S1148">
        <v>1</v>
      </c>
    </row>
    <row r="1149" spans="1:19" x14ac:dyDescent="0.25">
      <c r="A1149" t="str">
        <f>TableSTRUVARTB[[#This Row],[Study Package Code]]</f>
        <v>EDUC4032</v>
      </c>
      <c r="B1149" s="5">
        <f>TableSTRUVARTB[[#This Row],[Ver]]</f>
        <v>1</v>
      </c>
      <c r="D1149" t="str">
        <f>TableSTRUVARTB[[#This Row],[Structure Line]]</f>
        <v>iSTEM Education through Digital Stories</v>
      </c>
      <c r="E1149" s="125">
        <f>TableSTRUVARTB[[#This Row],[Credit Points]]</f>
        <v>25</v>
      </c>
      <c r="F1149">
        <v>5</v>
      </c>
      <c r="G1149" t="s">
        <v>102</v>
      </c>
      <c r="H1149">
        <v>3</v>
      </c>
      <c r="I1149" t="s">
        <v>528</v>
      </c>
      <c r="J1149" t="s">
        <v>143</v>
      </c>
      <c r="K1149">
        <v>1</v>
      </c>
      <c r="L1149" t="s">
        <v>707</v>
      </c>
      <c r="M1149">
        <v>25</v>
      </c>
      <c r="N1149" s="195">
        <v>43466</v>
      </c>
      <c r="O1149" s="195"/>
      <c r="R1149" t="s">
        <v>143</v>
      </c>
      <c r="S1149">
        <v>1</v>
      </c>
    </row>
    <row r="1150" spans="1:19" x14ac:dyDescent="0.25">
      <c r="A1150" t="str">
        <f>TableSTRUVARTB[[#This Row],[Study Package Code]]</f>
        <v>EDUC4034</v>
      </c>
      <c r="B1150" s="5">
        <f>TableSTRUVARTB[[#This Row],[Ver]]</f>
        <v>1</v>
      </c>
      <c r="D1150" t="str">
        <f>TableSTRUVARTB[[#This Row],[Structure Line]]</f>
        <v>iSTEM: Social Issues</v>
      </c>
      <c r="E1150" s="125">
        <f>TableSTRUVARTB[[#This Row],[Credit Points]]</f>
        <v>25</v>
      </c>
      <c r="F1150">
        <v>5</v>
      </c>
      <c r="G1150" t="s">
        <v>102</v>
      </c>
      <c r="H1150">
        <v>3</v>
      </c>
      <c r="I1150" t="s">
        <v>528</v>
      </c>
      <c r="J1150" t="s">
        <v>144</v>
      </c>
      <c r="K1150">
        <v>1</v>
      </c>
      <c r="L1150" t="s">
        <v>708</v>
      </c>
      <c r="M1150">
        <v>25</v>
      </c>
      <c r="N1150" s="195">
        <v>43466</v>
      </c>
      <c r="O1150" s="195"/>
      <c r="R1150" t="s">
        <v>144</v>
      </c>
      <c r="S1150">
        <v>1</v>
      </c>
    </row>
    <row r="1151" spans="1:19" x14ac:dyDescent="0.25">
      <c r="A1151" t="str">
        <f>TableSTRUVARTB[[#This Row],[Study Package Code]]</f>
        <v>EDUC4036</v>
      </c>
      <c r="B1151" s="5">
        <f>TableSTRUVARTB[[#This Row],[Ver]]</f>
        <v>1</v>
      </c>
      <c r="D1151" t="str">
        <f>TableSTRUVARTB[[#This Row],[Structure Line]]</f>
        <v>Language and Diversity</v>
      </c>
      <c r="E1151" s="125">
        <f>TableSTRUVARTB[[#This Row],[Credit Points]]</f>
        <v>25</v>
      </c>
      <c r="F1151">
        <v>5</v>
      </c>
      <c r="G1151" t="s">
        <v>102</v>
      </c>
      <c r="H1151">
        <v>3</v>
      </c>
      <c r="I1151" t="s">
        <v>528</v>
      </c>
      <c r="J1151" t="s">
        <v>149</v>
      </c>
      <c r="K1151">
        <v>1</v>
      </c>
      <c r="L1151" t="s">
        <v>709</v>
      </c>
      <c r="M1151">
        <v>25</v>
      </c>
      <c r="N1151" s="195">
        <v>43466</v>
      </c>
      <c r="O1151" s="195"/>
      <c r="R1151" t="s">
        <v>149</v>
      </c>
      <c r="S1151">
        <v>1</v>
      </c>
    </row>
    <row r="1152" spans="1:19" x14ac:dyDescent="0.25">
      <c r="A1152" t="str">
        <f>TableSTRUVARTB[[#This Row],[Study Package Code]]</f>
        <v>EDUC4038</v>
      </c>
      <c r="B1152" s="5">
        <f>TableSTRUVARTB[[#This Row],[Ver]]</f>
        <v>1</v>
      </c>
      <c r="D1152" t="str">
        <f>TableSTRUVARTB[[#This Row],[Structure Line]]</f>
        <v>Technologies: Design Solutions</v>
      </c>
      <c r="E1152" s="125">
        <f>TableSTRUVARTB[[#This Row],[Credit Points]]</f>
        <v>25</v>
      </c>
      <c r="F1152">
        <v>5</v>
      </c>
      <c r="G1152" t="s">
        <v>102</v>
      </c>
      <c r="H1152">
        <v>3</v>
      </c>
      <c r="I1152" t="s">
        <v>528</v>
      </c>
      <c r="J1152" t="s">
        <v>161</v>
      </c>
      <c r="K1152" s="196">
        <v>1</v>
      </c>
      <c r="L1152" s="196" t="s">
        <v>710</v>
      </c>
      <c r="M1152" s="196">
        <v>25</v>
      </c>
      <c r="N1152" s="195">
        <v>43466</v>
      </c>
      <c r="O1152" s="195"/>
      <c r="R1152" t="s">
        <v>161</v>
      </c>
      <c r="S1152">
        <v>1</v>
      </c>
    </row>
    <row r="1153" spans="1:19" x14ac:dyDescent="0.25">
      <c r="A1153" t="str">
        <f>TableSTRUVARTB[[#This Row],[Study Package Code]]</f>
        <v>EDUC4042</v>
      </c>
      <c r="B1153" s="5">
        <f>TableSTRUVARTB[[#This Row],[Ver]]</f>
        <v>1</v>
      </c>
      <c r="D1153" t="str">
        <f>TableSTRUVARTB[[#This Row],[Structure Line]]</f>
        <v>Alternative Approaches to Teaching Literacy and Numeracy</v>
      </c>
      <c r="E1153" s="125">
        <f>TableSTRUVARTB[[#This Row],[Credit Points]]</f>
        <v>25</v>
      </c>
      <c r="F1153">
        <v>5</v>
      </c>
      <c r="G1153" t="s">
        <v>102</v>
      </c>
      <c r="H1153">
        <v>3</v>
      </c>
      <c r="I1153" t="s">
        <v>528</v>
      </c>
      <c r="J1153" t="s">
        <v>155</v>
      </c>
      <c r="K1153">
        <v>1</v>
      </c>
      <c r="L1153" t="s">
        <v>713</v>
      </c>
      <c r="M1153">
        <v>25</v>
      </c>
      <c r="N1153" s="195">
        <v>43466</v>
      </c>
      <c r="O1153" s="195"/>
      <c r="R1153" t="s">
        <v>155</v>
      </c>
      <c r="S1153">
        <v>1</v>
      </c>
    </row>
    <row r="1154" spans="1:19" x14ac:dyDescent="0.25">
      <c r="A1154" t="str">
        <f>TableSTRUVARTB[[#This Row],[Study Package Code]]</f>
        <v>EDUC4044</v>
      </c>
      <c r="B1154" s="5">
        <f>TableSTRUVARTB[[#This Row],[Ver]]</f>
        <v>2</v>
      </c>
      <c r="D1154" t="str">
        <f>TableSTRUVARTB[[#This Row],[Structure Line]]</f>
        <v>Literacy and Numeracy for First Nations Peoples of Australia</v>
      </c>
      <c r="E1154" s="125">
        <f>TableSTRUVARTB[[#This Row],[Credit Points]]</f>
        <v>25</v>
      </c>
      <c r="F1154">
        <v>5</v>
      </c>
      <c r="G1154" t="s">
        <v>102</v>
      </c>
      <c r="H1154">
        <v>3</v>
      </c>
      <c r="I1154" t="s">
        <v>528</v>
      </c>
      <c r="J1154" t="s">
        <v>157</v>
      </c>
      <c r="K1154">
        <v>2</v>
      </c>
      <c r="L1154" t="s">
        <v>714</v>
      </c>
      <c r="M1154">
        <v>25</v>
      </c>
      <c r="N1154" s="195">
        <v>44927</v>
      </c>
      <c r="O1154" s="195"/>
      <c r="R1154" t="s">
        <v>157</v>
      </c>
      <c r="S1154">
        <v>1</v>
      </c>
    </row>
    <row r="1155" spans="1:19" x14ac:dyDescent="0.25">
      <c r="A1155" t="str">
        <f>TableSTRUVARTB[[#This Row],[Study Package Code]]</f>
        <v>EDUC4046</v>
      </c>
      <c r="B1155" s="5">
        <f>TableSTRUVARTB[[#This Row],[Ver]]</f>
        <v>1</v>
      </c>
      <c r="D1155" t="str">
        <f>TableSTRUVARTB[[#This Row],[Structure Line]]</f>
        <v>Technologies: Digital Solutions</v>
      </c>
      <c r="E1155" s="125">
        <f>TableSTRUVARTB[[#This Row],[Credit Points]]</f>
        <v>25</v>
      </c>
      <c r="F1155">
        <v>5</v>
      </c>
      <c r="G1155" t="s">
        <v>102</v>
      </c>
      <c r="H1155">
        <v>3</v>
      </c>
      <c r="I1155" t="s">
        <v>528</v>
      </c>
      <c r="J1155" t="s">
        <v>162</v>
      </c>
      <c r="K1155">
        <v>1</v>
      </c>
      <c r="L1155" t="s">
        <v>715</v>
      </c>
      <c r="M1155">
        <v>25</v>
      </c>
      <c r="N1155" s="195">
        <v>43466</v>
      </c>
      <c r="O1155" s="195"/>
      <c r="R1155" t="s">
        <v>162</v>
      </c>
      <c r="S1155">
        <v>1</v>
      </c>
    </row>
    <row r="1156" spans="1:19" x14ac:dyDescent="0.25">
      <c r="A1156" t="str">
        <f>TableSTRUVARTB[[#This Row],[Study Package Code]]</f>
        <v>EDUC4048</v>
      </c>
      <c r="B1156" s="5">
        <f>TableSTRUVARTB[[#This Row],[Ver]]</f>
        <v>1</v>
      </c>
      <c r="D1156" t="str">
        <f>TableSTRUVARTB[[#This Row],[Structure Line]]</f>
        <v>Mentoring, Coaching and Tutoring</v>
      </c>
      <c r="E1156" s="125">
        <f>TableSTRUVARTB[[#This Row],[Credit Points]]</f>
        <v>25</v>
      </c>
      <c r="F1156">
        <v>5</v>
      </c>
      <c r="G1156" t="s">
        <v>102</v>
      </c>
      <c r="H1156">
        <v>3</v>
      </c>
      <c r="I1156" t="s">
        <v>528</v>
      </c>
      <c r="J1156" t="s">
        <v>117</v>
      </c>
      <c r="K1156">
        <v>1</v>
      </c>
      <c r="L1156" t="s">
        <v>716</v>
      </c>
      <c r="M1156">
        <v>25</v>
      </c>
      <c r="N1156" s="195">
        <v>43466</v>
      </c>
      <c r="O1156" s="195"/>
      <c r="R1156" t="s">
        <v>117</v>
      </c>
      <c r="S1156">
        <v>1</v>
      </c>
    </row>
    <row r="1157" spans="1:19" x14ac:dyDescent="0.25">
      <c r="A1157" s="122"/>
      <c r="B1157" s="124"/>
      <c r="C1157" s="122"/>
      <c r="G1157" s="123" t="s">
        <v>855</v>
      </c>
      <c r="H1157" s="199">
        <v>43831</v>
      </c>
      <c r="J1157" s="197" t="s">
        <v>315</v>
      </c>
      <c r="K1157" s="124" t="s">
        <v>67</v>
      </c>
      <c r="L1157" s="122" t="s">
        <v>413</v>
      </c>
      <c r="M1157" s="122"/>
    </row>
    <row r="1158" spans="1:19" ht="31.5" x14ac:dyDescent="0.25">
      <c r="A1158" s="159" t="s">
        <v>0</v>
      </c>
      <c r="B1158" s="160" t="s">
        <v>60</v>
      </c>
      <c r="C1158" s="159" t="s">
        <v>856</v>
      </c>
      <c r="D1158" s="159" t="s">
        <v>3</v>
      </c>
      <c r="E1158" s="161" t="s">
        <v>857</v>
      </c>
      <c r="F1158" s="159" t="s">
        <v>858</v>
      </c>
      <c r="G1158" s="159" t="s">
        <v>859</v>
      </c>
      <c r="H1158" s="159" t="s">
        <v>860</v>
      </c>
      <c r="I1158" s="159" t="s">
        <v>17</v>
      </c>
      <c r="J1158" s="159" t="s">
        <v>861</v>
      </c>
      <c r="K1158" s="159" t="s">
        <v>1</v>
      </c>
      <c r="L1158" s="159" t="s">
        <v>44</v>
      </c>
      <c r="M1158" s="159" t="s">
        <v>61</v>
      </c>
      <c r="N1158" s="159" t="s">
        <v>862</v>
      </c>
      <c r="O1158" s="159" t="s">
        <v>863</v>
      </c>
      <c r="R1158" t="s">
        <v>538</v>
      </c>
      <c r="S1158" t="s">
        <v>864</v>
      </c>
    </row>
    <row r="1159" spans="1:19" x14ac:dyDescent="0.25">
      <c r="A1159" t="str">
        <f>TableSTRUVARTM[[#This Row],[Study Package Code]]</f>
        <v>VISA1004</v>
      </c>
      <c r="B1159" s="5">
        <f>TableSTRUVARTM[[#This Row],[Ver]]</f>
        <v>2</v>
      </c>
      <c r="D1159" t="str">
        <f>TableSTRUVARTM[[#This Row],[Structure Line]]</f>
        <v>Fine Art Studio Methods</v>
      </c>
      <c r="E1159" s="125">
        <f>TableSTRUVARTM[[#This Row],[Credit Points]]</f>
        <v>25</v>
      </c>
      <c r="F1159">
        <v>1</v>
      </c>
      <c r="G1159" t="s">
        <v>865</v>
      </c>
      <c r="H1159">
        <v>1</v>
      </c>
      <c r="I1159" t="s">
        <v>529</v>
      </c>
      <c r="J1159" t="s">
        <v>302</v>
      </c>
      <c r="K1159">
        <v>2</v>
      </c>
      <c r="L1159" t="s">
        <v>842</v>
      </c>
      <c r="M1159">
        <v>25</v>
      </c>
      <c r="N1159" s="195">
        <v>42370</v>
      </c>
      <c r="O1159" s="195"/>
      <c r="R1159" t="s">
        <v>302</v>
      </c>
      <c r="S1159">
        <v>2</v>
      </c>
    </row>
    <row r="1160" spans="1:19" x14ac:dyDescent="0.25">
      <c r="A1160" t="str">
        <f>TableSTRUVARTM[[#This Row],[Study Package Code]]</f>
        <v>VISA1003</v>
      </c>
      <c r="B1160" s="5">
        <f>TableSTRUVARTM[[#This Row],[Ver]]</f>
        <v>1</v>
      </c>
      <c r="D1160" t="str">
        <f>TableSTRUVARTM[[#This Row],[Structure Line]]</f>
        <v>Drawing</v>
      </c>
      <c r="E1160" s="125">
        <f>TableSTRUVARTM[[#This Row],[Credit Points]]</f>
        <v>25</v>
      </c>
      <c r="F1160">
        <v>2</v>
      </c>
      <c r="G1160" t="s">
        <v>865</v>
      </c>
      <c r="H1160">
        <v>2</v>
      </c>
      <c r="I1160" t="s">
        <v>528</v>
      </c>
      <c r="J1160" t="s">
        <v>328</v>
      </c>
      <c r="K1160">
        <v>1</v>
      </c>
      <c r="L1160" t="s">
        <v>841</v>
      </c>
      <c r="M1160">
        <v>25</v>
      </c>
      <c r="N1160" s="195">
        <v>42005</v>
      </c>
      <c r="O1160" s="195"/>
      <c r="R1160" t="s">
        <v>328</v>
      </c>
      <c r="S1160">
        <v>1</v>
      </c>
    </row>
    <row r="1161" spans="1:19" x14ac:dyDescent="0.25">
      <c r="A1161" t="str">
        <f>TableSTRUVARTM[[#This Row],[Study Package Code]]</f>
        <v>VISA2006</v>
      </c>
      <c r="B1161" s="5">
        <f>TableSTRUVARTM[[#This Row],[Ver]]</f>
        <v>2</v>
      </c>
      <c r="D1161" t="str">
        <f>TableSTRUVARTM[[#This Row],[Structure Line]]</f>
        <v>Fine Art Studio Extension</v>
      </c>
      <c r="E1161" s="125">
        <f>TableSTRUVARTM[[#This Row],[Credit Points]]</f>
        <v>25</v>
      </c>
      <c r="F1161">
        <v>3</v>
      </c>
      <c r="G1161" t="s">
        <v>865</v>
      </c>
      <c r="H1161">
        <v>2</v>
      </c>
      <c r="I1161" t="s">
        <v>529</v>
      </c>
      <c r="J1161" t="s">
        <v>350</v>
      </c>
      <c r="K1161">
        <v>2</v>
      </c>
      <c r="L1161" t="s">
        <v>844</v>
      </c>
      <c r="M1161">
        <v>25</v>
      </c>
      <c r="N1161" s="195">
        <v>42370</v>
      </c>
      <c r="O1161" s="195"/>
      <c r="R1161" t="s">
        <v>350</v>
      </c>
      <c r="S1161">
        <v>2</v>
      </c>
    </row>
    <row r="1162" spans="1:19" x14ac:dyDescent="0.25">
      <c r="A1162" t="str">
        <f>TableSTRUVARTM[[#This Row],[Study Package Code]]</f>
        <v>EDSC4032</v>
      </c>
      <c r="B1162" s="5">
        <f>TableSTRUVARTM[[#This Row],[Ver]]</f>
        <v>1</v>
      </c>
      <c r="D1162" t="str">
        <f>TableSTRUVARTM[[#This Row],[Structure Line]]</f>
        <v>Curriculum and Instruction Lower Secondary: The Arts</v>
      </c>
      <c r="E1162" s="125">
        <f>TableSTRUVARTM[[#This Row],[Credit Points]]</f>
        <v>25</v>
      </c>
      <c r="F1162">
        <v>4</v>
      </c>
      <c r="G1162" t="s">
        <v>865</v>
      </c>
      <c r="H1162">
        <v>3</v>
      </c>
      <c r="I1162" t="s">
        <v>528</v>
      </c>
      <c r="J1162" t="s">
        <v>318</v>
      </c>
      <c r="K1162">
        <v>1</v>
      </c>
      <c r="L1162" t="s">
        <v>680</v>
      </c>
      <c r="M1162">
        <v>25</v>
      </c>
      <c r="N1162" s="195">
        <v>43466</v>
      </c>
      <c r="O1162" s="195"/>
      <c r="R1162" t="s">
        <v>318</v>
      </c>
      <c r="S1162">
        <v>1</v>
      </c>
    </row>
    <row r="1163" spans="1:19" x14ac:dyDescent="0.25">
      <c r="A1163" t="str">
        <f>TableSTRUVARTM[[#This Row],[Study Package Code]]</f>
        <v>VISA2023</v>
      </c>
      <c r="B1163" s="5">
        <f>TableSTRUVARTM[[#This Row],[Ver]]</f>
        <v>2</v>
      </c>
      <c r="D1163" t="str">
        <f>TableSTRUVARTM[[#This Row],[Structure Line]]</f>
        <v>Fine Art Theory and Criticism</v>
      </c>
      <c r="E1163" s="125">
        <f>TableSTRUVARTM[[#This Row],[Credit Points]]</f>
        <v>25</v>
      </c>
      <c r="F1163">
        <v>5</v>
      </c>
      <c r="G1163" t="s">
        <v>865</v>
      </c>
      <c r="H1163">
        <v>3</v>
      </c>
      <c r="I1163" t="s">
        <v>528</v>
      </c>
      <c r="J1163" t="s">
        <v>366</v>
      </c>
      <c r="K1163">
        <v>2</v>
      </c>
      <c r="L1163" t="s">
        <v>847</v>
      </c>
      <c r="M1163">
        <v>25</v>
      </c>
      <c r="N1163" s="195">
        <v>43831</v>
      </c>
      <c r="O1163" s="195"/>
      <c r="R1163" t="s">
        <v>366</v>
      </c>
      <c r="S1163">
        <v>2</v>
      </c>
    </row>
    <row r="1164" spans="1:19" x14ac:dyDescent="0.25">
      <c r="A1164" t="str">
        <f>TableSTRUVARTM[[#This Row],[Study Package Code]]</f>
        <v>EDSC4028</v>
      </c>
      <c r="B1164" s="5">
        <f>TableSTRUVARTM[[#This Row],[Ver]]</f>
        <v>2</v>
      </c>
      <c r="D1164" t="str">
        <f>TableSTRUVARTM[[#This Row],[Structure Line]]</f>
        <v>Curriculum and Instruction Senior Secondary: The Arts</v>
      </c>
      <c r="E1164" s="125">
        <f>TableSTRUVARTM[[#This Row],[Credit Points]]</f>
        <v>25</v>
      </c>
      <c r="F1164">
        <v>6</v>
      </c>
      <c r="G1164" t="s">
        <v>865</v>
      </c>
      <c r="H1164">
        <v>3</v>
      </c>
      <c r="I1164" t="s">
        <v>529</v>
      </c>
      <c r="J1164" t="s">
        <v>341</v>
      </c>
      <c r="K1164">
        <v>2</v>
      </c>
      <c r="L1164" t="s">
        <v>678</v>
      </c>
      <c r="M1164">
        <v>25</v>
      </c>
      <c r="N1164" s="195">
        <v>43831</v>
      </c>
      <c r="O1164" s="195"/>
      <c r="R1164" t="s">
        <v>341</v>
      </c>
      <c r="S1164">
        <v>2</v>
      </c>
    </row>
  </sheetData>
  <conditionalFormatting sqref="J3:J43 J45:J49 J51:J54">
    <cfRule type="duplicateValues" dxfId="915" priority="393"/>
  </conditionalFormatting>
  <conditionalFormatting sqref="J44">
    <cfRule type="duplicateValues" dxfId="914" priority="23"/>
  </conditionalFormatting>
  <conditionalFormatting sqref="J50">
    <cfRule type="duplicateValues" dxfId="913" priority="22"/>
  </conditionalFormatting>
  <conditionalFormatting sqref="J57:J103 J105:J113">
    <cfRule type="duplicateValues" dxfId="912" priority="265"/>
  </conditionalFormatting>
  <conditionalFormatting sqref="J104">
    <cfRule type="duplicateValues" dxfId="911" priority="20"/>
  </conditionalFormatting>
  <conditionalFormatting sqref="J182:J210">
    <cfRule type="duplicateValues" dxfId="910" priority="268"/>
  </conditionalFormatting>
  <conditionalFormatting sqref="J213:J232">
    <cfRule type="duplicateValues" dxfId="909" priority="269"/>
  </conditionalFormatting>
  <conditionalFormatting sqref="J235:J254">
    <cfRule type="duplicateValues" dxfId="908" priority="261"/>
  </conditionalFormatting>
  <conditionalFormatting sqref="J257:J276">
    <cfRule type="duplicateValues" dxfId="907" priority="260"/>
  </conditionalFormatting>
  <conditionalFormatting sqref="J279:J300">
    <cfRule type="duplicateValues" dxfId="906" priority="259"/>
  </conditionalFormatting>
  <conditionalFormatting sqref="J303:J318">
    <cfRule type="duplicateValues" dxfId="905" priority="270"/>
  </conditionalFormatting>
  <conditionalFormatting sqref="J321:J340">
    <cfRule type="duplicateValues" dxfId="904" priority="257"/>
  </conditionalFormatting>
  <conditionalFormatting sqref="J343:J362">
    <cfRule type="duplicateValues" dxfId="903" priority="256"/>
  </conditionalFormatting>
  <conditionalFormatting sqref="J365:J384">
    <cfRule type="duplicateValues" dxfId="902" priority="255"/>
  </conditionalFormatting>
  <conditionalFormatting sqref="J387:J391 J393:J408">
    <cfRule type="duplicateValues" dxfId="901" priority="271"/>
  </conditionalFormatting>
  <conditionalFormatting sqref="J411:J431">
    <cfRule type="duplicateValues" dxfId="900" priority="253"/>
  </conditionalFormatting>
  <conditionalFormatting sqref="J434 J436:J454">
    <cfRule type="duplicateValues" dxfId="899" priority="273"/>
  </conditionalFormatting>
  <conditionalFormatting sqref="J435">
    <cfRule type="duplicateValues" dxfId="898" priority="250"/>
  </conditionalFormatting>
  <conditionalFormatting sqref="J457:J475">
    <cfRule type="duplicateValues" dxfId="897" priority="274"/>
  </conditionalFormatting>
  <conditionalFormatting sqref="J478 J480:J498">
    <cfRule type="duplicateValues" dxfId="896" priority="276"/>
  </conditionalFormatting>
  <conditionalFormatting sqref="J479">
    <cfRule type="duplicateValues" dxfId="895" priority="247"/>
  </conditionalFormatting>
  <conditionalFormatting sqref="J501:J516">
    <cfRule type="duplicateValues" dxfId="894" priority="277"/>
  </conditionalFormatting>
  <conditionalFormatting sqref="J519:J536">
    <cfRule type="duplicateValues" dxfId="893" priority="278"/>
  </conditionalFormatting>
  <conditionalFormatting sqref="J539:J567">
    <cfRule type="duplicateValues" dxfId="892" priority="299"/>
  </conditionalFormatting>
  <conditionalFormatting sqref="J570:J577">
    <cfRule type="duplicateValues" dxfId="891" priority="300"/>
  </conditionalFormatting>
  <conditionalFormatting sqref="J580:J609">
    <cfRule type="duplicateValues" dxfId="890" priority="241"/>
  </conditionalFormatting>
  <conditionalFormatting sqref="J612:J643">
    <cfRule type="duplicateValues" dxfId="889" priority="301"/>
  </conditionalFormatting>
  <conditionalFormatting sqref="J646:J675">
    <cfRule type="duplicateValues" dxfId="888" priority="236"/>
  </conditionalFormatting>
  <conditionalFormatting sqref="J678:J705">
    <cfRule type="duplicateValues" dxfId="887" priority="234"/>
  </conditionalFormatting>
  <conditionalFormatting sqref="J708:J737">
    <cfRule type="duplicateValues" dxfId="886" priority="232"/>
  </conditionalFormatting>
  <conditionalFormatting sqref="J740:J769">
    <cfRule type="duplicateValues" dxfId="885" priority="230"/>
  </conditionalFormatting>
  <conditionalFormatting sqref="J772:J801">
    <cfRule type="duplicateValues" dxfId="884" priority="228"/>
  </conditionalFormatting>
  <conditionalFormatting sqref="J804:J833">
    <cfRule type="duplicateValues" dxfId="883" priority="226"/>
  </conditionalFormatting>
  <conditionalFormatting sqref="J836:J841">
    <cfRule type="duplicateValues" dxfId="882" priority="302"/>
  </conditionalFormatting>
  <conditionalFormatting sqref="J844:J877">
    <cfRule type="duplicateValues" dxfId="881" priority="222"/>
  </conditionalFormatting>
  <conditionalFormatting sqref="J880:J883 J885:J911">
    <cfRule type="duplicateValues" dxfId="880" priority="220"/>
  </conditionalFormatting>
  <conditionalFormatting sqref="J884">
    <cfRule type="duplicateValues" dxfId="879" priority="216"/>
  </conditionalFormatting>
  <conditionalFormatting sqref="J914:J921">
    <cfRule type="duplicateValues" dxfId="878" priority="303"/>
  </conditionalFormatting>
  <conditionalFormatting sqref="J924:J953">
    <cfRule type="duplicateValues" dxfId="877" priority="215"/>
  </conditionalFormatting>
  <conditionalFormatting sqref="J956:J983">
    <cfRule type="duplicateValues" dxfId="876" priority="213"/>
  </conditionalFormatting>
  <conditionalFormatting sqref="J986:J992">
    <cfRule type="duplicateValues" dxfId="875" priority="304"/>
  </conditionalFormatting>
  <conditionalFormatting sqref="J995:J1024">
    <cfRule type="duplicateValues" dxfId="874" priority="209"/>
  </conditionalFormatting>
  <conditionalFormatting sqref="J1027:J1032">
    <cfRule type="duplicateValues" dxfId="873" priority="305"/>
  </conditionalFormatting>
  <conditionalFormatting sqref="J1035:J1038 J1040:J1064">
    <cfRule type="duplicateValues" dxfId="872" priority="205"/>
  </conditionalFormatting>
  <conditionalFormatting sqref="J1039">
    <cfRule type="duplicateValues" dxfId="871" priority="201"/>
  </conditionalFormatting>
  <conditionalFormatting sqref="J1067:J1072">
    <cfRule type="duplicateValues" dxfId="870" priority="306"/>
  </conditionalFormatting>
  <conditionalFormatting sqref="J1075:J1079 J1081:J1104">
    <cfRule type="duplicateValues" dxfId="869" priority="200"/>
  </conditionalFormatting>
  <conditionalFormatting sqref="J1080">
    <cfRule type="duplicateValues" dxfId="868" priority="196"/>
  </conditionalFormatting>
  <conditionalFormatting sqref="J1107:J1113">
    <cfRule type="duplicateValues" dxfId="867" priority="307"/>
  </conditionalFormatting>
  <conditionalFormatting sqref="J1114">
    <cfRule type="duplicateValues" dxfId="866" priority="53"/>
  </conditionalFormatting>
  <conditionalFormatting sqref="J1117:J1124">
    <cfRule type="duplicateValues" dxfId="865" priority="308"/>
  </conditionalFormatting>
  <conditionalFormatting sqref="J1127:J1156">
    <cfRule type="duplicateValues" dxfId="864" priority="193"/>
  </conditionalFormatting>
  <conditionalFormatting sqref="J1159:J1164">
    <cfRule type="duplicateValues" dxfId="863" priority="309"/>
  </conditionalFormatting>
  <conditionalFormatting sqref="O3:O54 O116:O148 O179">
    <cfRule type="notContainsBlanks" dxfId="862" priority="189">
      <formula>LEN(TRIM(O3))&gt;0</formula>
    </cfRule>
  </conditionalFormatting>
  <conditionalFormatting sqref="O57:O113">
    <cfRule type="notContainsBlanks" dxfId="861" priority="187">
      <formula>LEN(TRIM(O57))&gt;0</formula>
    </cfRule>
  </conditionalFormatting>
  <conditionalFormatting sqref="O182:O210">
    <cfRule type="notContainsBlanks" dxfId="860" priority="185">
      <formula>LEN(TRIM(O182))&gt;0</formula>
    </cfRule>
  </conditionalFormatting>
  <conditionalFormatting sqref="O213:O232">
    <cfRule type="notContainsBlanks" dxfId="859" priority="184">
      <formula>LEN(TRIM(O213))&gt;0</formula>
    </cfRule>
  </conditionalFormatting>
  <conditionalFormatting sqref="O235:O254">
    <cfRule type="notContainsBlanks" dxfId="858" priority="182">
      <formula>LEN(TRIM(O235))&gt;0</formula>
    </cfRule>
  </conditionalFormatting>
  <conditionalFormatting sqref="O257:O276">
    <cfRule type="notContainsBlanks" dxfId="857" priority="181">
      <formula>LEN(TRIM(O257))&gt;0</formula>
    </cfRule>
  </conditionalFormatting>
  <conditionalFormatting sqref="O279:O300">
    <cfRule type="notContainsBlanks" dxfId="856" priority="180">
      <formula>LEN(TRIM(O279))&gt;0</formula>
    </cfRule>
  </conditionalFormatting>
  <conditionalFormatting sqref="O303:O318">
    <cfRule type="notContainsBlanks" dxfId="855" priority="179">
      <formula>LEN(TRIM(O303))&gt;0</formula>
    </cfRule>
  </conditionalFormatting>
  <conditionalFormatting sqref="O321:O340">
    <cfRule type="notContainsBlanks" dxfId="854" priority="178">
      <formula>LEN(TRIM(O321))&gt;0</formula>
    </cfRule>
  </conditionalFormatting>
  <conditionalFormatting sqref="O343:O362">
    <cfRule type="notContainsBlanks" dxfId="853" priority="177">
      <formula>LEN(TRIM(O343))&gt;0</formula>
    </cfRule>
  </conditionalFormatting>
  <conditionalFormatting sqref="O365:O384">
    <cfRule type="notContainsBlanks" dxfId="852" priority="176">
      <formula>LEN(TRIM(O365))&gt;0</formula>
    </cfRule>
  </conditionalFormatting>
  <conditionalFormatting sqref="O387:O408">
    <cfRule type="notContainsBlanks" dxfId="851" priority="174">
      <formula>LEN(TRIM(O387))&gt;0</formula>
    </cfRule>
  </conditionalFormatting>
  <conditionalFormatting sqref="O411:O431">
    <cfRule type="notContainsBlanks" dxfId="850" priority="173">
      <formula>LEN(TRIM(O411))&gt;0</formula>
    </cfRule>
  </conditionalFormatting>
  <conditionalFormatting sqref="O434:O454">
    <cfRule type="notContainsBlanks" dxfId="849" priority="167">
      <formula>LEN(TRIM(O434))&gt;0</formula>
    </cfRule>
  </conditionalFormatting>
  <conditionalFormatting sqref="O457:O475">
    <cfRule type="notContainsBlanks" dxfId="848" priority="160">
      <formula>LEN(TRIM(O457))&gt;0</formula>
    </cfRule>
  </conditionalFormatting>
  <conditionalFormatting sqref="O478:O498">
    <cfRule type="notContainsBlanks" dxfId="847" priority="156">
      <formula>LEN(TRIM(O478))&gt;0</formula>
    </cfRule>
  </conditionalFormatting>
  <conditionalFormatting sqref="O501:O516">
    <cfRule type="notContainsBlanks" dxfId="846" priority="152">
      <formula>LEN(TRIM(O501))&gt;0</formula>
    </cfRule>
  </conditionalFormatting>
  <conditionalFormatting sqref="O519:O536">
    <cfRule type="notContainsBlanks" dxfId="845" priority="151">
      <formula>LEN(TRIM(O519))&gt;0</formula>
    </cfRule>
  </conditionalFormatting>
  <conditionalFormatting sqref="O539:O567">
    <cfRule type="notContainsBlanks" dxfId="844" priority="146">
      <formula>LEN(TRIM(O539))&gt;0</formula>
    </cfRule>
  </conditionalFormatting>
  <conditionalFormatting sqref="O570:O577">
    <cfRule type="notContainsBlanks" dxfId="843" priority="144">
      <formula>LEN(TRIM(O570))&gt;0</formula>
    </cfRule>
  </conditionalFormatting>
  <conditionalFormatting sqref="O580:O609">
    <cfRule type="notContainsBlanks" dxfId="842" priority="113">
      <formula>LEN(TRIM(O580))&gt;0</formula>
    </cfRule>
  </conditionalFormatting>
  <conditionalFormatting sqref="O612:O643">
    <cfRule type="notContainsBlanks" dxfId="841" priority="111">
      <formula>LEN(TRIM(O612))&gt;0</formula>
    </cfRule>
  </conditionalFormatting>
  <conditionalFormatting sqref="O646:O675">
    <cfRule type="notContainsBlanks" dxfId="840" priority="109">
      <formula>LEN(TRIM(O646))&gt;0</formula>
    </cfRule>
  </conditionalFormatting>
  <conditionalFormatting sqref="O678:O705">
    <cfRule type="notContainsBlanks" dxfId="839" priority="106">
      <formula>LEN(TRIM(O678))&gt;0</formula>
    </cfRule>
  </conditionalFormatting>
  <conditionalFormatting sqref="O708:O737">
    <cfRule type="notContainsBlanks" dxfId="838" priority="105">
      <formula>LEN(TRIM(O708))&gt;0</formula>
    </cfRule>
  </conditionalFormatting>
  <conditionalFormatting sqref="O740:O769">
    <cfRule type="notContainsBlanks" dxfId="837" priority="103">
      <formula>LEN(TRIM(O740))&gt;0</formula>
    </cfRule>
  </conditionalFormatting>
  <conditionalFormatting sqref="O772:O801">
    <cfRule type="notContainsBlanks" dxfId="836" priority="100">
      <formula>LEN(TRIM(O772))&gt;0</formula>
    </cfRule>
  </conditionalFormatting>
  <conditionalFormatting sqref="O804:O833">
    <cfRule type="notContainsBlanks" dxfId="835" priority="96">
      <formula>LEN(TRIM(O804))&gt;0</formula>
    </cfRule>
  </conditionalFormatting>
  <conditionalFormatting sqref="O836:O841">
    <cfRule type="notContainsBlanks" dxfId="834" priority="93">
      <formula>LEN(TRIM(O836))&gt;0</formula>
    </cfRule>
  </conditionalFormatting>
  <conditionalFormatting sqref="O844:O877">
    <cfRule type="notContainsBlanks" dxfId="833" priority="91">
      <formula>LEN(TRIM(O844))&gt;0</formula>
    </cfRule>
  </conditionalFormatting>
  <conditionalFormatting sqref="O880:O911">
    <cfRule type="notContainsBlanks" dxfId="832" priority="89">
      <formula>LEN(TRIM(O880))&gt;0</formula>
    </cfRule>
  </conditionalFormatting>
  <conditionalFormatting sqref="O914:O921">
    <cfRule type="notContainsBlanks" dxfId="831" priority="86">
      <formula>LEN(TRIM(O914))&gt;0</formula>
    </cfRule>
  </conditionalFormatting>
  <conditionalFormatting sqref="O924:O953">
    <cfRule type="notContainsBlanks" dxfId="830" priority="84">
      <formula>LEN(TRIM(O924))&gt;0</formula>
    </cfRule>
  </conditionalFormatting>
  <conditionalFormatting sqref="O956:O983">
    <cfRule type="notContainsBlanks" dxfId="829" priority="80">
      <formula>LEN(TRIM(O956))&gt;0</formula>
    </cfRule>
  </conditionalFormatting>
  <conditionalFormatting sqref="O986:O992">
    <cfRule type="notContainsBlanks" dxfId="828" priority="78">
      <formula>LEN(TRIM(O986))&gt;0</formula>
    </cfRule>
  </conditionalFormatting>
  <conditionalFormatting sqref="O995:O1024">
    <cfRule type="notContainsBlanks" dxfId="827" priority="77">
      <formula>LEN(TRIM(O995))&gt;0</formula>
    </cfRule>
  </conditionalFormatting>
  <conditionalFormatting sqref="O1027:O1032">
    <cfRule type="notContainsBlanks" dxfId="826" priority="74">
      <formula>LEN(TRIM(O1027))&gt;0</formula>
    </cfRule>
  </conditionalFormatting>
  <conditionalFormatting sqref="O1035:O1064">
    <cfRule type="notContainsBlanks" dxfId="825" priority="72">
      <formula>LEN(TRIM(O1035))&gt;0</formula>
    </cfRule>
  </conditionalFormatting>
  <conditionalFormatting sqref="O1067:O1072">
    <cfRule type="notContainsBlanks" dxfId="824" priority="68">
      <formula>LEN(TRIM(O1067))&gt;0</formula>
    </cfRule>
  </conditionalFormatting>
  <conditionalFormatting sqref="O1075:O1104">
    <cfRule type="notContainsBlanks" dxfId="823" priority="67">
      <formula>LEN(TRIM(O1075))&gt;0</formula>
    </cfRule>
  </conditionalFormatting>
  <conditionalFormatting sqref="O1107:O1114">
    <cfRule type="notContainsBlanks" dxfId="822" priority="63">
      <formula>LEN(TRIM(O1107))&gt;0</formula>
    </cfRule>
  </conditionalFormatting>
  <conditionalFormatting sqref="O1117:O1124">
    <cfRule type="notContainsBlanks" dxfId="821" priority="60">
      <formula>LEN(TRIM(O1117))&gt;0</formula>
    </cfRule>
  </conditionalFormatting>
  <conditionalFormatting sqref="O1127:O1156">
    <cfRule type="notContainsBlanks" dxfId="820" priority="59">
      <formula>LEN(TRIM(O1127))&gt;0</formula>
    </cfRule>
  </conditionalFormatting>
  <conditionalFormatting sqref="O1159:O1164">
    <cfRule type="notContainsBlanks" dxfId="819" priority="56">
      <formula>LEN(TRIM(O1159))&gt;0</formula>
    </cfRule>
  </conditionalFormatting>
  <conditionalFormatting sqref="R3:S54 R116:S148 R151:S153">
    <cfRule type="expression" dxfId="818" priority="24">
      <formula>R3&lt;&gt;J3</formula>
    </cfRule>
  </conditionalFormatting>
  <conditionalFormatting sqref="R57:S113">
    <cfRule type="expression" dxfId="817" priority="21">
      <formula>R57&lt;&gt;J57</formula>
    </cfRule>
  </conditionalFormatting>
  <conditionalFormatting sqref="R182:S210">
    <cfRule type="expression" dxfId="816" priority="47">
      <formula>R182&lt;&gt;J182</formula>
    </cfRule>
  </conditionalFormatting>
  <conditionalFormatting sqref="R213:S232">
    <cfRule type="expression" dxfId="815" priority="45">
      <formula>R213&lt;&gt;J213</formula>
    </cfRule>
  </conditionalFormatting>
  <conditionalFormatting sqref="R235:S254">
    <cfRule type="expression" dxfId="814" priority="43">
      <formula>R235&lt;&gt;J235</formula>
    </cfRule>
  </conditionalFormatting>
  <conditionalFormatting sqref="R257:S276">
    <cfRule type="expression" dxfId="813" priority="41">
      <formula>R257&lt;&gt;J257</formula>
    </cfRule>
  </conditionalFormatting>
  <conditionalFormatting sqref="R279:S300">
    <cfRule type="expression" dxfId="812" priority="39">
      <formula>R279&lt;&gt;J279</formula>
    </cfRule>
  </conditionalFormatting>
  <conditionalFormatting sqref="R303:S318">
    <cfRule type="expression" dxfId="811" priority="37">
      <formula>R303&lt;&gt;J303</formula>
    </cfRule>
  </conditionalFormatting>
  <conditionalFormatting sqref="R321:S340">
    <cfRule type="expression" dxfId="810" priority="30">
      <formula>R321&lt;&gt;J321</formula>
    </cfRule>
  </conditionalFormatting>
  <conditionalFormatting sqref="R343:S362">
    <cfRule type="expression" dxfId="809" priority="29">
      <formula>R343&lt;&gt;J343</formula>
    </cfRule>
  </conditionalFormatting>
  <conditionalFormatting sqref="R365:S384">
    <cfRule type="expression" dxfId="808" priority="28">
      <formula>R365&lt;&gt;J365</formula>
    </cfRule>
  </conditionalFormatting>
  <conditionalFormatting sqref="R387:S408">
    <cfRule type="expression" dxfId="807" priority="27">
      <formula>R387&lt;&gt;J387</formula>
    </cfRule>
  </conditionalFormatting>
  <conditionalFormatting sqref="R411:S431">
    <cfRule type="expression" dxfId="806" priority="26">
      <formula>R411&lt;&gt;J411</formula>
    </cfRule>
  </conditionalFormatting>
  <conditionalFormatting sqref="R434:S454">
    <cfRule type="expression" dxfId="805" priority="25">
      <formula>R434&lt;&gt;J434</formula>
    </cfRule>
  </conditionalFormatting>
  <conditionalFormatting sqref="R471:S475">
    <cfRule type="expression" dxfId="804" priority="159">
      <formula>R471&lt;&gt;J471</formula>
    </cfRule>
  </conditionalFormatting>
  <conditionalFormatting sqref="R478:S498">
    <cfRule type="expression" dxfId="803" priority="158">
      <formula>R478&lt;&gt;J478</formula>
    </cfRule>
  </conditionalFormatting>
  <conditionalFormatting sqref="R501:S516">
    <cfRule type="expression" dxfId="802" priority="157">
      <formula>R501&lt;&gt;J501</formula>
    </cfRule>
  </conditionalFormatting>
  <conditionalFormatting sqref="R519:S536">
    <cfRule type="expression" dxfId="801" priority="150">
      <formula>R519&lt;&gt;J519</formula>
    </cfRule>
  </conditionalFormatting>
  <conditionalFormatting sqref="R540:S567">
    <cfRule type="expression" dxfId="800" priority="145">
      <formula>R540&lt;&gt;J540</formula>
    </cfRule>
  </conditionalFormatting>
  <conditionalFormatting sqref="R570:S577">
    <cfRule type="expression" dxfId="799" priority="147">
      <formula>R570&lt;&gt;J570</formula>
    </cfRule>
  </conditionalFormatting>
  <conditionalFormatting sqref="R581:S609">
    <cfRule type="expression" dxfId="798" priority="112">
      <formula>R581&lt;&gt;J581</formula>
    </cfRule>
  </conditionalFormatting>
  <conditionalFormatting sqref="R613:S643">
    <cfRule type="expression" dxfId="797" priority="110">
      <formula>R613&lt;&gt;J613</formula>
    </cfRule>
  </conditionalFormatting>
  <conditionalFormatting sqref="R647:S675">
    <cfRule type="expression" dxfId="796" priority="108">
      <formula>R647&lt;&gt;J647</formula>
    </cfRule>
  </conditionalFormatting>
  <conditionalFormatting sqref="R678:S705">
    <cfRule type="expression" dxfId="795" priority="140">
      <formula>R678&lt;&gt;J678</formula>
    </cfRule>
  </conditionalFormatting>
  <conditionalFormatting sqref="R708:S737">
    <cfRule type="expression" dxfId="794" priority="104">
      <formula>R708&lt;&gt;J708</formula>
    </cfRule>
  </conditionalFormatting>
  <conditionalFormatting sqref="R741:S769">
    <cfRule type="expression" dxfId="793" priority="101">
      <formula>R741&lt;&gt;J741</formula>
    </cfRule>
  </conditionalFormatting>
  <conditionalFormatting sqref="R773:S801">
    <cfRule type="expression" dxfId="792" priority="97">
      <formula>R773&lt;&gt;J773</formula>
    </cfRule>
  </conditionalFormatting>
  <conditionalFormatting sqref="R804:S833">
    <cfRule type="expression" dxfId="791" priority="403">
      <formula>R804&lt;&gt;J804</formula>
    </cfRule>
  </conditionalFormatting>
  <conditionalFormatting sqref="R836:S841">
    <cfRule type="expression" dxfId="790" priority="94">
      <formula>R836&lt;&gt;J836</formula>
    </cfRule>
  </conditionalFormatting>
  <conditionalFormatting sqref="R844:S877">
    <cfRule type="expression" dxfId="789" priority="90">
      <formula>R844&lt;&gt;J844</formula>
    </cfRule>
  </conditionalFormatting>
  <conditionalFormatting sqref="R880:S911">
    <cfRule type="expression" dxfId="788" priority="87">
      <formula>R880&lt;&gt;J880</formula>
    </cfRule>
  </conditionalFormatting>
  <conditionalFormatting sqref="R914:S921">
    <cfRule type="expression" dxfId="787" priority="85">
      <formula>R914&lt;&gt;J914</formula>
    </cfRule>
  </conditionalFormatting>
  <conditionalFormatting sqref="R924:S953">
    <cfRule type="expression" dxfId="786" priority="82">
      <formula>R924&lt;&gt;J924</formula>
    </cfRule>
  </conditionalFormatting>
  <conditionalFormatting sqref="R956:S983">
    <cfRule type="expression" dxfId="785" priority="81">
      <formula>R956&lt;&gt;J956</formula>
    </cfRule>
  </conditionalFormatting>
  <conditionalFormatting sqref="R986:S992">
    <cfRule type="expression" dxfId="784" priority="79">
      <formula>R986&lt;&gt;J986</formula>
    </cfRule>
  </conditionalFormatting>
  <conditionalFormatting sqref="R995:S1024">
    <cfRule type="expression" dxfId="783" priority="75">
      <formula>R995&lt;&gt;J995</formula>
    </cfRule>
  </conditionalFormatting>
  <conditionalFormatting sqref="R1027:S1032">
    <cfRule type="expression" dxfId="782" priority="73">
      <formula>R1027&lt;&gt;J1027</formula>
    </cfRule>
  </conditionalFormatting>
  <conditionalFormatting sqref="R1035:S1064">
    <cfRule type="expression" dxfId="781" priority="70">
      <formula>R1035&lt;&gt;J1035</formula>
    </cfRule>
  </conditionalFormatting>
  <conditionalFormatting sqref="R1067:S1072">
    <cfRule type="expression" dxfId="780" priority="69">
      <formula>R1067&lt;&gt;J1067</formula>
    </cfRule>
  </conditionalFormatting>
  <conditionalFormatting sqref="R1075:S1104">
    <cfRule type="expression" dxfId="779" priority="64">
      <formula>R1075&lt;&gt;J1075</formula>
    </cfRule>
  </conditionalFormatting>
  <conditionalFormatting sqref="R1107:S1114">
    <cfRule type="expression" dxfId="778" priority="62">
      <formula>R1107&lt;&gt;J1107</formula>
    </cfRule>
  </conditionalFormatting>
  <conditionalFormatting sqref="R1117:S1124">
    <cfRule type="expression" dxfId="777" priority="61">
      <formula>R1117&lt;&gt;J1117</formula>
    </cfRule>
  </conditionalFormatting>
  <conditionalFormatting sqref="R1127:S1156">
    <cfRule type="expression" dxfId="776" priority="57">
      <formula>R1127&lt;&gt;J1127</formula>
    </cfRule>
  </conditionalFormatting>
  <conditionalFormatting sqref="R1159:S1164">
    <cfRule type="expression" dxfId="775" priority="55">
      <formula>R1159&lt;&gt;J1159</formula>
    </cfRule>
  </conditionalFormatting>
  <conditionalFormatting sqref="O151:O153">
    <cfRule type="notContainsBlanks" dxfId="774" priority="16">
      <formula>LEN(TRIM(O151))&gt;0</formula>
    </cfRule>
  </conditionalFormatting>
  <conditionalFormatting sqref="J151:J153">
    <cfRule type="duplicateValues" dxfId="773" priority="480"/>
  </conditionalFormatting>
  <conditionalFormatting sqref="O156:O158">
    <cfRule type="notContainsBlanks" dxfId="772" priority="14">
      <formula>LEN(TRIM(O156))&gt;0</formula>
    </cfRule>
  </conditionalFormatting>
  <conditionalFormatting sqref="J156:J158">
    <cfRule type="duplicateValues" dxfId="771" priority="15"/>
  </conditionalFormatting>
  <conditionalFormatting sqref="R156:S158">
    <cfRule type="expression" dxfId="770" priority="13">
      <formula>R156&lt;&gt;J156</formula>
    </cfRule>
  </conditionalFormatting>
  <conditionalFormatting sqref="R176:S178">
    <cfRule type="expression" dxfId="769" priority="1">
      <formula>R176&lt;&gt;J176</formula>
    </cfRule>
  </conditionalFormatting>
  <conditionalFormatting sqref="O161:O163">
    <cfRule type="notContainsBlanks" dxfId="768" priority="11">
      <formula>LEN(TRIM(O161))&gt;0</formula>
    </cfRule>
  </conditionalFormatting>
  <conditionalFormatting sqref="J161:J163">
    <cfRule type="duplicateValues" dxfId="767" priority="12"/>
  </conditionalFormatting>
  <conditionalFormatting sqref="R161:S163">
    <cfRule type="expression" dxfId="766" priority="10">
      <formula>R161&lt;&gt;J161</formula>
    </cfRule>
  </conditionalFormatting>
  <conditionalFormatting sqref="O166:O168">
    <cfRule type="notContainsBlanks" dxfId="765" priority="8">
      <formula>LEN(TRIM(O166))&gt;0</formula>
    </cfRule>
  </conditionalFormatting>
  <conditionalFormatting sqref="J166:J168">
    <cfRule type="duplicateValues" dxfId="764" priority="9"/>
  </conditionalFormatting>
  <conditionalFormatting sqref="R166:S168">
    <cfRule type="expression" dxfId="763" priority="7">
      <formula>R166&lt;&gt;J166</formula>
    </cfRule>
  </conditionalFormatting>
  <conditionalFormatting sqref="O171:O173">
    <cfRule type="notContainsBlanks" dxfId="762" priority="5">
      <formula>LEN(TRIM(O171))&gt;0</formula>
    </cfRule>
  </conditionalFormatting>
  <conditionalFormatting sqref="J171:J173">
    <cfRule type="duplicateValues" dxfId="761" priority="6"/>
  </conditionalFormatting>
  <conditionalFormatting sqref="R171:S173">
    <cfRule type="expression" dxfId="760" priority="4">
      <formula>R171&lt;&gt;J171</formula>
    </cfRule>
  </conditionalFormatting>
  <conditionalFormatting sqref="O176:O178">
    <cfRule type="notContainsBlanks" dxfId="759" priority="2">
      <formula>LEN(TRIM(O176))&gt;0</formula>
    </cfRule>
  </conditionalFormatting>
  <conditionalFormatting sqref="J176:J178">
    <cfRule type="duplicateValues" dxfId="758" priority="3"/>
  </conditionalFormatting>
  <conditionalFormatting sqref="J179 J116:J148">
    <cfRule type="duplicateValues" dxfId="757" priority="488"/>
  </conditionalFormatting>
  <pageMargins left="0.7" right="0.7" top="0.75" bottom="0.75" header="0.3" footer="0.3"/>
  <pageSetup paperSize="9" orientation="portrait" r:id="rId1"/>
  <legacyDrawing r:id="rId2"/>
  <tableParts count="10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 r:id="rId91"/>
    <tablePart r:id="rId92"/>
    <tablePart r:id="rId93"/>
    <tablePart r:id="rId94"/>
    <tablePart r:id="rId95"/>
    <tablePart r:id="rId96"/>
    <tablePart r:id="rId97"/>
    <tablePart r:id="rId98"/>
    <tablePart r:id="rId99"/>
    <tablePart r:id="rId100"/>
    <tablePart r:id="rId101"/>
    <tablePart r:id="rId102"/>
    <tablePart r:id="rId103"/>
    <tablePart r:id="rId10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b707ee7-774c-4141-8c69-3f50efb0eaa0">
      <UserInfo>
        <DisplayName/>
        <AccountId xsi:nil="true"/>
        <AccountType/>
      </UserInfo>
    </SharedWithUsers>
    <_activity xmlns="5053a65b-a790-45aa-b23d-3e4902a8593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D1ABFB25EE934439F574BC264F0B8E6" ma:contentTypeVersion="15" ma:contentTypeDescription="Create a new document." ma:contentTypeScope="" ma:versionID="3c1a427502904b7d25e5588704b071a1">
  <xsd:schema xmlns:xsd="http://www.w3.org/2001/XMLSchema" xmlns:xs="http://www.w3.org/2001/XMLSchema" xmlns:p="http://schemas.microsoft.com/office/2006/metadata/properties" xmlns:ns3="5053a65b-a790-45aa-b23d-3e4902a85933" xmlns:ns4="6b707ee7-774c-4141-8c69-3f50efb0eaa0" targetNamespace="http://schemas.microsoft.com/office/2006/metadata/properties" ma:root="true" ma:fieldsID="1597291884a414c17d5ed72b1bf73c26" ns3:_="" ns4:_="">
    <xsd:import namespace="5053a65b-a790-45aa-b23d-3e4902a85933"/>
    <xsd:import namespace="6b707ee7-774c-4141-8c69-3f50efb0eaa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SearchPropertie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53a65b-a790-45aa-b23d-3e4902a859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707ee7-774c-4141-8c69-3f50efb0eaa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2FBB4C-6ADF-4262-9F1C-6F0710538C55}">
  <ds:schemaRefs>
    <ds:schemaRef ds:uri="http://schemas.openxmlformats.org/package/2006/metadata/core-properties"/>
    <ds:schemaRef ds:uri="http://purl.org/dc/terms/"/>
    <ds:schemaRef ds:uri="5053a65b-a790-45aa-b23d-3e4902a85933"/>
    <ds:schemaRef ds:uri="http://schemas.microsoft.com/office/2006/documentManagement/types"/>
    <ds:schemaRef ds:uri="http://purl.org/dc/elements/1.1/"/>
    <ds:schemaRef ds:uri="http://schemas.microsoft.com/office/2006/metadata/properties"/>
    <ds:schemaRef ds:uri="http://schemas.microsoft.com/office/infopath/2007/PartnerControls"/>
    <ds:schemaRef ds:uri="6b707ee7-774c-4141-8c69-3f50efb0eaa0"/>
    <ds:schemaRef ds:uri="http://www.w3.org/XML/1998/namespace"/>
    <ds:schemaRef ds:uri="http://purl.org/dc/dcmitype/"/>
  </ds:schemaRefs>
</ds:datastoreItem>
</file>

<file path=customXml/itemProps2.xml><?xml version="1.0" encoding="utf-8"?>
<ds:datastoreItem xmlns:ds="http://schemas.openxmlformats.org/officeDocument/2006/customXml" ds:itemID="{B08727C3-5B7B-48D6-A8A7-94C43F2C54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53a65b-a790-45aa-b23d-3e4902a85933"/>
    <ds:schemaRef ds:uri="6b707ee7-774c-4141-8c69-3f50efb0ea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32</vt:i4>
      </vt:variant>
    </vt:vector>
  </HeadingPairs>
  <TitlesOfParts>
    <vt:vector size="42" baseType="lpstr">
      <vt:lpstr>B-EDUC Planner</vt:lpstr>
      <vt:lpstr>B-EDEC Planner</vt:lpstr>
      <vt:lpstr>B-EDPR Planner</vt:lpstr>
      <vt:lpstr>Unitsets</vt:lpstr>
      <vt:lpstr>BEd (Secondary)</vt:lpstr>
      <vt:lpstr>BEd (Sec) Maths no Methods</vt:lpstr>
      <vt:lpstr>UnitsetsSecondary</vt:lpstr>
      <vt:lpstr>Handbook</vt:lpstr>
      <vt:lpstr>Structures</vt:lpstr>
      <vt:lpstr>Availabilities</vt:lpstr>
      <vt:lpstr>'BEd (Sec) Maths no Methods'!Print_Area</vt:lpstr>
      <vt:lpstr>'BEd (Secondary)'!Print_Area</vt:lpstr>
      <vt:lpstr>'B-EDEC Planner'!Print_Area</vt:lpstr>
      <vt:lpstr>'B-EDPR Planner'!Print_Area</vt:lpstr>
      <vt:lpstr>'B-EDUC Planner'!Print_Area</vt:lpstr>
      <vt:lpstr>RangeMajorsAltCore</vt:lpstr>
      <vt:lpstr>RangeMajorsSec</vt:lpstr>
      <vt:lpstr>RangeMathNoMethods</vt:lpstr>
      <vt:lpstr>RangeOptions</vt:lpstr>
      <vt:lpstr>RangeStreamsAltCore</vt:lpstr>
      <vt:lpstr>RangeStreamsOptions</vt:lpstr>
      <vt:lpstr>RangeStreamsSec</vt:lpstr>
      <vt:lpstr>RangeTeachingAreaStreams</vt:lpstr>
      <vt:lpstr>RangeUnitsets</vt:lpstr>
      <vt:lpstr>RangeUnitSetsSec</vt:lpstr>
      <vt:lpstr>Streams</vt:lpstr>
      <vt:lpstr>StreamsARTDR</vt:lpstr>
      <vt:lpstr>StreamsARTME</vt:lpstr>
      <vt:lpstr>StreamsARTVA</vt:lpstr>
      <vt:lpstr>StreamsENGLT</vt:lpstr>
      <vt:lpstr>StreamsHLTPE</vt:lpstr>
      <vt:lpstr>StreamsHUSEC</vt:lpstr>
      <vt:lpstr>StreamsHUSGE</vt:lpstr>
      <vt:lpstr>StreamsHUSHI</vt:lpstr>
      <vt:lpstr>StreamsHUSPL</vt:lpstr>
      <vt:lpstr>StreamsMathsNoMethods</vt:lpstr>
      <vt:lpstr>StreamsMATHT</vt:lpstr>
      <vt:lpstr>StreamsSCIBI</vt:lpstr>
      <vt:lpstr>StreamsSCICH</vt:lpstr>
      <vt:lpstr>StreamsSCIHB</vt:lpstr>
      <vt:lpstr>StreamsSCIPH</vt:lpstr>
      <vt:lpstr>StreamsSCIPS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2023-12-21T08:21:37Z</cp:lastPrinted>
  <dcterms:created xsi:type="dcterms:W3CDTF">2022-02-28T04:48:12Z</dcterms:created>
  <dcterms:modified xsi:type="dcterms:W3CDTF">2023-12-22T02:40:12Z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0x010100CD1ABFB25EE934439F574BC264F0B8E6</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