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WS6jeR6X5HVo2n9tQZ04TTgixyDXZC+ijh9Q2uPewFmXLM8Kdx0roAi0tjtWhbEYNFsc5HuhB9W69qfgYA+GsA==" workbookSaltValue="EAulioWY66PFS1u0YZSEVQ==" workbookSpinCount="100000" lockStructure="1"/>
  <bookViews>
    <workbookView xWindow="19935" yWindow="-18120" windowWidth="29040" windowHeight="17640" tabRatio="800" firstSheet="1" activeTab="1"/>
  </bookViews>
  <sheets>
    <sheet name="Planner M-Teach (ECE)" sheetId="5" state="hidden" r:id="rId1"/>
    <sheet name="Planner M-Teach (Prim)" sheetId="17"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s>
  <definedNames>
    <definedName name="_xlnm._FilterDatabase" localSheetId="9"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GD-EDUC (Prim)'!$A$3:$P$24</definedName>
    <definedName name="_xlnm.Print_Area" localSheetId="6">'Planner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Unitsets!$J$4:$Y$22</definedName>
    <definedName name="RangeUnitsetsGDEDUC">'Unitsets M-Teach Sec'!$O$31:$AD$41</definedName>
    <definedName name="RangeUnitsetsMCEDUC">Unitsets!$J$44:$AO$61</definedName>
    <definedName name="RangeUnitsetsSec">'Unitsets M-Teach Sec'!$O$3:$V$19</definedName>
    <definedName name="RangeUnitsetsTESOL">Unitsets!$J$25:$AG$41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7" l="1"/>
  <c r="P6" i="17"/>
  <c r="A25" i="17" s="1"/>
  <c r="G6" i="17"/>
  <c r="G5" i="17"/>
  <c r="G7" i="16"/>
  <c r="P6" i="16"/>
  <c r="A20" i="16" s="1"/>
  <c r="G6" i="16"/>
  <c r="P7" i="16" s="1"/>
  <c r="G5" i="16"/>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P81" i="3"/>
  <c r="P82" i="3"/>
  <c r="P83" i="3"/>
  <c r="P87" i="3"/>
  <c r="Q81" i="3"/>
  <c r="Q82" i="3"/>
  <c r="Q83" i="3"/>
  <c r="Q87" i="3"/>
  <c r="R81" i="3"/>
  <c r="R82" i="3"/>
  <c r="R83" i="3"/>
  <c r="R87" i="3"/>
  <c r="S81" i="3"/>
  <c r="S82" i="3"/>
  <c r="S83" i="3"/>
  <c r="S87" i="3"/>
  <c r="T81" i="3"/>
  <c r="T82" i="3"/>
  <c r="T83" i="3"/>
  <c r="T87" i="3"/>
  <c r="U81" i="3"/>
  <c r="U82" i="3"/>
  <c r="U83" i="3"/>
  <c r="U87" i="3"/>
  <c r="V81" i="3"/>
  <c r="V82" i="3"/>
  <c r="V83" i="3"/>
  <c r="V87" i="3"/>
  <c r="W81" i="3"/>
  <c r="W82" i="3"/>
  <c r="W83" i="3"/>
  <c r="W87" i="3"/>
  <c r="X81" i="3"/>
  <c r="X82" i="3"/>
  <c r="X83" i="3"/>
  <c r="X87" i="3"/>
  <c r="Y81" i="3"/>
  <c r="Y82" i="3"/>
  <c r="Y83" i="3"/>
  <c r="Y87" i="3"/>
  <c r="Z81" i="3"/>
  <c r="Z82" i="3"/>
  <c r="Z83" i="3"/>
  <c r="Z87" i="3"/>
  <c r="AA81" i="3"/>
  <c r="AA82" i="3"/>
  <c r="AA83" i="3"/>
  <c r="AA87" i="3"/>
  <c r="AB81" i="3"/>
  <c r="AB82" i="3"/>
  <c r="AB83" i="3"/>
  <c r="AB87" i="3"/>
  <c r="AC81" i="3"/>
  <c r="AC82" i="3"/>
  <c r="AC83" i="3"/>
  <c r="AC87" i="3"/>
  <c r="AD81" i="3"/>
  <c r="AD82" i="3"/>
  <c r="AD83" i="3"/>
  <c r="AD87" i="3"/>
  <c r="AE81" i="3"/>
  <c r="AE82" i="3"/>
  <c r="AE83" i="3"/>
  <c r="AE87" i="3"/>
  <c r="AI81" i="3"/>
  <c r="AI82" i="3"/>
  <c r="AI83" i="3"/>
  <c r="AI87" i="3"/>
  <c r="AJ81" i="3"/>
  <c r="AJ82" i="3"/>
  <c r="AJ83" i="3"/>
  <c r="AJ87" i="3"/>
  <c r="AK81" i="3"/>
  <c r="AK82" i="3"/>
  <c r="AK83" i="3"/>
  <c r="AK87" i="3"/>
  <c r="AL81" i="3"/>
  <c r="AL82" i="3"/>
  <c r="AL83" i="3"/>
  <c r="AL87" i="3"/>
  <c r="A10" i="17" l="1"/>
  <c r="O10" i="17" s="1"/>
  <c r="A22" i="17"/>
  <c r="O22" i="17" s="1"/>
  <c r="I25" i="17"/>
  <c r="H25" i="17"/>
  <c r="O25" i="17"/>
  <c r="G25" i="17"/>
  <c r="N25" i="17"/>
  <c r="F25" i="17"/>
  <c r="L25" i="17"/>
  <c r="D25" i="17"/>
  <c r="C25" i="17"/>
  <c r="M25" i="17"/>
  <c r="E25" i="17"/>
  <c r="J25" i="17"/>
  <c r="B25" i="17"/>
  <c r="K25" i="17"/>
  <c r="A11" i="17"/>
  <c r="A23" i="17"/>
  <c r="A19" i="17"/>
  <c r="A31" i="17"/>
  <c r="A20" i="17"/>
  <c r="A32" i="17"/>
  <c r="A17" i="17"/>
  <c r="A29" i="17"/>
  <c r="A16" i="17"/>
  <c r="A28" i="17"/>
  <c r="A14" i="17"/>
  <c r="A26" i="17"/>
  <c r="A13" i="17"/>
  <c r="A19" i="16"/>
  <c r="H19" i="16" s="1"/>
  <c r="I20" i="16"/>
  <c r="B20" i="16"/>
  <c r="H20" i="16"/>
  <c r="O20" i="16"/>
  <c r="G20" i="16"/>
  <c r="N20" i="16"/>
  <c r="F20" i="16"/>
  <c r="M20" i="16"/>
  <c r="J20" i="16"/>
  <c r="L20" i="16"/>
  <c r="D20" i="16"/>
  <c r="K20" i="16"/>
  <c r="C20" i="16"/>
  <c r="A17" i="16"/>
  <c r="B19" i="16"/>
  <c r="J19" i="16"/>
  <c r="A16" i="16"/>
  <c r="C19" i="16"/>
  <c r="K19" i="16"/>
  <c r="A14" i="16"/>
  <c r="D19" i="16"/>
  <c r="L19" i="16"/>
  <c r="A13" i="16"/>
  <c r="E19" i="16"/>
  <c r="E20" i="16" s="1"/>
  <c r="M19" i="16"/>
  <c r="I19" i="16"/>
  <c r="A11" i="16"/>
  <c r="F19" i="16"/>
  <c r="N19" i="16"/>
  <c r="A10" i="16"/>
  <c r="G19" i="16"/>
  <c r="O19" i="16"/>
  <c r="N22" i="3"/>
  <c r="M22" i="3"/>
  <c r="L22" i="3"/>
  <c r="K22" i="3"/>
  <c r="J22" i="3"/>
  <c r="I22" i="3"/>
  <c r="H22" i="3"/>
  <c r="G22" i="3"/>
  <c r="N25" i="3"/>
  <c r="G76" i="3"/>
  <c r="H76" i="3"/>
  <c r="I76" i="3"/>
  <c r="J76" i="3"/>
  <c r="K76" i="3"/>
  <c r="L76" i="3"/>
  <c r="M76" i="3"/>
  <c r="N76" i="3"/>
  <c r="G78" i="3"/>
  <c r="H78" i="3"/>
  <c r="I78" i="3"/>
  <c r="J78" i="3"/>
  <c r="K78" i="3"/>
  <c r="L78" i="3"/>
  <c r="M78" i="3"/>
  <c r="N78" i="3"/>
  <c r="G77" i="3"/>
  <c r="H77" i="3"/>
  <c r="I77" i="3"/>
  <c r="J77" i="3"/>
  <c r="K77" i="3"/>
  <c r="L77" i="3"/>
  <c r="M77" i="3"/>
  <c r="N77" i="3"/>
  <c r="G7" i="15"/>
  <c r="P6" i="15"/>
  <c r="A25" i="15" s="1"/>
  <c r="G6" i="15"/>
  <c r="P8" i="15" s="1"/>
  <c r="G8" i="15"/>
  <c r="P7" i="15"/>
  <c r="G5" i="15"/>
  <c r="H10" i="17" l="1"/>
  <c r="E10" i="17"/>
  <c r="F10" i="17"/>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L13" i="16"/>
  <c r="D13" i="16"/>
  <c r="K13" i="16"/>
  <c r="C13" i="16"/>
  <c r="M13" i="16"/>
  <c r="J13" i="16"/>
  <c r="B13" i="16"/>
  <c r="E13" i="16"/>
  <c r="E14" i="16" s="1"/>
  <c r="I13" i="16"/>
  <c r="H13" i="16"/>
  <c r="O13" i="16"/>
  <c r="G13" i="16"/>
  <c r="N13" i="16"/>
  <c r="F13" i="16"/>
  <c r="J10" i="16"/>
  <c r="B10" i="16"/>
  <c r="C10" i="16"/>
  <c r="I10" i="16"/>
  <c r="K10" i="16"/>
  <c r="H10" i="16"/>
  <c r="O10" i="16"/>
  <c r="G10" i="16"/>
  <c r="N10" i="16"/>
  <c r="F10" i="16"/>
  <c r="M10" i="16"/>
  <c r="E10" i="16"/>
  <c r="E11" i="16" s="1"/>
  <c r="L10" i="16"/>
  <c r="D10" i="16"/>
  <c r="O17" i="16"/>
  <c r="G17" i="16"/>
  <c r="N17" i="16"/>
  <c r="F17" i="16"/>
  <c r="H17" i="16"/>
  <c r="M17" i="16"/>
  <c r="L17" i="16"/>
  <c r="D17" i="16"/>
  <c r="K17" i="16"/>
  <c r="C17" i="16"/>
  <c r="J17" i="16"/>
  <c r="B17" i="16"/>
  <c r="I17" i="16"/>
  <c r="N16" i="16"/>
  <c r="F16" i="16"/>
  <c r="M16" i="16"/>
  <c r="E16" i="16"/>
  <c r="E17" i="16" s="1"/>
  <c r="L16" i="16"/>
  <c r="D16" i="16"/>
  <c r="G16" i="16"/>
  <c r="K16" i="16"/>
  <c r="C16" i="16"/>
  <c r="J16" i="16"/>
  <c r="B16" i="16"/>
  <c r="I16" i="16"/>
  <c r="O16" i="16"/>
  <c r="H16" i="16"/>
  <c r="M14" i="16"/>
  <c r="L14" i="16"/>
  <c r="D14" i="16"/>
  <c r="N14" i="16"/>
  <c r="K14" i="16"/>
  <c r="C14" i="16"/>
  <c r="J14" i="16"/>
  <c r="B14" i="16"/>
  <c r="I14" i="16"/>
  <c r="H14" i="16"/>
  <c r="F14" i="16"/>
  <c r="O14" i="16"/>
  <c r="G14" i="16"/>
  <c r="K11" i="16"/>
  <c r="C11" i="16"/>
  <c r="J11" i="16"/>
  <c r="B11" i="16"/>
  <c r="I11" i="16"/>
  <c r="H11" i="16"/>
  <c r="O11" i="16"/>
  <c r="G11" i="16"/>
  <c r="D11" i="16"/>
  <c r="N11" i="16"/>
  <c r="F11" i="16"/>
  <c r="L11" i="16"/>
  <c r="M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D17" i="15" l="1"/>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O17" i="15" s="1"/>
  <c r="M47" i="3"/>
  <c r="N17" i="15" s="1"/>
  <c r="L47" i="3"/>
  <c r="M17" i="15" s="1"/>
  <c r="K47" i="3"/>
  <c r="L17" i="15" s="1"/>
  <c r="J47" i="3"/>
  <c r="K17" i="15" s="1"/>
  <c r="I47" i="3"/>
  <c r="J17" i="15" s="1"/>
  <c r="H47" i="3"/>
  <c r="I17" i="15" s="1"/>
  <c r="G47" i="3"/>
  <c r="H17" i="15" s="1"/>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O11" i="15" s="1"/>
  <c r="M39" i="3"/>
  <c r="N11" i="15" s="1"/>
  <c r="L39" i="3"/>
  <c r="M11" i="15" s="1"/>
  <c r="K39" i="3"/>
  <c r="L11" i="15" s="1"/>
  <c r="J39" i="3"/>
  <c r="K11" i="15" s="1"/>
  <c r="I39" i="3"/>
  <c r="J11" i="15" s="1"/>
  <c r="H39" i="3"/>
  <c r="I11" i="15" s="1"/>
  <c r="G39" i="3"/>
  <c r="H11" i="15" s="1"/>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L27" i="15" l="1"/>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AD22" i="3" s="1"/>
  <c r="G6" i="13"/>
  <c r="G5" i="13"/>
  <c r="AD76" i="3" l="1"/>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22" i="3" l="1"/>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AL22" i="3" s="1"/>
  <c r="E164" i="8"/>
  <c r="D164" i="8"/>
  <c r="B164" i="8"/>
  <c r="A164" i="8"/>
  <c r="E163" i="8"/>
  <c r="D163" i="8"/>
  <c r="B163" i="8"/>
  <c r="A163" i="8"/>
  <c r="E162" i="8"/>
  <c r="D162" i="8"/>
  <c r="B162" i="8"/>
  <c r="A162" i="8"/>
  <c r="E161" i="8"/>
  <c r="D161" i="8"/>
  <c r="B161" i="8"/>
  <c r="A161" i="8"/>
  <c r="AK22" i="3" s="1"/>
  <c r="E158" i="8"/>
  <c r="D158" i="8"/>
  <c r="B158" i="8"/>
  <c r="A158" i="8"/>
  <c r="E157" i="8"/>
  <c r="D157" i="8"/>
  <c r="B157" i="8"/>
  <c r="A157" i="8"/>
  <c r="E156" i="8"/>
  <c r="D156" i="8"/>
  <c r="B156" i="8"/>
  <c r="A156" i="8"/>
  <c r="E155" i="8"/>
  <c r="D155" i="8"/>
  <c r="B155" i="8"/>
  <c r="A155" i="8"/>
  <c r="AJ22" i="3" s="1"/>
  <c r="A152" i="8"/>
  <c r="B152" i="8"/>
  <c r="D152" i="8"/>
  <c r="E152" i="8"/>
  <c r="AJ4" i="3" l="1"/>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22" i="3" l="1"/>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s="1"/>
  <c r="AA76" i="3" l="1"/>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22" i="3" l="1"/>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22" i="3" l="1"/>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2" i="2" l="1"/>
  <c r="AT21" i="2"/>
  <c r="AT20" i="2"/>
  <c r="AT19" i="2"/>
  <c r="AT18" i="2"/>
  <c r="AT17" i="2"/>
  <c r="AT16" i="2"/>
  <c r="AT15"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22" i="3" s="1"/>
  <c r="G9" i="10"/>
  <c r="P6" i="10"/>
  <c r="Z4" i="3" l="1"/>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Y22" i="3" l="1"/>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U22" i="3" l="1"/>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1" i="2"/>
  <c r="AZ22" i="2"/>
  <c r="AW21" i="2"/>
  <c r="AY22" i="2"/>
  <c r="AY21" i="2"/>
  <c r="BA22" i="2"/>
  <c r="BB22" i="2"/>
  <c r="AU22" i="2"/>
  <c r="BC22" i="2"/>
  <c r="AV22" i="2"/>
  <c r="AU21" i="2"/>
  <c r="AW22" i="2"/>
  <c r="BD22" i="2"/>
  <c r="AV21" i="2"/>
  <c r="AX22" i="2"/>
  <c r="AZ21" i="2" l="1"/>
  <c r="BB21" i="2"/>
  <c r="BC21" i="2"/>
  <c r="BD21" i="2"/>
  <c r="BA21" i="2"/>
  <c r="P6" i="5" l="1"/>
  <c r="A34" i="5" l="1"/>
  <c r="A22" i="5"/>
  <c r="A10" i="5"/>
  <c r="A32" i="5"/>
  <c r="A20" i="5"/>
  <c r="A31" i="5"/>
  <c r="A19" i="5"/>
  <c r="A16" i="5"/>
  <c r="A14" i="5"/>
  <c r="A29" i="5"/>
  <c r="A17" i="5"/>
  <c r="A28" i="5"/>
  <c r="A26" i="5"/>
  <c r="A25" i="5"/>
  <c r="A13" i="5"/>
  <c r="A23" i="5"/>
  <c r="A11" i="5"/>
  <c r="AY13" i="2"/>
  <c r="BD13" i="2"/>
  <c r="BC13" i="2"/>
  <c r="BB13" i="2"/>
  <c r="BA13" i="2"/>
  <c r="AY19" i="2"/>
  <c r="BD19" i="2"/>
  <c r="BA19" i="2"/>
  <c r="BC19" i="2"/>
  <c r="BB19" i="2"/>
  <c r="AY5" i="2"/>
  <c r="BD5" i="2"/>
  <c r="BB5" i="2"/>
  <c r="BA5" i="2"/>
  <c r="BC5" i="2"/>
  <c r="AY6" i="2"/>
  <c r="BB6" i="2"/>
  <c r="BA6" i="2"/>
  <c r="BD6" i="2"/>
  <c r="BC6" i="2"/>
  <c r="AY14" i="2"/>
  <c r="BB14" i="2"/>
  <c r="BA14" i="2"/>
  <c r="BD14" i="2"/>
  <c r="BC14" i="2"/>
  <c r="AY15" i="2"/>
  <c r="BD15" i="2"/>
  <c r="BC15" i="2"/>
  <c r="BB15" i="2"/>
  <c r="BA15" i="2"/>
  <c r="AY12" i="2"/>
  <c r="BB12" i="2"/>
  <c r="BA12" i="2"/>
  <c r="BD12" i="2"/>
  <c r="BC12" i="2"/>
  <c r="AY8" i="2"/>
  <c r="BB8" i="2"/>
  <c r="BA8" i="2"/>
  <c r="BD8" i="2"/>
  <c r="BC8" i="2"/>
  <c r="AY16" i="2"/>
  <c r="BB16" i="2"/>
  <c r="BA16" i="2"/>
  <c r="BD16" i="2"/>
  <c r="BC16" i="2"/>
  <c r="AY20" i="2"/>
  <c r="BB20" i="2"/>
  <c r="BA20" i="2"/>
  <c r="BD20" i="2"/>
  <c r="BC20" i="2"/>
  <c r="AY9" i="2"/>
  <c r="BD9" i="2"/>
  <c r="BA9" i="2"/>
  <c r="BC9" i="2"/>
  <c r="BB9" i="2"/>
  <c r="AY17" i="2"/>
  <c r="BD17" i="2"/>
  <c r="BA17" i="2"/>
  <c r="BC17" i="2"/>
  <c r="BB17" i="2"/>
  <c r="AY11" i="2"/>
  <c r="BD11" i="2"/>
  <c r="BC11" i="2"/>
  <c r="BB11" i="2"/>
  <c r="BA11" i="2"/>
  <c r="AY7" i="2"/>
  <c r="BD7" i="2"/>
  <c r="BC7" i="2"/>
  <c r="BB7" i="2"/>
  <c r="BA7" i="2"/>
  <c r="AY10" i="2"/>
  <c r="BB10" i="2"/>
  <c r="BA10" i="2"/>
  <c r="BD10" i="2"/>
  <c r="BC10" i="2"/>
  <c r="AY18" i="2"/>
  <c r="BB18" i="2"/>
  <c r="BA18" i="2"/>
  <c r="BD18" i="2"/>
  <c r="BC18"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22" i="3" l="1"/>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s="1"/>
  <c r="R22" i="3" l="1"/>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2" i="2" s="1"/>
  <c r="R25" i="3"/>
  <c r="R14" i="3"/>
  <c r="R10" i="3"/>
  <c r="R47" i="3"/>
  <c r="R12" i="3"/>
  <c r="R69" i="3"/>
  <c r="R23" i="3"/>
  <c r="R53" i="3"/>
  <c r="R16" i="3"/>
  <c r="R71" i="3"/>
  <c r="R9" i="3"/>
  <c r="R17" i="3"/>
  <c r="R24" i="3"/>
  <c r="R45" i="3"/>
  <c r="R70" i="3"/>
  <c r="R19" i="3"/>
  <c r="R7" i="3"/>
  <c r="R18" i="3"/>
  <c r="R20" i="3"/>
  <c r="R11" i="3"/>
  <c r="R46" i="3"/>
  <c r="R21" i="3"/>
  <c r="R8" i="3"/>
  <c r="R15" i="3"/>
  <c r="R13" i="3"/>
  <c r="P5" i="3"/>
  <c r="P6" i="3"/>
  <c r="BE22" i="2" s="1"/>
  <c r="P17" i="3"/>
  <c r="P24" i="3"/>
  <c r="P7" i="3"/>
  <c r="P46" i="3"/>
  <c r="P18" i="3"/>
  <c r="P20" i="3"/>
  <c r="P8" i="3"/>
  <c r="P19" i="3"/>
  <c r="P14" i="3"/>
  <c r="P10" i="3"/>
  <c r="P21" i="3"/>
  <c r="P12" i="3"/>
  <c r="P25" i="3"/>
  <c r="P53" i="3"/>
  <c r="P16" i="3"/>
  <c r="P70" i="3"/>
  <c r="P47" i="3"/>
  <c r="P9" i="3"/>
  <c r="P69" i="3"/>
  <c r="P23" i="3"/>
  <c r="P45" i="3"/>
  <c r="P71" i="3"/>
  <c r="P11" i="3"/>
  <c r="P15" i="3"/>
  <c r="P13" i="3"/>
  <c r="Q5" i="3"/>
  <c r="Q6" i="3"/>
  <c r="BF22"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1" i="2" l="1"/>
  <c r="BG21" i="2"/>
  <c r="BE21" i="2"/>
  <c r="BG20" i="2"/>
  <c r="BF20" i="2"/>
  <c r="BE20" i="2"/>
  <c r="AZ20" i="2"/>
  <c r="AX20" i="2"/>
  <c r="AW20" i="2"/>
  <c r="AV20" i="2"/>
  <c r="AU20" i="2"/>
  <c r="AX19" i="2"/>
  <c r="AW19" i="2"/>
  <c r="AV19" i="2"/>
  <c r="AU19" i="2"/>
  <c r="AX18" i="2"/>
  <c r="AW18" i="2"/>
  <c r="AV18" i="2"/>
  <c r="AU18" i="2"/>
  <c r="AX17" i="2"/>
  <c r="AW17" i="2"/>
  <c r="AV17" i="2"/>
  <c r="AU17" i="2"/>
  <c r="AX16" i="2"/>
  <c r="AW16" i="2"/>
  <c r="AV16" i="2"/>
  <c r="AU16" i="2"/>
  <c r="AU5" i="2" l="1"/>
  <c r="AV5" i="2"/>
  <c r="AU15" i="2"/>
  <c r="AU14" i="2"/>
  <c r="AU13" i="2"/>
  <c r="AU12" i="2"/>
  <c r="AU11" i="2"/>
  <c r="AU10" i="2"/>
  <c r="AU9" i="2"/>
  <c r="AU8" i="2"/>
  <c r="AU7" i="2"/>
  <c r="AU6" i="2"/>
  <c r="BG15" i="2"/>
  <c r="BF15" i="2"/>
  <c r="BE15" i="2"/>
  <c r="AZ15" i="2"/>
  <c r="AX15" i="2"/>
  <c r="AW15" i="2"/>
  <c r="AV15"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19" i="2"/>
  <c r="BG7" i="2"/>
  <c r="BG17" i="2"/>
  <c r="BF5" i="2"/>
  <c r="BF6" i="2"/>
  <c r="BF9" i="2"/>
  <c r="BF10" i="2"/>
  <c r="BF19" i="2"/>
  <c r="BF7" i="2"/>
  <c r="BF17" i="2"/>
  <c r="BE5" i="2"/>
  <c r="BE6" i="2"/>
  <c r="BE9" i="2"/>
  <c r="BE10" i="2"/>
  <c r="BE19" i="2"/>
  <c r="BE7" i="2"/>
  <c r="BE17" i="2"/>
  <c r="AZ5" i="2"/>
  <c r="AZ6" i="2"/>
  <c r="AZ9" i="2"/>
  <c r="AZ10" i="2"/>
  <c r="AZ19" i="2"/>
  <c r="AZ7" i="2"/>
  <c r="AZ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8" i="2"/>
  <c r="AZ16" i="2"/>
  <c r="AZ12" i="2"/>
  <c r="AZ8" i="2"/>
  <c r="BE18" i="2"/>
  <c r="BE16" i="2"/>
  <c r="BE12" i="2"/>
  <c r="BE8" i="2"/>
  <c r="BE13" i="2"/>
  <c r="BF13" i="2"/>
  <c r="BF18" i="2"/>
  <c r="BF16" i="2"/>
  <c r="BF12" i="2"/>
  <c r="BF8" i="2"/>
  <c r="BG13" i="2"/>
  <c r="BG18" i="2"/>
  <c r="BG16" i="2"/>
  <c r="BG12" i="2"/>
  <c r="BG8" i="2"/>
</calcChain>
</file>

<file path=xl/sharedStrings.xml><?xml version="1.0" encoding="utf-8"?>
<sst xmlns="http://schemas.openxmlformats.org/spreadsheetml/2006/main" count="3557" uniqueCount="472">
  <si>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</si>
  <si>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</si>
  <si>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</si>
  <si>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</si>
  <si>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</si>
  <si>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</si>
  <si>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</si>
  <si>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</si>
  <si>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</si>
  <si>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</si>
  <si>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</si>
  <si>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</si>
  <si>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</si>
  <si>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</si>
  <si>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</si>
  <si>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</si>
  <si>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</si>
  <si>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Special Study Period 1 (February - May)</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</si>
  <si>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</si>
  <si>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</si>
  <si>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</si>
  <si>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</si>
  <si>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</si>
  <si>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</si>
  <si>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</si>
  <si>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</si>
  <si>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</si>
  <si>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</si>
  <si>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</si>
  <si>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</si>
  <si>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</si>
  <si>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</si>
  <si>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</si>
  <si>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</si>
  <si>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</si>
  <si>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</si>
  <si>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</si>
  <si>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</si>
  <si>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</si>
  <si>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TESOL</t>
  </si>
  <si>
    <t>Master of Education</t>
  </si>
  <si>
    <t>Specialisation:</t>
  </si>
  <si>
    <t>No Specialisation - study 4 Option units</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</si>
  <si>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</si>
  <si>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</si>
  <si>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</si>
  <si>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</si>
  <si>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</si>
  <si>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</si>
  <si>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</si>
  <si>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</si>
  <si>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</si>
  <si>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</si>
  <si>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</si>
  <si>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</si>
  <si>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</si>
  <si>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</si>
  <si>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</si>
  <si>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</si>
  <si>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</si>
  <si>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</si>
  <si>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</si>
  <si>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</si>
  <si>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</si>
  <si>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</si>
  <si>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</si>
  <si>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</si>
  <si>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</si>
  <si>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</si>
  <si>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</si>
  <si>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</si>
  <si>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</si>
  <si>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</si>
  <si>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</si>
  <si>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</si>
  <si>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</si>
  <si>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</si>
  <si>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</si>
  <si>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</si>
  <si>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</si>
  <si>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</si>
  <si>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</si>
  <si>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</si>
  <si>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</si>
  <si>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</si>
  <si>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</si>
  <si>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</si>
  <si>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</si>
  <si>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</si>
  <si>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</si>
  <si>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</si>
  <si>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</si>
  <si>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</si>
  <si>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</si>
  <si>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</si>
  <si>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Master of Arts (Applied Linguistics)</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</si>
  <si>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</si>
  <si>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</si>
  <si>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</si>
  <si>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</si>
  <si>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</si>
  <si>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</si>
  <si>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</si>
  <si>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</si>
  <si>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</si>
  <si>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</si>
  <si>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</si>
  <si>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</si>
  <si>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</si>
  <si>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</si>
  <si>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</si>
  <si>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</si>
  <si>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MC-TESOL</t>
  </si>
  <si>
    <t>EDEC5007</t>
  </si>
  <si>
    <t>EDEC6003</t>
  </si>
  <si>
    <t>EDUC6062</t>
  </si>
  <si>
    <t>EDPR6000</t>
  </si>
  <si>
    <t>EDUC6066</t>
  </si>
  <si>
    <t>Graduate Diploma in Education</t>
  </si>
  <si>
    <t>GD-EDUC</t>
  </si>
  <si>
    <t>Int &amp; FO - SSP1</t>
  </si>
  <si>
    <t>TableStudyPeriods</t>
  </si>
  <si>
    <t>START</t>
  </si>
  <si>
    <t>Next</t>
  </si>
  <si>
    <t>Next2</t>
  </si>
  <si>
    <t>Next3</t>
  </si>
  <si>
    <t>SSP1</t>
  </si>
  <si>
    <t>SSP2</t>
  </si>
  <si>
    <t>SSP3</t>
  </si>
  <si>
    <t>SSP4</t>
  </si>
  <si>
    <t>Special Study Period 2 (May - August)</t>
  </si>
  <si>
    <t>EDUC6064</t>
  </si>
  <si>
    <t>---</t>
  </si>
  <si>
    <t>Special Study Period 3 (August - November)</t>
  </si>
  <si>
    <t>Y3SSP1</t>
  </si>
  <si>
    <t>--</t>
  </si>
  <si>
    <t>Y3SSP2</t>
  </si>
  <si>
    <t>Y3SSP3</t>
  </si>
  <si>
    <t>Y3SSP4</t>
  </si>
  <si>
    <t>Special Study Period 4 (November - February)</t>
  </si>
  <si>
    <t>TableMajors</t>
  </si>
  <si>
    <t>Choose your Major</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</si>
  <si>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</si>
  <si>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</si>
  <si>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</si>
  <si>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</si>
  <si>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</si>
  <si>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</si>
  <si>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</si>
  <si>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</si>
  <si>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</si>
  <si>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</si>
  <si>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</si>
  <si>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</si>
  <si>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</si>
  <si>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</si>
  <si>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</si>
  <si>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</si>
  <si>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EDUC6041</t>
  </si>
  <si>
    <t>EDUC6040</t>
  </si>
  <si>
    <t>Primary Education Major (MTeach)</t>
  </si>
  <si>
    <t>MJRP-TCHPR</t>
  </si>
  <si>
    <t>EDUC5023</t>
  </si>
  <si>
    <t>EDUC5025</t>
  </si>
  <si>
    <t>LING6000</t>
  </si>
  <si>
    <t>EDUC6027</t>
  </si>
  <si>
    <t>EDUC6025</t>
  </si>
  <si>
    <t>Secondary Education Major (MTeach)</t>
  </si>
  <si>
    <t>MJRP-TCHSC</t>
  </si>
  <si>
    <t>EDUC5033</t>
  </si>
  <si>
    <t>TableSpecialisationsMCEDUC</t>
  </si>
  <si>
    <t>LING6001</t>
  </si>
  <si>
    <t>EDUC6015</t>
  </si>
  <si>
    <t>EDSC5022</t>
  </si>
  <si>
    <t>-</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</si>
  <si>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</si>
  <si>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</si>
  <si>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</si>
  <si>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</si>
  <si>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</si>
  <si>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</si>
  <si>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</si>
  <si>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</si>
  <si>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</si>
  <si>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</si>
  <si>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</si>
  <si>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</si>
  <si>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</si>
  <si>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</si>
  <si>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</si>
  <si>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</si>
  <si>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</si>
  <si>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</si>
  <si>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</si>
  <si>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</si>
  <si>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</si>
  <si>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</si>
  <si>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</si>
  <si>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</si>
  <si>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</si>
  <si>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</si>
  <si>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</si>
  <si>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</si>
  <si>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</si>
  <si>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</si>
  <si>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</si>
  <si>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</si>
  <si>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</si>
  <si>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</si>
  <si>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</si>
  <si>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</si>
  <si>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</si>
  <si>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</si>
  <si>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</si>
  <si>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</si>
  <si>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</si>
  <si>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</si>
  <si>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</si>
  <si>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</si>
  <si>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</si>
  <si>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</si>
  <si>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</si>
  <si>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</si>
  <si>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</si>
  <si>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First Teaching Area:</t>
  </si>
  <si>
    <t>English Teaching Area</t>
  </si>
  <si>
    <t>First Teaching Area version:</t>
  </si>
  <si>
    <t>Second Teaching Area:</t>
  </si>
  <si>
    <t>Health and Physical Education Teaching Area</t>
  </si>
  <si>
    <t>Second Teaching Area version:</t>
  </si>
  <si>
    <t>Teaching Area Subjects</t>
  </si>
  <si>
    <t>Secondary Education Major (GradDipEdu)</t>
  </si>
  <si>
    <t>Stream/Teaching Area:</t>
  </si>
  <si>
    <t>Stream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</si>
  <si>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</si>
  <si>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</si>
  <si>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</si>
  <si>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</si>
  <si>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</si>
  <si>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</si>
  <si>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</si>
  <si>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</si>
  <si>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</si>
  <si>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</si>
  <si>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</si>
  <si>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t>
  </si>
  <si>
    <t>FTAL</t>
  </si>
  <si>
    <t>The Arts Teaching Area</t>
  </si>
  <si>
    <t>50 credit points required</t>
  </si>
  <si>
    <t>Not Applicable</t>
  </si>
  <si>
    <t>STRP-SCFON</t>
  </si>
  <si>
    <t>EDSC5028</t>
  </si>
  <si>
    <t>STRP-SCENG</t>
  </si>
  <si>
    <t>STAL</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</si>
  <si>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</si>
  <si>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</si>
  <si>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</si>
  <si>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</si>
  <si>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</si>
  <si>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</si>
  <si>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</si>
  <si>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</si>
  <si>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</si>
  <si>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</si>
  <si>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</si>
  <si>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</si>
  <si>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No Second Teaching Area</t>
  </si>
  <si>
    <t>RangeTeachingAreas</t>
  </si>
  <si>
    <t>FTA</t>
  </si>
  <si>
    <t>TableMajorsGDEDUC</t>
  </si>
  <si>
    <t>FTALower</t>
  </si>
  <si>
    <t>EDSC5023</t>
  </si>
  <si>
    <t>EDSC5024</t>
  </si>
  <si>
    <t>EDSC5055</t>
  </si>
  <si>
    <t>EDSC5025</t>
  </si>
  <si>
    <t>EDSC5026</t>
  </si>
  <si>
    <t>EDSC5027</t>
  </si>
  <si>
    <t>FTASenior</t>
  </si>
  <si>
    <t>EDSC5030</t>
  </si>
  <si>
    <t>EDSC5053</t>
  </si>
  <si>
    <t>EDSC5057</t>
  </si>
  <si>
    <t>EDSC5032</t>
  </si>
  <si>
    <t>EDSC5033</t>
  </si>
  <si>
    <t>EDSC5034</t>
  </si>
  <si>
    <t>Primary Education Major (GradDipEdu)</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</si>
  <si>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</si>
  <si>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</si>
  <si>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</si>
  <si>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</si>
  <si>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</si>
  <si>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</si>
  <si>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</si>
  <si>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</si>
  <si>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</si>
  <si>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</si>
  <si>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</si>
  <si>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</si>
  <si>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</si>
  <si>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</si>
  <si>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</si>
  <si>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</si>
  <si>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</si>
  <si>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</si>
  <si>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</si>
  <si>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</si>
  <si>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</si>
  <si>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</si>
  <si>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</si>
  <si>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</si>
  <si>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</si>
  <si>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</si>
  <si>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</si>
  <si>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</si>
  <si>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</si>
  <si>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</si>
  <si>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</si>
  <si>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</si>
  <si>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</si>
  <si>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</si>
  <si>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</si>
  <si>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</si>
  <si>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</si>
  <si>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</si>
  <si>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</si>
  <si>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</si>
  <si>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</si>
  <si>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</si>
  <si>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</si>
  <si>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</si>
  <si>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EDPR5007.PO</t>
  </si>
  <si>
    <t>Quantitative Mathematics for Science Inquiry</t>
  </si>
  <si>
    <t>Statistics For Educators</t>
  </si>
  <si>
    <t>2024 Late Change</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</si>
  <si>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</si>
  <si>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</si>
  <si>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</si>
  <si>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</si>
  <si>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</si>
  <si>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</si>
  <si>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</si>
  <si>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</si>
  <si>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</si>
  <si>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</si>
  <si>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</si>
  <si>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</si>
  <si>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</si>
  <si>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</si>
  <si>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</si>
  <si>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</si>
  <si>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</si>
  <si>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</si>
  <si>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</si>
  <si>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</si>
  <si>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</si>
  <si>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</si>
  <si>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</si>
  <si>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</si>
  <si>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</si>
  <si>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</si>
  <si>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</si>
  <si>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</si>
  <si>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</si>
  <si>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</si>
  <si>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</si>
  <si>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</si>
  <si>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</si>
  <si>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</si>
  <si>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</si>
  <si>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</si>
  <si>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</si>
  <si>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</si>
  <si>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</si>
  <si>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</si>
  <si>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</si>
  <si>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</si>
  <si>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</si>
  <si>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</si>
  <si>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</si>
  <si>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</si>
  <si>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</si>
  <si>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</si>
  <si>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</si>
  <si>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</si>
  <si>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</si>
  <si>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</si>
  <si>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</si>
  <si>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</si>
  <si>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</si>
  <si>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</si>
  <si>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</si>
  <si>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</si>
  <si>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</si>
  <si>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</si>
  <si>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</si>
  <si>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</si>
  <si>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Language Acquisition</t>
  </si>
  <si>
    <t>Language in Society</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</si>
  <si>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</si>
  <si>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</si>
  <si>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</si>
  <si>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</si>
  <si>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</si>
  <si>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</si>
  <si>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</si>
  <si>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</si>
  <si>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</si>
  <si>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</si>
  <si>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</si>
  <si>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</si>
  <si>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</si>
  <si>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</si>
  <si>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</si>
  <si>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</si>
  <si>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</si>
  <si>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</si>
  <si>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</si>
  <si>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</si>
  <si>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</si>
  <si>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</si>
  <si>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</si>
  <si>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</si>
  <si>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</si>
  <si>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</si>
  <si>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</si>
  <si>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</si>
  <si>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</si>
  <si>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</si>
  <si>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</si>
  <si>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Option</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</si>
  <si>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</si>
  <si>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</si>
  <si>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</si>
  <si>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</si>
  <si>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</si>
  <si>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</si>
  <si>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</si>
  <si>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</si>
  <si>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</si>
  <si>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</si>
  <si>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</si>
  <si>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</si>
  <si>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</si>
  <si>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</si>
  <si>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Count of Availability Available to Students Flag</t>
  </si>
  <si>
    <t>Downloaded 2024:</t>
  </si>
  <si>
    <t>Row Labels</t>
  </si>
  <si>
    <t>Internal</t>
  </si>
  <si>
    <t>Online</t>
  </si>
  <si>
    <t>Internal2</t>
  </si>
  <si>
    <t>Online3</t>
  </si>
  <si>
    <t>Internal4</t>
  </si>
  <si>
    <t>Online5</t>
  </si>
  <si>
    <t>Internal6</t>
  </si>
  <si>
    <t>Online7</t>
  </si>
  <si>
    <t>EDUC5025*</t>
  </si>
  <si>
    <t>EDUC5023*</t>
  </si>
  <si>
    <t>EDUC5021*</t>
  </si>
  <si>
    <t>LING6000*</t>
  </si>
  <si>
    <t>EDUC6040*</t>
  </si>
  <si>
    <t>Choose a Major</t>
  </si>
  <si>
    <t>MajorGDEDUC</t>
  </si>
  <si>
    <t>Special Study Period 1</t>
  </si>
  <si>
    <t>Special Study Period 2</t>
  </si>
  <si>
    <t>Special Study Period 3</t>
  </si>
  <si>
    <t>Special Study Period 4</t>
  </si>
  <si>
    <t>Teaching Area Options</t>
  </si>
  <si>
    <t>Choose your First Approved Teaching Area (drop-down list)</t>
  </si>
  <si>
    <t>Choose your Second Approved Teaching Area (drop-down lsit)</t>
  </si>
  <si>
    <t>Choose your commencing study period (drop-down list)</t>
  </si>
  <si>
    <t>Choose your MEd Specialisation (drop-down list)</t>
  </si>
  <si>
    <t>Choose your Major (drop-down list)</t>
  </si>
  <si>
    <t>Choose your TESOL/Applied Linguistics Course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</si>
</sst>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sz val="10"/>
      <color theme="1"/>
      <name val="Arial"/>
      <family val="2"/>
    </font>
    <font>
      <sz val="10"/>
      <color rgb="FF000000"/>
      <name val="Arial"/>
      <family val="2"/>
    </font>
    <font>
      <sz val="10"/>
      <color theme="1"/>
      <name val="Arial"/>
      <family val="2"/>
    </font>
    <font>
      <sz val="10"/>
      <color rgb="FF000000"/>
      <name val="Arial"/>
      <family val="2"/>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6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59" fillId="0" borderId="36" xfId="0" applyFont="1" applyBorder="1" applyAlignment="1">
      <alignment horizontal="left" wrapText="1"/>
    </xf>
    <xf numFmtId="0" fontId="10" fillId="0" borderId="37" xfId="0" applyFont="1" applyBorder="1" applyAlignment="1">
      <alignment horizontal="left" wrapText="1"/>
    </xf>
    <xf numFmtId="0" fontId="59" fillId="8" borderId="0" xfId="0" applyFont="1" applyFill="1"/>
    <xf numFmtId="0" fontId="59" fillId="0" borderId="0" xfId="0" applyFont="1"/>
    <xf numFmtId="0" fontId="59" fillId="0" borderId="0" xfId="0" applyFont="1" applyAlignment="1">
      <alignment horizontal="center"/>
    </xf>
    <xf numFmtId="0" fontId="59" fillId="7" borderId="7" xfId="0" applyFont="1" applyFill="1" applyBorder="1" applyAlignment="1">
      <alignment horizontal="center"/>
    </xf>
    <xf numFmtId="0" fontId="59" fillId="7" borderId="0" xfId="0" applyFont="1" applyFill="1" applyAlignment="1">
      <alignment horizontal="center"/>
    </xf>
    <xf numFmtId="0" fontId="60" fillId="7" borderId="0" xfId="0" applyFont="1" applyFill="1" applyAlignment="1">
      <alignment horizontal="center"/>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0" fontId="0" fillId="0" borderId="0" xfId="0" applyNumberFormat="1" applyAlignment="1">
      <alignment horizontal="center"/>
    </xf>
    <xf numFmtId="0" fontId="0" fillId="0" borderId="0" xfId="0" applyNumberFormat="1"/>
    <xf numFmtId="14" fontId="44" fillId="17" borderId="0" xfId="0" applyNumberFormat="1" applyFont="1" applyFill="1"/>
    <xf numFmtId="0" fontId="44" fillId="17" borderId="0" xfId="0" applyFont="1" applyFill="1"/>
    <xf numFmtId="0" fontId="61" fillId="7" borderId="7" xfId="0" applyNumberFormat="1" applyFont="1" applyFill="1" applyBorder="1" applyAlignment="1">
      <alignment horizontal="center"/>
    </xf>
    <xf numFmtId="0" fontId="61" fillId="0" borderId="45" xfId="0" applyFont="1" applyBorder="1" applyAlignment="1">
      <alignment horizontal="left" wrapText="1"/>
    </xf>
    <xf numFmtId="0" fontId="61" fillId="7" borderId="3" xfId="0" applyNumberFormat="1" applyFont="1" applyFill="1" applyBorder="1" applyAlignment="1">
      <alignment horizontal="center"/>
    </xf>
    <xf numFmtId="0" fontId="61" fillId="0" borderId="0" xfId="0" applyFont="1" applyBorder="1"/>
    <xf numFmtId="0" fontId="61" fillId="0" borderId="0" xfId="0" applyFont="1" applyBorder="1" applyAlignment="1">
      <alignment horizontal="center"/>
    </xf>
    <xf numFmtId="0" fontId="61" fillId="8" borderId="0" xfId="0" applyFont="1" applyFill="1" applyBorder="1"/>
    <xf numFmtId="0" fontId="61" fillId="7" borderId="0" xfId="0" applyNumberFormat="1" applyFont="1" applyFill="1" applyBorder="1" applyAlignment="1">
      <alignment horizontal="center"/>
    </xf>
    <xf numFmtId="0" fontId="62" fillId="7" borderId="0" xfId="0" applyNumberFormat="1" applyFont="1" applyFill="1" applyBorder="1" applyAlignment="1">
      <alignment horizontal="center"/>
    </xf>
    <xf numFmtId="0" fontId="61" fillId="7" borderId="5" xfId="0" applyNumberFormat="1" applyFont="1" applyFill="1" applyBorder="1" applyAlignment="1">
      <alignment horizontal="center"/>
    </xf>
    <xf numFmtId="0" fontId="61" fillId="11" borderId="0" xfId="0" applyFont="1" applyFill="1" applyBorder="1"/>
    <xf numFmtId="0" fontId="61" fillId="0" borderId="36" xfId="0" applyFont="1" applyBorder="1" applyAlignment="1">
      <alignment horizontal="left" wrapText="1"/>
    </xf>
    <xf numFmtId="0" fontId="61" fillId="7" borderId="47" xfId="0" applyNumberFormat="1" applyFont="1" applyFill="1" applyBorder="1" applyAlignment="1">
      <alignment horizontal="center"/>
    </xf>
    <xf numFmtId="0" fontId="59" fillId="7" borderId="46" xfId="0" applyFont="1" applyFill="1" applyBorder="1" applyAlignment="1">
      <alignment horizontal="center"/>
    </xf>
    <xf numFmtId="0" fontId="61" fillId="7" borderId="34" xfId="0" applyNumberFormat="1" applyFont="1" applyFill="1" applyBorder="1" applyAlignment="1">
      <alignment horizontal="center"/>
    </xf>
    <xf numFmtId="0" fontId="59" fillId="7" borderId="31" xfId="0" applyFont="1" applyFill="1" applyBorder="1" applyAlignment="1">
      <alignment horizontal="center"/>
    </xf>
    <xf numFmtId="0" fontId="61" fillId="7" borderId="42" xfId="0" applyNumberFormat="1" applyFont="1" applyFill="1" applyBorder="1" applyAlignment="1">
      <alignment horizontal="center"/>
    </xf>
    <xf numFmtId="0" fontId="61" fillId="7" borderId="43" xfId="0" applyNumberFormat="1" applyFont="1" applyFill="1" applyBorder="1" applyAlignment="1">
      <alignment horizontal="center"/>
    </xf>
    <xf numFmtId="0" fontId="10" fillId="7" borderId="0" xfId="0" applyFont="1" applyFill="1" applyBorder="1" applyAlignment="1">
      <alignment horizontal="center"/>
    </xf>
    <xf numFmtId="0" fontId="39" fillId="16" borderId="0" xfId="1" applyFont="1" applyFill="1" applyAlignment="1" applyProtection="1">
      <alignment vertical="center" wrapText="1"/>
    </xf>
    <xf numFmtId="0" fontId="1" fillId="0" borderId="0" xfId="1" applyProtection="1"/>
    <xf numFmtId="0" fontId="19" fillId="12" borderId="16" xfId="1" applyFont="1" applyFill="1" applyBorder="1" applyAlignment="1" applyProtection="1">
      <alignment vertical="center"/>
    </xf>
    <xf numFmtId="0" fontId="19" fillId="12" borderId="17" xfId="1" applyFont="1" applyFill="1" applyBorder="1" applyAlignment="1" applyProtection="1">
      <alignment vertical="center"/>
    </xf>
    <xf numFmtId="0" fontId="19" fillId="12" borderId="17" xfId="1" applyFont="1" applyFill="1" applyBorder="1" applyAlignment="1" applyProtection="1">
      <alignment horizontal="right" vertical="center"/>
    </xf>
    <xf numFmtId="0" fontId="49" fillId="12" borderId="17" xfId="1" applyFont="1" applyFill="1" applyBorder="1" applyAlignment="1" applyProtection="1">
      <alignment horizontal="center" vertical="center"/>
    </xf>
    <xf numFmtId="0" fontId="42" fillId="12"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54" fillId="2" borderId="0" xfId="1" applyFont="1" applyFill="1" applyAlignment="1" applyProtection="1">
      <alignment vertical="center"/>
    </xf>
    <xf numFmtId="14" fontId="46" fillId="2" borderId="0" xfId="1" applyNumberFormat="1" applyFont="1" applyFill="1" applyAlignment="1" applyProtection="1">
      <alignment vertical="center"/>
    </xf>
    <xf numFmtId="0" fontId="47"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6"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wrapText="1"/>
    </xf>
    <xf numFmtId="0" fontId="23" fillId="10"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 fillId="0" borderId="0" xfId="1" applyAlignment="1" applyProtection="1">
      <alignment horizontal="center" vertical="center"/>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63" fillId="0" borderId="0" xfId="1" applyFont="1" applyAlignment="1" applyProtection="1">
      <alignment horizontal="right" vertical="center"/>
    </xf>
    <xf numFmtId="0" fontId="22" fillId="2" borderId="19" xfId="1" quotePrefix="1" applyFont="1" applyFill="1" applyBorder="1" applyAlignment="1" applyProtection="1">
      <alignment horizontal="center" vertical="center"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6" fillId="15" borderId="22" xfId="1" applyFont="1" applyFill="1" applyBorder="1" applyAlignment="1" applyProtection="1">
      <alignment horizontal="center" vertical="center" wrapText="1"/>
    </xf>
    <xf numFmtId="0" fontId="46" fillId="15"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1" fillId="0" borderId="0" xfId="1" applyAlignment="1" applyProtection="1">
      <alignment horizontal="center" vertical="top"/>
    </xf>
    <xf numFmtId="0" fontId="47" fillId="2" borderId="0" xfId="1" applyFont="1" applyFill="1" applyAlignment="1" applyProtection="1">
      <alignment vertical="center"/>
      <protection locked="0"/>
    </xf>
    <xf numFmtId="14" fontId="22" fillId="2" borderId="0" xfId="1" applyNumberFormat="1" applyFont="1" applyFill="1" applyAlignment="1" applyProtection="1">
      <alignment vertical="center"/>
    </xf>
    <xf numFmtId="0" fontId="47" fillId="13" borderId="0" xfId="1" applyFont="1" applyFill="1" applyAlignment="1" applyProtection="1">
      <alignment vertical="center"/>
      <protection locked="0"/>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6" fillId="5" borderId="22" xfId="1" applyFont="1" applyFill="1" applyBorder="1" applyAlignment="1" applyProtection="1">
      <alignment horizontal="center" vertical="center" wrapText="1"/>
    </xf>
    <xf numFmtId="0" fontId="46" fillId="5" borderId="18" xfId="1" applyFont="1" applyFill="1" applyBorder="1" applyAlignment="1" applyProtection="1">
      <alignment horizontal="center" vertical="center" wrapText="1"/>
    </xf>
    <xf numFmtId="0" fontId="35" fillId="13" borderId="19" xfId="1" applyFont="1" applyFill="1" applyBorder="1" applyAlignment="1" applyProtection="1">
      <alignment horizontal="center" vertical="center"/>
    </xf>
    <xf numFmtId="0" fontId="35" fillId="13" borderId="20" xfId="1" applyFont="1" applyFill="1" applyBorder="1" applyAlignment="1" applyProtection="1">
      <alignment horizontal="center" vertical="center"/>
    </xf>
    <xf numFmtId="0" fontId="35" fillId="13" borderId="20" xfId="1" applyFont="1" applyFill="1" applyBorder="1" applyAlignment="1" applyProtection="1">
      <alignment vertical="center"/>
    </xf>
    <xf numFmtId="0" fontId="35" fillId="13" borderId="20" xfId="1" applyFont="1" applyFill="1" applyBorder="1" applyAlignment="1" applyProtection="1">
      <alignment vertical="center" wrapText="1"/>
    </xf>
    <xf numFmtId="0" fontId="35" fillId="13" borderId="20" xfId="1" applyFont="1" applyFill="1" applyBorder="1" applyAlignment="1" applyProtection="1">
      <alignment horizontal="center" vertical="center" wrapTex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0" xfId="1" applyFont="1" applyFill="1" applyBorder="1" applyAlignment="1" applyProtection="1">
      <alignment horizontal="center" vertical="center" wrapText="1"/>
    </xf>
    <xf numFmtId="0" fontId="26" fillId="13" borderId="0" xfId="1" applyFont="1" applyFill="1" applyAlignment="1" applyProtection="1">
      <alignment horizontal="center" vertical="center" wrapText="1"/>
    </xf>
    <xf numFmtId="0" fontId="35" fillId="7" borderId="19" xfId="1" applyFont="1" applyFill="1" applyBorder="1" applyAlignment="1" applyProtection="1">
      <alignment horizontal="center" vertical="center"/>
    </xf>
    <xf numFmtId="0" fontId="35" fillId="7" borderId="20" xfId="1" applyFont="1" applyFill="1" applyBorder="1" applyAlignment="1" applyProtection="1">
      <alignment horizontal="center" vertical="center"/>
    </xf>
    <xf numFmtId="0" fontId="35" fillId="7" borderId="20" xfId="1" applyFont="1" applyFill="1" applyBorder="1" applyAlignment="1" applyProtection="1">
      <alignment vertical="center"/>
    </xf>
    <xf numFmtId="0" fontId="35" fillId="7" borderId="20" xfId="1" applyFont="1" applyFill="1" applyBorder="1" applyAlignment="1" applyProtection="1">
      <alignment vertical="center" wrapText="1"/>
    </xf>
    <xf numFmtId="0" fontId="3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39"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39" fillId="16" borderId="0" xfId="1" applyFont="1" applyFill="1" applyAlignment="1" applyProtection="1">
      <alignment horizontal="left" vertical="center" wrapText="1"/>
    </xf>
  </cellXfs>
  <cellStyles count="3">
    <cellStyle name="Hyperlink" xfId="2" builtinId="8"/>
    <cellStyle name="Normal" xfId="0" builtinId="0"/>
    <cellStyle name="Normal 2" xfId="1"/>
  </cellStyles>
  <dxfs count="445">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000-00000B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26</xdr:row>
      <xdr:rowOff>161925</xdr:rowOff>
    </xdr:to>
    <xdr:sp macro="" textlink="">
      <xdr:nvSpPr>
        <xdr:cNvPr id="3" name="TextBox 2">
          <a:extLst>
            <a:ext uri="{FF2B5EF4-FFF2-40B4-BE49-F238E27FC236}">
              <a16:creationId xmlns:a16="http://schemas.microsoft.com/office/drawing/2014/main" id="{5459B5C8-243E-4D1D-9726-F58F4C3E168F}"/>
            </a:ext>
          </a:extLst>
        </xdr:cNvPr>
        <xdr:cNvSpPr txBox="1"/>
      </xdr:nvSpPr>
      <xdr:spPr>
        <a:xfrm>
          <a:off x="11753850" y="504825"/>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409575</xdr:colOff>
      <xdr:row>22</xdr:row>
      <xdr:rowOff>66675</xdr:rowOff>
    </xdr:from>
    <xdr:to>
      <xdr:col>26</xdr:col>
      <xdr:colOff>142875</xdr:colOff>
      <xdr:row>23</xdr:row>
      <xdr:rowOff>185180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7D5F6DD1-12C6-496F-91E4-3EBBAE0AE0ED}"/>
            </a:ext>
          </a:extLst>
        </xdr:cNvPr>
        <xdr:cNvSpPr txBox="1"/>
      </xdr:nvSpPr>
      <xdr:spPr>
        <a:xfrm>
          <a:off x="14906625" y="50196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18</xdr:row>
      <xdr:rowOff>9525</xdr:rowOff>
    </xdr:from>
    <xdr:to>
      <xdr:col>26</xdr:col>
      <xdr:colOff>142876</xdr:colOff>
      <xdr:row>19</xdr:row>
      <xdr:rowOff>86120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5004FDBB-3A5A-47C4-9071-782BA15BFDA2}"/>
            </a:ext>
          </a:extLst>
        </xdr:cNvPr>
        <xdr:cNvSpPr txBox="1"/>
      </xdr:nvSpPr>
      <xdr:spPr>
        <a:xfrm>
          <a:off x="14525625" y="3990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8</xdr:row>
      <xdr:rowOff>0</xdr:rowOff>
    </xdr:from>
    <xdr:to>
      <xdr:col>26</xdr:col>
      <xdr:colOff>142875</xdr:colOff>
      <xdr:row>31</xdr:row>
      <xdr:rowOff>38100</xdr:rowOff>
    </xdr:to>
    <xdr:sp macro="" textlink="">
      <xdr:nvSpPr>
        <xdr:cNvPr id="5" name="TextBox 4">
          <a:extLst>
            <a:ext uri="{FF2B5EF4-FFF2-40B4-BE49-F238E27FC236}">
              <a16:creationId xmlns:a16="http://schemas.microsoft.com/office/drawing/2014/main" id="{5459B5C8-243E-4D1D-9726-F58F4C3E168F}"/>
            </a:ext>
          </a:extLst>
        </xdr:cNvPr>
        <xdr:cNvSpPr txBox="1"/>
      </xdr:nvSpPr>
      <xdr:spPr>
        <a:xfrm>
          <a:off x="11753850" y="1828800"/>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28575</xdr:colOff>
      <xdr:row>23</xdr:row>
      <xdr:rowOff>28575</xdr:rowOff>
    </xdr:from>
    <xdr:to>
      <xdr:col>26</xdr:col>
      <xdr:colOff>142876</xdr:colOff>
      <xdr:row>24</xdr:row>
      <xdr:rowOff>105170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525625" y="53244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409575</xdr:colOff>
      <xdr:row>27</xdr:row>
      <xdr:rowOff>19050</xdr:rowOff>
    </xdr:from>
    <xdr:to>
      <xdr:col>26</xdr:col>
      <xdr:colOff>142875</xdr:colOff>
      <xdr:row>28</xdr:row>
      <xdr:rowOff>166130</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4906625" y="63817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400-000002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5459B5C8-243E-4D1D-9726-F58F4C3E168F}"/>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5" totalsRowShown="0" headerRowDxfId="438" dataDxfId="437">
  <autoFilter ref="A7:G15"/>
  <sortState ref="A8:F14">
    <sortCondition ref="A7:A14"/>
  </sortState>
  <tableColumns count="7">
    <tableColumn id="3" name="Choose your Course" dataDxfId="436"/>
    <tableColumn id="1" name="UDC" dataDxfId="435"/>
    <tableColumn id="2" name="Version" dataDxfId="434"/>
    <tableColumn id="5" name="Credit Points" dataDxfId="433"/>
    <tableColumn id="4" name="Effective Date" dataDxfId="432"/>
    <tableColumn id="7" name="Akari Update" dataDxfId="431"/>
    <tableColumn id="6" name="Availabilities" dataDxfId="430"/>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5:F28" totalsRowShown="0" headerRowDxfId="429" dataDxfId="428">
  <autoFilter ref="A25:F28"/>
  <tableColumns count="6">
    <tableColumn id="1" name="Choose your Major (drop-down list)" dataDxfId="427"/>
    <tableColumn id="2" name="UDC" dataDxfId="426"/>
    <tableColumn id="3" name="Version" dataDxfId="425"/>
    <tableColumn id="4" name="Credit Points" dataDxfId="424"/>
    <tableColumn id="5" name="Effective Date" dataDxfId="423"/>
    <tableColumn id="6" name="Akari Update" dataDxfId="422"/>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8:E22" totalsRowShown="0" headerRowDxfId="421" dataDxfId="420">
  <autoFilter ref="A18:E22"/>
  <tableColumns count="5">
    <tableColumn id="1" name="Choose your commencing study period (drop-down list)" dataDxfId="419"/>
    <tableColumn id="2" name="START" dataDxfId="418"/>
    <tableColumn id="3" name="Next" dataDxfId="417"/>
    <tableColumn id="4" name="Next2" dataDxfId="416"/>
    <tableColumn id="5" name="Next3" dataDxfId="415"/>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1:F35" totalsRowShown="0" headerRowDxfId="414" dataDxfId="413">
  <autoFilter ref="A31:F35"/>
  <tableColumns count="6">
    <tableColumn id="1" name="Choose your MEd Specialisation (drop-down list)" dataDxfId="412"/>
    <tableColumn id="2" name="UDC" dataDxfId="411"/>
    <tableColumn id="3" name="Version" dataDxfId="410"/>
    <tableColumn id="4" name="Credit Points" dataDxfId="409"/>
    <tableColumn id="5" name="Effective Date" dataDxfId="408"/>
    <tableColumn id="6" name="Akari Update" dataDxfId="407"/>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14</v>
      </c>
      <c r="E6" s="241"/>
      <c r="F6" s="239" t="s">
        <v>15</v>
      </c>
      <c r="G6" s="241" t="str">
        <f>IFERROR(CONCATENATE(VLOOKUP(D6,TableMajors[],2,FALSE)," ",VLOOKUP(D6,TableMajors[],3,FALSE)),"")</f>
        <v>MJRP-TCHEC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s="18" customFormat="1" ht="31.5" x14ac:dyDescent="0.25">
      <c r="A33" s="252" t="s">
        <v>34</v>
      </c>
      <c r="B33" s="252"/>
      <c r="C33" s="252"/>
      <c r="D33" s="284" t="s">
        <v>3</v>
      </c>
      <c r="E33" s="260" t="s">
        <v>21</v>
      </c>
      <c r="F33" s="252" t="s">
        <v>22</v>
      </c>
      <c r="G33" s="252" t="s">
        <v>23</v>
      </c>
      <c r="H33" s="261" t="s">
        <v>24</v>
      </c>
      <c r="I33" s="262" t="s">
        <v>25</v>
      </c>
      <c r="J33" s="261" t="s">
        <v>26</v>
      </c>
      <c r="K33" s="262" t="s">
        <v>27</v>
      </c>
      <c r="L33" s="261" t="s">
        <v>28</v>
      </c>
      <c r="M33" s="262" t="s">
        <v>29</v>
      </c>
      <c r="N33" s="261" t="s">
        <v>30</v>
      </c>
      <c r="O33" s="262" t="s">
        <v>31</v>
      </c>
      <c r="P33" s="252" t="s">
        <v>32</v>
      </c>
      <c r="Q33" s="285"/>
      <c r="R33" s="258"/>
      <c r="S33" s="258"/>
      <c r="T33" s="259"/>
      <c r="U33" s="259"/>
      <c r="V33" s="259"/>
      <c r="W33" s="259"/>
      <c r="X33" s="259"/>
      <c r="Y33" s="259"/>
      <c r="Z33" s="259"/>
      <c r="AA33" s="17"/>
    </row>
    <row r="34" spans="1:27" s="23" customFormat="1" ht="21" customHeight="1" x14ac:dyDescent="0.15">
      <c r="A34" s="263" t="str">
        <f>IFERROR(IF(HLOOKUP($P$6,RangeUnitsetsECEPR,Q34,FALSE)=0,"",HLOOKUP($P$6,RangeUnitsetsECEPR,Q34,FALSE)),"")</f>
        <v/>
      </c>
      <c r="B34" s="278" t="str">
        <f>IFERROR(IF(VLOOKUP($A34,TableHandbook[],2,FALSE)=0,"",VLOOKUP($A34,TableHandbook[],2,FALSE)),"")</f>
        <v/>
      </c>
      <c r="C34" s="278" t="str">
        <f>IFERROR(IF(VLOOKUP($A34,TableHandbook[],3,FALSE)=0,"",VLOOKUP($A34,TableHandbook[],3,FALSE)),"")</f>
        <v/>
      </c>
      <c r="D34" s="283" t="str">
        <f>IFERROR(IF(VLOOKUP($A34,TableHandbook[],4,FALSE)=0,"",VLOOKUP($A34,TableHandbook[],4,FALSE)),"")</f>
        <v/>
      </c>
      <c r="E34" s="278" t="str">
        <f>IF(A34="","",VLOOKUP($D$7,TableStudyPeriods[],2,FALSE))</f>
        <v/>
      </c>
      <c r="F34" s="266" t="str">
        <f>IFERROR(IF(VLOOKUP($A34,TableHandbook[],6,FALSE)=0,"",VLOOKUP($A34,TableHandbook[],6,FALSE)),"")</f>
        <v/>
      </c>
      <c r="G34" s="264" t="str">
        <f>IFERROR(IF(VLOOKUP($A34,TableHandbook[],5,FALSE)=0,"",VLOOKUP($A34,TableHandbook[],5,FALSE)),"")</f>
        <v/>
      </c>
      <c r="H34" s="267" t="str">
        <f>IFERROR(VLOOKUP($A34,TableHandbook[],H$2,FALSE),"")</f>
        <v/>
      </c>
      <c r="I34" s="268" t="str">
        <f>IFERROR(VLOOKUP($A34,TableHandbook[],I$2,FALSE),"")</f>
        <v/>
      </c>
      <c r="J34" s="267" t="str">
        <f>IFERROR(VLOOKUP($A34,TableHandbook[],J$2,FALSE),"")</f>
        <v/>
      </c>
      <c r="K34" s="268" t="str">
        <f>IFERROR(VLOOKUP($A34,TableHandbook[],K$2,FALSE),"")</f>
        <v/>
      </c>
      <c r="L34" s="267" t="str">
        <f>IFERROR(VLOOKUP($A34,TableHandbook[],L$2,FALSE),"")</f>
        <v/>
      </c>
      <c r="M34" s="268" t="str">
        <f>IFERROR(VLOOKUP($A34,TableHandbook[],M$2,FALSE),"")</f>
        <v/>
      </c>
      <c r="N34" s="267" t="str">
        <f>IFERROR(VLOOKUP($A34,TableHandbook[],N$2,FALSE),"")</f>
        <v/>
      </c>
      <c r="O34" s="268" t="str">
        <f>IFERROR(VLOOKUP($A34,TableHandbook[],O$2,FALSE),"")</f>
        <v/>
      </c>
      <c r="P34" s="29"/>
      <c r="Q34" s="269">
        <v>18</v>
      </c>
      <c r="R34" s="281"/>
      <c r="S34" s="281"/>
      <c r="T34" s="282"/>
      <c r="U34" s="282"/>
      <c r="V34" s="282"/>
      <c r="W34" s="282"/>
      <c r="X34" s="282"/>
      <c r="Y34" s="282"/>
      <c r="Z34" s="282"/>
      <c r="AA34" s="22"/>
    </row>
    <row r="35" spans="1:27" ht="15" customHeight="1" x14ac:dyDescent="0.25">
      <c r="A35" s="287"/>
      <c r="B35" s="287"/>
      <c r="C35" s="287"/>
      <c r="D35" s="288"/>
      <c r="E35" s="288"/>
      <c r="F35" s="289"/>
      <c r="G35" s="289"/>
      <c r="H35" s="289"/>
      <c r="I35" s="289"/>
      <c r="J35" s="289"/>
      <c r="K35" s="289"/>
      <c r="L35" s="289"/>
      <c r="M35" s="289"/>
      <c r="N35" s="289"/>
      <c r="O35" s="289"/>
      <c r="P35" s="289"/>
      <c r="Q35" s="231"/>
      <c r="R35" s="231"/>
      <c r="S35" s="231"/>
      <c r="T35" s="231"/>
      <c r="U35" s="231"/>
      <c r="V35" s="231"/>
      <c r="W35" s="231"/>
      <c r="X35" s="231"/>
      <c r="Y35" s="231"/>
      <c r="Z35" s="231"/>
      <c r="AA35" s="16"/>
    </row>
    <row r="36" spans="1:27" s="16" customFormat="1" ht="35.25" customHeight="1" x14ac:dyDescent="0.25">
      <c r="A36" s="366" t="s">
        <v>35</v>
      </c>
      <c r="B36" s="366"/>
      <c r="C36" s="366"/>
      <c r="D36" s="366"/>
      <c r="E36" s="366"/>
      <c r="F36" s="366"/>
      <c r="G36" s="366"/>
      <c r="H36" s="366"/>
      <c r="I36" s="366"/>
      <c r="J36" s="366"/>
      <c r="K36" s="366"/>
      <c r="L36" s="366"/>
      <c r="M36" s="366"/>
      <c r="N36" s="366"/>
      <c r="O36" s="366"/>
      <c r="P36" s="366"/>
      <c r="Q36" s="231"/>
      <c r="R36" s="231"/>
      <c r="S36" s="231"/>
      <c r="T36" s="231"/>
      <c r="U36" s="231"/>
      <c r="V36" s="231"/>
      <c r="W36" s="231"/>
      <c r="X36" s="231"/>
      <c r="Y36" s="231"/>
      <c r="Z36" s="231"/>
    </row>
    <row r="37" spans="1:27" s="25" customFormat="1" ht="17.25" x14ac:dyDescent="0.2">
      <c r="A37" s="117" t="s">
        <v>36</v>
      </c>
      <c r="B37" s="117"/>
      <c r="C37" s="117"/>
      <c r="D37" s="118"/>
      <c r="E37" s="118"/>
      <c r="F37" s="118"/>
      <c r="G37" s="118"/>
      <c r="H37" s="118"/>
      <c r="I37" s="118"/>
      <c r="J37" s="118"/>
      <c r="K37" s="118"/>
      <c r="L37" s="118"/>
      <c r="M37" s="118"/>
      <c r="N37" s="118"/>
      <c r="O37" s="118"/>
      <c r="P37" s="118"/>
      <c r="Q37" s="290"/>
      <c r="R37" s="290"/>
      <c r="S37" s="290"/>
      <c r="T37" s="291"/>
      <c r="U37" s="291"/>
      <c r="V37" s="291"/>
      <c r="W37" s="291"/>
      <c r="X37" s="291"/>
      <c r="Y37" s="291"/>
      <c r="Z37" s="291"/>
      <c r="AA37" s="24"/>
    </row>
    <row r="38" spans="1:27" x14ac:dyDescent="0.25">
      <c r="A38" s="292" t="s">
        <v>37</v>
      </c>
      <c r="B38" s="292"/>
      <c r="C38" s="292"/>
      <c r="D38" s="292"/>
      <c r="E38" s="293"/>
      <c r="F38" s="289"/>
      <c r="G38" s="294"/>
      <c r="H38" s="294"/>
      <c r="I38" s="294"/>
      <c r="J38" s="294"/>
      <c r="K38" s="294"/>
      <c r="L38" s="294"/>
      <c r="M38" s="294"/>
      <c r="N38" s="294"/>
      <c r="O38" s="294"/>
      <c r="P38" s="294" t="s">
        <v>38</v>
      </c>
      <c r="Q38" s="231"/>
      <c r="R38" s="231"/>
      <c r="S38" s="231"/>
      <c r="T38" s="231"/>
      <c r="U38" s="231"/>
      <c r="V38" s="231"/>
      <c r="W38" s="231"/>
      <c r="X38" s="231"/>
      <c r="Y38" s="231"/>
      <c r="Z38" s="231"/>
    </row>
  </sheetData>
  <sheetProtection formatCells="0"/>
  <mergeCells count="2">
    <mergeCell ref="A3:D3"/>
    <mergeCell ref="A36:P36"/>
  </mergeCells>
  <conditionalFormatting sqref="D5:D7">
    <cfRule type="containsText" dxfId="444"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4"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306</v>
      </c>
      <c r="E3" s="32" t="s">
        <v>5</v>
      </c>
      <c r="F3" s="32" t="s">
        <v>4</v>
      </c>
      <c r="G3" s="119" t="s">
        <v>24</v>
      </c>
      <c r="H3" s="120" t="s">
        <v>25</v>
      </c>
      <c r="I3" s="120" t="s">
        <v>26</v>
      </c>
      <c r="J3" s="120" t="s">
        <v>27</v>
      </c>
      <c r="K3" s="120" t="s">
        <v>28</v>
      </c>
      <c r="L3" s="120" t="s">
        <v>29</v>
      </c>
      <c r="M3" s="120" t="s">
        <v>30</v>
      </c>
      <c r="N3" s="120" t="s">
        <v>31</v>
      </c>
      <c r="O3" s="187" t="s">
        <v>307</v>
      </c>
      <c r="P3" s="150" t="s">
        <v>103</v>
      </c>
      <c r="Q3" s="150" t="s">
        <v>155</v>
      </c>
      <c r="R3" s="150" t="s">
        <v>161</v>
      </c>
      <c r="S3" s="150" t="s">
        <v>168</v>
      </c>
      <c r="T3" s="150" t="s">
        <v>46</v>
      </c>
      <c r="U3" s="150" t="s">
        <v>252</v>
      </c>
      <c r="V3" s="150" t="s">
        <v>254</v>
      </c>
      <c r="W3" s="150" t="s">
        <v>257</v>
      </c>
      <c r="X3" s="150" t="s">
        <v>259</v>
      </c>
      <c r="Y3" s="150" t="s">
        <v>261</v>
      </c>
      <c r="Z3" s="151" t="s">
        <v>250</v>
      </c>
      <c r="AA3" s="149" t="s">
        <v>90</v>
      </c>
      <c r="AB3" s="150" t="s">
        <v>112</v>
      </c>
      <c r="AC3" s="151" t="s">
        <v>96</v>
      </c>
      <c r="AD3" s="150" t="s">
        <v>85</v>
      </c>
      <c r="AE3" s="149" t="s">
        <v>78</v>
      </c>
      <c r="AF3" s="150" t="s">
        <v>119</v>
      </c>
      <c r="AG3" s="150" t="s">
        <v>285</v>
      </c>
      <c r="AH3" s="150" t="s">
        <v>287</v>
      </c>
      <c r="AI3" s="150" t="s">
        <v>99</v>
      </c>
      <c r="AJ3" s="150" t="s">
        <v>177</v>
      </c>
      <c r="AK3" s="150" t="s">
        <v>179</v>
      </c>
      <c r="AL3" s="151" t="s">
        <v>181</v>
      </c>
    </row>
    <row r="4" spans="1:38" x14ac:dyDescent="0.25">
      <c r="A4" s="114" t="s">
        <v>174</v>
      </c>
      <c r="B4" s="4"/>
      <c r="C4" s="3"/>
      <c r="D4" s="3" t="s">
        <v>308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135</v>
      </c>
      <c r="B5" s="4"/>
      <c r="C5" s="3"/>
      <c r="D5" s="3" t="s">
        <v>309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132</v>
      </c>
      <c r="B6" s="4"/>
      <c r="C6" s="3"/>
      <c r="D6" s="3" t="s">
        <v>310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82</v>
      </c>
      <c r="B7" s="4">
        <v>1</v>
      </c>
      <c r="C7" s="3"/>
      <c r="D7" s="3" t="s">
        <v>311</v>
      </c>
      <c r="E7" s="4">
        <v>25</v>
      </c>
      <c r="F7" s="81" t="s">
        <v>59</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93</v>
      </c>
      <c r="B8" s="4">
        <v>2</v>
      </c>
      <c r="C8" s="3"/>
      <c r="D8" s="3" t="s">
        <v>312</v>
      </c>
      <c r="E8" s="4">
        <v>25</v>
      </c>
      <c r="F8" s="81" t="s">
        <v>313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68</v>
      </c>
      <c r="B9" s="4">
        <v>1</v>
      </c>
      <c r="C9" s="3"/>
      <c r="D9" s="3" t="s">
        <v>314</v>
      </c>
      <c r="E9" s="4">
        <v>25</v>
      </c>
      <c r="F9" s="81" t="s">
        <v>315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67</v>
      </c>
      <c r="B10" s="4">
        <v>1</v>
      </c>
      <c r="C10" s="3"/>
      <c r="D10" s="3" t="s">
        <v>316</v>
      </c>
      <c r="E10" s="4">
        <v>25</v>
      </c>
      <c r="F10" s="81" t="s">
        <v>315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101</v>
      </c>
      <c r="B11" s="4">
        <v>1</v>
      </c>
      <c r="C11" s="3"/>
      <c r="D11" s="3" t="s">
        <v>317</v>
      </c>
      <c r="E11" s="4">
        <v>25</v>
      </c>
      <c r="F11" s="81" t="s">
        <v>315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113</v>
      </c>
      <c r="B12" s="4">
        <v>1</v>
      </c>
      <c r="C12" s="3"/>
      <c r="D12" s="3" t="s">
        <v>318</v>
      </c>
      <c r="E12" s="4">
        <v>25</v>
      </c>
      <c r="F12" s="81" t="s">
        <v>315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69</v>
      </c>
      <c r="B13" s="4">
        <v>1</v>
      </c>
      <c r="C13" s="3"/>
      <c r="D13" s="3" t="s">
        <v>319</v>
      </c>
      <c r="E13" s="4">
        <v>25</v>
      </c>
      <c r="F13" s="81" t="s">
        <v>315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61</v>
      </c>
      <c r="B14" s="4">
        <v>1</v>
      </c>
      <c r="C14" s="3"/>
      <c r="D14" s="3" t="s">
        <v>320</v>
      </c>
      <c r="E14" s="4">
        <v>25</v>
      </c>
      <c r="F14" s="81" t="s">
        <v>315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109</v>
      </c>
      <c r="B15" s="4">
        <v>1</v>
      </c>
      <c r="C15" s="3"/>
      <c r="D15" s="3" t="s">
        <v>321</v>
      </c>
      <c r="E15" s="4">
        <v>25</v>
      </c>
      <c r="F15" s="81" t="s">
        <v>315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114</v>
      </c>
      <c r="B16" s="4">
        <v>1</v>
      </c>
      <c r="C16" s="3"/>
      <c r="D16" s="3" t="s">
        <v>322</v>
      </c>
      <c r="E16" s="4">
        <v>25</v>
      </c>
      <c r="F16" s="81" t="s">
        <v>315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83</v>
      </c>
      <c r="B17" s="4">
        <v>2</v>
      </c>
      <c r="C17" s="3"/>
      <c r="D17" s="3" t="s">
        <v>323</v>
      </c>
      <c r="E17" s="4">
        <v>25</v>
      </c>
      <c r="F17" s="193" t="s">
        <v>315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1" t="s">
        <v>324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94</v>
      </c>
      <c r="B18" s="4">
        <v>1</v>
      </c>
      <c r="C18" s="3"/>
      <c r="D18" s="3" t="s">
        <v>325</v>
      </c>
      <c r="E18" s="4">
        <v>25</v>
      </c>
      <c r="F18" s="81" t="s">
        <v>83</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71</v>
      </c>
      <c r="B19" s="4">
        <v>1</v>
      </c>
      <c r="C19" s="3"/>
      <c r="D19" s="3" t="s">
        <v>326</v>
      </c>
      <c r="E19" s="4">
        <v>25</v>
      </c>
      <c r="F19" s="81" t="s">
        <v>315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102</v>
      </c>
      <c r="B20" s="4">
        <v>1</v>
      </c>
      <c r="C20" s="3"/>
      <c r="D20" s="3" t="s">
        <v>327</v>
      </c>
      <c r="E20" s="4">
        <v>25</v>
      </c>
      <c r="F20" s="81" t="s">
        <v>315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201"/>
      <c r="P20" s="202" t="str">
        <f>IFERROR(VLOOKUP(TableHandbook[[#This Row],[UDC]],TableMCTEACH[],7,FALSE),"")</f>
        <v/>
      </c>
      <c r="Q20" s="202"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70</v>
      </c>
      <c r="B21" s="4">
        <v>1</v>
      </c>
      <c r="C21" s="3"/>
      <c r="D21" s="3" t="s">
        <v>328</v>
      </c>
      <c r="E21" s="4">
        <v>25</v>
      </c>
      <c r="F21" s="81" t="s">
        <v>315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194" t="s">
        <v>111</v>
      </c>
      <c r="B22" s="195">
        <v>2</v>
      </c>
      <c r="C22" s="194"/>
      <c r="D22" s="194" t="s">
        <v>331</v>
      </c>
      <c r="E22" s="195">
        <v>25</v>
      </c>
      <c r="F22" s="193" t="s">
        <v>315</v>
      </c>
      <c r="G22" s="196" t="str">
        <f>IFERROR(IF(VLOOKUP(TableHandbook[[#This Row],[UDC]],TableAvailabilities[],2,FALSE)&gt;0,"Y",""),"")</f>
        <v/>
      </c>
      <c r="H22" s="197" t="str">
        <f>IFERROR(IF(VLOOKUP(TableHandbook[[#This Row],[UDC]],TableAvailabilities[],3,FALSE)&gt;0,"Y",""),"")</f>
        <v/>
      </c>
      <c r="I22" s="197" t="str">
        <f>IFERROR(IF(VLOOKUP(TableHandbook[[#This Row],[UDC]],TableAvailabilities[],4,FALSE)&gt;0,"Y",""),"")</f>
        <v>Y</v>
      </c>
      <c r="J22" s="197" t="str">
        <f>IFERROR(IF(VLOOKUP(TableHandbook[[#This Row],[UDC]],TableAvailabilities[],5,FALSE)&gt;0,"Y",""),"")</f>
        <v>Y</v>
      </c>
      <c r="K22" s="197" t="str">
        <f>IFERROR(IF(VLOOKUP(TableHandbook[[#This Row],[UDC]],TableAvailabilities[],6,FALSE)&gt;0,"Y",""),"")</f>
        <v/>
      </c>
      <c r="L22" s="197" t="str">
        <f>IFERROR(IF(VLOOKUP(TableHandbook[[#This Row],[UDC]],TableAvailabilities[],7,FALSE)&gt;0,"Y",""),"")</f>
        <v/>
      </c>
      <c r="M22" s="198" t="str">
        <f>IFERROR(IF(VLOOKUP(TableHandbook[[#This Row],[UDC]],TableAvailabilities[],8,FALSE)&gt;0,"Y",""),"")</f>
        <v/>
      </c>
      <c r="N22" s="197" t="str">
        <f>IFERROR(IF(VLOOKUP(TableHandbook[[#This Row],[UDC]],TableAvailabilities[],9,FALSE)&gt;0,"Y",""),"")</f>
        <v/>
      </c>
      <c r="O22" s="191" t="s">
        <v>332</v>
      </c>
      <c r="P22" s="224" t="str">
        <f>IFERROR(VLOOKUP(TableHandbook[[#This Row],[UDC]],TableMCTEACH[],7,FALSE),"")</f>
        <v/>
      </c>
      <c r="Q22" s="226"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329</v>
      </c>
      <c r="B23" s="4">
        <v>1</v>
      </c>
      <c r="C23" s="3"/>
      <c r="D23" s="3" t="s">
        <v>330</v>
      </c>
      <c r="E23" s="4">
        <v>25</v>
      </c>
      <c r="F23" s="81" t="s">
        <v>315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110</v>
      </c>
      <c r="B24" s="4">
        <v>1</v>
      </c>
      <c r="C24" s="3"/>
      <c r="D24" s="3" t="s">
        <v>333</v>
      </c>
      <c r="E24" s="4">
        <v>25</v>
      </c>
      <c r="F24" s="81" t="s">
        <v>315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116</v>
      </c>
      <c r="B25" s="4">
        <v>1</v>
      </c>
      <c r="C25" s="3"/>
      <c r="D25" s="3" t="s">
        <v>334</v>
      </c>
      <c r="E25" s="4">
        <v>25</v>
      </c>
      <c r="F25" s="81" t="s">
        <v>83</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335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242</v>
      </c>
      <c r="B26" s="4">
        <v>1</v>
      </c>
      <c r="C26" s="3"/>
      <c r="D26" s="3" t="s">
        <v>336</v>
      </c>
      <c r="E26" s="4" t="s">
        <v>337</v>
      </c>
      <c r="F26" s="81" t="s">
        <v>315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173</v>
      </c>
      <c r="B27" s="4">
        <v>1</v>
      </c>
      <c r="C27" s="3"/>
      <c r="D27" s="3" t="s">
        <v>338</v>
      </c>
      <c r="E27" s="4" t="s">
        <v>337</v>
      </c>
      <c r="F27" s="81" t="s">
        <v>315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271</v>
      </c>
      <c r="B28" s="4">
        <v>2</v>
      </c>
      <c r="C28" s="3"/>
      <c r="D28" s="3" t="s">
        <v>339</v>
      </c>
      <c r="E28" s="4">
        <v>25</v>
      </c>
      <c r="F28" s="81" t="s">
        <v>315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272</v>
      </c>
      <c r="B29" s="4">
        <v>1</v>
      </c>
      <c r="C29" s="3"/>
      <c r="D29" s="3" t="s">
        <v>340</v>
      </c>
      <c r="E29" s="4">
        <v>25</v>
      </c>
      <c r="F29" s="81" t="s">
        <v>315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274</v>
      </c>
      <c r="B30" s="4">
        <v>1</v>
      </c>
      <c r="C30" s="3"/>
      <c r="D30" s="3" t="s">
        <v>341</v>
      </c>
      <c r="E30" s="4">
        <v>25</v>
      </c>
      <c r="F30" s="81" t="s">
        <v>315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275</v>
      </c>
      <c r="B31" s="4">
        <v>1</v>
      </c>
      <c r="C31" s="3"/>
      <c r="D31" s="3" t="s">
        <v>342</v>
      </c>
      <c r="E31" s="4">
        <v>25</v>
      </c>
      <c r="F31" s="81" t="s">
        <v>315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276</v>
      </c>
      <c r="B32" s="4">
        <v>1</v>
      </c>
      <c r="C32" s="3"/>
      <c r="D32" s="3" t="s">
        <v>343</v>
      </c>
      <c r="E32" s="4">
        <v>25</v>
      </c>
      <c r="F32" s="81" t="s">
        <v>315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251</v>
      </c>
      <c r="B33" s="4">
        <v>1</v>
      </c>
      <c r="C33" s="3"/>
      <c r="D33" s="3" t="s">
        <v>344</v>
      </c>
      <c r="E33" s="4" t="s">
        <v>337</v>
      </c>
      <c r="F33" s="193" t="s">
        <v>315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1" t="s">
        <v>345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255</v>
      </c>
      <c r="B34" s="4">
        <v>1</v>
      </c>
      <c r="C34" s="3"/>
      <c r="D34" s="3" t="s">
        <v>346</v>
      </c>
      <c r="E34" s="4" t="s">
        <v>337</v>
      </c>
      <c r="F34" s="81" t="s">
        <v>251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278</v>
      </c>
      <c r="B35" s="4">
        <v>2</v>
      </c>
      <c r="C35" s="3"/>
      <c r="D35" s="3" t="s">
        <v>347</v>
      </c>
      <c r="E35" s="4">
        <v>25</v>
      </c>
      <c r="F35" s="81" t="s">
        <v>315</v>
      </c>
      <c r="G35" s="33" t="str">
        <f>IFERROR(IF(VLOOKUP(TableHandbook[[#This Row],[UDC]],TableAvailabilities[],2,FALSE)&gt;0,"Y",""),"")</f>
        <v/>
      </c>
      <c r="H35" s="82" t="str">
        <f>IFERROR(IF(VLOOKUP(TableHandbook[[#This Row],[UDC]],TableAvailabilities[],3,FALSE)&gt;0,"Y",""),"")</f>
        <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281</v>
      </c>
      <c r="B36" s="4">
        <v>2</v>
      </c>
      <c r="C36" s="3"/>
      <c r="D36" s="3" t="s">
        <v>348</v>
      </c>
      <c r="E36" s="4">
        <v>25</v>
      </c>
      <c r="F36" s="81" t="s">
        <v>315</v>
      </c>
      <c r="G36" s="33" t="str">
        <f>IFERROR(IF(VLOOKUP(TableHandbook[[#This Row],[UDC]],TableAvailabilities[],2,FALSE)&gt;0,"Y",""),"")</f>
        <v/>
      </c>
      <c r="H36" s="82" t="str">
        <f>IFERROR(IF(VLOOKUP(TableHandbook[[#This Row],[UDC]],TableAvailabilities[],3,FALSE)&gt;0,"Y",""),"")</f>
        <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282</v>
      </c>
      <c r="B37" s="4">
        <v>2</v>
      </c>
      <c r="C37" s="3"/>
      <c r="D37" s="3" t="s">
        <v>349</v>
      </c>
      <c r="E37" s="4">
        <v>25</v>
      </c>
      <c r="F37" s="81" t="s">
        <v>315</v>
      </c>
      <c r="G37" s="33"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283</v>
      </c>
      <c r="B38" s="4">
        <v>2</v>
      </c>
      <c r="C38" s="3"/>
      <c r="D38" s="3" t="s">
        <v>350</v>
      </c>
      <c r="E38" s="4">
        <v>25</v>
      </c>
      <c r="F38" s="81" t="s">
        <v>315</v>
      </c>
      <c r="G38" s="33" t="str">
        <f>IFERROR(IF(VLOOKUP(TableHandbook[[#This Row],[UDC]],TableAvailabilities[],2,FALSE)&gt;0,"Y",""),"")</f>
        <v/>
      </c>
      <c r="H38" s="82" t="str">
        <f>IFERROR(IF(VLOOKUP(TableHandbook[[#This Row],[UDC]],TableAvailabilities[],3,FALSE)&gt;0,"Y",""),"")</f>
        <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241</v>
      </c>
      <c r="B39" s="4">
        <v>1</v>
      </c>
      <c r="C39" s="3"/>
      <c r="D39" s="3" t="s">
        <v>351</v>
      </c>
      <c r="E39" s="4" t="s">
        <v>337</v>
      </c>
      <c r="F39" s="81" t="s">
        <v>315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279</v>
      </c>
      <c r="B40" s="4">
        <v>1</v>
      </c>
      <c r="C40" s="3"/>
      <c r="D40" s="3" t="s">
        <v>352</v>
      </c>
      <c r="E40" s="4">
        <v>25</v>
      </c>
      <c r="F40" s="81" t="s">
        <v>315</v>
      </c>
      <c r="G40" s="33"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273</v>
      </c>
      <c r="B41" s="4">
        <v>1</v>
      </c>
      <c r="C41" s="3"/>
      <c r="D41" s="3" t="s">
        <v>353</v>
      </c>
      <c r="E41" s="4">
        <v>25</v>
      </c>
      <c r="F41" s="81" t="s">
        <v>315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280</v>
      </c>
      <c r="B42" s="4">
        <v>1</v>
      </c>
      <c r="C42" s="3"/>
      <c r="D42" s="3" t="s">
        <v>354</v>
      </c>
      <c r="E42" s="4">
        <v>25</v>
      </c>
      <c r="F42" s="81" t="s">
        <v>315</v>
      </c>
      <c r="G42" s="33" t="str">
        <f>IFERROR(IF(VLOOKUP(TableHandbook[[#This Row],[UDC]],TableAvailabilities[],2,FALSE)&gt;0,"Y",""),"")</f>
        <v/>
      </c>
      <c r="H42" s="82" t="str">
        <f>IFERROR(IF(VLOOKUP(TableHandbook[[#This Row],[UDC]],TableAvailabilities[],3,FALSE)&gt;0,"Y",""),"")</f>
        <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290</v>
      </c>
      <c r="B43" s="4">
        <v>1</v>
      </c>
      <c r="C43" s="3"/>
      <c r="D43" s="3" t="s">
        <v>355</v>
      </c>
      <c r="E43" s="4">
        <v>25</v>
      </c>
      <c r="F43" s="81" t="s">
        <v>315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262</v>
      </c>
      <c r="B44" s="4">
        <v>1</v>
      </c>
      <c r="C44" s="3"/>
      <c r="D44" s="3" t="s">
        <v>356</v>
      </c>
      <c r="E44" s="4" t="s">
        <v>337</v>
      </c>
      <c r="F44" s="81" t="s">
        <v>315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59</v>
      </c>
      <c r="B45" s="4">
        <v>2</v>
      </c>
      <c r="C45" s="3"/>
      <c r="D45" s="3" t="s">
        <v>357</v>
      </c>
      <c r="E45" s="4">
        <v>25</v>
      </c>
      <c r="F45" s="81" t="s">
        <v>315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87</v>
      </c>
      <c r="B46" s="4">
        <v>1</v>
      </c>
      <c r="C46" s="3"/>
      <c r="D46" s="3" t="s">
        <v>358</v>
      </c>
      <c r="E46" s="4">
        <v>25</v>
      </c>
      <c r="F46" s="81" t="s">
        <v>315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88</v>
      </c>
      <c r="B47" s="4">
        <v>1</v>
      </c>
      <c r="C47" s="3"/>
      <c r="D47" s="3" t="s">
        <v>359</v>
      </c>
      <c r="E47" s="4">
        <v>25</v>
      </c>
      <c r="F47" s="81" t="s">
        <v>315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64</v>
      </c>
      <c r="B48" s="4">
        <v>1</v>
      </c>
      <c r="C48" s="3"/>
      <c r="D48" s="3" t="s">
        <v>360</v>
      </c>
      <c r="E48" s="4">
        <v>25</v>
      </c>
      <c r="F48" s="81" t="s">
        <v>315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157</v>
      </c>
      <c r="B49" s="4">
        <v>1</v>
      </c>
      <c r="C49" s="3"/>
      <c r="D49" s="3" t="s">
        <v>361</v>
      </c>
      <c r="E49" s="4">
        <v>25</v>
      </c>
      <c r="F49" s="81" t="s">
        <v>315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156</v>
      </c>
      <c r="B50" s="4">
        <v>1</v>
      </c>
      <c r="C50" s="3"/>
      <c r="D50" s="3" t="s">
        <v>362</v>
      </c>
      <c r="E50" s="4">
        <v>25</v>
      </c>
      <c r="F50" s="81" t="s">
        <v>315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162</v>
      </c>
      <c r="B51" s="4">
        <v>1</v>
      </c>
      <c r="C51" s="3"/>
      <c r="D51" s="3" t="s">
        <v>363</v>
      </c>
      <c r="E51" s="4">
        <v>25</v>
      </c>
      <c r="F51" s="81" t="s">
        <v>315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163</v>
      </c>
      <c r="B52" s="4">
        <v>1</v>
      </c>
      <c r="C52" s="3"/>
      <c r="D52" s="3" t="s">
        <v>364</v>
      </c>
      <c r="E52" s="4">
        <v>25</v>
      </c>
      <c r="F52" s="81" t="s">
        <v>315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65</v>
      </c>
      <c r="B53" s="4">
        <v>1</v>
      </c>
      <c r="C53" s="3"/>
      <c r="D53" s="3" t="s">
        <v>365</v>
      </c>
      <c r="E53" s="4">
        <v>25</v>
      </c>
      <c r="F53" s="81" t="s">
        <v>315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169</v>
      </c>
      <c r="B54" s="4">
        <v>1</v>
      </c>
      <c r="C54" s="3"/>
      <c r="D54" s="3" t="s">
        <v>366</v>
      </c>
      <c r="E54" s="4">
        <v>25</v>
      </c>
      <c r="F54" s="81" t="s">
        <v>315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203</v>
      </c>
      <c r="B55" s="4">
        <v>3</v>
      </c>
      <c r="C55" s="3"/>
      <c r="D55" s="3" t="s">
        <v>367</v>
      </c>
      <c r="E55" s="4">
        <v>25</v>
      </c>
      <c r="F55" s="81" t="s">
        <v>315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172</v>
      </c>
      <c r="B56" s="4">
        <v>2</v>
      </c>
      <c r="C56" s="3"/>
      <c r="D56" s="3" t="s">
        <v>368</v>
      </c>
      <c r="E56" s="4">
        <v>50</v>
      </c>
      <c r="F56" s="81" t="s">
        <v>369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166</v>
      </c>
      <c r="B57" s="4">
        <v>2</v>
      </c>
      <c r="C57" s="3"/>
      <c r="D57" s="3" t="s">
        <v>370</v>
      </c>
      <c r="E57" s="4">
        <v>25</v>
      </c>
      <c r="F57" s="81" t="s">
        <v>315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165</v>
      </c>
      <c r="B58" s="4">
        <v>1</v>
      </c>
      <c r="C58" s="3"/>
      <c r="D58" s="3" t="s">
        <v>371</v>
      </c>
      <c r="E58" s="4">
        <v>25</v>
      </c>
      <c r="F58" s="81" t="s">
        <v>315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159</v>
      </c>
      <c r="B59" s="4">
        <v>1</v>
      </c>
      <c r="C59" s="3"/>
      <c r="D59" s="3" t="s">
        <v>372</v>
      </c>
      <c r="E59" s="4">
        <v>25</v>
      </c>
      <c r="F59" s="81" t="s">
        <v>315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158</v>
      </c>
      <c r="B60" s="4">
        <v>1</v>
      </c>
      <c r="C60" s="3"/>
      <c r="D60" s="3" t="s">
        <v>373</v>
      </c>
      <c r="E60" s="4">
        <v>25</v>
      </c>
      <c r="F60" s="81" t="s">
        <v>315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204</v>
      </c>
      <c r="B61" s="4">
        <v>1</v>
      </c>
      <c r="C61" s="3"/>
      <c r="D61" s="3" t="s">
        <v>374</v>
      </c>
      <c r="E61" s="4">
        <v>25</v>
      </c>
      <c r="F61" s="81" t="s">
        <v>315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213</v>
      </c>
      <c r="B62" s="4">
        <v>1</v>
      </c>
      <c r="C62" s="3"/>
      <c r="D62" s="3" t="s">
        <v>375</v>
      </c>
      <c r="E62" s="4">
        <v>25</v>
      </c>
      <c r="F62" s="81" t="s">
        <v>315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214</v>
      </c>
      <c r="B63" s="4">
        <v>1</v>
      </c>
      <c r="C63" s="3"/>
      <c r="D63" s="3" t="s">
        <v>376</v>
      </c>
      <c r="E63" s="4">
        <v>25</v>
      </c>
      <c r="F63" s="81" t="s">
        <v>315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209</v>
      </c>
      <c r="B64" s="4">
        <v>1</v>
      </c>
      <c r="C64" s="3"/>
      <c r="D64" s="3" t="s">
        <v>377</v>
      </c>
      <c r="E64" s="4">
        <v>25</v>
      </c>
      <c r="F64" s="81" t="s">
        <v>315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210</v>
      </c>
      <c r="B65" s="4">
        <v>1</v>
      </c>
      <c r="C65" s="3"/>
      <c r="D65" s="3" t="s">
        <v>378</v>
      </c>
      <c r="E65" s="4">
        <v>25</v>
      </c>
      <c r="F65" s="81" t="s">
        <v>315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208</v>
      </c>
      <c r="B66" s="4">
        <v>1</v>
      </c>
      <c r="C66" s="3"/>
      <c r="D66" s="3" t="s">
        <v>379</v>
      </c>
      <c r="E66" s="4">
        <v>25</v>
      </c>
      <c r="F66" s="81" t="s">
        <v>315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211</v>
      </c>
      <c r="B67" s="4">
        <v>1</v>
      </c>
      <c r="C67" s="3"/>
      <c r="D67" s="3" t="s">
        <v>380</v>
      </c>
      <c r="E67" s="4">
        <v>25</v>
      </c>
      <c r="F67" s="81" t="s">
        <v>315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212</v>
      </c>
      <c r="B68" s="4">
        <v>1</v>
      </c>
      <c r="C68" s="3"/>
      <c r="D68" s="3" t="s">
        <v>381</v>
      </c>
      <c r="E68" s="4">
        <v>25</v>
      </c>
      <c r="F68" s="81" t="s">
        <v>315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115</v>
      </c>
      <c r="B69" s="4">
        <v>1</v>
      </c>
      <c r="C69" s="3"/>
      <c r="D69" s="3" t="s">
        <v>382</v>
      </c>
      <c r="E69" s="4">
        <v>25</v>
      </c>
      <c r="F69" s="81" t="s">
        <v>383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229"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131</v>
      </c>
      <c r="B70" s="4">
        <v>1</v>
      </c>
      <c r="C70" s="3"/>
      <c r="D70" s="3" t="s">
        <v>384</v>
      </c>
      <c r="E70" s="4">
        <v>25</v>
      </c>
      <c r="F70" s="81" t="s">
        <v>115</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117</v>
      </c>
      <c r="B71" s="4">
        <v>1</v>
      </c>
      <c r="C71" s="3"/>
      <c r="D71" s="3" t="s">
        <v>385</v>
      </c>
      <c r="E71" s="4">
        <v>25</v>
      </c>
      <c r="F71" s="81" t="s">
        <v>315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268</v>
      </c>
      <c r="B72" s="4"/>
      <c r="C72" s="3"/>
      <c r="D72" s="3" t="s">
        <v>386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246</v>
      </c>
      <c r="B73" s="4"/>
      <c r="C73" s="3"/>
      <c r="D73" s="3" t="s">
        <v>387</v>
      </c>
      <c r="E73" s="4">
        <v>25</v>
      </c>
      <c r="F73" s="81" t="s">
        <v>388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389</v>
      </c>
      <c r="B74" s="4">
        <v>0</v>
      </c>
      <c r="C74" s="3"/>
      <c r="D74" s="3" t="s">
        <v>390</v>
      </c>
      <c r="E74" s="4">
        <v>50</v>
      </c>
      <c r="F74" s="81" t="s">
        <v>174</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263</v>
      </c>
      <c r="B75" s="4"/>
      <c r="C75" s="3"/>
      <c r="D75" s="3" t="s">
        <v>391</v>
      </c>
      <c r="E75" s="4">
        <v>25</v>
      </c>
      <c r="F75" s="81" t="s">
        <v>388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302</v>
      </c>
      <c r="B76" s="4"/>
      <c r="C76" s="3"/>
      <c r="D76" s="3" t="s">
        <v>392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300</v>
      </c>
      <c r="B77" s="4"/>
      <c r="C77" s="3"/>
      <c r="D77" s="3" t="s">
        <v>393</v>
      </c>
      <c r="E77" s="4">
        <v>25</v>
      </c>
      <c r="F77" s="81" t="s">
        <v>388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301</v>
      </c>
      <c r="B78" s="4"/>
      <c r="C78" s="3"/>
      <c r="D78" s="3" t="s">
        <v>394</v>
      </c>
      <c r="E78" s="4">
        <v>25</v>
      </c>
      <c r="F78" s="81" t="s">
        <v>388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164</v>
      </c>
      <c r="B79" s="4">
        <v>2</v>
      </c>
      <c r="C79" s="3"/>
      <c r="D79" s="3" t="s">
        <v>395</v>
      </c>
      <c r="E79" s="4">
        <v>25</v>
      </c>
      <c r="F79" s="81" t="s">
        <v>315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171</v>
      </c>
      <c r="B80" s="4">
        <v>2</v>
      </c>
      <c r="C80" s="3"/>
      <c r="D80" s="3" t="s">
        <v>396</v>
      </c>
      <c r="E80" s="4">
        <v>25</v>
      </c>
      <c r="F80" s="81" t="s">
        <v>315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221" t="s">
        <v>460</v>
      </c>
      <c r="B81" s="216">
        <v>0</v>
      </c>
      <c r="C81" s="215"/>
      <c r="D81" s="215" t="s">
        <v>459</v>
      </c>
      <c r="E81" s="216"/>
      <c r="F81" s="217"/>
      <c r="G81" s="212" t="str">
        <f>IFERROR(IF(VLOOKUP(TableHandbook[[#This Row],[UDC]],TableAvailabilities[],2,FALSE)&gt;0,"Y",""),"")</f>
        <v/>
      </c>
      <c r="H81" s="218" t="str">
        <f>IFERROR(IF(VLOOKUP(TableHandbook[[#This Row],[UDC]],TableAvailabilities[],3,FALSE)&gt;0,"Y",""),"")</f>
        <v/>
      </c>
      <c r="I81" s="218" t="str">
        <f>IFERROR(IF(VLOOKUP(TableHandbook[[#This Row],[UDC]],TableAvailabilities[],4,FALSE)&gt;0,"Y",""),"")</f>
        <v/>
      </c>
      <c r="J81" s="218" t="str">
        <f>IFERROR(IF(VLOOKUP(TableHandbook[[#This Row],[UDC]],TableAvailabilities[],5,FALSE)&gt;0,"Y",""),"")</f>
        <v/>
      </c>
      <c r="K81" s="218" t="str">
        <f>IFERROR(IF(VLOOKUP(TableHandbook[[#This Row],[UDC]],TableAvailabilities[],6,FALSE)&gt;0,"Y",""),"")</f>
        <v/>
      </c>
      <c r="L81" s="218" t="str">
        <f>IFERROR(IF(VLOOKUP(TableHandbook[[#This Row],[UDC]],TableAvailabilities[],7,FALSE)&gt;0,"Y",""),"")</f>
        <v/>
      </c>
      <c r="M81" s="219" t="str">
        <f>IFERROR(IF(VLOOKUP(TableHandbook[[#This Row],[UDC]],TableAvailabilities[],8,FALSE)&gt;0,"Y",""),"")</f>
        <v/>
      </c>
      <c r="N81" s="218" t="str">
        <f>IFERROR(IF(VLOOKUP(TableHandbook[[#This Row],[UDC]],TableAvailabilities[],9,FALSE)&gt;0,"Y",""),"")</f>
        <v/>
      </c>
      <c r="O81" s="222"/>
      <c r="P81" s="223" t="str">
        <f>IFERROR(VLOOKUP(TableHandbook[[#This Row],[UDC]],TableMCTEACH[],7,FALSE),"")</f>
        <v/>
      </c>
      <c r="Q81" s="225" t="str">
        <f>IFERROR(VLOOKUP(TableHandbook[[#This Row],[UDC]],TableMJRPTCHEC[],7,FALSE),"")</f>
        <v/>
      </c>
      <c r="R81" s="225" t="str">
        <f>IFERROR(VLOOKUP(TableHandbook[[#This Row],[UDC]],TableMJRPTCHPR[],7,FALSE),"")</f>
        <v/>
      </c>
      <c r="S81" s="225" t="str">
        <f>IFERROR(VLOOKUP(TableHandbook[[#This Row],[UDC]],TableMJRPTCHSC[],7,FALSE),"")</f>
        <v/>
      </c>
      <c r="T81" s="225" t="str">
        <f>IFERROR(VLOOKUP(TableHandbook[[#This Row],[UDC]],TableSTRPSCART[],7,FALSE),"")</f>
        <v/>
      </c>
      <c r="U81" s="225" t="str">
        <f>IFERROR(VLOOKUP(TableHandbook[[#This Row],[UDC]],TableSTRPSCENG[],7,FALSE),"")</f>
        <v/>
      </c>
      <c r="V81" s="225" t="str">
        <f>IFERROR(VLOOKUP(TableHandbook[[#This Row],[UDC]],TableSTRPSCHLP[],7,FALSE),"")</f>
        <v/>
      </c>
      <c r="W81" s="225" t="str">
        <f>IFERROR(VLOOKUP(TableHandbook[[#This Row],[UDC]],TableSTRPSCHUS[],7,FALSE),"")</f>
        <v/>
      </c>
      <c r="X81" s="225" t="str">
        <f>IFERROR(VLOOKUP(TableHandbook[[#This Row],[UDC]],TableSTRPSCMAT[],7,FALSE),"")</f>
        <v/>
      </c>
      <c r="Y81" s="225" t="str">
        <f>IFERROR(VLOOKUP(TableHandbook[[#This Row],[UDC]],TableSTRPSCSCI[],7,FALSE),"")</f>
        <v/>
      </c>
      <c r="Z81" s="227" t="str">
        <f>IFERROR(VLOOKUP(TableHandbook[[#This Row],[UDC]],TableSTRPSCFON[],7,FALSE),"")</f>
        <v/>
      </c>
      <c r="AA81" s="228" t="str">
        <f>IFERROR(VLOOKUP(TableHandbook[[#This Row],[UDC]],TableGCTESOL[],7,FALSE),"")</f>
        <v/>
      </c>
      <c r="AB81" s="225" t="str">
        <f>IFERROR(VLOOKUP(TableHandbook[[#This Row],[UDC]],TableMCTESOL[],7,FALSE),"")</f>
        <v/>
      </c>
      <c r="AC81" s="227" t="str">
        <f>IFERROR(VLOOKUP(TableHandbook[[#This Row],[UDC]],TableMCAPLING[],7,FALSE),"")</f>
        <v/>
      </c>
      <c r="AD81" s="218" t="str">
        <f>IFERROR(VLOOKUP(TableHandbook[[#This Row],[UDC]],TableGCEDHE[],7,FALSE),"")</f>
        <v/>
      </c>
      <c r="AE81" s="228" t="str">
        <f>IFERROR(VLOOKUP(TableHandbook[[#This Row],[UDC]],TableGCEDUC[],7,FALSE),"")</f>
        <v/>
      </c>
      <c r="AF81" s="223" t="str">
        <f>IFERROR(VLOOKUP(TableHandbook[[#This Row],[UDC]],TableGDEDUC[],7,FALSE),"")</f>
        <v>Core</v>
      </c>
      <c r="AG81" s="223" t="str">
        <f>IFERROR(VLOOKUP(TableHandbook[[#This Row],[UDC]],TableMJRPEDUPR[],7,FALSE),"")</f>
        <v/>
      </c>
      <c r="AH81" s="223" t="str">
        <f>IFERROR(VLOOKUP(TableHandbook[[#This Row],[UDC]],TableMJRPEDUSC[],7,FALSE),"")</f>
        <v/>
      </c>
      <c r="AI81" s="225" t="str">
        <f>IFERROR(VLOOKUP(TableHandbook[[#This Row],[UDC]],TableMCEDUC[],7,FALSE),"")</f>
        <v/>
      </c>
      <c r="AJ81" s="225" t="str">
        <f>IFERROR(VLOOKUP(TableHandbook[[#This Row],[UDC]],TableSPPECULIN[],7,FALSE),"")</f>
        <v/>
      </c>
      <c r="AK81" s="225" t="str">
        <f>IFERROR(VLOOKUP(TableHandbook[[#This Row],[UDC]],TableSPPELNTCH[],7,FALSE),"")</f>
        <v/>
      </c>
      <c r="AL81" s="227" t="str">
        <f>IFERROR(VLOOKUP(TableHandbook[[#This Row],[UDC]],TableSPPESTEME[],7,FALSE),"")</f>
        <v/>
      </c>
    </row>
    <row r="82" spans="1:38" x14ac:dyDescent="0.25">
      <c r="A82" s="221" t="s">
        <v>285</v>
      </c>
      <c r="B82" s="216">
        <v>1</v>
      </c>
      <c r="C82" s="215"/>
      <c r="D82" s="215" t="s">
        <v>284</v>
      </c>
      <c r="E82" s="216">
        <v>200</v>
      </c>
      <c r="F82" s="217"/>
      <c r="G82" s="212" t="str">
        <f>IFERROR(IF(VLOOKUP(TableHandbook[[#This Row],[UDC]],TableAvailabilities[],2,FALSE)&gt;0,"Y",""),"")</f>
        <v/>
      </c>
      <c r="H82" s="218" t="str">
        <f>IFERROR(IF(VLOOKUP(TableHandbook[[#This Row],[UDC]],TableAvailabilities[],3,FALSE)&gt;0,"Y",""),"")</f>
        <v/>
      </c>
      <c r="I82" s="218" t="str">
        <f>IFERROR(IF(VLOOKUP(TableHandbook[[#This Row],[UDC]],TableAvailabilities[],4,FALSE)&gt;0,"Y",""),"")</f>
        <v/>
      </c>
      <c r="J82" s="218" t="str">
        <f>IFERROR(IF(VLOOKUP(TableHandbook[[#This Row],[UDC]],TableAvailabilities[],5,FALSE)&gt;0,"Y",""),"")</f>
        <v/>
      </c>
      <c r="K82" s="218" t="str">
        <f>IFERROR(IF(VLOOKUP(TableHandbook[[#This Row],[UDC]],TableAvailabilities[],6,FALSE)&gt;0,"Y",""),"")</f>
        <v/>
      </c>
      <c r="L82" s="218" t="str">
        <f>IFERROR(IF(VLOOKUP(TableHandbook[[#This Row],[UDC]],TableAvailabilities[],7,FALSE)&gt;0,"Y",""),"")</f>
        <v/>
      </c>
      <c r="M82" s="219" t="str">
        <f>IFERROR(IF(VLOOKUP(TableHandbook[[#This Row],[UDC]],TableAvailabilities[],8,FALSE)&gt;0,"Y",""),"")</f>
        <v/>
      </c>
      <c r="N82" s="218" t="str">
        <f>IFERROR(IF(VLOOKUP(TableHandbook[[#This Row],[UDC]],TableAvailabilities[],9,FALSE)&gt;0,"Y",""),"")</f>
        <v/>
      </c>
      <c r="O82" s="222"/>
      <c r="P82" s="220" t="str">
        <f>IFERROR(VLOOKUP(TableHandbook[[#This Row],[UDC]],TableMCTEACH[],7,FALSE),"")</f>
        <v/>
      </c>
      <c r="Q82" s="220" t="str">
        <f>IFERROR(VLOOKUP(TableHandbook[[#This Row],[UDC]],TableMJRPTCHEC[],7,FALSE),"")</f>
        <v/>
      </c>
      <c r="R82" s="225" t="str">
        <f>IFERROR(VLOOKUP(TableHandbook[[#This Row],[UDC]],TableMJRPTCHPR[],7,FALSE),"")</f>
        <v/>
      </c>
      <c r="S82" s="225" t="str">
        <f>IFERROR(VLOOKUP(TableHandbook[[#This Row],[UDC]],TableMJRPTCHSC[],7,FALSE),"")</f>
        <v/>
      </c>
      <c r="T82" s="225" t="str">
        <f>IFERROR(VLOOKUP(TableHandbook[[#This Row],[UDC]],TableSTRPSCART[],7,FALSE),"")</f>
        <v/>
      </c>
      <c r="U82" s="225" t="str">
        <f>IFERROR(VLOOKUP(TableHandbook[[#This Row],[UDC]],TableSTRPSCENG[],7,FALSE),"")</f>
        <v/>
      </c>
      <c r="V82" s="225" t="str">
        <f>IFERROR(VLOOKUP(TableHandbook[[#This Row],[UDC]],TableSTRPSCHLP[],7,FALSE),"")</f>
        <v/>
      </c>
      <c r="W82" s="225" t="str">
        <f>IFERROR(VLOOKUP(TableHandbook[[#This Row],[UDC]],TableSTRPSCHUS[],7,FALSE),"")</f>
        <v/>
      </c>
      <c r="X82" s="225" t="str">
        <f>IFERROR(VLOOKUP(TableHandbook[[#This Row],[UDC]],TableSTRPSCMAT[],7,FALSE),"")</f>
        <v/>
      </c>
      <c r="Y82" s="225" t="str">
        <f>IFERROR(VLOOKUP(TableHandbook[[#This Row],[UDC]],TableSTRPSCSCI[],7,FALSE),"")</f>
        <v/>
      </c>
      <c r="Z82" s="227" t="str">
        <f>IFERROR(VLOOKUP(TableHandbook[[#This Row],[UDC]],TableSTRPSCFON[],7,FALSE),"")</f>
        <v/>
      </c>
      <c r="AA82" s="228" t="str">
        <f>IFERROR(VLOOKUP(TableHandbook[[#This Row],[UDC]],TableGCTESOL[],7,FALSE),"")</f>
        <v/>
      </c>
      <c r="AB82" s="225" t="str">
        <f>IFERROR(VLOOKUP(TableHandbook[[#This Row],[UDC]],TableMCTESOL[],7,FALSE),"")</f>
        <v/>
      </c>
      <c r="AC82" s="227" t="str">
        <f>IFERROR(VLOOKUP(TableHandbook[[#This Row],[UDC]],TableMCAPLING[],7,FALSE),"")</f>
        <v/>
      </c>
      <c r="AD82" s="218" t="str">
        <f>IFERROR(VLOOKUP(TableHandbook[[#This Row],[UDC]],TableGCEDHE[],7,FALSE),"")</f>
        <v/>
      </c>
      <c r="AE82" s="228" t="str">
        <f>IFERROR(VLOOKUP(TableHandbook[[#This Row],[UDC]],TableGCEDUC[],7,FALSE),"")</f>
        <v/>
      </c>
      <c r="AF82" s="223" t="str">
        <f>IFERROR(VLOOKUP(TableHandbook[[#This Row],[UDC]],TableGDEDUC[],7,FALSE),"")</f>
        <v>Core</v>
      </c>
      <c r="AG82" s="223" t="str">
        <f>IFERROR(VLOOKUP(TableHandbook[[#This Row],[UDC]],TableMJRPEDUPR[],7,FALSE),"")</f>
        <v/>
      </c>
      <c r="AH82" s="223" t="str">
        <f>IFERROR(VLOOKUP(TableHandbook[[#This Row],[UDC]],TableMJRPEDUSC[],7,FALSE),"")</f>
        <v/>
      </c>
      <c r="AI82" s="225" t="str">
        <f>IFERROR(VLOOKUP(TableHandbook[[#This Row],[UDC]],TableMCEDUC[],7,FALSE),"")</f>
        <v/>
      </c>
      <c r="AJ82" s="225" t="str">
        <f>IFERROR(VLOOKUP(TableHandbook[[#This Row],[UDC]],TableSPPECULIN[],7,FALSE),"")</f>
        <v/>
      </c>
      <c r="AK82" s="225" t="str">
        <f>IFERROR(VLOOKUP(TableHandbook[[#This Row],[UDC]],TableSPPELNTCH[],7,FALSE),"")</f>
        <v/>
      </c>
      <c r="AL82" s="227" t="str">
        <f>IFERROR(VLOOKUP(TableHandbook[[#This Row],[UDC]],TableSPPESTEME[],7,FALSE),"")</f>
        <v/>
      </c>
    </row>
    <row r="83" spans="1:38" x14ac:dyDescent="0.25">
      <c r="A83" s="221" t="s">
        <v>287</v>
      </c>
      <c r="B83" s="216">
        <v>1</v>
      </c>
      <c r="C83" s="215"/>
      <c r="D83" s="215" t="s">
        <v>231</v>
      </c>
      <c r="E83" s="216">
        <v>200</v>
      </c>
      <c r="F83" s="217"/>
      <c r="G83" s="212" t="str">
        <f>IFERROR(IF(VLOOKUP(TableHandbook[[#This Row],[UDC]],TableAvailabilities[],2,FALSE)&gt;0,"Y",""),"")</f>
        <v/>
      </c>
      <c r="H83" s="218" t="str">
        <f>IFERROR(IF(VLOOKUP(TableHandbook[[#This Row],[UDC]],TableAvailabilities[],3,FALSE)&gt;0,"Y",""),"")</f>
        <v/>
      </c>
      <c r="I83" s="218" t="str">
        <f>IFERROR(IF(VLOOKUP(TableHandbook[[#This Row],[UDC]],TableAvailabilities[],4,FALSE)&gt;0,"Y",""),"")</f>
        <v/>
      </c>
      <c r="J83" s="218" t="str">
        <f>IFERROR(IF(VLOOKUP(TableHandbook[[#This Row],[UDC]],TableAvailabilities[],5,FALSE)&gt;0,"Y",""),"")</f>
        <v/>
      </c>
      <c r="K83" s="218" t="str">
        <f>IFERROR(IF(VLOOKUP(TableHandbook[[#This Row],[UDC]],TableAvailabilities[],6,FALSE)&gt;0,"Y",""),"")</f>
        <v/>
      </c>
      <c r="L83" s="218" t="str">
        <f>IFERROR(IF(VLOOKUP(TableHandbook[[#This Row],[UDC]],TableAvailabilities[],7,FALSE)&gt;0,"Y",""),"")</f>
        <v/>
      </c>
      <c r="M83" s="219" t="str">
        <f>IFERROR(IF(VLOOKUP(TableHandbook[[#This Row],[UDC]],TableAvailabilities[],8,FALSE)&gt;0,"Y",""),"")</f>
        <v/>
      </c>
      <c r="N83" s="218" t="str">
        <f>IFERROR(IF(VLOOKUP(TableHandbook[[#This Row],[UDC]],TableAvailabilities[],9,FALSE)&gt;0,"Y",""),"")</f>
        <v/>
      </c>
      <c r="O83" s="222"/>
      <c r="P83" s="220" t="str">
        <f>IFERROR(VLOOKUP(TableHandbook[[#This Row],[UDC]],TableMCTEACH[],7,FALSE),"")</f>
        <v/>
      </c>
      <c r="Q83" s="220" t="str">
        <f>IFERROR(VLOOKUP(TableHandbook[[#This Row],[UDC]],TableMJRPTCHEC[],7,FALSE),"")</f>
        <v/>
      </c>
      <c r="R83" s="225" t="str">
        <f>IFERROR(VLOOKUP(TableHandbook[[#This Row],[UDC]],TableMJRPTCHPR[],7,FALSE),"")</f>
        <v/>
      </c>
      <c r="S83" s="225" t="str">
        <f>IFERROR(VLOOKUP(TableHandbook[[#This Row],[UDC]],TableMJRPTCHSC[],7,FALSE),"")</f>
        <v/>
      </c>
      <c r="T83" s="225" t="str">
        <f>IFERROR(VLOOKUP(TableHandbook[[#This Row],[UDC]],TableSTRPSCART[],7,FALSE),"")</f>
        <v/>
      </c>
      <c r="U83" s="225" t="str">
        <f>IFERROR(VLOOKUP(TableHandbook[[#This Row],[UDC]],TableSTRPSCENG[],7,FALSE),"")</f>
        <v/>
      </c>
      <c r="V83" s="225" t="str">
        <f>IFERROR(VLOOKUP(TableHandbook[[#This Row],[UDC]],TableSTRPSCHLP[],7,FALSE),"")</f>
        <v/>
      </c>
      <c r="W83" s="225" t="str">
        <f>IFERROR(VLOOKUP(TableHandbook[[#This Row],[UDC]],TableSTRPSCHUS[],7,FALSE),"")</f>
        <v/>
      </c>
      <c r="X83" s="225" t="str">
        <f>IFERROR(VLOOKUP(TableHandbook[[#This Row],[UDC]],TableSTRPSCMAT[],7,FALSE),"")</f>
        <v/>
      </c>
      <c r="Y83" s="225" t="str">
        <f>IFERROR(VLOOKUP(TableHandbook[[#This Row],[UDC]],TableSTRPSCSCI[],7,FALSE),"")</f>
        <v/>
      </c>
      <c r="Z83" s="227" t="str">
        <f>IFERROR(VLOOKUP(TableHandbook[[#This Row],[UDC]],TableSTRPSCFON[],7,FALSE),"")</f>
        <v/>
      </c>
      <c r="AA83" s="228" t="str">
        <f>IFERROR(VLOOKUP(TableHandbook[[#This Row],[UDC]],TableGCTESOL[],7,FALSE),"")</f>
        <v/>
      </c>
      <c r="AB83" s="225" t="str">
        <f>IFERROR(VLOOKUP(TableHandbook[[#This Row],[UDC]],TableMCTESOL[],7,FALSE),"")</f>
        <v/>
      </c>
      <c r="AC83" s="227" t="str">
        <f>IFERROR(VLOOKUP(TableHandbook[[#This Row],[UDC]],TableMCAPLING[],7,FALSE),"")</f>
        <v/>
      </c>
      <c r="AD83" s="218" t="str">
        <f>IFERROR(VLOOKUP(TableHandbook[[#This Row],[UDC]],TableGCEDHE[],7,FALSE),"")</f>
        <v/>
      </c>
      <c r="AE83" s="228" t="str">
        <f>IFERROR(VLOOKUP(TableHandbook[[#This Row],[UDC]],TableGCEDUC[],7,FALSE),"")</f>
        <v/>
      </c>
      <c r="AF83" s="223" t="str">
        <f>IFERROR(VLOOKUP(TableHandbook[[#This Row],[UDC]],TableGDEDUC[],7,FALSE),"")</f>
        <v>Core</v>
      </c>
      <c r="AG83" s="223" t="str">
        <f>IFERROR(VLOOKUP(TableHandbook[[#This Row],[UDC]],TableMJRPEDUPR[],7,FALSE),"")</f>
        <v/>
      </c>
      <c r="AH83" s="223" t="str">
        <f>IFERROR(VLOOKUP(TableHandbook[[#This Row],[UDC]],TableMJRPEDUSC[],7,FALSE),"")</f>
        <v/>
      </c>
      <c r="AI83" s="225" t="str">
        <f>IFERROR(VLOOKUP(TableHandbook[[#This Row],[UDC]],TableMCEDUC[],7,FALSE),"")</f>
        <v/>
      </c>
      <c r="AJ83" s="225" t="str">
        <f>IFERROR(VLOOKUP(TableHandbook[[#This Row],[UDC]],TableSPPECULIN[],7,FALSE),"")</f>
        <v/>
      </c>
      <c r="AK83" s="225" t="str">
        <f>IFERROR(VLOOKUP(TableHandbook[[#This Row],[UDC]],TableSPPELNTCH[],7,FALSE),"")</f>
        <v/>
      </c>
      <c r="AL83" s="227" t="str">
        <f>IFERROR(VLOOKUP(TableHandbook[[#This Row],[UDC]],TableSPPESTEME[],7,FALSE),"")</f>
        <v/>
      </c>
    </row>
    <row r="84" spans="1:38" x14ac:dyDescent="0.25">
      <c r="A84" s="3" t="s">
        <v>155</v>
      </c>
      <c r="B84" s="4">
        <v>2</v>
      </c>
      <c r="C84" s="3"/>
      <c r="D84" s="3" t="s">
        <v>14</v>
      </c>
      <c r="E84" s="4">
        <v>400</v>
      </c>
      <c r="F84" s="81" t="s">
        <v>174</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2"/>
      <c r="P84" s="85" t="str">
        <f>IFERROR(VLOOKUP(TableHandbook[[#This Row],[UDC]],TableMCTEACH[],7,FALSE),"")</f>
        <v>Core</v>
      </c>
      <c r="Q84" s="85" t="str">
        <f>IFERROR(VLOOKUP(TableHandbook[[#This Row],[UDC]],TableMJRPTCHEC[],7,FALSE),"")</f>
        <v/>
      </c>
      <c r="R84" s="225" t="str">
        <f>IFERROR(VLOOKUP(TableHandbook[[#This Row],[UDC]],TableMJRPTCHPR[],7,FALSE),"")</f>
        <v/>
      </c>
      <c r="S84" s="225" t="str">
        <f>IFERROR(VLOOKUP(TableHandbook[[#This Row],[UDC]],TableMJRPTCHSC[],7,FALSE),"")</f>
        <v/>
      </c>
      <c r="T84" s="225" t="str">
        <f>IFERROR(VLOOKUP(TableHandbook[[#This Row],[UDC]],TableSTRPSCART[],7,FALSE),"")</f>
        <v/>
      </c>
      <c r="U84" s="225" t="str">
        <f>IFERROR(VLOOKUP(TableHandbook[[#This Row],[UDC]],TableSTRPSCENG[],7,FALSE),"")</f>
        <v/>
      </c>
      <c r="V84" s="225" t="str">
        <f>IFERROR(VLOOKUP(TableHandbook[[#This Row],[UDC]],TableSTRPSCHLP[],7,FALSE),"")</f>
        <v/>
      </c>
      <c r="W84" s="225" t="str">
        <f>IFERROR(VLOOKUP(TableHandbook[[#This Row],[UDC]],TableSTRPSCHUS[],7,FALSE),"")</f>
        <v/>
      </c>
      <c r="X84" s="225" t="str">
        <f>IFERROR(VLOOKUP(TableHandbook[[#This Row],[UDC]],TableSTRPSCMAT[],7,FALSE),"")</f>
        <v/>
      </c>
      <c r="Y84" s="225" t="str">
        <f>IFERROR(VLOOKUP(TableHandbook[[#This Row],[UDC]],TableSTRPSCSCI[],7,FALSE),"")</f>
        <v/>
      </c>
      <c r="Z84" s="227" t="str">
        <f>IFERROR(VLOOKUP(TableHandbook[[#This Row],[UDC]],TableSTRPSCFON[],7,FALSE),"")</f>
        <v/>
      </c>
      <c r="AA84" s="228" t="str">
        <f>IFERROR(VLOOKUP(TableHandbook[[#This Row],[UDC]],TableGCTESOL[],7,FALSE),"")</f>
        <v/>
      </c>
      <c r="AB84" s="225" t="str">
        <f>IFERROR(VLOOKUP(TableHandbook[[#This Row],[UDC]],TableMCTESOL[],7,FALSE),"")</f>
        <v/>
      </c>
      <c r="AC84" s="227" t="str">
        <f>IFERROR(VLOOKUP(TableHandbook[[#This Row],[UDC]],TableMCAPLING[],7,FALSE),"")</f>
        <v/>
      </c>
      <c r="AD84" s="218" t="str">
        <f>IFERROR(VLOOKUP(TableHandbook[[#This Row],[UDC]],TableGCEDHE[],7,FALSE),"")</f>
        <v/>
      </c>
      <c r="AE84" s="228" t="str">
        <f>IFERROR(VLOOKUP(TableHandbook[[#This Row],[UDC]],TableGCEDUC[],7,FALSE),"")</f>
        <v/>
      </c>
      <c r="AF84" s="223" t="str">
        <f>IFERROR(VLOOKUP(TableHandbook[[#This Row],[UDC]],TableGDEDUC[],7,FALSE),"")</f>
        <v/>
      </c>
      <c r="AG84" s="223" t="str">
        <f>IFERROR(VLOOKUP(TableHandbook[[#This Row],[UDC]],TableMJRPEDUPR[],7,FALSE),"")</f>
        <v/>
      </c>
      <c r="AH84" s="223" t="str">
        <f>IFERROR(VLOOKUP(TableHandbook[[#This Row],[UDC]],TableMJRPEDUSC[],7,FALSE),"")</f>
        <v/>
      </c>
      <c r="AI84" s="225" t="str">
        <f>IFERROR(VLOOKUP(TableHandbook[[#This Row],[UDC]],TableMCEDUC[],7,FALSE),"")</f>
        <v/>
      </c>
      <c r="AJ84" s="225" t="str">
        <f>IFERROR(VLOOKUP(TableHandbook[[#This Row],[UDC]],TableSPPECULIN[],7,FALSE),"")</f>
        <v/>
      </c>
      <c r="AK84" s="225" t="str">
        <f>IFERROR(VLOOKUP(TableHandbook[[#This Row],[UDC]],TableSPPELNTCH[],7,FALSE),"")</f>
        <v/>
      </c>
      <c r="AL84" s="227" t="str">
        <f>IFERROR(VLOOKUP(TableHandbook[[#This Row],[UDC]],TableSPPESTEME[],7,FALSE),"")</f>
        <v/>
      </c>
    </row>
    <row r="85" spans="1:38" x14ac:dyDescent="0.25">
      <c r="A85" s="3" t="s">
        <v>161</v>
      </c>
      <c r="B85" s="4">
        <v>2</v>
      </c>
      <c r="C85" s="3"/>
      <c r="D85" s="3" t="s">
        <v>160</v>
      </c>
      <c r="E85" s="4">
        <v>400</v>
      </c>
      <c r="F85" s="81" t="s">
        <v>174</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201"/>
      <c r="P85" s="202" t="str">
        <f>IFERROR(VLOOKUP(TableHandbook[[#This Row],[UDC]],TableMCTEACH[],7,FALSE),"")</f>
        <v>Core</v>
      </c>
      <c r="Q85" s="202" t="str">
        <f>IFERROR(VLOOKUP(TableHandbook[[#This Row],[UDC]],TableMJRPTCHEC[],7,FALSE),"")</f>
        <v/>
      </c>
      <c r="R85" s="225" t="str">
        <f>IFERROR(VLOOKUP(TableHandbook[[#This Row],[UDC]],TableMJRPTCHPR[],7,FALSE),"")</f>
        <v/>
      </c>
      <c r="S85" s="225" t="str">
        <f>IFERROR(VLOOKUP(TableHandbook[[#This Row],[UDC]],TableMJRPTCHSC[],7,FALSE),"")</f>
        <v/>
      </c>
      <c r="T85" s="225" t="str">
        <f>IFERROR(VLOOKUP(TableHandbook[[#This Row],[UDC]],TableSTRPSCART[],7,FALSE),"")</f>
        <v/>
      </c>
      <c r="U85" s="225" t="str">
        <f>IFERROR(VLOOKUP(TableHandbook[[#This Row],[UDC]],TableSTRPSCENG[],7,FALSE),"")</f>
        <v/>
      </c>
      <c r="V85" s="225" t="str">
        <f>IFERROR(VLOOKUP(TableHandbook[[#This Row],[UDC]],TableSTRPSCHLP[],7,FALSE),"")</f>
        <v/>
      </c>
      <c r="W85" s="225" t="str">
        <f>IFERROR(VLOOKUP(TableHandbook[[#This Row],[UDC]],TableSTRPSCHUS[],7,FALSE),"")</f>
        <v/>
      </c>
      <c r="X85" s="225" t="str">
        <f>IFERROR(VLOOKUP(TableHandbook[[#This Row],[UDC]],TableSTRPSCMAT[],7,FALSE),"")</f>
        <v/>
      </c>
      <c r="Y85" s="225" t="str">
        <f>IFERROR(VLOOKUP(TableHandbook[[#This Row],[UDC]],TableSTRPSCSCI[],7,FALSE),"")</f>
        <v/>
      </c>
      <c r="Z85" s="227" t="str">
        <f>IFERROR(VLOOKUP(TableHandbook[[#This Row],[UDC]],TableSTRPSCFON[],7,FALSE),"")</f>
        <v/>
      </c>
      <c r="AA85" s="228" t="str">
        <f>IFERROR(VLOOKUP(TableHandbook[[#This Row],[UDC]],TableGCTESOL[],7,FALSE),"")</f>
        <v/>
      </c>
      <c r="AB85" s="225" t="str">
        <f>IFERROR(VLOOKUP(TableHandbook[[#This Row],[UDC]],TableMCTESOL[],7,FALSE),"")</f>
        <v/>
      </c>
      <c r="AC85" s="227" t="str">
        <f>IFERROR(VLOOKUP(TableHandbook[[#This Row],[UDC]],TableMCAPLING[],7,FALSE),"")</f>
        <v/>
      </c>
      <c r="AD85" s="218" t="str">
        <f>IFERROR(VLOOKUP(TableHandbook[[#This Row],[UDC]],TableGCEDHE[],7,FALSE),"")</f>
        <v/>
      </c>
      <c r="AE85" s="228" t="str">
        <f>IFERROR(VLOOKUP(TableHandbook[[#This Row],[UDC]],TableGCEDUC[],7,FALSE),"")</f>
        <v/>
      </c>
      <c r="AF85" s="223" t="str">
        <f>IFERROR(VLOOKUP(TableHandbook[[#This Row],[UDC]],TableGDEDUC[],7,FALSE),"")</f>
        <v/>
      </c>
      <c r="AG85" s="223" t="str">
        <f>IFERROR(VLOOKUP(TableHandbook[[#This Row],[UDC]],TableMJRPEDUPR[],7,FALSE),"")</f>
        <v/>
      </c>
      <c r="AH85" s="223" t="str">
        <f>IFERROR(VLOOKUP(TableHandbook[[#This Row],[UDC]],TableMJRPEDUSC[],7,FALSE),"")</f>
        <v/>
      </c>
      <c r="AI85" s="225" t="str">
        <f>IFERROR(VLOOKUP(TableHandbook[[#This Row],[UDC]],TableMCEDUC[],7,FALSE),"")</f>
        <v/>
      </c>
      <c r="AJ85" s="225" t="str">
        <f>IFERROR(VLOOKUP(TableHandbook[[#This Row],[UDC]],TableSPPECULIN[],7,FALSE),"")</f>
        <v/>
      </c>
      <c r="AK85" s="225" t="str">
        <f>IFERROR(VLOOKUP(TableHandbook[[#This Row],[UDC]],TableSPPELNTCH[],7,FALSE),"")</f>
        <v/>
      </c>
      <c r="AL85" s="227" t="str">
        <f>IFERROR(VLOOKUP(TableHandbook[[#This Row],[UDC]],TableSPPESTEME[],7,FALSE),"")</f>
        <v/>
      </c>
    </row>
    <row r="86" spans="1:38" x14ac:dyDescent="0.25">
      <c r="A86" s="3" t="s">
        <v>168</v>
      </c>
      <c r="B86" s="4">
        <v>2</v>
      </c>
      <c r="C86" s="3"/>
      <c r="D86" s="3" t="s">
        <v>167</v>
      </c>
      <c r="E86" s="4">
        <v>400</v>
      </c>
      <c r="F86" s="81" t="s">
        <v>174</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201"/>
      <c r="P86" s="202" t="str">
        <f>IFERROR(VLOOKUP(TableHandbook[[#This Row],[UDC]],TableMCTEACH[],7,FALSE),"")</f>
        <v>Core</v>
      </c>
      <c r="Q86" s="202" t="str">
        <f>IFERROR(VLOOKUP(TableHandbook[[#This Row],[UDC]],TableMJRPTCHEC[],7,FALSE),"")</f>
        <v/>
      </c>
      <c r="R86" s="225" t="str">
        <f>IFERROR(VLOOKUP(TableHandbook[[#This Row],[UDC]],TableMJRPTCHPR[],7,FALSE),"")</f>
        <v/>
      </c>
      <c r="S86" s="225" t="str">
        <f>IFERROR(VLOOKUP(TableHandbook[[#This Row],[UDC]],TableMJRPTCHSC[],7,FALSE),"")</f>
        <v/>
      </c>
      <c r="T86" s="225" t="str">
        <f>IFERROR(VLOOKUP(TableHandbook[[#This Row],[UDC]],TableSTRPSCART[],7,FALSE),"")</f>
        <v/>
      </c>
      <c r="U86" s="225" t="str">
        <f>IFERROR(VLOOKUP(TableHandbook[[#This Row],[UDC]],TableSTRPSCENG[],7,FALSE),"")</f>
        <v/>
      </c>
      <c r="V86" s="225" t="str">
        <f>IFERROR(VLOOKUP(TableHandbook[[#This Row],[UDC]],TableSTRPSCHLP[],7,FALSE),"")</f>
        <v/>
      </c>
      <c r="W86" s="225" t="str">
        <f>IFERROR(VLOOKUP(TableHandbook[[#This Row],[UDC]],TableSTRPSCHUS[],7,FALSE),"")</f>
        <v/>
      </c>
      <c r="X86" s="225" t="str">
        <f>IFERROR(VLOOKUP(TableHandbook[[#This Row],[UDC]],TableSTRPSCMAT[],7,FALSE),"")</f>
        <v/>
      </c>
      <c r="Y86" s="225" t="str">
        <f>IFERROR(VLOOKUP(TableHandbook[[#This Row],[UDC]],TableSTRPSCSCI[],7,FALSE),"")</f>
        <v/>
      </c>
      <c r="Z86" s="227" t="str">
        <f>IFERROR(VLOOKUP(TableHandbook[[#This Row],[UDC]],TableSTRPSCFON[],7,FALSE),"")</f>
        <v/>
      </c>
      <c r="AA86" s="228" t="str">
        <f>IFERROR(VLOOKUP(TableHandbook[[#This Row],[UDC]],TableGCTESOL[],7,FALSE),"")</f>
        <v/>
      </c>
      <c r="AB86" s="225" t="str">
        <f>IFERROR(VLOOKUP(TableHandbook[[#This Row],[UDC]],TableMCTESOL[],7,FALSE),"")</f>
        <v/>
      </c>
      <c r="AC86" s="227" t="str">
        <f>IFERROR(VLOOKUP(TableHandbook[[#This Row],[UDC]],TableMCAPLING[],7,FALSE),"")</f>
        <v/>
      </c>
      <c r="AD86" s="218" t="str">
        <f>IFERROR(VLOOKUP(TableHandbook[[#This Row],[UDC]],TableGCEDHE[],7,FALSE),"")</f>
        <v/>
      </c>
      <c r="AE86" s="228" t="str">
        <f>IFERROR(VLOOKUP(TableHandbook[[#This Row],[UDC]],TableGCEDUC[],7,FALSE),"")</f>
        <v/>
      </c>
      <c r="AF86" s="223" t="str">
        <f>IFERROR(VLOOKUP(TableHandbook[[#This Row],[UDC]],TableGDEDUC[],7,FALSE),"")</f>
        <v/>
      </c>
      <c r="AG86" s="223" t="str">
        <f>IFERROR(VLOOKUP(TableHandbook[[#This Row],[UDC]],TableMJRPEDUPR[],7,FALSE),"")</f>
        <v/>
      </c>
      <c r="AH86" s="223" t="str">
        <f>IFERROR(VLOOKUP(TableHandbook[[#This Row],[UDC]],TableMJRPEDUSC[],7,FALSE),"")</f>
        <v/>
      </c>
      <c r="AI86" s="225" t="str">
        <f>IFERROR(VLOOKUP(TableHandbook[[#This Row],[UDC]],TableMCEDUC[],7,FALSE),"")</f>
        <v/>
      </c>
      <c r="AJ86" s="225" t="str">
        <f>IFERROR(VLOOKUP(TableHandbook[[#This Row],[UDC]],TableSPPECULIN[],7,FALSE),"")</f>
        <v/>
      </c>
      <c r="AK86" s="225" t="str">
        <f>IFERROR(VLOOKUP(TableHandbook[[#This Row],[UDC]],TableSPPELNTCH[],7,FALSE),"")</f>
        <v/>
      </c>
      <c r="AL86" s="227" t="str">
        <f>IFERROR(VLOOKUP(TableHandbook[[#This Row],[UDC]],TableSPPESTEME[],7,FALSE),"")</f>
        <v/>
      </c>
    </row>
    <row r="87" spans="1:38" x14ac:dyDescent="0.25">
      <c r="A87" s="221" t="s">
        <v>428</v>
      </c>
      <c r="B87" s="216">
        <v>0</v>
      </c>
      <c r="C87" s="215"/>
      <c r="D87" s="215" t="s">
        <v>465</v>
      </c>
      <c r="E87" s="216"/>
      <c r="F87" s="217"/>
      <c r="G87" s="212" t="str">
        <f>IFERROR(IF(VLOOKUP(TableHandbook[[#This Row],[UDC]],TableAvailabilities[],2,FALSE)&gt;0,"Y",""),"")</f>
        <v/>
      </c>
      <c r="H87" s="218" t="str">
        <f>IFERROR(IF(VLOOKUP(TableHandbook[[#This Row],[UDC]],TableAvailabilities[],3,FALSE)&gt;0,"Y",""),"")</f>
        <v/>
      </c>
      <c r="I87" s="218" t="str">
        <f>IFERROR(IF(VLOOKUP(TableHandbook[[#This Row],[UDC]],TableAvailabilities[],4,FALSE)&gt;0,"Y",""),"")</f>
        <v/>
      </c>
      <c r="J87" s="218" t="str">
        <f>IFERROR(IF(VLOOKUP(TableHandbook[[#This Row],[UDC]],TableAvailabilities[],5,FALSE)&gt;0,"Y",""),"")</f>
        <v/>
      </c>
      <c r="K87" s="218" t="str">
        <f>IFERROR(IF(VLOOKUP(TableHandbook[[#This Row],[UDC]],TableAvailabilities[],6,FALSE)&gt;0,"Y",""),"")</f>
        <v/>
      </c>
      <c r="L87" s="218" t="str">
        <f>IFERROR(IF(VLOOKUP(TableHandbook[[#This Row],[UDC]],TableAvailabilities[],7,FALSE)&gt;0,"Y",""),"")</f>
        <v/>
      </c>
      <c r="M87" s="219" t="str">
        <f>IFERROR(IF(VLOOKUP(TableHandbook[[#This Row],[UDC]],TableAvailabilities[],8,FALSE)&gt;0,"Y",""),"")</f>
        <v/>
      </c>
      <c r="N87" s="218" t="str">
        <f>IFERROR(IF(VLOOKUP(TableHandbook[[#This Row],[UDC]],TableAvailabilities[],9,FALSE)&gt;0,"Y",""),"")</f>
        <v/>
      </c>
      <c r="O87" s="213"/>
      <c r="P87" s="214" t="str">
        <f>IFERROR(VLOOKUP(TableHandbook[[#This Row],[UDC]],TableMCTEACH[],7,FALSE),"")</f>
        <v/>
      </c>
      <c r="Q87" s="214" t="str">
        <f>IFERROR(VLOOKUP(TableHandbook[[#This Row],[UDC]],TableMJRPTCHEC[],7,FALSE),"")</f>
        <v/>
      </c>
      <c r="R87" s="225" t="str">
        <f>IFERROR(VLOOKUP(TableHandbook[[#This Row],[UDC]],TableMJRPTCHPR[],7,FALSE),"")</f>
        <v/>
      </c>
      <c r="S87" s="225" t="str">
        <f>IFERROR(VLOOKUP(TableHandbook[[#This Row],[UDC]],TableMJRPTCHSC[],7,FALSE),"")</f>
        <v>Option</v>
      </c>
      <c r="T87" s="225" t="str">
        <f>IFERROR(VLOOKUP(TableHandbook[[#This Row],[UDC]],TableSTRPSCART[],7,FALSE),"")</f>
        <v/>
      </c>
      <c r="U87" s="225" t="str">
        <f>IFERROR(VLOOKUP(TableHandbook[[#This Row],[UDC]],TableSTRPSCENG[],7,FALSE),"")</f>
        <v/>
      </c>
      <c r="V87" s="225" t="str">
        <f>IFERROR(VLOOKUP(TableHandbook[[#This Row],[UDC]],TableSTRPSCHLP[],7,FALSE),"")</f>
        <v/>
      </c>
      <c r="W87" s="225" t="str">
        <f>IFERROR(VLOOKUP(TableHandbook[[#This Row],[UDC]],TableSTRPSCHUS[],7,FALSE),"")</f>
        <v/>
      </c>
      <c r="X87" s="225" t="str">
        <f>IFERROR(VLOOKUP(TableHandbook[[#This Row],[UDC]],TableSTRPSCMAT[],7,FALSE),"")</f>
        <v/>
      </c>
      <c r="Y87" s="225" t="str">
        <f>IFERROR(VLOOKUP(TableHandbook[[#This Row],[UDC]],TableSTRPSCSCI[],7,FALSE),"")</f>
        <v/>
      </c>
      <c r="Z87" s="227" t="str">
        <f>IFERROR(VLOOKUP(TableHandbook[[#This Row],[UDC]],TableSTRPSCFON[],7,FALSE),"")</f>
        <v/>
      </c>
      <c r="AA87" s="228" t="str">
        <f>IFERROR(VLOOKUP(TableHandbook[[#This Row],[UDC]],TableGCTESOL[],7,FALSE),"")</f>
        <v/>
      </c>
      <c r="AB87" s="225" t="str">
        <f>IFERROR(VLOOKUP(TableHandbook[[#This Row],[UDC]],TableMCTESOL[],7,FALSE),"")</f>
        <v/>
      </c>
      <c r="AC87" s="227" t="str">
        <f>IFERROR(VLOOKUP(TableHandbook[[#This Row],[UDC]],TableMCAPLING[],7,FALSE),"")</f>
        <v/>
      </c>
      <c r="AD87" s="218" t="str">
        <f>IFERROR(VLOOKUP(TableHandbook[[#This Row],[UDC]],TableGCEDHE[],7,FALSE),"")</f>
        <v/>
      </c>
      <c r="AE87" s="228" t="str">
        <f>IFERROR(VLOOKUP(TableHandbook[[#This Row],[UDC]],TableGCEDUC[],7,FALSE),"")</f>
        <v>Option</v>
      </c>
      <c r="AF87" s="223" t="str">
        <f>IFERROR(VLOOKUP(TableHandbook[[#This Row],[UDC]],TableGDEDUC[],7,FALSE),"")</f>
        <v/>
      </c>
      <c r="AG87" s="223" t="str">
        <f>IFERROR(VLOOKUP(TableHandbook[[#This Row],[UDC]],TableMJRPEDUPR[],7,FALSE),"")</f>
        <v/>
      </c>
      <c r="AH87" s="223" t="str">
        <f>IFERROR(VLOOKUP(TableHandbook[[#This Row],[UDC]],TableMJRPEDUSC[],7,FALSE),"")</f>
        <v>Option</v>
      </c>
      <c r="AI87" s="225" t="str">
        <f>IFERROR(VLOOKUP(TableHandbook[[#This Row],[UDC]],TableMCEDUC[],7,FALSE),"")</f>
        <v/>
      </c>
      <c r="AJ87" s="225" t="str">
        <f>IFERROR(VLOOKUP(TableHandbook[[#This Row],[UDC]],TableSPPECULIN[],7,FALSE),"")</f>
        <v/>
      </c>
      <c r="AK87" s="225" t="str">
        <f>IFERROR(VLOOKUP(TableHandbook[[#This Row],[UDC]],TableSPPELNTCH[],7,FALSE),"")</f>
        <v/>
      </c>
      <c r="AL87" s="227" t="str">
        <f>IFERROR(VLOOKUP(TableHandbook[[#This Row],[UDC]],TableSPPESTEME[],7,FALSE),"")</f>
        <v/>
      </c>
    </row>
    <row r="88" spans="1:38" x14ac:dyDescent="0.25">
      <c r="A88" s="3" t="s">
        <v>207</v>
      </c>
      <c r="B88" s="4">
        <v>0</v>
      </c>
      <c r="C88" s="3"/>
      <c r="D88" s="3" t="s">
        <v>397</v>
      </c>
      <c r="E88" s="4">
        <v>25</v>
      </c>
      <c r="F88" s="81" t="s">
        <v>388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201"/>
      <c r="P88" s="202" t="str">
        <f>IFERROR(VLOOKUP(TableHandbook[[#This Row],[UDC]],TableMCTEACH[],7,FALSE),"")</f>
        <v/>
      </c>
      <c r="Q88" s="202" t="str">
        <f>IFERROR(VLOOKUP(TableHandbook[[#This Row],[UDC]],TableMJRPTCHEC[],7,FALSE),"")</f>
        <v/>
      </c>
      <c r="R88" s="225" t="str">
        <f>IFERROR(VLOOKUP(TableHandbook[[#This Row],[UDC]],TableMJRPTCHPR[],7,FALSE),"")</f>
        <v/>
      </c>
      <c r="S88" s="225" t="str">
        <f>IFERROR(VLOOKUP(TableHandbook[[#This Row],[UDC]],TableMJRPTCHSC[],7,FALSE),"")</f>
        <v/>
      </c>
      <c r="T88" s="225" t="str">
        <f>IFERROR(VLOOKUP(TableHandbook[[#This Row],[UDC]],TableSTRPSCART[],7,FALSE),"")</f>
        <v/>
      </c>
      <c r="U88" s="225" t="str">
        <f>IFERROR(VLOOKUP(TableHandbook[[#This Row],[UDC]],TableSTRPSCENG[],7,FALSE),"")</f>
        <v/>
      </c>
      <c r="V88" s="225" t="str">
        <f>IFERROR(VLOOKUP(TableHandbook[[#This Row],[UDC]],TableSTRPSCHLP[],7,FALSE),"")</f>
        <v/>
      </c>
      <c r="W88" s="225" t="str">
        <f>IFERROR(VLOOKUP(TableHandbook[[#This Row],[UDC]],TableSTRPSCHUS[],7,FALSE),"")</f>
        <v/>
      </c>
      <c r="X88" s="225" t="str">
        <f>IFERROR(VLOOKUP(TableHandbook[[#This Row],[UDC]],TableSTRPSCMAT[],7,FALSE),"")</f>
        <v/>
      </c>
      <c r="Y88" s="225" t="str">
        <f>IFERROR(VLOOKUP(TableHandbook[[#This Row],[UDC]],TableSTRPSCSCI[],7,FALSE),"")</f>
        <v/>
      </c>
      <c r="Z88" s="227" t="str">
        <f>IFERROR(VLOOKUP(TableHandbook[[#This Row],[UDC]],TableSTRPSCFON[],7,FALSE),"")</f>
        <v/>
      </c>
      <c r="AA88" s="228" t="str">
        <f>IFERROR(VLOOKUP(TableHandbook[[#This Row],[UDC]],TableGCTESOL[],7,FALSE),"")</f>
        <v/>
      </c>
      <c r="AB88" s="225" t="str">
        <f>IFERROR(VLOOKUP(TableHandbook[[#This Row],[UDC]],TableMCTESOL[],7,FALSE),"")</f>
        <v/>
      </c>
      <c r="AC88" s="227" t="str">
        <f>IFERROR(VLOOKUP(TableHandbook[[#This Row],[UDC]],TableMCAPLING[],7,FALSE),"")</f>
        <v/>
      </c>
      <c r="AD88" s="218" t="str">
        <f>IFERROR(VLOOKUP(TableHandbook[[#This Row],[UDC]],TableGCEDHE[],7,FALSE),"")</f>
        <v/>
      </c>
      <c r="AE88" s="228" t="str">
        <f>IFERROR(VLOOKUP(TableHandbook[[#This Row],[UDC]],TableGCEDUC[],7,FALSE),"")</f>
        <v/>
      </c>
      <c r="AF88" s="223" t="str">
        <f>IFERROR(VLOOKUP(TableHandbook[[#This Row],[UDC]],TableGDEDUC[],7,FALSE),"")</f>
        <v/>
      </c>
      <c r="AG88" s="223" t="str">
        <f>IFERROR(VLOOKUP(TableHandbook[[#This Row],[UDC]],TableMJRPEDUPR[],7,FALSE),"")</f>
        <v/>
      </c>
      <c r="AH88" s="223" t="str">
        <f>IFERROR(VLOOKUP(TableHandbook[[#This Row],[UDC]],TableMJRPEDUSC[],7,FALSE),"")</f>
        <v/>
      </c>
      <c r="AI88" s="225" t="str">
        <f>IFERROR(VLOOKUP(TableHandbook[[#This Row],[UDC]],TableMCEDUC[],7,FALSE),"")</f>
        <v/>
      </c>
      <c r="AJ88" s="225" t="str">
        <f>IFERROR(VLOOKUP(TableHandbook[[#This Row],[UDC]],TableSPPECULIN[],7,FALSE),"")</f>
        <v/>
      </c>
      <c r="AK88" s="225" t="str">
        <f>IFERROR(VLOOKUP(TableHandbook[[#This Row],[UDC]],TableSPPELNTCH[],7,FALSE),"")</f>
        <v/>
      </c>
      <c r="AL88" s="227" t="str">
        <f>IFERROR(VLOOKUP(TableHandbook[[#This Row],[UDC]],TableSPPESTEME[],7,FALSE),"")</f>
        <v/>
      </c>
    </row>
    <row r="89" spans="1:38" x14ac:dyDescent="0.25">
      <c r="A89" s="3" t="s">
        <v>177</v>
      </c>
      <c r="B89" s="4">
        <v>1</v>
      </c>
      <c r="C89" s="3"/>
      <c r="D89" s="3" t="s">
        <v>176</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201"/>
      <c r="P89" s="202" t="str">
        <f>IFERROR(VLOOKUP(TableHandbook[[#This Row],[UDC]],TableMCTEACH[],7,FALSE),"")</f>
        <v/>
      </c>
      <c r="Q89" s="202" t="str">
        <f>IFERROR(VLOOKUP(TableHandbook[[#This Row],[UDC]],TableMJRPTCHEC[],7,FALSE),"")</f>
        <v/>
      </c>
      <c r="R89" s="225" t="str">
        <f>IFERROR(VLOOKUP(TableHandbook[[#This Row],[UDC]],TableMJRPTCHPR[],7,FALSE),"")</f>
        <v/>
      </c>
      <c r="S89" s="225" t="str">
        <f>IFERROR(VLOOKUP(TableHandbook[[#This Row],[UDC]],TableMJRPTCHSC[],7,FALSE),"")</f>
        <v/>
      </c>
      <c r="T89" s="225" t="str">
        <f>IFERROR(VLOOKUP(TableHandbook[[#This Row],[UDC]],TableSTRPSCART[],7,FALSE),"")</f>
        <v/>
      </c>
      <c r="U89" s="225" t="str">
        <f>IFERROR(VLOOKUP(TableHandbook[[#This Row],[UDC]],TableSTRPSCENG[],7,FALSE),"")</f>
        <v/>
      </c>
      <c r="V89" s="225" t="str">
        <f>IFERROR(VLOOKUP(TableHandbook[[#This Row],[UDC]],TableSTRPSCHLP[],7,FALSE),"")</f>
        <v/>
      </c>
      <c r="W89" s="225" t="str">
        <f>IFERROR(VLOOKUP(TableHandbook[[#This Row],[UDC]],TableSTRPSCHUS[],7,FALSE),"")</f>
        <v/>
      </c>
      <c r="X89" s="225" t="str">
        <f>IFERROR(VLOOKUP(TableHandbook[[#This Row],[UDC]],TableSTRPSCMAT[],7,FALSE),"")</f>
        <v/>
      </c>
      <c r="Y89" s="225" t="str">
        <f>IFERROR(VLOOKUP(TableHandbook[[#This Row],[UDC]],TableSTRPSCSCI[],7,FALSE),"")</f>
        <v/>
      </c>
      <c r="Z89" s="227" t="str">
        <f>IFERROR(VLOOKUP(TableHandbook[[#This Row],[UDC]],TableSTRPSCFON[],7,FALSE),"")</f>
        <v/>
      </c>
      <c r="AA89" s="228" t="str">
        <f>IFERROR(VLOOKUP(TableHandbook[[#This Row],[UDC]],TableGCTESOL[],7,FALSE),"")</f>
        <v/>
      </c>
      <c r="AB89" s="225" t="str">
        <f>IFERROR(VLOOKUP(TableHandbook[[#This Row],[UDC]],TableMCTESOL[],7,FALSE),"")</f>
        <v/>
      </c>
      <c r="AC89" s="227" t="str">
        <f>IFERROR(VLOOKUP(TableHandbook[[#This Row],[UDC]],TableMCAPLING[],7,FALSE),"")</f>
        <v/>
      </c>
      <c r="AD89" s="218" t="str">
        <f>IFERROR(VLOOKUP(TableHandbook[[#This Row],[UDC]],TableGCEDHE[],7,FALSE),"")</f>
        <v/>
      </c>
      <c r="AE89" s="228" t="str">
        <f>IFERROR(VLOOKUP(TableHandbook[[#This Row],[UDC]],TableGCEDUC[],7,FALSE),"")</f>
        <v/>
      </c>
      <c r="AF89" s="223" t="str">
        <f>IFERROR(VLOOKUP(TableHandbook[[#This Row],[UDC]],TableGDEDUC[],7,FALSE),"")</f>
        <v/>
      </c>
      <c r="AG89" s="223" t="str">
        <f>IFERROR(VLOOKUP(TableHandbook[[#This Row],[UDC]],TableMJRPEDUPR[],7,FALSE),"")</f>
        <v/>
      </c>
      <c r="AH89" s="223" t="str">
        <f>IFERROR(VLOOKUP(TableHandbook[[#This Row],[UDC]],TableMJRPEDUSC[],7,FALSE),"")</f>
        <v/>
      </c>
      <c r="AI89" s="225" t="str">
        <f>IFERROR(VLOOKUP(TableHandbook[[#This Row],[UDC]],TableMCEDUC[],7,FALSE),"")</f>
        <v>Option</v>
      </c>
      <c r="AJ89" s="225" t="str">
        <f>IFERROR(VLOOKUP(TableHandbook[[#This Row],[UDC]],TableSPPECULIN[],7,FALSE),"")</f>
        <v/>
      </c>
      <c r="AK89" s="225" t="str">
        <f>IFERROR(VLOOKUP(TableHandbook[[#This Row],[UDC]],TableSPPELNTCH[],7,FALSE),"")</f>
        <v/>
      </c>
      <c r="AL89" s="227" t="str">
        <f>IFERROR(VLOOKUP(TableHandbook[[#This Row],[UDC]],TableSPPESTEME[],7,FALSE),"")</f>
        <v/>
      </c>
    </row>
    <row r="90" spans="1:38" x14ac:dyDescent="0.25">
      <c r="A90" s="3" t="s">
        <v>179</v>
      </c>
      <c r="B90" s="4">
        <v>1</v>
      </c>
      <c r="C90" s="3"/>
      <c r="D90" s="3" t="s">
        <v>178</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201"/>
      <c r="P90" s="202" t="str">
        <f>IFERROR(VLOOKUP(TableHandbook[[#This Row],[UDC]],TableMCTEACH[],7,FALSE),"")</f>
        <v/>
      </c>
      <c r="Q90" s="202" t="str">
        <f>IFERROR(VLOOKUP(TableHandbook[[#This Row],[UDC]],TableMJRPTCHEC[],7,FALSE),"")</f>
        <v/>
      </c>
      <c r="R90" s="225" t="str">
        <f>IFERROR(VLOOKUP(TableHandbook[[#This Row],[UDC]],TableMJRPTCHPR[],7,FALSE),"")</f>
        <v/>
      </c>
      <c r="S90" s="225" t="str">
        <f>IFERROR(VLOOKUP(TableHandbook[[#This Row],[UDC]],TableMJRPTCHSC[],7,FALSE),"")</f>
        <v/>
      </c>
      <c r="T90" s="225" t="str">
        <f>IFERROR(VLOOKUP(TableHandbook[[#This Row],[UDC]],TableSTRPSCART[],7,FALSE),"")</f>
        <v/>
      </c>
      <c r="U90" s="225" t="str">
        <f>IFERROR(VLOOKUP(TableHandbook[[#This Row],[UDC]],TableSTRPSCENG[],7,FALSE),"")</f>
        <v/>
      </c>
      <c r="V90" s="225" t="str">
        <f>IFERROR(VLOOKUP(TableHandbook[[#This Row],[UDC]],TableSTRPSCHLP[],7,FALSE),"")</f>
        <v/>
      </c>
      <c r="W90" s="225" t="str">
        <f>IFERROR(VLOOKUP(TableHandbook[[#This Row],[UDC]],TableSTRPSCHUS[],7,FALSE),"")</f>
        <v/>
      </c>
      <c r="X90" s="225" t="str">
        <f>IFERROR(VLOOKUP(TableHandbook[[#This Row],[UDC]],TableSTRPSCMAT[],7,FALSE),"")</f>
        <v/>
      </c>
      <c r="Y90" s="225" t="str">
        <f>IFERROR(VLOOKUP(TableHandbook[[#This Row],[UDC]],TableSTRPSCSCI[],7,FALSE),"")</f>
        <v/>
      </c>
      <c r="Z90" s="227" t="str">
        <f>IFERROR(VLOOKUP(TableHandbook[[#This Row],[UDC]],TableSTRPSCFON[],7,FALSE),"")</f>
        <v/>
      </c>
      <c r="AA90" s="228" t="str">
        <f>IFERROR(VLOOKUP(TableHandbook[[#This Row],[UDC]],TableGCTESOL[],7,FALSE),"")</f>
        <v/>
      </c>
      <c r="AB90" s="225" t="str">
        <f>IFERROR(VLOOKUP(TableHandbook[[#This Row],[UDC]],TableMCTESOL[],7,FALSE),"")</f>
        <v/>
      </c>
      <c r="AC90" s="227" t="str">
        <f>IFERROR(VLOOKUP(TableHandbook[[#This Row],[UDC]],TableMCAPLING[],7,FALSE),"")</f>
        <v/>
      </c>
      <c r="AD90" s="218" t="str">
        <f>IFERROR(VLOOKUP(TableHandbook[[#This Row],[UDC]],TableGCEDHE[],7,FALSE),"")</f>
        <v/>
      </c>
      <c r="AE90" s="228" t="str">
        <f>IFERROR(VLOOKUP(TableHandbook[[#This Row],[UDC]],TableGCEDUC[],7,FALSE),"")</f>
        <v/>
      </c>
      <c r="AF90" s="223" t="str">
        <f>IFERROR(VLOOKUP(TableHandbook[[#This Row],[UDC]],TableGDEDUC[],7,FALSE),"")</f>
        <v/>
      </c>
      <c r="AG90" s="223" t="str">
        <f>IFERROR(VLOOKUP(TableHandbook[[#This Row],[UDC]],TableMJRPEDUPR[],7,FALSE),"")</f>
        <v/>
      </c>
      <c r="AH90" s="223" t="str">
        <f>IFERROR(VLOOKUP(TableHandbook[[#This Row],[UDC]],TableMJRPEDUSC[],7,FALSE),"")</f>
        <v/>
      </c>
      <c r="AI90" s="225" t="str">
        <f>IFERROR(VLOOKUP(TableHandbook[[#This Row],[UDC]],TableMCEDUC[],7,FALSE),"")</f>
        <v>Option</v>
      </c>
      <c r="AJ90" s="225" t="str">
        <f>IFERROR(VLOOKUP(TableHandbook[[#This Row],[UDC]],TableSPPECULIN[],7,FALSE),"")</f>
        <v/>
      </c>
      <c r="AK90" s="225" t="str">
        <f>IFERROR(VLOOKUP(TableHandbook[[#This Row],[UDC]],TableSPPELNTCH[],7,FALSE),"")</f>
        <v/>
      </c>
      <c r="AL90" s="227" t="str">
        <f>IFERROR(VLOOKUP(TableHandbook[[#This Row],[UDC]],TableSPPESTEME[],7,FALSE),"")</f>
        <v/>
      </c>
    </row>
    <row r="91" spans="1:38" x14ac:dyDescent="0.25">
      <c r="A91" s="3" t="s">
        <v>181</v>
      </c>
      <c r="B91" s="4">
        <v>1</v>
      </c>
      <c r="C91" s="3"/>
      <c r="D91" s="3" t="s">
        <v>180</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201"/>
      <c r="P91" s="202" t="str">
        <f>IFERROR(VLOOKUP(TableHandbook[[#This Row],[UDC]],TableMCTEACH[],7,FALSE),"")</f>
        <v/>
      </c>
      <c r="Q91" s="202" t="str">
        <f>IFERROR(VLOOKUP(TableHandbook[[#This Row],[UDC]],TableMJRPTCHEC[],7,FALSE),"")</f>
        <v/>
      </c>
      <c r="R91" s="225" t="str">
        <f>IFERROR(VLOOKUP(TableHandbook[[#This Row],[UDC]],TableMJRPTCHPR[],7,FALSE),"")</f>
        <v/>
      </c>
      <c r="S91" s="225" t="str">
        <f>IFERROR(VLOOKUP(TableHandbook[[#This Row],[UDC]],TableMJRPTCHSC[],7,FALSE),"")</f>
        <v/>
      </c>
      <c r="T91" s="225" t="str">
        <f>IFERROR(VLOOKUP(TableHandbook[[#This Row],[UDC]],TableSTRPSCART[],7,FALSE),"")</f>
        <v/>
      </c>
      <c r="U91" s="225" t="str">
        <f>IFERROR(VLOOKUP(TableHandbook[[#This Row],[UDC]],TableSTRPSCENG[],7,FALSE),"")</f>
        <v/>
      </c>
      <c r="V91" s="225" t="str">
        <f>IFERROR(VLOOKUP(TableHandbook[[#This Row],[UDC]],TableSTRPSCHLP[],7,FALSE),"")</f>
        <v/>
      </c>
      <c r="W91" s="225" t="str">
        <f>IFERROR(VLOOKUP(TableHandbook[[#This Row],[UDC]],TableSTRPSCHUS[],7,FALSE),"")</f>
        <v/>
      </c>
      <c r="X91" s="225" t="str">
        <f>IFERROR(VLOOKUP(TableHandbook[[#This Row],[UDC]],TableSTRPSCMAT[],7,FALSE),"")</f>
        <v/>
      </c>
      <c r="Y91" s="225" t="str">
        <f>IFERROR(VLOOKUP(TableHandbook[[#This Row],[UDC]],TableSTRPSCSCI[],7,FALSE),"")</f>
        <v/>
      </c>
      <c r="Z91" s="227" t="str">
        <f>IFERROR(VLOOKUP(TableHandbook[[#This Row],[UDC]],TableSTRPSCFON[],7,FALSE),"")</f>
        <v/>
      </c>
      <c r="AA91" s="228" t="str">
        <f>IFERROR(VLOOKUP(TableHandbook[[#This Row],[UDC]],TableGCTESOL[],7,FALSE),"")</f>
        <v/>
      </c>
      <c r="AB91" s="225" t="str">
        <f>IFERROR(VLOOKUP(TableHandbook[[#This Row],[UDC]],TableMCTESOL[],7,FALSE),"")</f>
        <v/>
      </c>
      <c r="AC91" s="227" t="str">
        <f>IFERROR(VLOOKUP(TableHandbook[[#This Row],[UDC]],TableMCAPLING[],7,FALSE),"")</f>
        <v/>
      </c>
      <c r="AD91" s="218" t="str">
        <f>IFERROR(VLOOKUP(TableHandbook[[#This Row],[UDC]],TableGCEDHE[],7,FALSE),"")</f>
        <v/>
      </c>
      <c r="AE91" s="228" t="str">
        <f>IFERROR(VLOOKUP(TableHandbook[[#This Row],[UDC]],TableGCEDUC[],7,FALSE),"")</f>
        <v/>
      </c>
      <c r="AF91" s="223" t="str">
        <f>IFERROR(VLOOKUP(TableHandbook[[#This Row],[UDC]],TableGDEDUC[],7,FALSE),"")</f>
        <v/>
      </c>
      <c r="AG91" s="223" t="str">
        <f>IFERROR(VLOOKUP(TableHandbook[[#This Row],[UDC]],TableMJRPEDUPR[],7,FALSE),"")</f>
        <v/>
      </c>
      <c r="AH91" s="223" t="str">
        <f>IFERROR(VLOOKUP(TableHandbook[[#This Row],[UDC]],TableMJRPEDUSC[],7,FALSE),"")</f>
        <v/>
      </c>
      <c r="AI91" s="225" t="str">
        <f>IFERROR(VLOOKUP(TableHandbook[[#This Row],[UDC]],TableMCEDUC[],7,FALSE),"")</f>
        <v>Option</v>
      </c>
      <c r="AJ91" s="225" t="str">
        <f>IFERROR(VLOOKUP(TableHandbook[[#This Row],[UDC]],TableSPPECULIN[],7,FALSE),"")</f>
        <v/>
      </c>
      <c r="AK91" s="225" t="str">
        <f>IFERROR(VLOOKUP(TableHandbook[[#This Row],[UDC]],TableSPPELNTCH[],7,FALSE),"")</f>
        <v/>
      </c>
      <c r="AL91" s="227" t="str">
        <f>IFERROR(VLOOKUP(TableHandbook[[#This Row],[UDC]],TableSPPESTEME[],7,FALSE),"")</f>
        <v/>
      </c>
    </row>
    <row r="92" spans="1:38" x14ac:dyDescent="0.25">
      <c r="A92" s="3" t="s">
        <v>286</v>
      </c>
      <c r="B92" s="4"/>
      <c r="C92" s="3"/>
      <c r="D92" s="3" t="s">
        <v>398</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201"/>
      <c r="P92" s="202" t="str">
        <f>IFERROR(VLOOKUP(TableHandbook[[#This Row],[UDC]],TableMCTEACH[],7,FALSE),"")</f>
        <v/>
      </c>
      <c r="Q92" s="202" t="str">
        <f>IFERROR(VLOOKUP(TableHandbook[[#This Row],[UDC]],TableMJRPTCHEC[],7,FALSE),"")</f>
        <v/>
      </c>
      <c r="R92" s="225" t="str">
        <f>IFERROR(VLOOKUP(TableHandbook[[#This Row],[UDC]],TableMJRPTCHPR[],7,FALSE),"")</f>
        <v/>
      </c>
      <c r="S92" s="225" t="str">
        <f>IFERROR(VLOOKUP(TableHandbook[[#This Row],[UDC]],TableMJRPTCHSC[],7,FALSE),"")</f>
        <v/>
      </c>
      <c r="T92" s="225" t="str">
        <f>IFERROR(VLOOKUP(TableHandbook[[#This Row],[UDC]],TableSTRPSCART[],7,FALSE),"")</f>
        <v/>
      </c>
      <c r="U92" s="225" t="str">
        <f>IFERROR(VLOOKUP(TableHandbook[[#This Row],[UDC]],TableSTRPSCENG[],7,FALSE),"")</f>
        <v/>
      </c>
      <c r="V92" s="225" t="str">
        <f>IFERROR(VLOOKUP(TableHandbook[[#This Row],[UDC]],TableSTRPSCHLP[],7,FALSE),"")</f>
        <v/>
      </c>
      <c r="W92" s="225" t="str">
        <f>IFERROR(VLOOKUP(TableHandbook[[#This Row],[UDC]],TableSTRPSCHUS[],7,FALSE),"")</f>
        <v/>
      </c>
      <c r="X92" s="225" t="str">
        <f>IFERROR(VLOOKUP(TableHandbook[[#This Row],[UDC]],TableSTRPSCMAT[],7,FALSE),"")</f>
        <v/>
      </c>
      <c r="Y92" s="225" t="str">
        <f>IFERROR(VLOOKUP(TableHandbook[[#This Row],[UDC]],TableSTRPSCSCI[],7,FALSE),"")</f>
        <v/>
      </c>
      <c r="Z92" s="227" t="str">
        <f>IFERROR(VLOOKUP(TableHandbook[[#This Row],[UDC]],TableSTRPSCFON[],7,FALSE),"")</f>
        <v/>
      </c>
      <c r="AA92" s="228" t="str">
        <f>IFERROR(VLOOKUP(TableHandbook[[#This Row],[UDC]],TableGCTESOL[],7,FALSE),"")</f>
        <v/>
      </c>
      <c r="AB92" s="225" t="str">
        <f>IFERROR(VLOOKUP(TableHandbook[[#This Row],[UDC]],TableMCTESOL[],7,FALSE),"")</f>
        <v/>
      </c>
      <c r="AC92" s="227" t="str">
        <f>IFERROR(VLOOKUP(TableHandbook[[#This Row],[UDC]],TableMCAPLING[],7,FALSE),"")</f>
        <v/>
      </c>
      <c r="AD92" s="218" t="str">
        <f>IFERROR(VLOOKUP(TableHandbook[[#This Row],[UDC]],TableGCEDHE[],7,FALSE),"")</f>
        <v/>
      </c>
      <c r="AE92" s="228" t="str">
        <f>IFERROR(VLOOKUP(TableHandbook[[#This Row],[UDC]],TableGCEDUC[],7,FALSE),"")</f>
        <v/>
      </c>
      <c r="AF92" s="223" t="str">
        <f>IFERROR(VLOOKUP(TableHandbook[[#This Row],[UDC]],TableGDEDUC[],7,FALSE),"")</f>
        <v/>
      </c>
      <c r="AG92" s="223" t="str">
        <f>IFERROR(VLOOKUP(TableHandbook[[#This Row],[UDC]],TableMJRPEDUPR[],7,FALSE),"")</f>
        <v/>
      </c>
      <c r="AH92" s="223" t="str">
        <f>IFERROR(VLOOKUP(TableHandbook[[#This Row],[UDC]],TableMJRPEDUSC[],7,FALSE),"")</f>
        <v/>
      </c>
      <c r="AI92" s="225" t="str">
        <f>IFERROR(VLOOKUP(TableHandbook[[#This Row],[UDC]],TableMCEDUC[],7,FALSE),"")</f>
        <v/>
      </c>
      <c r="AJ92" s="225" t="str">
        <f>IFERROR(VLOOKUP(TableHandbook[[#This Row],[UDC]],TableSPPECULIN[],7,FALSE),"")</f>
        <v/>
      </c>
      <c r="AK92" s="225" t="str">
        <f>IFERROR(VLOOKUP(TableHandbook[[#This Row],[UDC]],TableSPPELNTCH[],7,FALSE),"")</f>
        <v/>
      </c>
      <c r="AL92" s="227" t="str">
        <f>IFERROR(VLOOKUP(TableHandbook[[#This Row],[UDC]],TableSPPESTEME[],7,FALSE),"")</f>
        <v/>
      </c>
    </row>
    <row r="93" spans="1:38" x14ac:dyDescent="0.25">
      <c r="A93" s="3" t="s">
        <v>253</v>
      </c>
      <c r="B93" s="4"/>
      <c r="C93" s="3"/>
      <c r="D93" s="3" t="s">
        <v>399</v>
      </c>
      <c r="E93" s="4">
        <v>25</v>
      </c>
      <c r="F93" s="81" t="s">
        <v>388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201"/>
      <c r="P93" s="202" t="str">
        <f>IFERROR(VLOOKUP(TableHandbook[[#This Row],[UDC]],TableMCTEACH[],7,FALSE),"")</f>
        <v/>
      </c>
      <c r="Q93" s="202" t="str">
        <f>IFERROR(VLOOKUP(TableHandbook[[#This Row],[UDC]],TableMJRPTCHEC[],7,FALSE),"")</f>
        <v/>
      </c>
      <c r="R93" s="225" t="str">
        <f>IFERROR(VLOOKUP(TableHandbook[[#This Row],[UDC]],TableMJRPTCHPR[],7,FALSE),"")</f>
        <v/>
      </c>
      <c r="S93" s="225" t="str">
        <f>IFERROR(VLOOKUP(TableHandbook[[#This Row],[UDC]],TableMJRPTCHSC[],7,FALSE),"")</f>
        <v/>
      </c>
      <c r="T93" s="225" t="str">
        <f>IFERROR(VLOOKUP(TableHandbook[[#This Row],[UDC]],TableSTRPSCART[],7,FALSE),"")</f>
        <v/>
      </c>
      <c r="U93" s="225" t="str">
        <f>IFERROR(VLOOKUP(TableHandbook[[#This Row],[UDC]],TableSTRPSCENG[],7,FALSE),"")</f>
        <v/>
      </c>
      <c r="V93" s="225" t="str">
        <f>IFERROR(VLOOKUP(TableHandbook[[#This Row],[UDC]],TableSTRPSCHLP[],7,FALSE),"")</f>
        <v/>
      </c>
      <c r="W93" s="225" t="str">
        <f>IFERROR(VLOOKUP(TableHandbook[[#This Row],[UDC]],TableSTRPSCHUS[],7,FALSE),"")</f>
        <v/>
      </c>
      <c r="X93" s="225" t="str">
        <f>IFERROR(VLOOKUP(TableHandbook[[#This Row],[UDC]],TableSTRPSCMAT[],7,FALSE),"")</f>
        <v/>
      </c>
      <c r="Y93" s="225" t="str">
        <f>IFERROR(VLOOKUP(TableHandbook[[#This Row],[UDC]],TableSTRPSCSCI[],7,FALSE),"")</f>
        <v/>
      </c>
      <c r="Z93" s="227" t="str">
        <f>IFERROR(VLOOKUP(TableHandbook[[#This Row],[UDC]],TableSTRPSCFON[],7,FALSE),"")</f>
        <v/>
      </c>
      <c r="AA93" s="228" t="str">
        <f>IFERROR(VLOOKUP(TableHandbook[[#This Row],[UDC]],TableGCTESOL[],7,FALSE),"")</f>
        <v/>
      </c>
      <c r="AB93" s="225" t="str">
        <f>IFERROR(VLOOKUP(TableHandbook[[#This Row],[UDC]],TableMCTESOL[],7,FALSE),"")</f>
        <v/>
      </c>
      <c r="AC93" s="227" t="str">
        <f>IFERROR(VLOOKUP(TableHandbook[[#This Row],[UDC]],TableMCAPLING[],7,FALSE),"")</f>
        <v/>
      </c>
      <c r="AD93" s="218" t="str">
        <f>IFERROR(VLOOKUP(TableHandbook[[#This Row],[UDC]],TableGCEDHE[],7,FALSE),"")</f>
        <v/>
      </c>
      <c r="AE93" s="228" t="str">
        <f>IFERROR(VLOOKUP(TableHandbook[[#This Row],[UDC]],TableGCEDUC[],7,FALSE),"")</f>
        <v/>
      </c>
      <c r="AF93" s="223" t="str">
        <f>IFERROR(VLOOKUP(TableHandbook[[#This Row],[UDC]],TableGDEDUC[],7,FALSE),"")</f>
        <v/>
      </c>
      <c r="AG93" s="223" t="str">
        <f>IFERROR(VLOOKUP(TableHandbook[[#This Row],[UDC]],TableMJRPEDUPR[],7,FALSE),"")</f>
        <v/>
      </c>
      <c r="AH93" s="223" t="str">
        <f>IFERROR(VLOOKUP(TableHandbook[[#This Row],[UDC]],TableMJRPEDUSC[],7,FALSE),"")</f>
        <v/>
      </c>
      <c r="AI93" s="225" t="str">
        <f>IFERROR(VLOOKUP(TableHandbook[[#This Row],[UDC]],TableMCEDUC[],7,FALSE),"")</f>
        <v/>
      </c>
      <c r="AJ93" s="225" t="str">
        <f>IFERROR(VLOOKUP(TableHandbook[[#This Row],[UDC]],TableSPPECULIN[],7,FALSE),"")</f>
        <v/>
      </c>
      <c r="AK93" s="225" t="str">
        <f>IFERROR(VLOOKUP(TableHandbook[[#This Row],[UDC]],TableSPPELNTCH[],7,FALSE),"")</f>
        <v/>
      </c>
      <c r="AL93" s="227" t="str">
        <f>IFERROR(VLOOKUP(TableHandbook[[#This Row],[UDC]],TableSPPESTEME[],7,FALSE),"")</f>
        <v/>
      </c>
    </row>
    <row r="94" spans="1:38" x14ac:dyDescent="0.25">
      <c r="A94" s="3" t="s">
        <v>400</v>
      </c>
      <c r="B94" s="4">
        <v>0</v>
      </c>
      <c r="C94" s="3"/>
      <c r="D94" s="3" t="s">
        <v>401</v>
      </c>
      <c r="E94" s="4">
        <v>50</v>
      </c>
      <c r="F94" s="81" t="s">
        <v>174</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201"/>
      <c r="P94" s="202" t="str">
        <f>IFERROR(VLOOKUP(TableHandbook[[#This Row],[UDC]],TableMCTEACH[],7,FALSE),"")</f>
        <v/>
      </c>
      <c r="Q94" s="202" t="str">
        <f>IFERROR(VLOOKUP(TableHandbook[[#This Row],[UDC]],TableMJRPTCHEC[],7,FALSE),"")</f>
        <v/>
      </c>
      <c r="R94" s="225" t="str">
        <f>IFERROR(VLOOKUP(TableHandbook[[#This Row],[UDC]],TableMJRPTCHPR[],7,FALSE),"")</f>
        <v/>
      </c>
      <c r="S94" s="225" t="str">
        <f>IFERROR(VLOOKUP(TableHandbook[[#This Row],[UDC]],TableMJRPTCHSC[],7,FALSE),"")</f>
        <v/>
      </c>
      <c r="T94" s="225" t="str">
        <f>IFERROR(VLOOKUP(TableHandbook[[#This Row],[UDC]],TableSTRPSCART[],7,FALSE),"")</f>
        <v/>
      </c>
      <c r="U94" s="225" t="str">
        <f>IFERROR(VLOOKUP(TableHandbook[[#This Row],[UDC]],TableSTRPSCENG[],7,FALSE),"")</f>
        <v/>
      </c>
      <c r="V94" s="225" t="str">
        <f>IFERROR(VLOOKUP(TableHandbook[[#This Row],[UDC]],TableSTRPSCHLP[],7,FALSE),"")</f>
        <v/>
      </c>
      <c r="W94" s="225" t="str">
        <f>IFERROR(VLOOKUP(TableHandbook[[#This Row],[UDC]],TableSTRPSCHUS[],7,FALSE),"")</f>
        <v/>
      </c>
      <c r="X94" s="225" t="str">
        <f>IFERROR(VLOOKUP(TableHandbook[[#This Row],[UDC]],TableSTRPSCMAT[],7,FALSE),"")</f>
        <v/>
      </c>
      <c r="Y94" s="225" t="str">
        <f>IFERROR(VLOOKUP(TableHandbook[[#This Row],[UDC]],TableSTRPSCSCI[],7,FALSE),"")</f>
        <v/>
      </c>
      <c r="Z94" s="227" t="str">
        <f>IFERROR(VLOOKUP(TableHandbook[[#This Row],[UDC]],TableSTRPSCFON[],7,FALSE),"")</f>
        <v/>
      </c>
      <c r="AA94" s="228" t="str">
        <f>IFERROR(VLOOKUP(TableHandbook[[#This Row],[UDC]],TableGCTESOL[],7,FALSE),"")</f>
        <v/>
      </c>
      <c r="AB94" s="225" t="str">
        <f>IFERROR(VLOOKUP(TableHandbook[[#This Row],[UDC]],TableMCTESOL[],7,FALSE),"")</f>
        <v/>
      </c>
      <c r="AC94" s="227" t="str">
        <f>IFERROR(VLOOKUP(TableHandbook[[#This Row],[UDC]],TableMCAPLING[],7,FALSE),"")</f>
        <v/>
      </c>
      <c r="AD94" s="218" t="str">
        <f>IFERROR(VLOOKUP(TableHandbook[[#This Row],[UDC]],TableGCEDHE[],7,FALSE),"")</f>
        <v/>
      </c>
      <c r="AE94" s="228" t="str">
        <f>IFERROR(VLOOKUP(TableHandbook[[#This Row],[UDC]],TableGCEDUC[],7,FALSE),"")</f>
        <v/>
      </c>
      <c r="AF94" s="223" t="str">
        <f>IFERROR(VLOOKUP(TableHandbook[[#This Row],[UDC]],TableGDEDUC[],7,FALSE),"")</f>
        <v/>
      </c>
      <c r="AG94" s="223" t="str">
        <f>IFERROR(VLOOKUP(TableHandbook[[#This Row],[UDC]],TableMJRPEDUPR[],7,FALSE),"")</f>
        <v/>
      </c>
      <c r="AH94" s="223" t="str">
        <f>IFERROR(VLOOKUP(TableHandbook[[#This Row],[UDC]],TableMJRPEDUSC[],7,FALSE),"")</f>
        <v/>
      </c>
      <c r="AI94" s="225" t="str">
        <f>IFERROR(VLOOKUP(TableHandbook[[#This Row],[UDC]],TableMCEDUC[],7,FALSE),"")</f>
        <v/>
      </c>
      <c r="AJ94" s="225" t="str">
        <f>IFERROR(VLOOKUP(TableHandbook[[#This Row],[UDC]],TableSPPECULIN[],7,FALSE),"")</f>
        <v/>
      </c>
      <c r="AK94" s="225" t="str">
        <f>IFERROR(VLOOKUP(TableHandbook[[#This Row],[UDC]],TableSPPELNTCH[],7,FALSE),"")</f>
        <v/>
      </c>
      <c r="AL94" s="227" t="str">
        <f>IFERROR(VLOOKUP(TableHandbook[[#This Row],[UDC]],TableSPPESTEME[],7,FALSE),"")</f>
        <v/>
      </c>
    </row>
    <row r="95" spans="1:38" x14ac:dyDescent="0.25">
      <c r="A95" s="3" t="s">
        <v>265</v>
      </c>
      <c r="B95" s="4"/>
      <c r="C95" s="3"/>
      <c r="D95" s="3" t="s">
        <v>402</v>
      </c>
      <c r="E95" s="4">
        <v>25</v>
      </c>
      <c r="F95" s="81" t="s">
        <v>388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201"/>
      <c r="P95" s="202" t="str">
        <f>IFERROR(VLOOKUP(TableHandbook[[#This Row],[UDC]],TableMCTEACH[],7,FALSE),"")</f>
        <v/>
      </c>
      <c r="Q95" s="202" t="str">
        <f>IFERROR(VLOOKUP(TableHandbook[[#This Row],[UDC]],TableMJRPTCHEC[],7,FALSE),"")</f>
        <v/>
      </c>
      <c r="R95" s="225" t="str">
        <f>IFERROR(VLOOKUP(TableHandbook[[#This Row],[UDC]],TableMJRPTCHPR[],7,FALSE),"")</f>
        <v/>
      </c>
      <c r="S95" s="225" t="str">
        <f>IFERROR(VLOOKUP(TableHandbook[[#This Row],[UDC]],TableMJRPTCHSC[],7,FALSE),"")</f>
        <v/>
      </c>
      <c r="T95" s="225" t="str">
        <f>IFERROR(VLOOKUP(TableHandbook[[#This Row],[UDC]],TableSTRPSCART[],7,FALSE),"")</f>
        <v/>
      </c>
      <c r="U95" s="225" t="str">
        <f>IFERROR(VLOOKUP(TableHandbook[[#This Row],[UDC]],TableSTRPSCENG[],7,FALSE),"")</f>
        <v/>
      </c>
      <c r="V95" s="225" t="str">
        <f>IFERROR(VLOOKUP(TableHandbook[[#This Row],[UDC]],TableSTRPSCHLP[],7,FALSE),"")</f>
        <v/>
      </c>
      <c r="W95" s="225" t="str">
        <f>IFERROR(VLOOKUP(TableHandbook[[#This Row],[UDC]],TableSTRPSCHUS[],7,FALSE),"")</f>
        <v/>
      </c>
      <c r="X95" s="225" t="str">
        <f>IFERROR(VLOOKUP(TableHandbook[[#This Row],[UDC]],TableSTRPSCMAT[],7,FALSE),"")</f>
        <v/>
      </c>
      <c r="Y95" s="225" t="str">
        <f>IFERROR(VLOOKUP(TableHandbook[[#This Row],[UDC]],TableSTRPSCSCI[],7,FALSE),"")</f>
        <v/>
      </c>
      <c r="Z95" s="227" t="str">
        <f>IFERROR(VLOOKUP(TableHandbook[[#This Row],[UDC]],TableSTRPSCFON[],7,FALSE),"")</f>
        <v/>
      </c>
      <c r="AA95" s="228" t="str">
        <f>IFERROR(VLOOKUP(TableHandbook[[#This Row],[UDC]],TableGCTESOL[],7,FALSE),"")</f>
        <v/>
      </c>
      <c r="AB95" s="225" t="str">
        <f>IFERROR(VLOOKUP(TableHandbook[[#This Row],[UDC]],TableMCTESOL[],7,FALSE),"")</f>
        <v/>
      </c>
      <c r="AC95" s="227" t="str">
        <f>IFERROR(VLOOKUP(TableHandbook[[#This Row],[UDC]],TableMCAPLING[],7,FALSE),"")</f>
        <v/>
      </c>
      <c r="AD95" s="218" t="str">
        <f>IFERROR(VLOOKUP(TableHandbook[[#This Row],[UDC]],TableGCEDHE[],7,FALSE),"")</f>
        <v/>
      </c>
      <c r="AE95" s="228" t="str">
        <f>IFERROR(VLOOKUP(TableHandbook[[#This Row],[UDC]],TableGCEDUC[],7,FALSE),"")</f>
        <v/>
      </c>
      <c r="AF95" s="223" t="str">
        <f>IFERROR(VLOOKUP(TableHandbook[[#This Row],[UDC]],TableGDEDUC[],7,FALSE),"")</f>
        <v/>
      </c>
      <c r="AG95" s="223" t="str">
        <f>IFERROR(VLOOKUP(TableHandbook[[#This Row],[UDC]],TableMJRPEDUPR[],7,FALSE),"")</f>
        <v/>
      </c>
      <c r="AH95" s="223" t="str">
        <f>IFERROR(VLOOKUP(TableHandbook[[#This Row],[UDC]],TableMJRPEDUSC[],7,FALSE),"")</f>
        <v/>
      </c>
      <c r="AI95" s="225" t="str">
        <f>IFERROR(VLOOKUP(TableHandbook[[#This Row],[UDC]],TableMCEDUC[],7,FALSE),"")</f>
        <v/>
      </c>
      <c r="AJ95" s="225" t="str">
        <f>IFERROR(VLOOKUP(TableHandbook[[#This Row],[UDC]],TableSPPECULIN[],7,FALSE),"")</f>
        <v/>
      </c>
      <c r="AK95" s="225" t="str">
        <f>IFERROR(VLOOKUP(TableHandbook[[#This Row],[UDC]],TableSPPELNTCH[],7,FALSE),"")</f>
        <v/>
      </c>
      <c r="AL95" s="227" t="str">
        <f>IFERROR(VLOOKUP(TableHandbook[[#This Row],[UDC]],TableSPPESTEME[],7,FALSE),"")</f>
        <v/>
      </c>
    </row>
    <row r="96" spans="1:38" x14ac:dyDescent="0.25">
      <c r="A96" s="3" t="s">
        <v>46</v>
      </c>
      <c r="B96" s="4" t="s">
        <v>403</v>
      </c>
      <c r="C96" s="3"/>
      <c r="D96" s="3" t="s">
        <v>404</v>
      </c>
      <c r="E96" s="4" t="s">
        <v>405</v>
      </c>
      <c r="F96" s="81" t="s">
        <v>174</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201"/>
      <c r="P96" s="202" t="str">
        <f>IFERROR(VLOOKUP(TableHandbook[[#This Row],[UDC]],TableMCTEACH[],7,FALSE),"")</f>
        <v/>
      </c>
      <c r="Q96" s="202" t="str">
        <f>IFERROR(VLOOKUP(TableHandbook[[#This Row],[UDC]],TableMJRPTCHEC[],7,FALSE),"")</f>
        <v/>
      </c>
      <c r="R96" s="225" t="str">
        <f>IFERROR(VLOOKUP(TableHandbook[[#This Row],[UDC]],TableMJRPTCHPR[],7,FALSE),"")</f>
        <v/>
      </c>
      <c r="S96" s="225" t="str">
        <f>IFERROR(VLOOKUP(TableHandbook[[#This Row],[UDC]],TableMJRPTCHSC[],7,FALSE),"")</f>
        <v>Option</v>
      </c>
      <c r="T96" s="225" t="str">
        <f>IFERROR(VLOOKUP(TableHandbook[[#This Row],[UDC]],TableSTRPSCART[],7,FALSE),"")</f>
        <v/>
      </c>
      <c r="U96" s="225" t="str">
        <f>IFERROR(VLOOKUP(TableHandbook[[#This Row],[UDC]],TableSTRPSCENG[],7,FALSE),"")</f>
        <v/>
      </c>
      <c r="V96" s="225" t="str">
        <f>IFERROR(VLOOKUP(TableHandbook[[#This Row],[UDC]],TableSTRPSCHLP[],7,FALSE),"")</f>
        <v/>
      </c>
      <c r="W96" s="225" t="str">
        <f>IFERROR(VLOOKUP(TableHandbook[[#This Row],[UDC]],TableSTRPSCHUS[],7,FALSE),"")</f>
        <v/>
      </c>
      <c r="X96" s="225" t="str">
        <f>IFERROR(VLOOKUP(TableHandbook[[#This Row],[UDC]],TableSTRPSCMAT[],7,FALSE),"")</f>
        <v/>
      </c>
      <c r="Y96" s="225" t="str">
        <f>IFERROR(VLOOKUP(TableHandbook[[#This Row],[UDC]],TableSTRPSCSCI[],7,FALSE),"")</f>
        <v/>
      </c>
      <c r="Z96" s="227" t="str">
        <f>IFERROR(VLOOKUP(TableHandbook[[#This Row],[UDC]],TableSTRPSCFON[],7,FALSE),"")</f>
        <v/>
      </c>
      <c r="AA96" s="228" t="str">
        <f>IFERROR(VLOOKUP(TableHandbook[[#This Row],[UDC]],TableGCTESOL[],7,FALSE),"")</f>
        <v/>
      </c>
      <c r="AB96" s="225" t="str">
        <f>IFERROR(VLOOKUP(TableHandbook[[#This Row],[UDC]],TableMCTESOL[],7,FALSE),"")</f>
        <v/>
      </c>
      <c r="AC96" s="227" t="str">
        <f>IFERROR(VLOOKUP(TableHandbook[[#This Row],[UDC]],TableMCAPLING[],7,FALSE),"")</f>
        <v/>
      </c>
      <c r="AD96" s="218" t="str">
        <f>IFERROR(VLOOKUP(TableHandbook[[#This Row],[UDC]],TableGCEDHE[],7,FALSE),"")</f>
        <v/>
      </c>
      <c r="AE96" s="228" t="str">
        <f>IFERROR(VLOOKUP(TableHandbook[[#This Row],[UDC]],TableGCEDUC[],7,FALSE),"")</f>
        <v/>
      </c>
      <c r="AF96" s="223" t="str">
        <f>IFERROR(VLOOKUP(TableHandbook[[#This Row],[UDC]],TableGDEDUC[],7,FALSE),"")</f>
        <v/>
      </c>
      <c r="AG96" s="223" t="str">
        <f>IFERROR(VLOOKUP(TableHandbook[[#This Row],[UDC]],TableMJRPEDUPR[],7,FALSE),"")</f>
        <v/>
      </c>
      <c r="AH96" s="223" t="str">
        <f>IFERROR(VLOOKUP(TableHandbook[[#This Row],[UDC]],TableMJRPEDUSC[],7,FALSE),"")</f>
        <v>Option</v>
      </c>
      <c r="AI96" s="225" t="str">
        <f>IFERROR(VLOOKUP(TableHandbook[[#This Row],[UDC]],TableMCEDUC[],7,FALSE),"")</f>
        <v/>
      </c>
      <c r="AJ96" s="225" t="str">
        <f>IFERROR(VLOOKUP(TableHandbook[[#This Row],[UDC]],TableSPPECULIN[],7,FALSE),"")</f>
        <v/>
      </c>
      <c r="AK96" s="225" t="str">
        <f>IFERROR(VLOOKUP(TableHandbook[[#This Row],[UDC]],TableSPPELNTCH[],7,FALSE),"")</f>
        <v/>
      </c>
      <c r="AL96" s="227" t="str">
        <f>IFERROR(VLOOKUP(TableHandbook[[#This Row],[UDC]],TableSPPESTEME[],7,FALSE),"")</f>
        <v/>
      </c>
    </row>
    <row r="97" spans="1:38" x14ac:dyDescent="0.25">
      <c r="A97" s="3" t="s">
        <v>252</v>
      </c>
      <c r="B97" s="4" t="s">
        <v>403</v>
      </c>
      <c r="C97" s="3"/>
      <c r="D97" s="3" t="s">
        <v>406</v>
      </c>
      <c r="E97" s="4" t="s">
        <v>405</v>
      </c>
      <c r="F97" s="81" t="s">
        <v>174</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201"/>
      <c r="P97" s="202" t="str">
        <f>IFERROR(VLOOKUP(TableHandbook[[#This Row],[UDC]],TableMCTEACH[],7,FALSE),"")</f>
        <v/>
      </c>
      <c r="Q97" s="202" t="str">
        <f>IFERROR(VLOOKUP(TableHandbook[[#This Row],[UDC]],TableMJRPTCHEC[],7,FALSE),"")</f>
        <v/>
      </c>
      <c r="R97" s="225" t="str">
        <f>IFERROR(VLOOKUP(TableHandbook[[#This Row],[UDC]],TableMJRPTCHPR[],7,FALSE),"")</f>
        <v/>
      </c>
      <c r="S97" s="225" t="str">
        <f>IFERROR(VLOOKUP(TableHandbook[[#This Row],[UDC]],TableMJRPTCHSC[],7,FALSE),"")</f>
        <v>Option</v>
      </c>
      <c r="T97" s="225" t="str">
        <f>IFERROR(VLOOKUP(TableHandbook[[#This Row],[UDC]],TableSTRPSCART[],7,FALSE),"")</f>
        <v/>
      </c>
      <c r="U97" s="225" t="str">
        <f>IFERROR(VLOOKUP(TableHandbook[[#This Row],[UDC]],TableSTRPSCENG[],7,FALSE),"")</f>
        <v/>
      </c>
      <c r="V97" s="225" t="str">
        <f>IFERROR(VLOOKUP(TableHandbook[[#This Row],[UDC]],TableSTRPSCHLP[],7,FALSE),"")</f>
        <v/>
      </c>
      <c r="W97" s="225" t="str">
        <f>IFERROR(VLOOKUP(TableHandbook[[#This Row],[UDC]],TableSTRPSCHUS[],7,FALSE),"")</f>
        <v/>
      </c>
      <c r="X97" s="225" t="str">
        <f>IFERROR(VLOOKUP(TableHandbook[[#This Row],[UDC]],TableSTRPSCMAT[],7,FALSE),"")</f>
        <v/>
      </c>
      <c r="Y97" s="225" t="str">
        <f>IFERROR(VLOOKUP(TableHandbook[[#This Row],[UDC]],TableSTRPSCSCI[],7,FALSE),"")</f>
        <v/>
      </c>
      <c r="Z97" s="227" t="str">
        <f>IFERROR(VLOOKUP(TableHandbook[[#This Row],[UDC]],TableSTRPSCFON[],7,FALSE),"")</f>
        <v/>
      </c>
      <c r="AA97" s="228" t="str">
        <f>IFERROR(VLOOKUP(TableHandbook[[#This Row],[UDC]],TableGCTESOL[],7,FALSE),"")</f>
        <v/>
      </c>
      <c r="AB97" s="225" t="str">
        <f>IFERROR(VLOOKUP(TableHandbook[[#This Row],[UDC]],TableMCTESOL[],7,FALSE),"")</f>
        <v/>
      </c>
      <c r="AC97" s="227" t="str">
        <f>IFERROR(VLOOKUP(TableHandbook[[#This Row],[UDC]],TableMCAPLING[],7,FALSE),"")</f>
        <v/>
      </c>
      <c r="AD97" s="218" t="str">
        <f>IFERROR(VLOOKUP(TableHandbook[[#This Row],[UDC]],TableGCEDHE[],7,FALSE),"")</f>
        <v/>
      </c>
      <c r="AE97" s="228" t="str">
        <f>IFERROR(VLOOKUP(TableHandbook[[#This Row],[UDC]],TableGCEDUC[],7,FALSE),"")</f>
        <v/>
      </c>
      <c r="AF97" s="223" t="str">
        <f>IFERROR(VLOOKUP(TableHandbook[[#This Row],[UDC]],TableGDEDUC[],7,FALSE),"")</f>
        <v/>
      </c>
      <c r="AG97" s="223" t="str">
        <f>IFERROR(VLOOKUP(TableHandbook[[#This Row],[UDC]],TableMJRPEDUPR[],7,FALSE),"")</f>
        <v/>
      </c>
      <c r="AH97" s="223" t="str">
        <f>IFERROR(VLOOKUP(TableHandbook[[#This Row],[UDC]],TableMJRPEDUSC[],7,FALSE),"")</f>
        <v>Option</v>
      </c>
      <c r="AI97" s="225" t="str">
        <f>IFERROR(VLOOKUP(TableHandbook[[#This Row],[UDC]],TableMCEDUC[],7,FALSE),"")</f>
        <v/>
      </c>
      <c r="AJ97" s="225" t="str">
        <f>IFERROR(VLOOKUP(TableHandbook[[#This Row],[UDC]],TableSPPECULIN[],7,FALSE),"")</f>
        <v/>
      </c>
      <c r="AK97" s="225" t="str">
        <f>IFERROR(VLOOKUP(TableHandbook[[#This Row],[UDC]],TableSPPELNTCH[],7,FALSE),"")</f>
        <v/>
      </c>
      <c r="AL97" s="227" t="str">
        <f>IFERROR(VLOOKUP(TableHandbook[[#This Row],[UDC]],TableSPPESTEME[],7,FALSE),"")</f>
        <v/>
      </c>
    </row>
    <row r="98" spans="1:38" x14ac:dyDescent="0.25">
      <c r="A98" s="3" t="s">
        <v>250</v>
      </c>
      <c r="B98" s="4" t="s">
        <v>403</v>
      </c>
      <c r="C98" s="3"/>
      <c r="D98" s="3" t="s">
        <v>407</v>
      </c>
      <c r="E98" s="4" t="s">
        <v>405</v>
      </c>
      <c r="F98" s="81" t="s">
        <v>174</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201"/>
      <c r="P98" s="202" t="str">
        <f>IFERROR(VLOOKUP(TableHandbook[[#This Row],[UDC]],TableMCTEACH[],7,FALSE),"")</f>
        <v/>
      </c>
      <c r="Q98" s="202" t="str">
        <f>IFERROR(VLOOKUP(TableHandbook[[#This Row],[UDC]],TableMJRPTCHEC[],7,FALSE),"")</f>
        <v/>
      </c>
      <c r="R98" s="225" t="str">
        <f>IFERROR(VLOOKUP(TableHandbook[[#This Row],[UDC]],TableMJRPTCHPR[],7,FALSE),"")</f>
        <v/>
      </c>
      <c r="S98" s="225" t="str">
        <f>IFERROR(VLOOKUP(TableHandbook[[#This Row],[UDC]],TableMJRPTCHSC[],7,FALSE),"")</f>
        <v>Option</v>
      </c>
      <c r="T98" s="225" t="str">
        <f>IFERROR(VLOOKUP(TableHandbook[[#This Row],[UDC]],TableSTRPSCART[],7,FALSE),"")</f>
        <v/>
      </c>
      <c r="U98" s="225" t="str">
        <f>IFERROR(VLOOKUP(TableHandbook[[#This Row],[UDC]],TableSTRPSCENG[],7,FALSE),"")</f>
        <v/>
      </c>
      <c r="V98" s="225" t="str">
        <f>IFERROR(VLOOKUP(TableHandbook[[#This Row],[UDC]],TableSTRPSCHLP[],7,FALSE),"")</f>
        <v/>
      </c>
      <c r="W98" s="225" t="str">
        <f>IFERROR(VLOOKUP(TableHandbook[[#This Row],[UDC]],TableSTRPSCHUS[],7,FALSE),"")</f>
        <v/>
      </c>
      <c r="X98" s="225" t="str">
        <f>IFERROR(VLOOKUP(TableHandbook[[#This Row],[UDC]],TableSTRPSCMAT[],7,FALSE),"")</f>
        <v/>
      </c>
      <c r="Y98" s="225" t="str">
        <f>IFERROR(VLOOKUP(TableHandbook[[#This Row],[UDC]],TableSTRPSCSCI[],7,FALSE),"")</f>
        <v/>
      </c>
      <c r="Z98" s="227" t="str">
        <f>IFERROR(VLOOKUP(TableHandbook[[#This Row],[UDC]],TableSTRPSCFON[],7,FALSE),"")</f>
        <v/>
      </c>
      <c r="AA98" s="228" t="str">
        <f>IFERROR(VLOOKUP(TableHandbook[[#This Row],[UDC]],TableGCTESOL[],7,FALSE),"")</f>
        <v/>
      </c>
      <c r="AB98" s="225" t="str">
        <f>IFERROR(VLOOKUP(TableHandbook[[#This Row],[UDC]],TableMCTESOL[],7,FALSE),"")</f>
        <v/>
      </c>
      <c r="AC98" s="227" t="str">
        <f>IFERROR(VLOOKUP(TableHandbook[[#This Row],[UDC]],TableMCAPLING[],7,FALSE),"")</f>
        <v/>
      </c>
      <c r="AD98" s="218" t="str">
        <f>IFERROR(VLOOKUP(TableHandbook[[#This Row],[UDC]],TableGCEDHE[],7,FALSE),"")</f>
        <v/>
      </c>
      <c r="AE98" s="228" t="str">
        <f>IFERROR(VLOOKUP(TableHandbook[[#This Row],[UDC]],TableGCEDUC[],7,FALSE),"")</f>
        <v/>
      </c>
      <c r="AF98" s="223" t="str">
        <f>IFERROR(VLOOKUP(TableHandbook[[#This Row],[UDC]],TableGDEDUC[],7,FALSE),"")</f>
        <v/>
      </c>
      <c r="AG98" s="223" t="str">
        <f>IFERROR(VLOOKUP(TableHandbook[[#This Row],[UDC]],TableMJRPEDUPR[],7,FALSE),"")</f>
        <v/>
      </c>
      <c r="AH98" s="223" t="str">
        <f>IFERROR(VLOOKUP(TableHandbook[[#This Row],[UDC]],TableMJRPEDUSC[],7,FALSE),"")</f>
        <v/>
      </c>
      <c r="AI98" s="225" t="str">
        <f>IFERROR(VLOOKUP(TableHandbook[[#This Row],[UDC]],TableMCEDUC[],7,FALSE),"")</f>
        <v/>
      </c>
      <c r="AJ98" s="225" t="str">
        <f>IFERROR(VLOOKUP(TableHandbook[[#This Row],[UDC]],TableSPPECULIN[],7,FALSE),"")</f>
        <v/>
      </c>
      <c r="AK98" s="225" t="str">
        <f>IFERROR(VLOOKUP(TableHandbook[[#This Row],[UDC]],TableSPPELNTCH[],7,FALSE),"")</f>
        <v/>
      </c>
      <c r="AL98" s="227" t="str">
        <f>IFERROR(VLOOKUP(TableHandbook[[#This Row],[UDC]],TableSPPESTEME[],7,FALSE),"")</f>
        <v/>
      </c>
    </row>
    <row r="99" spans="1:38" x14ac:dyDescent="0.25">
      <c r="A99" s="3" t="s">
        <v>254</v>
      </c>
      <c r="B99" s="4" t="s">
        <v>403</v>
      </c>
      <c r="C99" s="3"/>
      <c r="D99" s="3" t="s">
        <v>408</v>
      </c>
      <c r="E99" s="4" t="s">
        <v>405</v>
      </c>
      <c r="F99" s="81" t="s">
        <v>174</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201"/>
      <c r="P99" s="202" t="str">
        <f>IFERROR(VLOOKUP(TableHandbook[[#This Row],[UDC]],TableMCTEACH[],7,FALSE),"")</f>
        <v/>
      </c>
      <c r="Q99" s="202" t="str">
        <f>IFERROR(VLOOKUP(TableHandbook[[#This Row],[UDC]],TableMJRPTCHEC[],7,FALSE),"")</f>
        <v/>
      </c>
      <c r="R99" s="225" t="str">
        <f>IFERROR(VLOOKUP(TableHandbook[[#This Row],[UDC]],TableMJRPTCHPR[],7,FALSE),"")</f>
        <v/>
      </c>
      <c r="S99" s="225" t="str">
        <f>IFERROR(VLOOKUP(TableHandbook[[#This Row],[UDC]],TableMJRPTCHSC[],7,FALSE),"")</f>
        <v>Option</v>
      </c>
      <c r="T99" s="225" t="str">
        <f>IFERROR(VLOOKUP(TableHandbook[[#This Row],[UDC]],TableSTRPSCART[],7,FALSE),"")</f>
        <v/>
      </c>
      <c r="U99" s="225" t="str">
        <f>IFERROR(VLOOKUP(TableHandbook[[#This Row],[UDC]],TableSTRPSCENG[],7,FALSE),"")</f>
        <v/>
      </c>
      <c r="V99" s="225" t="str">
        <f>IFERROR(VLOOKUP(TableHandbook[[#This Row],[UDC]],TableSTRPSCHLP[],7,FALSE),"")</f>
        <v/>
      </c>
      <c r="W99" s="225" t="str">
        <f>IFERROR(VLOOKUP(TableHandbook[[#This Row],[UDC]],TableSTRPSCHUS[],7,FALSE),"")</f>
        <v/>
      </c>
      <c r="X99" s="225" t="str">
        <f>IFERROR(VLOOKUP(TableHandbook[[#This Row],[UDC]],TableSTRPSCMAT[],7,FALSE),"")</f>
        <v/>
      </c>
      <c r="Y99" s="225" t="str">
        <f>IFERROR(VLOOKUP(TableHandbook[[#This Row],[UDC]],TableSTRPSCSCI[],7,FALSE),"")</f>
        <v/>
      </c>
      <c r="Z99" s="227" t="str">
        <f>IFERROR(VLOOKUP(TableHandbook[[#This Row],[UDC]],TableSTRPSCFON[],7,FALSE),"")</f>
        <v/>
      </c>
      <c r="AA99" s="228" t="str">
        <f>IFERROR(VLOOKUP(TableHandbook[[#This Row],[UDC]],TableGCTESOL[],7,FALSE),"")</f>
        <v/>
      </c>
      <c r="AB99" s="225" t="str">
        <f>IFERROR(VLOOKUP(TableHandbook[[#This Row],[UDC]],TableMCTESOL[],7,FALSE),"")</f>
        <v/>
      </c>
      <c r="AC99" s="227" t="str">
        <f>IFERROR(VLOOKUP(TableHandbook[[#This Row],[UDC]],TableMCAPLING[],7,FALSE),"")</f>
        <v/>
      </c>
      <c r="AD99" s="218" t="str">
        <f>IFERROR(VLOOKUP(TableHandbook[[#This Row],[UDC]],TableGCEDHE[],7,FALSE),"")</f>
        <v/>
      </c>
      <c r="AE99" s="228" t="str">
        <f>IFERROR(VLOOKUP(TableHandbook[[#This Row],[UDC]],TableGCEDUC[],7,FALSE),"")</f>
        <v/>
      </c>
      <c r="AF99" s="223" t="str">
        <f>IFERROR(VLOOKUP(TableHandbook[[#This Row],[UDC]],TableGDEDUC[],7,FALSE),"")</f>
        <v/>
      </c>
      <c r="AG99" s="223" t="str">
        <f>IFERROR(VLOOKUP(TableHandbook[[#This Row],[UDC]],TableMJRPEDUPR[],7,FALSE),"")</f>
        <v/>
      </c>
      <c r="AH99" s="223" t="str">
        <f>IFERROR(VLOOKUP(TableHandbook[[#This Row],[UDC]],TableMJRPEDUSC[],7,FALSE),"")</f>
        <v>Option</v>
      </c>
      <c r="AI99" s="225" t="str">
        <f>IFERROR(VLOOKUP(TableHandbook[[#This Row],[UDC]],TableMCEDUC[],7,FALSE),"")</f>
        <v/>
      </c>
      <c r="AJ99" s="225" t="str">
        <f>IFERROR(VLOOKUP(TableHandbook[[#This Row],[UDC]],TableSPPECULIN[],7,FALSE),"")</f>
        <v/>
      </c>
      <c r="AK99" s="225" t="str">
        <f>IFERROR(VLOOKUP(TableHandbook[[#This Row],[UDC]],TableSPPELNTCH[],7,FALSE),"")</f>
        <v/>
      </c>
      <c r="AL99" s="227" t="str">
        <f>IFERROR(VLOOKUP(TableHandbook[[#This Row],[UDC]],TableSPPESTEME[],7,FALSE),"")</f>
        <v/>
      </c>
    </row>
    <row r="100" spans="1:38" x14ac:dyDescent="0.25">
      <c r="A100" s="3" t="s">
        <v>257</v>
      </c>
      <c r="B100" s="4" t="s">
        <v>403</v>
      </c>
      <c r="C100" s="3"/>
      <c r="D100" s="3" t="s">
        <v>409</v>
      </c>
      <c r="E100" s="4" t="s">
        <v>405</v>
      </c>
      <c r="F100" s="81" t="s">
        <v>174</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201"/>
      <c r="P100" s="202" t="str">
        <f>IFERROR(VLOOKUP(TableHandbook[[#This Row],[UDC]],TableMCTEACH[],7,FALSE),"")</f>
        <v/>
      </c>
      <c r="Q100" s="202" t="str">
        <f>IFERROR(VLOOKUP(TableHandbook[[#This Row],[UDC]],TableMJRPTCHEC[],7,FALSE),"")</f>
        <v/>
      </c>
      <c r="R100" s="225" t="str">
        <f>IFERROR(VLOOKUP(TableHandbook[[#This Row],[UDC]],TableMJRPTCHPR[],7,FALSE),"")</f>
        <v/>
      </c>
      <c r="S100" s="225" t="str">
        <f>IFERROR(VLOOKUP(TableHandbook[[#This Row],[UDC]],TableMJRPTCHSC[],7,FALSE),"")</f>
        <v>Option</v>
      </c>
      <c r="T100" s="225" t="str">
        <f>IFERROR(VLOOKUP(TableHandbook[[#This Row],[UDC]],TableSTRPSCART[],7,FALSE),"")</f>
        <v/>
      </c>
      <c r="U100" s="225" t="str">
        <f>IFERROR(VLOOKUP(TableHandbook[[#This Row],[UDC]],TableSTRPSCENG[],7,FALSE),"")</f>
        <v/>
      </c>
      <c r="V100" s="225" t="str">
        <f>IFERROR(VLOOKUP(TableHandbook[[#This Row],[UDC]],TableSTRPSCHLP[],7,FALSE),"")</f>
        <v/>
      </c>
      <c r="W100" s="225" t="str">
        <f>IFERROR(VLOOKUP(TableHandbook[[#This Row],[UDC]],TableSTRPSCHUS[],7,FALSE),"")</f>
        <v/>
      </c>
      <c r="X100" s="225" t="str">
        <f>IFERROR(VLOOKUP(TableHandbook[[#This Row],[UDC]],TableSTRPSCMAT[],7,FALSE),"")</f>
        <v/>
      </c>
      <c r="Y100" s="225" t="str">
        <f>IFERROR(VLOOKUP(TableHandbook[[#This Row],[UDC]],TableSTRPSCSCI[],7,FALSE),"")</f>
        <v/>
      </c>
      <c r="Z100" s="227" t="str">
        <f>IFERROR(VLOOKUP(TableHandbook[[#This Row],[UDC]],TableSTRPSCFON[],7,FALSE),"")</f>
        <v/>
      </c>
      <c r="AA100" s="228" t="str">
        <f>IFERROR(VLOOKUP(TableHandbook[[#This Row],[UDC]],TableGCTESOL[],7,FALSE),"")</f>
        <v/>
      </c>
      <c r="AB100" s="225" t="str">
        <f>IFERROR(VLOOKUP(TableHandbook[[#This Row],[UDC]],TableMCTESOL[],7,FALSE),"")</f>
        <v/>
      </c>
      <c r="AC100" s="227" t="str">
        <f>IFERROR(VLOOKUP(TableHandbook[[#This Row],[UDC]],TableMCAPLING[],7,FALSE),"")</f>
        <v/>
      </c>
      <c r="AD100" s="218" t="str">
        <f>IFERROR(VLOOKUP(TableHandbook[[#This Row],[UDC]],TableGCEDHE[],7,FALSE),"")</f>
        <v/>
      </c>
      <c r="AE100" s="228" t="str">
        <f>IFERROR(VLOOKUP(TableHandbook[[#This Row],[UDC]],TableGCEDUC[],7,FALSE),"")</f>
        <v/>
      </c>
      <c r="AF100" s="223" t="str">
        <f>IFERROR(VLOOKUP(TableHandbook[[#This Row],[UDC]],TableGDEDUC[],7,FALSE),"")</f>
        <v/>
      </c>
      <c r="AG100" s="223" t="str">
        <f>IFERROR(VLOOKUP(TableHandbook[[#This Row],[UDC]],TableMJRPEDUPR[],7,FALSE),"")</f>
        <v/>
      </c>
      <c r="AH100" s="223" t="str">
        <f>IFERROR(VLOOKUP(TableHandbook[[#This Row],[UDC]],TableMJRPEDUSC[],7,FALSE),"")</f>
        <v>Option</v>
      </c>
      <c r="AI100" s="225" t="str">
        <f>IFERROR(VLOOKUP(TableHandbook[[#This Row],[UDC]],TableMCEDUC[],7,FALSE),"")</f>
        <v/>
      </c>
      <c r="AJ100" s="225" t="str">
        <f>IFERROR(VLOOKUP(TableHandbook[[#This Row],[UDC]],TableSPPECULIN[],7,FALSE),"")</f>
        <v/>
      </c>
      <c r="AK100" s="225" t="str">
        <f>IFERROR(VLOOKUP(TableHandbook[[#This Row],[UDC]],TableSPPELNTCH[],7,FALSE),"")</f>
        <v/>
      </c>
      <c r="AL100" s="227" t="str">
        <f>IFERROR(VLOOKUP(TableHandbook[[#This Row],[UDC]],TableSPPESTEME[],7,FALSE),"")</f>
        <v/>
      </c>
    </row>
    <row r="101" spans="1:38" x14ac:dyDescent="0.25">
      <c r="A101" s="3" t="s">
        <v>259</v>
      </c>
      <c r="B101" s="4" t="s">
        <v>403</v>
      </c>
      <c r="C101" s="3"/>
      <c r="D101" s="3" t="s">
        <v>410</v>
      </c>
      <c r="E101" s="4" t="s">
        <v>405</v>
      </c>
      <c r="F101" s="81" t="s">
        <v>174</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201"/>
      <c r="P101" s="202" t="str">
        <f>IFERROR(VLOOKUP(TableHandbook[[#This Row],[UDC]],TableMCTEACH[],7,FALSE),"")</f>
        <v/>
      </c>
      <c r="Q101" s="202" t="str">
        <f>IFERROR(VLOOKUP(TableHandbook[[#This Row],[UDC]],TableMJRPTCHEC[],7,FALSE),"")</f>
        <v/>
      </c>
      <c r="R101" s="225" t="str">
        <f>IFERROR(VLOOKUP(TableHandbook[[#This Row],[UDC]],TableMJRPTCHPR[],7,FALSE),"")</f>
        <v/>
      </c>
      <c r="S101" s="225" t="str">
        <f>IFERROR(VLOOKUP(TableHandbook[[#This Row],[UDC]],TableMJRPTCHSC[],7,FALSE),"")</f>
        <v>Option</v>
      </c>
      <c r="T101" s="225" t="str">
        <f>IFERROR(VLOOKUP(TableHandbook[[#This Row],[UDC]],TableSTRPSCART[],7,FALSE),"")</f>
        <v/>
      </c>
      <c r="U101" s="225" t="str">
        <f>IFERROR(VLOOKUP(TableHandbook[[#This Row],[UDC]],TableSTRPSCENG[],7,FALSE),"")</f>
        <v/>
      </c>
      <c r="V101" s="225" t="str">
        <f>IFERROR(VLOOKUP(TableHandbook[[#This Row],[UDC]],TableSTRPSCHLP[],7,FALSE),"")</f>
        <v/>
      </c>
      <c r="W101" s="225" t="str">
        <f>IFERROR(VLOOKUP(TableHandbook[[#This Row],[UDC]],TableSTRPSCHUS[],7,FALSE),"")</f>
        <v/>
      </c>
      <c r="X101" s="225" t="str">
        <f>IFERROR(VLOOKUP(TableHandbook[[#This Row],[UDC]],TableSTRPSCMAT[],7,FALSE),"")</f>
        <v/>
      </c>
      <c r="Y101" s="225" t="str">
        <f>IFERROR(VLOOKUP(TableHandbook[[#This Row],[UDC]],TableSTRPSCSCI[],7,FALSE),"")</f>
        <v/>
      </c>
      <c r="Z101" s="227" t="str">
        <f>IFERROR(VLOOKUP(TableHandbook[[#This Row],[UDC]],TableSTRPSCFON[],7,FALSE),"")</f>
        <v/>
      </c>
      <c r="AA101" s="228" t="str">
        <f>IFERROR(VLOOKUP(TableHandbook[[#This Row],[UDC]],TableGCTESOL[],7,FALSE),"")</f>
        <v/>
      </c>
      <c r="AB101" s="225" t="str">
        <f>IFERROR(VLOOKUP(TableHandbook[[#This Row],[UDC]],TableMCTESOL[],7,FALSE),"")</f>
        <v/>
      </c>
      <c r="AC101" s="227" t="str">
        <f>IFERROR(VLOOKUP(TableHandbook[[#This Row],[UDC]],TableMCAPLING[],7,FALSE),"")</f>
        <v/>
      </c>
      <c r="AD101" s="218" t="str">
        <f>IFERROR(VLOOKUP(TableHandbook[[#This Row],[UDC]],TableGCEDHE[],7,FALSE),"")</f>
        <v/>
      </c>
      <c r="AE101" s="228" t="str">
        <f>IFERROR(VLOOKUP(TableHandbook[[#This Row],[UDC]],TableGCEDUC[],7,FALSE),"")</f>
        <v/>
      </c>
      <c r="AF101" s="223" t="str">
        <f>IFERROR(VLOOKUP(TableHandbook[[#This Row],[UDC]],TableGDEDUC[],7,FALSE),"")</f>
        <v/>
      </c>
      <c r="AG101" s="223" t="str">
        <f>IFERROR(VLOOKUP(TableHandbook[[#This Row],[UDC]],TableMJRPEDUPR[],7,FALSE),"")</f>
        <v/>
      </c>
      <c r="AH101" s="223" t="str">
        <f>IFERROR(VLOOKUP(TableHandbook[[#This Row],[UDC]],TableMJRPEDUSC[],7,FALSE),"")</f>
        <v>Option</v>
      </c>
      <c r="AI101" s="225" t="str">
        <f>IFERROR(VLOOKUP(TableHandbook[[#This Row],[UDC]],TableMCEDUC[],7,FALSE),"")</f>
        <v/>
      </c>
      <c r="AJ101" s="225" t="str">
        <f>IFERROR(VLOOKUP(TableHandbook[[#This Row],[UDC]],TableSPPECULIN[],7,FALSE),"")</f>
        <v/>
      </c>
      <c r="AK101" s="225" t="str">
        <f>IFERROR(VLOOKUP(TableHandbook[[#This Row],[UDC]],TableSPPELNTCH[],7,FALSE),"")</f>
        <v/>
      </c>
      <c r="AL101" s="227" t="str">
        <f>IFERROR(VLOOKUP(TableHandbook[[#This Row],[UDC]],TableSPPESTEME[],7,FALSE),"")</f>
        <v/>
      </c>
    </row>
    <row r="102" spans="1:38" x14ac:dyDescent="0.25">
      <c r="A102" s="3" t="s">
        <v>261</v>
      </c>
      <c r="B102" s="4" t="s">
        <v>403</v>
      </c>
      <c r="C102" s="3"/>
      <c r="D102" s="3" t="s">
        <v>411</v>
      </c>
      <c r="E102" s="4" t="s">
        <v>405</v>
      </c>
      <c r="F102" s="81" t="s">
        <v>174</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201"/>
      <c r="P102" s="202" t="str">
        <f>IFERROR(VLOOKUP(TableHandbook[[#This Row],[UDC]],TableMCTEACH[],7,FALSE),"")</f>
        <v/>
      </c>
      <c r="Q102" s="202" t="str">
        <f>IFERROR(VLOOKUP(TableHandbook[[#This Row],[UDC]],TableMJRPTCHEC[],7,FALSE),"")</f>
        <v/>
      </c>
      <c r="R102" s="225" t="str">
        <f>IFERROR(VLOOKUP(TableHandbook[[#This Row],[UDC]],TableMJRPTCHPR[],7,FALSE),"")</f>
        <v/>
      </c>
      <c r="S102" s="225" t="str">
        <f>IFERROR(VLOOKUP(TableHandbook[[#This Row],[UDC]],TableMJRPTCHSC[],7,FALSE),"")</f>
        <v>Option</v>
      </c>
      <c r="T102" s="225" t="str">
        <f>IFERROR(VLOOKUP(TableHandbook[[#This Row],[UDC]],TableSTRPSCART[],7,FALSE),"")</f>
        <v/>
      </c>
      <c r="U102" s="225" t="str">
        <f>IFERROR(VLOOKUP(TableHandbook[[#This Row],[UDC]],TableSTRPSCENG[],7,FALSE),"")</f>
        <v/>
      </c>
      <c r="V102" s="225" t="str">
        <f>IFERROR(VLOOKUP(TableHandbook[[#This Row],[UDC]],TableSTRPSCHLP[],7,FALSE),"")</f>
        <v/>
      </c>
      <c r="W102" s="225" t="str">
        <f>IFERROR(VLOOKUP(TableHandbook[[#This Row],[UDC]],TableSTRPSCHUS[],7,FALSE),"")</f>
        <v/>
      </c>
      <c r="X102" s="225" t="str">
        <f>IFERROR(VLOOKUP(TableHandbook[[#This Row],[UDC]],TableSTRPSCMAT[],7,FALSE),"")</f>
        <v/>
      </c>
      <c r="Y102" s="225" t="str">
        <f>IFERROR(VLOOKUP(TableHandbook[[#This Row],[UDC]],TableSTRPSCSCI[],7,FALSE),"")</f>
        <v/>
      </c>
      <c r="Z102" s="227" t="str">
        <f>IFERROR(VLOOKUP(TableHandbook[[#This Row],[UDC]],TableSTRPSCFON[],7,FALSE),"")</f>
        <v/>
      </c>
      <c r="AA102" s="228" t="str">
        <f>IFERROR(VLOOKUP(TableHandbook[[#This Row],[UDC]],TableGCTESOL[],7,FALSE),"")</f>
        <v/>
      </c>
      <c r="AB102" s="225" t="str">
        <f>IFERROR(VLOOKUP(TableHandbook[[#This Row],[UDC]],TableMCTESOL[],7,FALSE),"")</f>
        <v/>
      </c>
      <c r="AC102" s="227" t="str">
        <f>IFERROR(VLOOKUP(TableHandbook[[#This Row],[UDC]],TableMCAPLING[],7,FALSE),"")</f>
        <v/>
      </c>
      <c r="AD102" s="218" t="str">
        <f>IFERROR(VLOOKUP(TableHandbook[[#This Row],[UDC]],TableGCEDHE[],7,FALSE),"")</f>
        <v/>
      </c>
      <c r="AE102" s="228" t="str">
        <f>IFERROR(VLOOKUP(TableHandbook[[#This Row],[UDC]],TableGCEDUC[],7,FALSE),"")</f>
        <v/>
      </c>
      <c r="AF102" s="223" t="str">
        <f>IFERROR(VLOOKUP(TableHandbook[[#This Row],[UDC]],TableGDEDUC[],7,FALSE),"")</f>
        <v/>
      </c>
      <c r="AG102" s="223" t="str">
        <f>IFERROR(VLOOKUP(TableHandbook[[#This Row],[UDC]],TableMJRPEDUPR[],7,FALSE),"")</f>
        <v/>
      </c>
      <c r="AH102" s="223" t="str">
        <f>IFERROR(VLOOKUP(TableHandbook[[#This Row],[UDC]],TableMJRPEDUSC[],7,FALSE),"")</f>
        <v>Option</v>
      </c>
      <c r="AI102" s="225" t="str">
        <f>IFERROR(VLOOKUP(TableHandbook[[#This Row],[UDC]],TableMCEDUC[],7,FALSE),"")</f>
        <v/>
      </c>
      <c r="AJ102" s="225" t="str">
        <f>IFERROR(VLOOKUP(TableHandbook[[#This Row],[UDC]],TableSPPECULIN[],7,FALSE),"")</f>
        <v/>
      </c>
      <c r="AK102" s="225" t="str">
        <f>IFERROR(VLOOKUP(TableHandbook[[#This Row],[UDC]],TableSPPELNTCH[],7,FALSE),"")</f>
        <v/>
      </c>
      <c r="AL102" s="227"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D5" sqref="D5"/>
      <selection pane="bottomLeft" activeCell="D5" sqref="D5"/>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412</v>
      </c>
    </row>
    <row r="2" spans="1:18" x14ac:dyDescent="0.25">
      <c r="B2"/>
      <c r="E2"/>
      <c r="F2" s="77"/>
      <c r="G2" s="78" t="s">
        <v>413</v>
      </c>
      <c r="H2" s="171">
        <v>44562</v>
      </c>
      <c r="I2" s="77"/>
      <c r="J2" s="170" t="s">
        <v>103</v>
      </c>
      <c r="K2" s="79" t="s">
        <v>91</v>
      </c>
      <c r="L2" s="77" t="s">
        <v>11</v>
      </c>
    </row>
    <row r="3" spans="1:18" x14ac:dyDescent="0.25">
      <c r="A3" t="s">
        <v>0</v>
      </c>
      <c r="B3" s="1" t="s">
        <v>73</v>
      </c>
      <c r="C3" t="s">
        <v>414</v>
      </c>
      <c r="D3" t="s">
        <v>3</v>
      </c>
      <c r="E3" s="80" t="s">
        <v>415</v>
      </c>
      <c r="F3" t="s">
        <v>416</v>
      </c>
      <c r="G3" t="s">
        <v>417</v>
      </c>
      <c r="H3" t="s">
        <v>418</v>
      </c>
      <c r="I3" t="s">
        <v>21</v>
      </c>
      <c r="J3" t="s">
        <v>419</v>
      </c>
      <c r="K3" s="1" t="s">
        <v>1</v>
      </c>
      <c r="L3" t="s">
        <v>56</v>
      </c>
      <c r="M3" t="s">
        <v>74</v>
      </c>
      <c r="N3" s="168" t="s">
        <v>420</v>
      </c>
      <c r="O3" s="168" t="s">
        <v>421</v>
      </c>
      <c r="Q3" t="s">
        <v>422</v>
      </c>
      <c r="R3" t="s">
        <v>423</v>
      </c>
    </row>
    <row r="4" spans="1:18" x14ac:dyDescent="0.25">
      <c r="A4" t="str">
        <f>TableMCTEACH[[#This Row],[Study Package Code]]</f>
        <v/>
      </c>
      <c r="B4" s="1">
        <f>TableMCTEACH[[#This Row],[Ver]]</f>
        <v>0</v>
      </c>
      <c r="D4" t="str">
        <f>TableMCTEACH[[#This Row],[Structure Line]]</f>
        <v>Majors</v>
      </c>
      <c r="E4" s="80">
        <f>TableMCTEACH[[#This Row],[Credit Points]]</f>
        <v>400</v>
      </c>
      <c r="F4">
        <v>1</v>
      </c>
      <c r="G4" t="s">
        <v>424</v>
      </c>
      <c r="H4">
        <v>1</v>
      </c>
      <c r="I4" t="s">
        <v>425</v>
      </c>
      <c r="J4" t="s">
        <v>426</v>
      </c>
      <c r="K4" s="1">
        <v>0</v>
      </c>
      <c r="L4" t="s">
        <v>427</v>
      </c>
      <c r="M4">
        <v>400</v>
      </c>
      <c r="N4" s="147"/>
      <c r="O4" s="147"/>
      <c r="Q4" t="s">
        <v>426</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424</v>
      </c>
      <c r="H5">
        <v>1</v>
      </c>
      <c r="I5" t="s">
        <v>425</v>
      </c>
      <c r="J5" t="s">
        <v>155</v>
      </c>
      <c r="K5" s="1">
        <v>2</v>
      </c>
      <c r="L5" t="s">
        <v>14</v>
      </c>
      <c r="M5">
        <v>400</v>
      </c>
      <c r="N5" s="147">
        <v>44562</v>
      </c>
      <c r="O5" s="147"/>
      <c r="Q5" t="s">
        <v>155</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424</v>
      </c>
      <c r="H6">
        <v>1</v>
      </c>
      <c r="I6" t="s">
        <v>425</v>
      </c>
      <c r="J6" t="s">
        <v>161</v>
      </c>
      <c r="K6" s="1">
        <v>2</v>
      </c>
      <c r="L6" t="s">
        <v>160</v>
      </c>
      <c r="M6">
        <v>400</v>
      </c>
      <c r="N6" s="147">
        <v>44562</v>
      </c>
      <c r="O6" s="147"/>
      <c r="Q6" t="s">
        <v>161</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424</v>
      </c>
      <c r="H7">
        <v>1</v>
      </c>
      <c r="I7" t="s">
        <v>425</v>
      </c>
      <c r="J7" t="s">
        <v>168</v>
      </c>
      <c r="K7" s="1">
        <v>2</v>
      </c>
      <c r="L7" t="s">
        <v>167</v>
      </c>
      <c r="M7">
        <v>400</v>
      </c>
      <c r="N7" s="147">
        <v>44562</v>
      </c>
      <c r="O7" s="147"/>
      <c r="Q7" t="s">
        <v>168</v>
      </c>
      <c r="R7">
        <v>2</v>
      </c>
    </row>
    <row r="8" spans="1:18" x14ac:dyDescent="0.25">
      <c r="B8"/>
      <c r="E8"/>
      <c r="F8" s="77"/>
      <c r="G8" s="78" t="s">
        <v>413</v>
      </c>
      <c r="H8" s="171">
        <v>44562</v>
      </c>
      <c r="J8" s="170" t="s">
        <v>155</v>
      </c>
      <c r="K8" s="79" t="s">
        <v>91</v>
      </c>
      <c r="L8" s="77" t="s">
        <v>14</v>
      </c>
    </row>
    <row r="9" spans="1:18" x14ac:dyDescent="0.25">
      <c r="A9" t="s">
        <v>0</v>
      </c>
      <c r="B9" s="1" t="s">
        <v>73</v>
      </c>
      <c r="C9" t="s">
        <v>414</v>
      </c>
      <c r="D9" t="s">
        <v>3</v>
      </c>
      <c r="E9" s="80" t="s">
        <v>415</v>
      </c>
      <c r="F9" t="s">
        <v>416</v>
      </c>
      <c r="G9" t="s">
        <v>417</v>
      </c>
      <c r="H9" t="s">
        <v>418</v>
      </c>
      <c r="I9" t="s">
        <v>21</v>
      </c>
      <c r="J9" t="s">
        <v>419</v>
      </c>
      <c r="K9" s="1" t="s">
        <v>1</v>
      </c>
      <c r="L9" t="s">
        <v>56</v>
      </c>
      <c r="M9" t="s">
        <v>74</v>
      </c>
      <c r="N9" s="168" t="s">
        <v>420</v>
      </c>
      <c r="O9" s="168" t="s">
        <v>421</v>
      </c>
      <c r="Q9" t="s">
        <v>422</v>
      </c>
      <c r="R9" t="s">
        <v>423</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424</v>
      </c>
      <c r="H10">
        <v>1</v>
      </c>
      <c r="I10" t="s">
        <v>425</v>
      </c>
      <c r="J10" t="s">
        <v>64</v>
      </c>
      <c r="K10" s="1">
        <v>1</v>
      </c>
      <c r="L10" t="s">
        <v>360</v>
      </c>
      <c r="M10">
        <v>25</v>
      </c>
      <c r="N10" s="147">
        <v>43101</v>
      </c>
      <c r="O10" s="147"/>
      <c r="Q10" t="s">
        <v>64</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424</v>
      </c>
      <c r="H11">
        <v>1</v>
      </c>
      <c r="I11" t="s">
        <v>425</v>
      </c>
      <c r="J11" t="s">
        <v>82</v>
      </c>
      <c r="K11" s="1">
        <v>1</v>
      </c>
      <c r="L11" t="s">
        <v>311</v>
      </c>
      <c r="M11">
        <v>25</v>
      </c>
      <c r="N11" s="147">
        <v>43101</v>
      </c>
      <c r="O11" s="147"/>
      <c r="Q11" t="s">
        <v>82</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424</v>
      </c>
      <c r="H12">
        <v>1</v>
      </c>
      <c r="I12" t="s">
        <v>425</v>
      </c>
      <c r="J12" t="s">
        <v>93</v>
      </c>
      <c r="K12" s="1">
        <v>2</v>
      </c>
      <c r="L12" t="s">
        <v>312</v>
      </c>
      <c r="M12">
        <v>25</v>
      </c>
      <c r="N12" s="147">
        <v>44562</v>
      </c>
      <c r="O12" s="147"/>
      <c r="Q12" t="s">
        <v>93</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424</v>
      </c>
      <c r="H13">
        <v>1</v>
      </c>
      <c r="I13" t="s">
        <v>425</v>
      </c>
      <c r="J13" t="s">
        <v>61</v>
      </c>
      <c r="K13" s="1">
        <v>1</v>
      </c>
      <c r="L13" t="s">
        <v>320</v>
      </c>
      <c r="M13">
        <v>25</v>
      </c>
      <c r="N13" s="147">
        <v>43101</v>
      </c>
      <c r="O13" s="147"/>
      <c r="Q13" t="s">
        <v>61</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424</v>
      </c>
      <c r="H14">
        <v>1</v>
      </c>
      <c r="I14" t="s">
        <v>425</v>
      </c>
      <c r="J14" t="s">
        <v>69</v>
      </c>
      <c r="K14" s="1">
        <v>1</v>
      </c>
      <c r="L14" t="s">
        <v>319</v>
      </c>
      <c r="M14">
        <v>25</v>
      </c>
      <c r="N14" s="147">
        <v>43101</v>
      </c>
      <c r="O14" s="147"/>
      <c r="Q14" t="s">
        <v>69</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424</v>
      </c>
      <c r="H15">
        <v>1</v>
      </c>
      <c r="I15" t="s">
        <v>425</v>
      </c>
      <c r="J15" t="s">
        <v>65</v>
      </c>
      <c r="K15" s="1">
        <v>1</v>
      </c>
      <c r="L15" t="s">
        <v>365</v>
      </c>
      <c r="M15">
        <v>25</v>
      </c>
      <c r="N15" s="147">
        <v>44562</v>
      </c>
      <c r="O15" s="147"/>
      <c r="Q15" t="s">
        <v>65</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424</v>
      </c>
      <c r="H16">
        <v>1</v>
      </c>
      <c r="I16" t="s">
        <v>425</v>
      </c>
      <c r="J16" t="s">
        <v>68</v>
      </c>
      <c r="K16" s="1">
        <v>1</v>
      </c>
      <c r="L16" t="s">
        <v>314</v>
      </c>
      <c r="M16">
        <v>25</v>
      </c>
      <c r="N16" s="147">
        <v>43101</v>
      </c>
      <c r="O16" s="147"/>
      <c r="Q16" t="s">
        <v>68</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424</v>
      </c>
      <c r="H17">
        <v>1</v>
      </c>
      <c r="I17" t="s">
        <v>425</v>
      </c>
      <c r="J17" t="s">
        <v>59</v>
      </c>
      <c r="K17" s="1">
        <v>2</v>
      </c>
      <c r="L17" t="s">
        <v>357</v>
      </c>
      <c r="M17">
        <v>25</v>
      </c>
      <c r="N17" s="147">
        <v>44197</v>
      </c>
      <c r="O17" s="147"/>
      <c r="Q17" t="s">
        <v>59</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424</v>
      </c>
      <c r="H18">
        <v>2</v>
      </c>
      <c r="I18" t="s">
        <v>425</v>
      </c>
      <c r="J18" t="s">
        <v>101</v>
      </c>
      <c r="K18" s="1">
        <v>1</v>
      </c>
      <c r="L18" t="s">
        <v>317</v>
      </c>
      <c r="M18">
        <v>25</v>
      </c>
      <c r="N18" s="147">
        <v>43101</v>
      </c>
      <c r="O18" s="147"/>
      <c r="Q18" t="s">
        <v>101</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424</v>
      </c>
      <c r="H19">
        <v>2</v>
      </c>
      <c r="I19" t="s">
        <v>425</v>
      </c>
      <c r="J19" t="s">
        <v>87</v>
      </c>
      <c r="K19" s="1">
        <v>1</v>
      </c>
      <c r="L19" t="s">
        <v>358</v>
      </c>
      <c r="M19">
        <v>25</v>
      </c>
      <c r="N19" s="147">
        <v>43101</v>
      </c>
      <c r="O19" s="147"/>
      <c r="Q19" t="s">
        <v>87</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424</v>
      </c>
      <c r="H20">
        <v>2</v>
      </c>
      <c r="I20" t="s">
        <v>425</v>
      </c>
      <c r="J20" t="s">
        <v>109</v>
      </c>
      <c r="K20" s="1">
        <v>1</v>
      </c>
      <c r="L20" t="s">
        <v>321</v>
      </c>
      <c r="M20">
        <v>25</v>
      </c>
      <c r="N20" s="147">
        <v>44562</v>
      </c>
      <c r="O20" s="147"/>
      <c r="Q20" t="s">
        <v>109</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424</v>
      </c>
      <c r="H21">
        <v>2</v>
      </c>
      <c r="I21" t="s">
        <v>425</v>
      </c>
      <c r="J21" t="s">
        <v>67</v>
      </c>
      <c r="K21" s="1">
        <v>1</v>
      </c>
      <c r="L21" t="s">
        <v>316</v>
      </c>
      <c r="M21">
        <v>25</v>
      </c>
      <c r="N21" s="147">
        <v>43101</v>
      </c>
      <c r="O21" s="147"/>
      <c r="Q21" t="s">
        <v>67</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424</v>
      </c>
      <c r="H22">
        <v>2</v>
      </c>
      <c r="I22" t="s">
        <v>425</v>
      </c>
      <c r="J22" t="s">
        <v>113</v>
      </c>
      <c r="K22" s="1">
        <v>1</v>
      </c>
      <c r="L22" t="s">
        <v>318</v>
      </c>
      <c r="M22">
        <v>25</v>
      </c>
      <c r="N22" s="147">
        <v>43101</v>
      </c>
      <c r="O22" s="147"/>
      <c r="Q22" t="s">
        <v>113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424</v>
      </c>
      <c r="H23">
        <v>2</v>
      </c>
      <c r="I23" t="s">
        <v>425</v>
      </c>
      <c r="J23" t="s">
        <v>114</v>
      </c>
      <c r="K23" s="1">
        <v>1</v>
      </c>
      <c r="L23" t="s">
        <v>322</v>
      </c>
      <c r="M23">
        <v>25</v>
      </c>
      <c r="N23" s="147">
        <v>44562</v>
      </c>
      <c r="O23" s="147"/>
      <c r="Q23" t="s">
        <v>114</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424</v>
      </c>
      <c r="H24">
        <v>2</v>
      </c>
      <c r="I24" t="s">
        <v>425</v>
      </c>
      <c r="J24" t="s">
        <v>115</v>
      </c>
      <c r="K24" s="1">
        <v>1</v>
      </c>
      <c r="L24" t="s">
        <v>382</v>
      </c>
      <c r="M24">
        <v>25</v>
      </c>
      <c r="N24" s="147">
        <v>44562</v>
      </c>
      <c r="O24" s="147"/>
      <c r="Q24" t="s">
        <v>115</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424</v>
      </c>
      <c r="H25">
        <v>2</v>
      </c>
      <c r="I25" t="s">
        <v>425</v>
      </c>
      <c r="J25" t="s">
        <v>131</v>
      </c>
      <c r="K25" s="1">
        <v>1</v>
      </c>
      <c r="L25" t="s">
        <v>384</v>
      </c>
      <c r="M25">
        <v>25</v>
      </c>
      <c r="N25" s="147">
        <v>44562</v>
      </c>
      <c r="O25" s="147"/>
      <c r="Q25" t="s">
        <v>131</v>
      </c>
      <c r="R25">
        <v>1</v>
      </c>
    </row>
    <row r="26" spans="1:18" x14ac:dyDescent="0.25">
      <c r="B26"/>
      <c r="E26"/>
      <c r="F26" s="77"/>
      <c r="G26" s="78" t="s">
        <v>413</v>
      </c>
      <c r="H26" s="171">
        <v>44562</v>
      </c>
      <c r="J26" s="170" t="s">
        <v>161</v>
      </c>
      <c r="K26" s="79" t="s">
        <v>91</v>
      </c>
      <c r="L26" s="77" t="s">
        <v>160</v>
      </c>
    </row>
    <row r="27" spans="1:18" x14ac:dyDescent="0.25">
      <c r="A27" t="s">
        <v>0</v>
      </c>
      <c r="B27" s="1" t="s">
        <v>73</v>
      </c>
      <c r="C27" t="s">
        <v>414</v>
      </c>
      <c r="D27" t="s">
        <v>3</v>
      </c>
      <c r="E27" s="80" t="s">
        <v>415</v>
      </c>
      <c r="F27" t="s">
        <v>416</v>
      </c>
      <c r="G27" t="s">
        <v>417</v>
      </c>
      <c r="H27" t="s">
        <v>418</v>
      </c>
      <c r="I27" t="s">
        <v>21</v>
      </c>
      <c r="J27" t="s">
        <v>419</v>
      </c>
      <c r="K27" s="1" t="s">
        <v>1</v>
      </c>
      <c r="L27" t="s">
        <v>56</v>
      </c>
      <c r="M27" t="s">
        <v>74</v>
      </c>
      <c r="N27" s="168" t="s">
        <v>420</v>
      </c>
      <c r="O27" s="168" t="s">
        <v>421</v>
      </c>
      <c r="Q27" t="s">
        <v>422</v>
      </c>
      <c r="R27" t="s">
        <v>423</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424</v>
      </c>
      <c r="H28">
        <v>1</v>
      </c>
      <c r="I28" t="s">
        <v>425</v>
      </c>
      <c r="J28" t="s">
        <v>87</v>
      </c>
      <c r="K28" s="1">
        <v>1</v>
      </c>
      <c r="L28" t="s">
        <v>358</v>
      </c>
      <c r="M28">
        <v>25</v>
      </c>
      <c r="N28" s="147">
        <v>43101</v>
      </c>
      <c r="O28" s="147"/>
      <c r="Q28" t="s">
        <v>87</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424</v>
      </c>
      <c r="H29">
        <v>1</v>
      </c>
      <c r="I29" t="s">
        <v>425</v>
      </c>
      <c r="J29" t="s">
        <v>64</v>
      </c>
      <c r="K29" s="1">
        <v>1</v>
      </c>
      <c r="L29" t="s">
        <v>360</v>
      </c>
      <c r="M29">
        <v>25</v>
      </c>
      <c r="N29" s="147">
        <v>43101</v>
      </c>
      <c r="O29" s="147"/>
      <c r="Q29" t="s">
        <v>64</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424</v>
      </c>
      <c r="H30">
        <v>1</v>
      </c>
      <c r="I30" t="s">
        <v>425</v>
      </c>
      <c r="J30" t="s">
        <v>65</v>
      </c>
      <c r="K30" s="1">
        <v>1</v>
      </c>
      <c r="L30" t="s">
        <v>365</v>
      </c>
      <c r="M30">
        <v>25</v>
      </c>
      <c r="N30" s="147">
        <v>44562</v>
      </c>
      <c r="O30" s="147"/>
      <c r="Q30" t="s">
        <v>65</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424</v>
      </c>
      <c r="H31">
        <v>1</v>
      </c>
      <c r="I31" t="s">
        <v>425</v>
      </c>
      <c r="J31" t="s">
        <v>83</v>
      </c>
      <c r="K31" s="1">
        <v>2</v>
      </c>
      <c r="L31" t="s">
        <v>323</v>
      </c>
      <c r="M31">
        <v>25</v>
      </c>
      <c r="N31" s="147">
        <v>44562</v>
      </c>
      <c r="O31" s="147"/>
      <c r="Q31" t="s">
        <v>83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424</v>
      </c>
      <c r="H32">
        <v>1</v>
      </c>
      <c r="I32" t="s">
        <v>425</v>
      </c>
      <c r="J32" t="s">
        <v>94</v>
      </c>
      <c r="K32" s="1">
        <v>1</v>
      </c>
      <c r="L32" t="s">
        <v>325</v>
      </c>
      <c r="M32">
        <v>25</v>
      </c>
      <c r="N32" s="147">
        <v>43101</v>
      </c>
      <c r="O32" s="147"/>
      <c r="Q32" t="s">
        <v>94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424</v>
      </c>
      <c r="H33">
        <v>1</v>
      </c>
      <c r="I33" t="s">
        <v>425</v>
      </c>
      <c r="J33" t="s">
        <v>71</v>
      </c>
      <c r="K33" s="1">
        <v>1</v>
      </c>
      <c r="L33" t="s">
        <v>326</v>
      </c>
      <c r="M33">
        <v>25</v>
      </c>
      <c r="N33" s="147">
        <v>43101</v>
      </c>
      <c r="O33" s="147"/>
      <c r="Q33" t="s">
        <v>71</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424</v>
      </c>
      <c r="H34">
        <v>1</v>
      </c>
      <c r="I34" t="s">
        <v>425</v>
      </c>
      <c r="J34" t="s">
        <v>70</v>
      </c>
      <c r="K34" s="1">
        <v>1</v>
      </c>
      <c r="L34" t="s">
        <v>328</v>
      </c>
      <c r="M34">
        <v>25</v>
      </c>
      <c r="N34" s="147">
        <v>43101</v>
      </c>
      <c r="O34" s="147"/>
      <c r="Q34" t="s">
        <v>70</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424</v>
      </c>
      <c r="H35">
        <v>1</v>
      </c>
      <c r="I35" t="s">
        <v>425</v>
      </c>
      <c r="J35" t="s">
        <v>59</v>
      </c>
      <c r="K35" s="1">
        <v>2</v>
      </c>
      <c r="L35" t="s">
        <v>357</v>
      </c>
      <c r="M35">
        <v>25</v>
      </c>
      <c r="N35" s="147">
        <v>44197</v>
      </c>
      <c r="O35" s="147"/>
      <c r="Q35" t="s">
        <v>59</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424</v>
      </c>
      <c r="H36">
        <v>2</v>
      </c>
      <c r="I36" t="s">
        <v>425</v>
      </c>
      <c r="J36" t="s">
        <v>116</v>
      </c>
      <c r="K36" s="1">
        <v>1</v>
      </c>
      <c r="L36" t="s">
        <v>334</v>
      </c>
      <c r="M36">
        <v>25</v>
      </c>
      <c r="N36" s="147">
        <v>44562</v>
      </c>
      <c r="O36" s="147"/>
      <c r="Q36" t="s">
        <v>116</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424</v>
      </c>
      <c r="H37">
        <v>2</v>
      </c>
      <c r="I37" t="s">
        <v>425</v>
      </c>
      <c r="J37" t="s">
        <v>88</v>
      </c>
      <c r="K37" s="1">
        <v>1</v>
      </c>
      <c r="L37" t="s">
        <v>359</v>
      </c>
      <c r="M37">
        <v>25</v>
      </c>
      <c r="N37" s="147">
        <v>43101</v>
      </c>
      <c r="O37" s="147"/>
      <c r="Q37" t="s">
        <v>88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424</v>
      </c>
      <c r="H38">
        <v>2</v>
      </c>
      <c r="I38" t="s">
        <v>425</v>
      </c>
      <c r="J38" t="s">
        <v>115</v>
      </c>
      <c r="K38" s="1">
        <v>1</v>
      </c>
      <c r="L38" t="s">
        <v>382</v>
      </c>
      <c r="M38">
        <v>25</v>
      </c>
      <c r="N38" s="147">
        <v>44562</v>
      </c>
      <c r="O38" s="147"/>
      <c r="Q38" t="s">
        <v>115</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424</v>
      </c>
      <c r="H39">
        <v>2</v>
      </c>
      <c r="I39" t="s">
        <v>425</v>
      </c>
      <c r="J39" t="s">
        <v>131</v>
      </c>
      <c r="K39" s="1">
        <v>1</v>
      </c>
      <c r="L39" t="s">
        <v>384</v>
      </c>
      <c r="M39">
        <v>25</v>
      </c>
      <c r="N39" s="147">
        <v>44562</v>
      </c>
      <c r="O39" s="147"/>
      <c r="Q39" t="s">
        <v>131</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424</v>
      </c>
      <c r="H40">
        <v>2</v>
      </c>
      <c r="I40" t="s">
        <v>425</v>
      </c>
      <c r="J40" t="s">
        <v>111</v>
      </c>
      <c r="K40" s="1">
        <v>1</v>
      </c>
      <c r="L40" t="s">
        <v>330</v>
      </c>
      <c r="M40">
        <v>25</v>
      </c>
      <c r="N40" s="147">
        <v>43101</v>
      </c>
      <c r="O40" s="147"/>
      <c r="Q40" t="s">
        <v>111</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424</v>
      </c>
      <c r="H41">
        <v>2</v>
      </c>
      <c r="I41" t="s">
        <v>425</v>
      </c>
      <c r="J41" t="s">
        <v>117</v>
      </c>
      <c r="K41" s="1">
        <v>1</v>
      </c>
      <c r="L41" t="s">
        <v>385</v>
      </c>
      <c r="M41">
        <v>25</v>
      </c>
      <c r="N41" s="147">
        <v>44562</v>
      </c>
      <c r="O41" s="147"/>
      <c r="Q41" t="s">
        <v>117</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424</v>
      </c>
      <c r="H42">
        <v>2</v>
      </c>
      <c r="I42" t="s">
        <v>425</v>
      </c>
      <c r="J42" t="s">
        <v>110</v>
      </c>
      <c r="K42" s="1">
        <v>1</v>
      </c>
      <c r="L42" t="s">
        <v>333</v>
      </c>
      <c r="M42">
        <v>25</v>
      </c>
      <c r="N42" s="147">
        <v>43101</v>
      </c>
      <c r="O42" s="147"/>
      <c r="Q42" t="s">
        <v>110</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424</v>
      </c>
      <c r="H43">
        <v>2</v>
      </c>
      <c r="I43" t="s">
        <v>425</v>
      </c>
      <c r="J43" t="s">
        <v>102</v>
      </c>
      <c r="K43" s="1">
        <v>1</v>
      </c>
      <c r="L43" t="s">
        <v>327</v>
      </c>
      <c r="M43">
        <v>25</v>
      </c>
      <c r="N43" s="147">
        <v>43101</v>
      </c>
      <c r="O43" s="147"/>
      <c r="Q43" t="s">
        <v>102</v>
      </c>
      <c r="R43">
        <v>1</v>
      </c>
    </row>
    <row r="44" spans="1:18" x14ac:dyDescent="0.25">
      <c r="A44" s="77" t="s">
        <v>168</v>
      </c>
      <c r="B44" s="79" t="s">
        <v>91</v>
      </c>
      <c r="C44" s="77"/>
      <c r="D44" s="77" t="s">
        <v>167</v>
      </c>
      <c r="E44" s="79"/>
      <c r="F44" s="77"/>
      <c r="G44" s="78" t="s">
        <v>413</v>
      </c>
      <c r="H44" s="171">
        <v>44562</v>
      </c>
      <c r="J44" s="170" t="s">
        <v>168</v>
      </c>
      <c r="K44" s="79" t="s">
        <v>91</v>
      </c>
      <c r="L44" s="77" t="s">
        <v>167</v>
      </c>
    </row>
    <row r="45" spans="1:18" x14ac:dyDescent="0.25">
      <c r="A45" t="s">
        <v>0</v>
      </c>
      <c r="B45" s="1" t="s">
        <v>73</v>
      </c>
      <c r="C45" t="s">
        <v>414</v>
      </c>
      <c r="D45" t="s">
        <v>3</v>
      </c>
      <c r="E45" s="80" t="s">
        <v>415</v>
      </c>
      <c r="F45" t="s">
        <v>416</v>
      </c>
      <c r="G45" t="s">
        <v>417</v>
      </c>
      <c r="H45" t="s">
        <v>418</v>
      </c>
      <c r="I45" t="s">
        <v>21</v>
      </c>
      <c r="J45" t="s">
        <v>419</v>
      </c>
      <c r="K45" s="1" t="s">
        <v>1</v>
      </c>
      <c r="L45" t="s">
        <v>56</v>
      </c>
      <c r="M45" t="s">
        <v>74</v>
      </c>
      <c r="N45" s="168" t="s">
        <v>420</v>
      </c>
      <c r="O45" s="168" t="s">
        <v>421</v>
      </c>
      <c r="Q45" t="s">
        <v>422</v>
      </c>
      <c r="R45" t="s">
        <v>423</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424</v>
      </c>
      <c r="H46">
        <v>1</v>
      </c>
      <c r="I46" t="s">
        <v>425</v>
      </c>
      <c r="J46" t="s">
        <v>242</v>
      </c>
      <c r="K46" s="1">
        <v>1</v>
      </c>
      <c r="L46" t="s">
        <v>336</v>
      </c>
      <c r="M46">
        <v>25</v>
      </c>
      <c r="N46" s="147">
        <v>43101</v>
      </c>
      <c r="O46" s="147"/>
      <c r="Q46" t="s">
        <v>242</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424</v>
      </c>
      <c r="H47">
        <v>1</v>
      </c>
      <c r="I47" t="s">
        <v>425</v>
      </c>
      <c r="J47" t="s">
        <v>173</v>
      </c>
      <c r="K47" s="1">
        <v>1</v>
      </c>
      <c r="L47" t="s">
        <v>338</v>
      </c>
      <c r="M47">
        <v>25</v>
      </c>
      <c r="N47" s="147">
        <v>43101</v>
      </c>
      <c r="O47" s="147"/>
      <c r="Q47" t="s">
        <v>173</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424</v>
      </c>
      <c r="H48">
        <v>1</v>
      </c>
      <c r="I48" t="s">
        <v>425</v>
      </c>
      <c r="J48" t="s">
        <v>251</v>
      </c>
      <c r="K48" s="1">
        <v>1</v>
      </c>
      <c r="L48" t="s">
        <v>344</v>
      </c>
      <c r="M48">
        <v>25</v>
      </c>
      <c r="N48" s="147">
        <v>43101</v>
      </c>
      <c r="O48" s="147"/>
      <c r="Q48" t="s">
        <v>251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424</v>
      </c>
      <c r="H49">
        <v>1</v>
      </c>
      <c r="I49" t="s">
        <v>425</v>
      </c>
      <c r="J49" t="s">
        <v>255</v>
      </c>
      <c r="K49" s="1">
        <v>1</v>
      </c>
      <c r="L49" t="s">
        <v>346</v>
      </c>
      <c r="M49">
        <v>25</v>
      </c>
      <c r="N49" s="147">
        <v>43101</v>
      </c>
      <c r="O49" s="147"/>
      <c r="Q49" t="s">
        <v>255</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424</v>
      </c>
      <c r="H50">
        <v>1</v>
      </c>
      <c r="I50" t="s">
        <v>425</v>
      </c>
      <c r="J50" t="s">
        <v>241</v>
      </c>
      <c r="K50" s="1">
        <v>1</v>
      </c>
      <c r="L50" t="s">
        <v>351</v>
      </c>
      <c r="M50">
        <v>25</v>
      </c>
      <c r="N50" s="147">
        <v>43101</v>
      </c>
      <c r="O50" s="147"/>
      <c r="Q50" t="s">
        <v>241</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428</v>
      </c>
      <c r="H51">
        <v>1</v>
      </c>
      <c r="I51" t="s">
        <v>425</v>
      </c>
      <c r="J51" t="s">
        <v>428</v>
      </c>
      <c r="K51" s="1">
        <v>0</v>
      </c>
      <c r="L51" t="s">
        <v>390</v>
      </c>
      <c r="M51">
        <v>50</v>
      </c>
      <c r="N51" s="147"/>
      <c r="O51" s="147"/>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424</v>
      </c>
      <c r="H52">
        <v>1</v>
      </c>
      <c r="I52" t="s">
        <v>425</v>
      </c>
      <c r="J52" t="s">
        <v>59</v>
      </c>
      <c r="K52" s="1">
        <v>2</v>
      </c>
      <c r="L52" t="s">
        <v>357</v>
      </c>
      <c r="M52">
        <v>25</v>
      </c>
      <c r="N52" s="147">
        <v>44197</v>
      </c>
      <c r="O52" s="147"/>
      <c r="Q52" t="s">
        <v>59</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424</v>
      </c>
      <c r="H53">
        <v>2</v>
      </c>
      <c r="I53" t="s">
        <v>425</v>
      </c>
      <c r="J53" t="s">
        <v>87</v>
      </c>
      <c r="K53" s="1">
        <v>1</v>
      </c>
      <c r="L53" t="s">
        <v>358</v>
      </c>
      <c r="M53">
        <v>25</v>
      </c>
      <c r="N53" s="147">
        <v>43101</v>
      </c>
      <c r="O53" s="147"/>
      <c r="Q53" t="s">
        <v>87</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424</v>
      </c>
      <c r="H54">
        <v>2</v>
      </c>
      <c r="I54" t="s">
        <v>425</v>
      </c>
      <c r="J54" t="s">
        <v>88</v>
      </c>
      <c r="K54" s="1">
        <v>1</v>
      </c>
      <c r="L54" t="s">
        <v>359</v>
      </c>
      <c r="M54">
        <v>25</v>
      </c>
      <c r="N54" s="147">
        <v>43101</v>
      </c>
      <c r="O54" s="147"/>
      <c r="Q54" t="s">
        <v>88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424</v>
      </c>
      <c r="H55">
        <v>2</v>
      </c>
      <c r="I55" t="s">
        <v>425</v>
      </c>
      <c r="J55" t="s">
        <v>115</v>
      </c>
      <c r="K55" s="1">
        <v>1</v>
      </c>
      <c r="L55" t="s">
        <v>382</v>
      </c>
      <c r="M55">
        <v>25</v>
      </c>
      <c r="N55" s="147">
        <v>44562</v>
      </c>
      <c r="O55" s="147"/>
      <c r="Q55" t="s">
        <v>115</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424</v>
      </c>
      <c r="H56">
        <v>2</v>
      </c>
      <c r="I56" t="s">
        <v>425</v>
      </c>
      <c r="J56" t="s">
        <v>131</v>
      </c>
      <c r="K56" s="1">
        <v>1</v>
      </c>
      <c r="L56" t="s">
        <v>384</v>
      </c>
      <c r="M56">
        <v>25</v>
      </c>
      <c r="N56" s="147">
        <v>44562</v>
      </c>
      <c r="O56" s="147"/>
      <c r="Q56" t="s">
        <v>131</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424</v>
      </c>
      <c r="H57">
        <v>2</v>
      </c>
      <c r="I57" t="s">
        <v>425</v>
      </c>
      <c r="J57" t="s">
        <v>262</v>
      </c>
      <c r="K57" s="1">
        <v>1</v>
      </c>
      <c r="L57" t="s">
        <v>356</v>
      </c>
      <c r="M57">
        <v>25</v>
      </c>
      <c r="N57" s="147">
        <v>44562</v>
      </c>
      <c r="O57" s="147"/>
      <c r="Q57" t="s">
        <v>262</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424</v>
      </c>
      <c r="H58">
        <v>2</v>
      </c>
      <c r="I58" t="s">
        <v>425</v>
      </c>
      <c r="J58" t="s">
        <v>117</v>
      </c>
      <c r="K58" s="1">
        <v>1</v>
      </c>
      <c r="L58" t="s">
        <v>385</v>
      </c>
      <c r="M58">
        <v>25</v>
      </c>
      <c r="N58" s="147">
        <v>44562</v>
      </c>
      <c r="O58" s="147"/>
      <c r="Q58" t="s">
        <v>117</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428</v>
      </c>
      <c r="H59">
        <v>2</v>
      </c>
      <c r="I59" t="s">
        <v>425</v>
      </c>
      <c r="J59" t="s">
        <v>428</v>
      </c>
      <c r="K59" s="1">
        <v>0</v>
      </c>
      <c r="L59" t="s">
        <v>401</v>
      </c>
      <c r="M59">
        <v>50</v>
      </c>
      <c r="N59" s="147"/>
      <c r="O59" s="147"/>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428</v>
      </c>
      <c r="H60">
        <v>1</v>
      </c>
      <c r="I60" t="s">
        <v>425</v>
      </c>
      <c r="J60" t="s">
        <v>46</v>
      </c>
      <c r="K60" s="1">
        <v>1</v>
      </c>
      <c r="L60" t="s">
        <v>404</v>
      </c>
      <c r="M60">
        <v>50</v>
      </c>
      <c r="N60" s="147">
        <v>44562</v>
      </c>
      <c r="O60" s="147"/>
      <c r="Q60" t="s">
        <v>46</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428</v>
      </c>
      <c r="H61">
        <v>1</v>
      </c>
      <c r="I61" t="s">
        <v>425</v>
      </c>
      <c r="J61" t="s">
        <v>252</v>
      </c>
      <c r="K61" s="1">
        <v>1</v>
      </c>
      <c r="L61" t="s">
        <v>406</v>
      </c>
      <c r="M61">
        <v>50</v>
      </c>
      <c r="N61" s="147">
        <v>44562</v>
      </c>
      <c r="O61" s="147"/>
      <c r="Q61" t="s">
        <v>252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428</v>
      </c>
      <c r="H62">
        <v>1</v>
      </c>
      <c r="I62" t="s">
        <v>425</v>
      </c>
      <c r="J62" t="s">
        <v>254</v>
      </c>
      <c r="K62" s="1">
        <v>1</v>
      </c>
      <c r="L62" t="s">
        <v>408</v>
      </c>
      <c r="M62">
        <v>50</v>
      </c>
      <c r="N62" s="147">
        <v>44562</v>
      </c>
      <c r="O62" s="147"/>
      <c r="Q62" t="s">
        <v>254</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428</v>
      </c>
      <c r="H63">
        <v>1</v>
      </c>
      <c r="I63" t="s">
        <v>425</v>
      </c>
      <c r="J63" t="s">
        <v>257</v>
      </c>
      <c r="K63" s="1">
        <v>1</v>
      </c>
      <c r="L63" t="s">
        <v>409</v>
      </c>
      <c r="M63">
        <v>50</v>
      </c>
      <c r="N63" s="147">
        <v>44562</v>
      </c>
      <c r="O63" s="147"/>
      <c r="Q63" t="s">
        <v>257</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428</v>
      </c>
      <c r="H64">
        <v>1</v>
      </c>
      <c r="I64" t="s">
        <v>425</v>
      </c>
      <c r="J64" t="s">
        <v>259</v>
      </c>
      <c r="K64" s="1">
        <v>1</v>
      </c>
      <c r="L64" t="s">
        <v>410</v>
      </c>
      <c r="M64">
        <v>50</v>
      </c>
      <c r="N64" s="147">
        <v>44562</v>
      </c>
      <c r="O64" s="147"/>
      <c r="Q64" t="s">
        <v>259</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428</v>
      </c>
      <c r="H65">
        <v>1</v>
      </c>
      <c r="I65" t="s">
        <v>425</v>
      </c>
      <c r="J65" t="s">
        <v>261</v>
      </c>
      <c r="K65" s="1">
        <v>1</v>
      </c>
      <c r="L65" t="s">
        <v>411</v>
      </c>
      <c r="M65">
        <v>50</v>
      </c>
      <c r="N65" s="147">
        <v>44562</v>
      </c>
      <c r="O65" s="147"/>
      <c r="Q65" t="s">
        <v>261</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428</v>
      </c>
      <c r="H66">
        <v>2</v>
      </c>
      <c r="I66" t="s">
        <v>425</v>
      </c>
      <c r="J66" t="s">
        <v>46</v>
      </c>
      <c r="K66" s="1">
        <v>1</v>
      </c>
      <c r="L66" t="s">
        <v>404</v>
      </c>
      <c r="M66">
        <v>50</v>
      </c>
      <c r="N66" s="147">
        <v>44562</v>
      </c>
      <c r="O66" s="147"/>
      <c r="Q66" t="s">
        <v>46</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428</v>
      </c>
      <c r="H67">
        <v>2</v>
      </c>
      <c r="I67" t="s">
        <v>425</v>
      </c>
      <c r="J67" t="s">
        <v>252</v>
      </c>
      <c r="K67" s="1">
        <v>1</v>
      </c>
      <c r="L67" t="s">
        <v>406</v>
      </c>
      <c r="M67">
        <v>50</v>
      </c>
      <c r="N67" s="147">
        <v>44562</v>
      </c>
      <c r="O67" s="147"/>
      <c r="Q67" t="s">
        <v>252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428</v>
      </c>
      <c r="H68">
        <v>2</v>
      </c>
      <c r="I68" t="s">
        <v>425</v>
      </c>
      <c r="J68" t="s">
        <v>250</v>
      </c>
      <c r="K68" s="1">
        <v>1</v>
      </c>
      <c r="L68" t="s">
        <v>407</v>
      </c>
      <c r="M68">
        <v>50</v>
      </c>
      <c r="N68" s="147">
        <v>44562</v>
      </c>
      <c r="O68" s="147"/>
      <c r="Q68" t="s">
        <v>250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428</v>
      </c>
      <c r="H69">
        <v>2</v>
      </c>
      <c r="I69" t="s">
        <v>425</v>
      </c>
      <c r="J69" t="s">
        <v>254</v>
      </c>
      <c r="K69" s="1">
        <v>1</v>
      </c>
      <c r="L69" t="s">
        <v>408</v>
      </c>
      <c r="M69">
        <v>50</v>
      </c>
      <c r="N69" s="147">
        <v>44562</v>
      </c>
      <c r="O69" s="147"/>
      <c r="Q69" t="s">
        <v>254</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428</v>
      </c>
      <c r="H70">
        <v>2</v>
      </c>
      <c r="I70" t="s">
        <v>425</v>
      </c>
      <c r="J70" t="s">
        <v>257</v>
      </c>
      <c r="K70" s="1">
        <v>1</v>
      </c>
      <c r="L70" t="s">
        <v>409</v>
      </c>
      <c r="M70">
        <v>50</v>
      </c>
      <c r="N70" s="147">
        <v>44562</v>
      </c>
      <c r="O70" s="147"/>
      <c r="Q70" t="s">
        <v>257</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428</v>
      </c>
      <c r="H71">
        <v>2</v>
      </c>
      <c r="I71" t="s">
        <v>425</v>
      </c>
      <c r="J71" t="s">
        <v>259</v>
      </c>
      <c r="K71" s="1">
        <v>1</v>
      </c>
      <c r="L71" t="s">
        <v>410</v>
      </c>
      <c r="M71">
        <v>50</v>
      </c>
      <c r="N71" s="147">
        <v>44562</v>
      </c>
      <c r="O71" s="147"/>
      <c r="Q71" t="s">
        <v>259</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428</v>
      </c>
      <c r="H72">
        <v>2</v>
      </c>
      <c r="I72" t="s">
        <v>425</v>
      </c>
      <c r="J72" t="s">
        <v>261</v>
      </c>
      <c r="K72" s="1">
        <v>1</v>
      </c>
      <c r="L72" t="s">
        <v>411</v>
      </c>
      <c r="M72">
        <v>50</v>
      </c>
      <c r="N72" s="147">
        <v>44562</v>
      </c>
      <c r="O72" s="147"/>
      <c r="Q72" t="s">
        <v>261</v>
      </c>
      <c r="R72">
        <v>1</v>
      </c>
    </row>
    <row r="73" spans="1:18" x14ac:dyDescent="0.25">
      <c r="B73"/>
      <c r="E73"/>
      <c r="F73" s="77"/>
      <c r="G73" s="78" t="s">
        <v>413</v>
      </c>
      <c r="H73" s="171">
        <v>44562</v>
      </c>
      <c r="J73" s="170" t="s">
        <v>46</v>
      </c>
      <c r="K73" s="79" t="s">
        <v>79</v>
      </c>
      <c r="L73" s="77" t="s">
        <v>404</v>
      </c>
    </row>
    <row r="74" spans="1:18" x14ac:dyDescent="0.25">
      <c r="A74" t="s">
        <v>0</v>
      </c>
      <c r="B74" s="1" t="s">
        <v>73</v>
      </c>
      <c r="C74" t="s">
        <v>414</v>
      </c>
      <c r="D74" t="s">
        <v>3</v>
      </c>
      <c r="E74" s="80" t="s">
        <v>415</v>
      </c>
      <c r="F74" t="s">
        <v>416</v>
      </c>
      <c r="G74" t="s">
        <v>417</v>
      </c>
      <c r="H74" t="s">
        <v>418</v>
      </c>
      <c r="I74" t="s">
        <v>21</v>
      </c>
      <c r="J74" t="s">
        <v>419</v>
      </c>
      <c r="K74" s="1" t="s">
        <v>1</v>
      </c>
      <c r="L74" t="s">
        <v>56</v>
      </c>
      <c r="M74" t="s">
        <v>74</v>
      </c>
      <c r="N74" s="168" t="s">
        <v>420</v>
      </c>
      <c r="O74" s="168" t="s">
        <v>421</v>
      </c>
      <c r="Q74" t="s">
        <v>422</v>
      </c>
      <c r="R74" t="s">
        <v>423</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424</v>
      </c>
      <c r="H75">
        <v>1</v>
      </c>
      <c r="I75" t="s">
        <v>425</v>
      </c>
      <c r="J75" t="s">
        <v>271</v>
      </c>
      <c r="K75" s="1">
        <v>2</v>
      </c>
      <c r="L75" t="s">
        <v>339</v>
      </c>
      <c r="M75">
        <v>25</v>
      </c>
      <c r="N75" s="147">
        <v>44562</v>
      </c>
      <c r="O75" s="147"/>
      <c r="Q75" t="s">
        <v>271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424</v>
      </c>
      <c r="H76">
        <v>2</v>
      </c>
      <c r="I76" t="s">
        <v>425</v>
      </c>
      <c r="J76" t="s">
        <v>278</v>
      </c>
      <c r="K76" s="1">
        <v>2</v>
      </c>
      <c r="L76" t="s">
        <v>347</v>
      </c>
      <c r="M76">
        <v>25</v>
      </c>
      <c r="N76" s="147">
        <v>43831</v>
      </c>
      <c r="O76" s="147"/>
      <c r="Q76" t="s">
        <v>278</v>
      </c>
      <c r="R76">
        <v>2</v>
      </c>
    </row>
    <row r="77" spans="1:18" x14ac:dyDescent="0.25">
      <c r="B77"/>
      <c r="E77"/>
      <c r="F77" s="77"/>
      <c r="G77" s="78" t="s">
        <v>413</v>
      </c>
      <c r="H77" s="171">
        <v>44562</v>
      </c>
      <c r="J77" s="170" t="s">
        <v>252</v>
      </c>
      <c r="K77" s="79" t="s">
        <v>79</v>
      </c>
      <c r="L77" s="77" t="s">
        <v>406</v>
      </c>
    </row>
    <row r="78" spans="1:18" x14ac:dyDescent="0.25">
      <c r="A78" t="s">
        <v>0</v>
      </c>
      <c r="B78" s="1" t="s">
        <v>73</v>
      </c>
      <c r="C78" t="s">
        <v>414</v>
      </c>
      <c r="D78" t="s">
        <v>3</v>
      </c>
      <c r="E78" s="80" t="s">
        <v>415</v>
      </c>
      <c r="F78" t="s">
        <v>416</v>
      </c>
      <c r="G78" t="s">
        <v>417</v>
      </c>
      <c r="H78" t="s">
        <v>418</v>
      </c>
      <c r="I78" t="s">
        <v>21</v>
      </c>
      <c r="J78" t="s">
        <v>419</v>
      </c>
      <c r="K78" s="1" t="s">
        <v>1</v>
      </c>
      <c r="L78" t="s">
        <v>56</v>
      </c>
      <c r="M78" t="s">
        <v>74</v>
      </c>
      <c r="N78" s="168" t="s">
        <v>420</v>
      </c>
      <c r="O78" s="168" t="s">
        <v>421</v>
      </c>
      <c r="Q78" t="s">
        <v>422</v>
      </c>
      <c r="R78" t="s">
        <v>423</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424</v>
      </c>
      <c r="H79">
        <v>1</v>
      </c>
      <c r="I79" t="s">
        <v>425</v>
      </c>
      <c r="J79" t="s">
        <v>279</v>
      </c>
      <c r="K79" s="1">
        <v>1</v>
      </c>
      <c r="L79" t="s">
        <v>352</v>
      </c>
      <c r="M79">
        <v>25</v>
      </c>
      <c r="N79" s="147">
        <v>43831</v>
      </c>
      <c r="O79" s="147"/>
      <c r="Q79" t="s">
        <v>279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424</v>
      </c>
      <c r="H80">
        <v>2</v>
      </c>
      <c r="I80" t="s">
        <v>425</v>
      </c>
      <c r="J80" t="s">
        <v>272</v>
      </c>
      <c r="K80" s="1">
        <v>1</v>
      </c>
      <c r="L80" t="s">
        <v>340</v>
      </c>
      <c r="M80">
        <v>25</v>
      </c>
      <c r="N80" s="147">
        <v>43101</v>
      </c>
      <c r="O80" s="147"/>
      <c r="Q80" t="s">
        <v>272</v>
      </c>
      <c r="R80">
        <v>1</v>
      </c>
    </row>
    <row r="81" spans="1:18" x14ac:dyDescent="0.25">
      <c r="B81"/>
      <c r="E81"/>
      <c r="F81" s="77"/>
      <c r="G81" s="78" t="s">
        <v>413</v>
      </c>
      <c r="H81" s="171">
        <v>44562</v>
      </c>
      <c r="J81" s="170" t="s">
        <v>254</v>
      </c>
      <c r="K81" s="79" t="s">
        <v>79</v>
      </c>
      <c r="L81" s="77" t="s">
        <v>408</v>
      </c>
    </row>
    <row r="82" spans="1:18" x14ac:dyDescent="0.25">
      <c r="A82" t="s">
        <v>0</v>
      </c>
      <c r="B82" s="1" t="s">
        <v>73</v>
      </c>
      <c r="C82" t="s">
        <v>414</v>
      </c>
      <c r="D82" t="s">
        <v>3</v>
      </c>
      <c r="E82" s="80" t="s">
        <v>415</v>
      </c>
      <c r="F82" t="s">
        <v>416</v>
      </c>
      <c r="G82" t="s">
        <v>417</v>
      </c>
      <c r="H82" t="s">
        <v>418</v>
      </c>
      <c r="I82" t="s">
        <v>21</v>
      </c>
      <c r="J82" t="s">
        <v>419</v>
      </c>
      <c r="K82" s="1" t="s">
        <v>1</v>
      </c>
      <c r="L82" t="s">
        <v>56</v>
      </c>
      <c r="M82" t="s">
        <v>74</v>
      </c>
      <c r="N82" s="168" t="s">
        <v>420</v>
      </c>
      <c r="O82" s="168" t="s">
        <v>421</v>
      </c>
      <c r="Q82" t="s">
        <v>422</v>
      </c>
      <c r="R82" t="s">
        <v>423</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424</v>
      </c>
      <c r="H83">
        <v>1</v>
      </c>
      <c r="I83" t="s">
        <v>425</v>
      </c>
      <c r="J83" t="s">
        <v>273</v>
      </c>
      <c r="K83" s="1">
        <v>1</v>
      </c>
      <c r="L83" t="s">
        <v>353</v>
      </c>
      <c r="M83">
        <v>25</v>
      </c>
      <c r="N83" s="147">
        <v>43831</v>
      </c>
      <c r="O83" s="147"/>
      <c r="Q83" t="s">
        <v>273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424</v>
      </c>
      <c r="H84">
        <v>2</v>
      </c>
      <c r="I84" t="s">
        <v>425</v>
      </c>
      <c r="J84" t="s">
        <v>280</v>
      </c>
      <c r="K84" s="1">
        <v>1</v>
      </c>
      <c r="L84" t="s">
        <v>354</v>
      </c>
      <c r="M84">
        <v>25</v>
      </c>
      <c r="N84" s="147">
        <v>43831</v>
      </c>
      <c r="O84" s="147"/>
      <c r="Q84" t="s">
        <v>280</v>
      </c>
      <c r="R84">
        <v>1</v>
      </c>
    </row>
    <row r="85" spans="1:18" x14ac:dyDescent="0.25">
      <c r="B85"/>
      <c r="E85"/>
      <c r="F85" s="77"/>
      <c r="G85" s="78" t="s">
        <v>413</v>
      </c>
      <c r="H85" s="171">
        <v>44562</v>
      </c>
      <c r="J85" s="170" t="s">
        <v>257</v>
      </c>
      <c r="K85" s="79" t="s">
        <v>79</v>
      </c>
      <c r="L85" s="77" t="s">
        <v>409</v>
      </c>
    </row>
    <row r="86" spans="1:18" x14ac:dyDescent="0.25">
      <c r="A86" t="s">
        <v>0</v>
      </c>
      <c r="B86" s="1" t="s">
        <v>73</v>
      </c>
      <c r="C86" t="s">
        <v>414</v>
      </c>
      <c r="D86" t="s">
        <v>3</v>
      </c>
      <c r="E86" s="80" t="s">
        <v>415</v>
      </c>
      <c r="F86" t="s">
        <v>416</v>
      </c>
      <c r="G86" t="s">
        <v>417</v>
      </c>
      <c r="H86" t="s">
        <v>418</v>
      </c>
      <c r="I86" t="s">
        <v>21</v>
      </c>
      <c r="J86" t="s">
        <v>419</v>
      </c>
      <c r="K86" s="1" t="s">
        <v>1</v>
      </c>
      <c r="L86" t="s">
        <v>56</v>
      </c>
      <c r="M86" t="s">
        <v>74</v>
      </c>
      <c r="N86" s="168" t="s">
        <v>420</v>
      </c>
      <c r="O86" s="168" t="s">
        <v>421</v>
      </c>
      <c r="Q86" t="s">
        <v>422</v>
      </c>
      <c r="R86" t="s">
        <v>423</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424</v>
      </c>
      <c r="H87">
        <v>1</v>
      </c>
      <c r="I87" t="s">
        <v>425</v>
      </c>
      <c r="J87" t="s">
        <v>274</v>
      </c>
      <c r="K87" s="1">
        <v>1</v>
      </c>
      <c r="L87" t="s">
        <v>341</v>
      </c>
      <c r="M87">
        <v>25</v>
      </c>
      <c r="N87" s="147">
        <v>43101</v>
      </c>
      <c r="O87" s="147"/>
      <c r="Q87" t="s">
        <v>274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424</v>
      </c>
      <c r="H88">
        <v>2</v>
      </c>
      <c r="I88" t="s">
        <v>425</v>
      </c>
      <c r="J88" t="s">
        <v>281</v>
      </c>
      <c r="K88" s="1">
        <v>2</v>
      </c>
      <c r="L88" t="s">
        <v>348</v>
      </c>
      <c r="M88">
        <v>25</v>
      </c>
      <c r="N88" s="147">
        <v>43831</v>
      </c>
      <c r="O88" s="147"/>
      <c r="Q88" t="s">
        <v>281</v>
      </c>
      <c r="R88">
        <v>2</v>
      </c>
    </row>
    <row r="89" spans="1:18" x14ac:dyDescent="0.25">
      <c r="B89"/>
      <c r="E89"/>
      <c r="F89" s="77"/>
      <c r="G89" s="78" t="s">
        <v>413</v>
      </c>
      <c r="H89" s="171">
        <v>44562</v>
      </c>
      <c r="J89" s="170" t="s">
        <v>259</v>
      </c>
      <c r="K89" s="79" t="s">
        <v>79</v>
      </c>
      <c r="L89" s="77" t="s">
        <v>410</v>
      </c>
    </row>
    <row r="90" spans="1:18" x14ac:dyDescent="0.25">
      <c r="A90" t="s">
        <v>0</v>
      </c>
      <c r="B90" s="1" t="s">
        <v>73</v>
      </c>
      <c r="C90" t="s">
        <v>414</v>
      </c>
      <c r="D90" t="s">
        <v>3</v>
      </c>
      <c r="E90" s="80" t="s">
        <v>415</v>
      </c>
      <c r="F90" t="s">
        <v>416</v>
      </c>
      <c r="G90" t="s">
        <v>417</v>
      </c>
      <c r="H90" t="s">
        <v>418</v>
      </c>
      <c r="I90" t="s">
        <v>21</v>
      </c>
      <c r="J90" t="s">
        <v>419</v>
      </c>
      <c r="K90" s="1" t="s">
        <v>1</v>
      </c>
      <c r="L90" t="s">
        <v>56</v>
      </c>
      <c r="M90" t="s">
        <v>74</v>
      </c>
      <c r="N90" s="168" t="s">
        <v>420</v>
      </c>
      <c r="O90" s="168" t="s">
        <v>421</v>
      </c>
      <c r="Q90" t="s">
        <v>422</v>
      </c>
      <c r="R90" t="s">
        <v>423</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424</v>
      </c>
      <c r="H91">
        <v>1</v>
      </c>
      <c r="I91" t="s">
        <v>425</v>
      </c>
      <c r="J91" t="s">
        <v>275</v>
      </c>
      <c r="K91" s="1">
        <v>1</v>
      </c>
      <c r="L91" t="s">
        <v>342</v>
      </c>
      <c r="M91">
        <v>25</v>
      </c>
      <c r="N91" s="147">
        <v>43101</v>
      </c>
      <c r="O91" s="147"/>
      <c r="Q91" t="s">
        <v>275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424</v>
      </c>
      <c r="H92">
        <v>2</v>
      </c>
      <c r="I92" t="s">
        <v>425</v>
      </c>
      <c r="J92" t="s">
        <v>282</v>
      </c>
      <c r="K92" s="1">
        <v>2</v>
      </c>
      <c r="L92" t="s">
        <v>349</v>
      </c>
      <c r="M92">
        <v>25</v>
      </c>
      <c r="N92" s="147">
        <v>43831</v>
      </c>
      <c r="O92" s="147"/>
      <c r="Q92" t="s">
        <v>282</v>
      </c>
      <c r="R92">
        <v>2</v>
      </c>
    </row>
    <row r="93" spans="1:18" x14ac:dyDescent="0.25">
      <c r="B93"/>
      <c r="E93"/>
      <c r="F93" s="77"/>
      <c r="G93" s="78" t="s">
        <v>413</v>
      </c>
      <c r="H93" s="171">
        <v>44562</v>
      </c>
      <c r="J93" s="170" t="s">
        <v>261</v>
      </c>
      <c r="K93" s="79" t="s">
        <v>79</v>
      </c>
      <c r="L93" s="77" t="s">
        <v>411</v>
      </c>
    </row>
    <row r="94" spans="1:18" x14ac:dyDescent="0.25">
      <c r="A94" t="s">
        <v>0</v>
      </c>
      <c r="B94" s="1" t="s">
        <v>73</v>
      </c>
      <c r="C94" t="s">
        <v>414</v>
      </c>
      <c r="D94" t="s">
        <v>3</v>
      </c>
      <c r="E94" s="80" t="s">
        <v>415</v>
      </c>
      <c r="F94" t="s">
        <v>416</v>
      </c>
      <c r="G94" t="s">
        <v>417</v>
      </c>
      <c r="H94" t="s">
        <v>418</v>
      </c>
      <c r="I94" t="s">
        <v>21</v>
      </c>
      <c r="J94" t="s">
        <v>419</v>
      </c>
      <c r="K94" s="1" t="s">
        <v>1</v>
      </c>
      <c r="L94" t="s">
        <v>56</v>
      </c>
      <c r="M94" t="s">
        <v>74</v>
      </c>
      <c r="N94" s="168" t="s">
        <v>420</v>
      </c>
      <c r="O94" s="168" t="s">
        <v>421</v>
      </c>
      <c r="Q94" t="s">
        <v>422</v>
      </c>
      <c r="R94" t="s">
        <v>423</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424</v>
      </c>
      <c r="H95">
        <v>1</v>
      </c>
      <c r="I95" t="s">
        <v>425</v>
      </c>
      <c r="J95" t="s">
        <v>276</v>
      </c>
      <c r="K95" s="1">
        <v>1</v>
      </c>
      <c r="L95" t="s">
        <v>343</v>
      </c>
      <c r="M95">
        <v>25</v>
      </c>
      <c r="N95" s="147">
        <v>43101</v>
      </c>
      <c r="O95" s="147"/>
      <c r="Q95" t="s">
        <v>276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424</v>
      </c>
      <c r="H96">
        <v>2</v>
      </c>
      <c r="I96" t="s">
        <v>425</v>
      </c>
      <c r="J96" t="s">
        <v>283</v>
      </c>
      <c r="K96" s="1">
        <v>2</v>
      </c>
      <c r="L96" t="s">
        <v>350</v>
      </c>
      <c r="M96">
        <v>25</v>
      </c>
      <c r="N96" s="147">
        <v>43831</v>
      </c>
      <c r="O96" s="147"/>
      <c r="Q96" t="s">
        <v>283</v>
      </c>
      <c r="R96">
        <v>2</v>
      </c>
    </row>
    <row r="97" spans="1:18" x14ac:dyDescent="0.25">
      <c r="B97"/>
      <c r="E97"/>
      <c r="F97" s="77"/>
      <c r="G97" s="78" t="s">
        <v>413</v>
      </c>
      <c r="H97" s="171">
        <v>44562</v>
      </c>
      <c r="J97" s="170" t="s">
        <v>250</v>
      </c>
      <c r="K97" s="79" t="s">
        <v>79</v>
      </c>
      <c r="L97" s="77" t="s">
        <v>407</v>
      </c>
    </row>
    <row r="98" spans="1:18" x14ac:dyDescent="0.25">
      <c r="A98" t="s">
        <v>0</v>
      </c>
      <c r="B98" s="1" t="s">
        <v>73</v>
      </c>
      <c r="C98" t="s">
        <v>414</v>
      </c>
      <c r="D98" t="s">
        <v>3</v>
      </c>
      <c r="E98" s="80" t="s">
        <v>415</v>
      </c>
      <c r="F98" t="s">
        <v>416</v>
      </c>
      <c r="G98" t="s">
        <v>417</v>
      </c>
      <c r="H98" t="s">
        <v>418</v>
      </c>
      <c r="I98" t="s">
        <v>21</v>
      </c>
      <c r="J98" t="s">
        <v>419</v>
      </c>
      <c r="K98" s="1" t="s">
        <v>1</v>
      </c>
      <c r="L98" t="s">
        <v>56</v>
      </c>
      <c r="M98" t="s">
        <v>74</v>
      </c>
      <c r="N98" s="168" t="s">
        <v>420</v>
      </c>
      <c r="O98" s="168" t="s">
        <v>421</v>
      </c>
      <c r="Q98" t="s">
        <v>422</v>
      </c>
      <c r="R98" t="s">
        <v>423</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424</v>
      </c>
      <c r="H99">
        <v>1</v>
      </c>
      <c r="I99" t="s">
        <v>425</v>
      </c>
      <c r="J99" t="s">
        <v>169</v>
      </c>
      <c r="K99" s="1">
        <v>1</v>
      </c>
      <c r="L99" t="s">
        <v>366</v>
      </c>
      <c r="M99">
        <v>25</v>
      </c>
      <c r="N99" s="147">
        <v>44562</v>
      </c>
      <c r="O99" s="147"/>
      <c r="Q99" t="s">
        <v>169</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424</v>
      </c>
      <c r="H100">
        <v>2</v>
      </c>
      <c r="I100" t="s">
        <v>425</v>
      </c>
      <c r="J100" t="s">
        <v>290</v>
      </c>
      <c r="K100" s="1">
        <v>1</v>
      </c>
      <c r="L100" t="s">
        <v>355</v>
      </c>
      <c r="M100">
        <v>25</v>
      </c>
      <c r="N100" s="147">
        <v>44562</v>
      </c>
      <c r="O100" s="147"/>
      <c r="Q100" t="s">
        <v>290</v>
      </c>
      <c r="R100">
        <v>1</v>
      </c>
    </row>
    <row r="101" spans="1:18" x14ac:dyDescent="0.25">
      <c r="B101"/>
      <c r="E101"/>
    </row>
    <row r="102" spans="1:18" x14ac:dyDescent="0.25">
      <c r="B102"/>
      <c r="E102"/>
      <c r="F102" s="77"/>
      <c r="G102" s="78" t="s">
        <v>413</v>
      </c>
      <c r="H102" s="171">
        <v>43831</v>
      </c>
      <c r="J102" s="170" t="s">
        <v>112</v>
      </c>
      <c r="K102" s="79" t="s">
        <v>91</v>
      </c>
      <c r="L102" s="77" t="s">
        <v>39</v>
      </c>
    </row>
    <row r="103" spans="1:18" x14ac:dyDescent="0.25">
      <c r="A103" t="s">
        <v>0</v>
      </c>
      <c r="B103" s="1" t="s">
        <v>73</v>
      </c>
      <c r="C103" t="s">
        <v>414</v>
      </c>
      <c r="D103" t="s">
        <v>3</v>
      </c>
      <c r="E103" s="80" t="s">
        <v>415</v>
      </c>
      <c r="F103" t="s">
        <v>416</v>
      </c>
      <c r="G103" t="s">
        <v>417</v>
      </c>
      <c r="H103" t="s">
        <v>418</v>
      </c>
      <c r="I103" t="s">
        <v>21</v>
      </c>
      <c r="J103" t="s">
        <v>419</v>
      </c>
      <c r="K103" s="1" t="s">
        <v>1</v>
      </c>
      <c r="L103" t="s">
        <v>56</v>
      </c>
      <c r="M103" t="s">
        <v>74</v>
      </c>
      <c r="N103" s="168" t="s">
        <v>420</v>
      </c>
      <c r="O103" s="168" t="s">
        <v>421</v>
      </c>
      <c r="Q103" t="s">
        <v>422</v>
      </c>
      <c r="R103" t="s">
        <v>423</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424</v>
      </c>
      <c r="H104">
        <v>1</v>
      </c>
      <c r="I104" t="s">
        <v>425</v>
      </c>
      <c r="J104" t="s">
        <v>87</v>
      </c>
      <c r="K104" s="1">
        <v>1</v>
      </c>
      <c r="L104" t="s">
        <v>358</v>
      </c>
      <c r="M104">
        <v>25</v>
      </c>
      <c r="N104" s="147">
        <v>43101</v>
      </c>
      <c r="O104" s="147"/>
      <c r="Q104" t="s">
        <v>87</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424</v>
      </c>
      <c r="H105">
        <v>1</v>
      </c>
      <c r="I105" t="s">
        <v>425</v>
      </c>
      <c r="J105" t="s">
        <v>157</v>
      </c>
      <c r="K105" s="1">
        <v>1</v>
      </c>
      <c r="L105" t="s">
        <v>361</v>
      </c>
      <c r="M105">
        <v>25</v>
      </c>
      <c r="N105" s="147">
        <v>42736</v>
      </c>
      <c r="O105" s="147"/>
      <c r="Q105" t="s">
        <v>157</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424</v>
      </c>
      <c r="H106">
        <v>1</v>
      </c>
      <c r="I106" t="s">
        <v>425</v>
      </c>
      <c r="J106" t="s">
        <v>173</v>
      </c>
      <c r="K106" s="1">
        <v>1</v>
      </c>
      <c r="L106" t="s">
        <v>338</v>
      </c>
      <c r="M106">
        <v>25</v>
      </c>
      <c r="N106" s="147">
        <v>43101</v>
      </c>
      <c r="O106" s="147"/>
      <c r="Q106" t="s">
        <v>173</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424</v>
      </c>
      <c r="H107">
        <v>1</v>
      </c>
      <c r="I107" t="s">
        <v>425</v>
      </c>
      <c r="J107" t="s">
        <v>156</v>
      </c>
      <c r="K107" s="1">
        <v>1</v>
      </c>
      <c r="L107" t="s">
        <v>362</v>
      </c>
      <c r="M107">
        <v>25</v>
      </c>
      <c r="N107" s="147">
        <v>42736</v>
      </c>
      <c r="O107" s="147"/>
      <c r="Q107" t="s">
        <v>156</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424</v>
      </c>
      <c r="H108">
        <v>1</v>
      </c>
      <c r="I108" t="s">
        <v>425</v>
      </c>
      <c r="J108" t="s">
        <v>169</v>
      </c>
      <c r="K108" s="1">
        <v>1</v>
      </c>
      <c r="L108" t="s">
        <v>366</v>
      </c>
      <c r="M108">
        <v>25</v>
      </c>
      <c r="N108" s="147">
        <v>44562</v>
      </c>
      <c r="O108" s="147"/>
      <c r="Q108" t="s">
        <v>169</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424</v>
      </c>
      <c r="H109">
        <v>1</v>
      </c>
      <c r="I109" t="s">
        <v>425</v>
      </c>
      <c r="J109" t="s">
        <v>162</v>
      </c>
      <c r="K109" s="1">
        <v>1</v>
      </c>
      <c r="L109" t="s">
        <v>363</v>
      </c>
      <c r="M109">
        <v>25</v>
      </c>
      <c r="N109" s="147">
        <v>42736</v>
      </c>
      <c r="O109" s="147"/>
      <c r="Q109" t="s">
        <v>162</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424</v>
      </c>
      <c r="H110">
        <v>1</v>
      </c>
      <c r="I110" t="s">
        <v>425</v>
      </c>
      <c r="J110" t="s">
        <v>59</v>
      </c>
      <c r="K110" s="1">
        <v>2</v>
      </c>
      <c r="L110" t="s">
        <v>357</v>
      </c>
      <c r="M110">
        <v>25</v>
      </c>
      <c r="N110" s="147">
        <v>44197</v>
      </c>
      <c r="O110" s="147"/>
      <c r="Q110" t="s">
        <v>59</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424</v>
      </c>
      <c r="H111">
        <v>1</v>
      </c>
      <c r="I111" t="s">
        <v>425</v>
      </c>
      <c r="J111" t="s">
        <v>163</v>
      </c>
      <c r="K111" s="1">
        <v>1</v>
      </c>
      <c r="L111" t="s">
        <v>364</v>
      </c>
      <c r="M111">
        <v>25</v>
      </c>
      <c r="N111" s="147">
        <v>42736</v>
      </c>
      <c r="O111" s="147"/>
      <c r="Q111" t="s">
        <v>163</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424</v>
      </c>
      <c r="H112">
        <v>2</v>
      </c>
      <c r="I112" t="s">
        <v>425</v>
      </c>
      <c r="J112" t="s">
        <v>164</v>
      </c>
      <c r="K112" s="1">
        <v>2</v>
      </c>
      <c r="L112" t="s">
        <v>395</v>
      </c>
      <c r="M112">
        <v>25</v>
      </c>
      <c r="N112" s="147">
        <v>42736</v>
      </c>
      <c r="O112" s="147"/>
      <c r="Q112" t="s">
        <v>164</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424</v>
      </c>
      <c r="H113">
        <v>2</v>
      </c>
      <c r="I113" t="s">
        <v>425</v>
      </c>
      <c r="J113" t="s">
        <v>171</v>
      </c>
      <c r="K113" s="1">
        <v>2</v>
      </c>
      <c r="L113" t="s">
        <v>396</v>
      </c>
      <c r="M113">
        <v>25</v>
      </c>
      <c r="N113" s="147">
        <v>42736</v>
      </c>
      <c r="O113" s="147"/>
      <c r="Q113" t="s">
        <v>171</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424</v>
      </c>
      <c r="H114">
        <v>2</v>
      </c>
      <c r="I114" t="s">
        <v>425</v>
      </c>
      <c r="J114" t="s">
        <v>165</v>
      </c>
      <c r="K114" s="1">
        <v>1</v>
      </c>
      <c r="L114" t="s">
        <v>371</v>
      </c>
      <c r="M114">
        <v>25</v>
      </c>
      <c r="N114" s="147">
        <v>42736</v>
      </c>
      <c r="O114" s="147"/>
      <c r="Q114" t="s">
        <v>165</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424</v>
      </c>
      <c r="H115">
        <v>2</v>
      </c>
      <c r="I115" t="s">
        <v>425</v>
      </c>
      <c r="J115" t="s">
        <v>166</v>
      </c>
      <c r="K115" s="1">
        <v>2</v>
      </c>
      <c r="L115" t="s">
        <v>370</v>
      </c>
      <c r="M115">
        <v>25</v>
      </c>
      <c r="N115" s="147">
        <v>44562</v>
      </c>
      <c r="O115" s="147"/>
      <c r="Q115" t="s">
        <v>166</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424</v>
      </c>
      <c r="H116">
        <v>2</v>
      </c>
      <c r="I116" t="s">
        <v>425</v>
      </c>
      <c r="J116" t="s">
        <v>172</v>
      </c>
      <c r="K116" s="1">
        <v>2</v>
      </c>
      <c r="L116" t="s">
        <v>368</v>
      </c>
      <c r="M116">
        <v>50</v>
      </c>
      <c r="N116" s="147">
        <v>44562</v>
      </c>
      <c r="O116" s="147"/>
      <c r="Q116" t="s">
        <v>172</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424</v>
      </c>
      <c r="H117">
        <v>2</v>
      </c>
      <c r="I117" t="s">
        <v>425</v>
      </c>
      <c r="J117" t="s">
        <v>158</v>
      </c>
      <c r="K117" s="1">
        <v>1</v>
      </c>
      <c r="L117" t="s">
        <v>373</v>
      </c>
      <c r="M117">
        <v>25</v>
      </c>
      <c r="N117" s="147">
        <v>42736</v>
      </c>
      <c r="O117" s="147"/>
      <c r="Q117" t="s">
        <v>158</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424</v>
      </c>
      <c r="H118">
        <v>2</v>
      </c>
      <c r="I118" t="s">
        <v>425</v>
      </c>
      <c r="J118" t="s">
        <v>159</v>
      </c>
      <c r="K118" s="1">
        <v>1</v>
      </c>
      <c r="L118" t="s">
        <v>372</v>
      </c>
      <c r="M118">
        <v>25</v>
      </c>
      <c r="N118" s="147">
        <v>42736</v>
      </c>
      <c r="O118" s="147"/>
      <c r="Q118" t="s">
        <v>159</v>
      </c>
      <c r="R118">
        <v>1</v>
      </c>
    </row>
    <row r="119" spans="1:18" x14ac:dyDescent="0.25">
      <c r="B119"/>
      <c r="E119"/>
      <c r="F119" s="77"/>
      <c r="G119" s="78" t="s">
        <v>413</v>
      </c>
      <c r="H119" s="171">
        <v>42736</v>
      </c>
      <c r="J119" s="170" t="s">
        <v>96</v>
      </c>
      <c r="K119" s="79" t="s">
        <v>97</v>
      </c>
      <c r="L119" s="77" t="s">
        <v>95</v>
      </c>
    </row>
    <row r="120" spans="1:18" x14ac:dyDescent="0.25">
      <c r="A120" t="s">
        <v>0</v>
      </c>
      <c r="B120" s="1" t="s">
        <v>73</v>
      </c>
      <c r="C120" t="s">
        <v>414</v>
      </c>
      <c r="D120" t="s">
        <v>3</v>
      </c>
      <c r="E120" s="80" t="s">
        <v>415</v>
      </c>
      <c r="F120" t="s">
        <v>416</v>
      </c>
      <c r="G120" t="s">
        <v>417</v>
      </c>
      <c r="H120" t="s">
        <v>418</v>
      </c>
      <c r="I120" t="s">
        <v>21</v>
      </c>
      <c r="J120" t="s">
        <v>419</v>
      </c>
      <c r="K120" s="1" t="s">
        <v>1</v>
      </c>
      <c r="L120" t="s">
        <v>56</v>
      </c>
      <c r="M120" t="s">
        <v>74</v>
      </c>
      <c r="N120" s="168" t="s">
        <v>420</v>
      </c>
      <c r="O120" s="168" t="s">
        <v>421</v>
      </c>
      <c r="Q120" t="s">
        <v>422</v>
      </c>
      <c r="R120" t="s">
        <v>423</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424</v>
      </c>
      <c r="H121">
        <v>1</v>
      </c>
      <c r="I121" t="s">
        <v>425</v>
      </c>
      <c r="J121" t="s">
        <v>164</v>
      </c>
      <c r="K121" s="1">
        <v>2</v>
      </c>
      <c r="L121" t="s">
        <v>395</v>
      </c>
      <c r="M121">
        <v>25</v>
      </c>
      <c r="N121" s="147">
        <v>42736</v>
      </c>
      <c r="O121" s="147"/>
      <c r="Q121" t="s">
        <v>164</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424</v>
      </c>
      <c r="H122">
        <v>1</v>
      </c>
      <c r="I122" t="s">
        <v>425</v>
      </c>
      <c r="J122" t="s">
        <v>166</v>
      </c>
      <c r="K122" s="1">
        <v>2</v>
      </c>
      <c r="L122" t="s">
        <v>370</v>
      </c>
      <c r="M122">
        <v>25</v>
      </c>
      <c r="N122" s="147">
        <v>44562</v>
      </c>
      <c r="O122" s="147"/>
      <c r="Q122" t="s">
        <v>166</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424</v>
      </c>
      <c r="H123">
        <v>1</v>
      </c>
      <c r="I123" t="s">
        <v>425</v>
      </c>
      <c r="J123" t="s">
        <v>158</v>
      </c>
      <c r="K123" s="1">
        <v>1</v>
      </c>
      <c r="L123" t="s">
        <v>373</v>
      </c>
      <c r="M123">
        <v>25</v>
      </c>
      <c r="N123" s="147">
        <v>42736</v>
      </c>
      <c r="O123" s="147"/>
      <c r="Q123" t="s">
        <v>158</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424</v>
      </c>
      <c r="H124">
        <v>1</v>
      </c>
      <c r="I124" t="s">
        <v>425</v>
      </c>
      <c r="J124" t="s">
        <v>171</v>
      </c>
      <c r="K124" s="1">
        <v>2</v>
      </c>
      <c r="L124" t="s">
        <v>396</v>
      </c>
      <c r="M124">
        <v>25</v>
      </c>
      <c r="N124" s="147">
        <v>42736</v>
      </c>
      <c r="O124" s="147"/>
      <c r="Q124" t="s">
        <v>171</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424</v>
      </c>
      <c r="H125">
        <v>1</v>
      </c>
      <c r="I125" t="s">
        <v>425</v>
      </c>
      <c r="J125" t="s">
        <v>159</v>
      </c>
      <c r="K125" s="1">
        <v>1</v>
      </c>
      <c r="L125" t="s">
        <v>372</v>
      </c>
      <c r="M125">
        <v>25</v>
      </c>
      <c r="N125" s="147">
        <v>42736</v>
      </c>
      <c r="O125" s="147"/>
      <c r="Q125" t="s">
        <v>159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424</v>
      </c>
      <c r="H126">
        <v>1</v>
      </c>
      <c r="I126" t="s">
        <v>425</v>
      </c>
      <c r="J126" t="s">
        <v>165</v>
      </c>
      <c r="K126" s="1">
        <v>1</v>
      </c>
      <c r="L126" t="s">
        <v>371</v>
      </c>
      <c r="M126">
        <v>25</v>
      </c>
      <c r="N126" s="147">
        <v>42736</v>
      </c>
      <c r="O126" s="147"/>
      <c r="Q126" t="s">
        <v>165</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424</v>
      </c>
      <c r="H127">
        <v>1</v>
      </c>
      <c r="I127" t="s">
        <v>425</v>
      </c>
      <c r="J127" t="s">
        <v>172</v>
      </c>
      <c r="K127" s="1">
        <v>2</v>
      </c>
      <c r="L127" t="s">
        <v>368</v>
      </c>
      <c r="M127">
        <v>50</v>
      </c>
      <c r="N127" s="147">
        <v>44562</v>
      </c>
      <c r="O127" s="147"/>
      <c r="Q127" t="s">
        <v>172</v>
      </c>
      <c r="R127">
        <v>2</v>
      </c>
    </row>
    <row r="128" spans="1:18" x14ac:dyDescent="0.25">
      <c r="B128"/>
      <c r="E128"/>
      <c r="F128" s="77"/>
      <c r="G128" s="78" t="s">
        <v>413</v>
      </c>
      <c r="H128" s="171">
        <v>42736</v>
      </c>
      <c r="J128" s="170" t="s">
        <v>90</v>
      </c>
      <c r="K128" s="79" t="s">
        <v>91</v>
      </c>
      <c r="L128" s="77" t="s">
        <v>429</v>
      </c>
    </row>
    <row r="129" spans="1:18" x14ac:dyDescent="0.25">
      <c r="A129" t="s">
        <v>0</v>
      </c>
      <c r="B129" s="1" t="s">
        <v>73</v>
      </c>
      <c r="C129" t="s">
        <v>414</v>
      </c>
      <c r="D129" t="s">
        <v>3</v>
      </c>
      <c r="E129" s="80" t="s">
        <v>415</v>
      </c>
      <c r="F129" t="s">
        <v>416</v>
      </c>
      <c r="G129" t="s">
        <v>417</v>
      </c>
      <c r="H129" t="s">
        <v>418</v>
      </c>
      <c r="I129" t="s">
        <v>21</v>
      </c>
      <c r="J129" t="s">
        <v>419</v>
      </c>
      <c r="K129" s="1" t="s">
        <v>1</v>
      </c>
      <c r="L129" t="s">
        <v>56</v>
      </c>
      <c r="M129" t="s">
        <v>74</v>
      </c>
      <c r="N129" s="168" t="s">
        <v>420</v>
      </c>
      <c r="O129" s="168" t="s">
        <v>421</v>
      </c>
      <c r="Q129" t="s">
        <v>422</v>
      </c>
      <c r="R129" t="s">
        <v>423</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424</v>
      </c>
      <c r="H130">
        <v>1</v>
      </c>
      <c r="I130" t="s">
        <v>425</v>
      </c>
      <c r="J130" t="s">
        <v>157</v>
      </c>
      <c r="K130" s="1">
        <v>1</v>
      </c>
      <c r="L130" t="s">
        <v>361</v>
      </c>
      <c r="M130">
        <v>25</v>
      </c>
      <c r="N130" s="147">
        <v>42736</v>
      </c>
      <c r="O130" s="147"/>
      <c r="Q130" t="s">
        <v>157</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424</v>
      </c>
      <c r="H131">
        <v>1</v>
      </c>
      <c r="I131" t="s">
        <v>425</v>
      </c>
      <c r="J131" t="s">
        <v>156</v>
      </c>
      <c r="K131" s="1">
        <v>1</v>
      </c>
      <c r="L131" t="s">
        <v>362</v>
      </c>
      <c r="M131">
        <v>25</v>
      </c>
      <c r="N131" s="147">
        <v>42736</v>
      </c>
      <c r="O131" s="147"/>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424</v>
      </c>
      <c r="H132">
        <v>1</v>
      </c>
      <c r="I132" t="s">
        <v>425</v>
      </c>
      <c r="J132" t="s">
        <v>162</v>
      </c>
      <c r="K132" s="1">
        <v>1</v>
      </c>
      <c r="L132" t="s">
        <v>363</v>
      </c>
      <c r="M132">
        <v>25</v>
      </c>
      <c r="N132" s="147">
        <v>42736</v>
      </c>
      <c r="O132" s="147"/>
      <c r="Q132" t="s">
        <v>162</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424</v>
      </c>
      <c r="H133">
        <v>1</v>
      </c>
      <c r="I133" t="s">
        <v>425</v>
      </c>
      <c r="J133" t="s">
        <v>163</v>
      </c>
      <c r="K133" s="1">
        <v>1</v>
      </c>
      <c r="L133" t="s">
        <v>364</v>
      </c>
      <c r="M133">
        <v>25</v>
      </c>
      <c r="N133" s="147">
        <v>42736</v>
      </c>
      <c r="O133" s="147"/>
      <c r="Q133" t="s">
        <v>163</v>
      </c>
      <c r="R133">
        <v>1</v>
      </c>
    </row>
    <row r="135" spans="1:18" x14ac:dyDescent="0.25">
      <c r="B135"/>
      <c r="E135"/>
      <c r="F135" s="77"/>
      <c r="G135" s="78" t="s">
        <v>413</v>
      </c>
      <c r="H135" s="171">
        <v>44197</v>
      </c>
      <c r="J135" s="170" t="s">
        <v>99</v>
      </c>
      <c r="K135" s="79" t="s">
        <v>100</v>
      </c>
      <c r="L135" s="77" t="s">
        <v>430</v>
      </c>
    </row>
    <row r="136" spans="1:18" x14ac:dyDescent="0.25">
      <c r="A136" t="s">
        <v>0</v>
      </c>
      <c r="B136" s="1" t="s">
        <v>73</v>
      </c>
      <c r="C136" t="s">
        <v>414</v>
      </c>
      <c r="D136" t="s">
        <v>3</v>
      </c>
      <c r="E136" s="80" t="s">
        <v>415</v>
      </c>
      <c r="F136" t="s">
        <v>416</v>
      </c>
      <c r="G136" t="s">
        <v>417</v>
      </c>
      <c r="H136" t="s">
        <v>418</v>
      </c>
      <c r="I136" t="s">
        <v>21</v>
      </c>
      <c r="J136" t="s">
        <v>419</v>
      </c>
      <c r="K136" s="1" t="s">
        <v>1</v>
      </c>
      <c r="L136" t="s">
        <v>56</v>
      </c>
      <c r="M136" t="s">
        <v>74</v>
      </c>
      <c r="N136" s="168" t="s">
        <v>420</v>
      </c>
      <c r="O136" s="168" t="s">
        <v>421</v>
      </c>
      <c r="Q136" t="s">
        <v>422</v>
      </c>
      <c r="R136" t="s">
        <v>423</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424</v>
      </c>
      <c r="H137">
        <v>1</v>
      </c>
      <c r="I137" t="s">
        <v>431</v>
      </c>
      <c r="J137" t="s">
        <v>204</v>
      </c>
      <c r="K137" s="1">
        <v>1</v>
      </c>
      <c r="L137" t="s">
        <v>374</v>
      </c>
      <c r="M137">
        <v>25</v>
      </c>
      <c r="N137" s="147">
        <v>44562</v>
      </c>
      <c r="O137" s="147"/>
      <c r="Q137" t="s">
        <v>204</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424</v>
      </c>
      <c r="H138">
        <v>1</v>
      </c>
      <c r="I138" t="s">
        <v>431</v>
      </c>
      <c r="J138" t="s">
        <v>172</v>
      </c>
      <c r="K138" s="1">
        <v>2</v>
      </c>
      <c r="L138" t="s">
        <v>368</v>
      </c>
      <c r="M138">
        <v>50</v>
      </c>
      <c r="N138" s="147">
        <v>44562</v>
      </c>
      <c r="O138" s="147"/>
      <c r="Q138" t="s">
        <v>172</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424</v>
      </c>
      <c r="H139">
        <v>1</v>
      </c>
      <c r="I139" t="s">
        <v>431</v>
      </c>
      <c r="J139" t="s">
        <v>203</v>
      </c>
      <c r="K139" s="1">
        <v>3</v>
      </c>
      <c r="L139" t="s">
        <v>367</v>
      </c>
      <c r="M139">
        <v>25</v>
      </c>
      <c r="N139" s="147">
        <v>44562</v>
      </c>
      <c r="O139" s="147"/>
      <c r="Q139" t="s">
        <v>203</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424</v>
      </c>
      <c r="H140">
        <v>1</v>
      </c>
      <c r="I140" t="s">
        <v>425</v>
      </c>
      <c r="J140" t="s">
        <v>432</v>
      </c>
      <c r="K140" s="1">
        <v>0</v>
      </c>
      <c r="L140" t="s">
        <v>433</v>
      </c>
      <c r="M140">
        <v>100</v>
      </c>
      <c r="N140" s="147"/>
      <c r="O140" s="147"/>
      <c r="Q140" t="s">
        <v>432</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428</v>
      </c>
      <c r="H141">
        <v>1</v>
      </c>
      <c r="I141" t="s">
        <v>425</v>
      </c>
      <c r="J141" t="s">
        <v>166</v>
      </c>
      <c r="K141" s="1">
        <v>2</v>
      </c>
      <c r="L141" t="s">
        <v>370</v>
      </c>
      <c r="M141">
        <v>25</v>
      </c>
      <c r="N141" s="147">
        <v>44562</v>
      </c>
      <c r="O141" s="147"/>
      <c r="Q141" t="s">
        <v>166</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428</v>
      </c>
      <c r="H142">
        <v>1</v>
      </c>
      <c r="I142" t="s">
        <v>425</v>
      </c>
      <c r="J142" t="s">
        <v>213</v>
      </c>
      <c r="K142" s="1">
        <v>1</v>
      </c>
      <c r="L142" s="147" t="s">
        <v>375</v>
      </c>
      <c r="M142">
        <v>25</v>
      </c>
      <c r="N142" s="147">
        <v>44562</v>
      </c>
      <c r="O142" s="147"/>
      <c r="Q142" t="s">
        <v>213</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428</v>
      </c>
      <c r="H143">
        <v>1</v>
      </c>
      <c r="I143" t="s">
        <v>425</v>
      </c>
      <c r="J143" t="s">
        <v>214</v>
      </c>
      <c r="K143" s="1">
        <v>1</v>
      </c>
      <c r="L143" t="s">
        <v>376</v>
      </c>
      <c r="M143">
        <v>25</v>
      </c>
      <c r="N143" s="147">
        <v>44562</v>
      </c>
      <c r="O143" s="147"/>
      <c r="Q143" t="s">
        <v>214</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428</v>
      </c>
      <c r="H144">
        <v>1</v>
      </c>
      <c r="I144" t="s">
        <v>425</v>
      </c>
      <c r="J144" t="s">
        <v>209</v>
      </c>
      <c r="K144" s="1">
        <v>1</v>
      </c>
      <c r="L144" t="s">
        <v>377</v>
      </c>
      <c r="M144">
        <v>25</v>
      </c>
      <c r="N144" s="147">
        <v>44562</v>
      </c>
      <c r="O144" s="147"/>
      <c r="Q144" t="s">
        <v>209</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428</v>
      </c>
      <c r="H145">
        <v>1</v>
      </c>
      <c r="I145" t="s">
        <v>425</v>
      </c>
      <c r="J145" t="s">
        <v>210</v>
      </c>
      <c r="K145" s="1">
        <v>1</v>
      </c>
      <c r="L145" t="s">
        <v>378</v>
      </c>
      <c r="M145">
        <v>25</v>
      </c>
      <c r="N145" s="147">
        <v>44562</v>
      </c>
      <c r="O145" s="147"/>
      <c r="Q145" t="s">
        <v>210</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428</v>
      </c>
      <c r="H146">
        <v>1</v>
      </c>
      <c r="I146" t="s">
        <v>425</v>
      </c>
      <c r="J146" t="s">
        <v>208</v>
      </c>
      <c r="K146" s="1">
        <v>1</v>
      </c>
      <c r="L146" t="s">
        <v>379</v>
      </c>
      <c r="M146">
        <v>25</v>
      </c>
      <c r="N146" s="147">
        <v>44562</v>
      </c>
      <c r="O146" s="147"/>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428</v>
      </c>
      <c r="H147">
        <v>1</v>
      </c>
      <c r="I147" t="s">
        <v>425</v>
      </c>
      <c r="J147" t="s">
        <v>211</v>
      </c>
      <c r="K147" s="1">
        <v>1</v>
      </c>
      <c r="L147" t="s">
        <v>380</v>
      </c>
      <c r="M147">
        <v>25</v>
      </c>
      <c r="N147" s="147">
        <v>44562</v>
      </c>
      <c r="O147" s="147"/>
      <c r="Q147" t="s">
        <v>211</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428</v>
      </c>
      <c r="H148">
        <v>1</v>
      </c>
      <c r="I148" t="s">
        <v>425</v>
      </c>
      <c r="J148" t="s">
        <v>212</v>
      </c>
      <c r="K148" s="1">
        <v>1</v>
      </c>
      <c r="L148" t="s">
        <v>381</v>
      </c>
      <c r="M148">
        <v>25</v>
      </c>
      <c r="N148" s="147">
        <v>44562</v>
      </c>
      <c r="O148" s="147"/>
      <c r="Q148" t="s">
        <v>212</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428</v>
      </c>
      <c r="H149">
        <v>1</v>
      </c>
      <c r="I149" t="s">
        <v>425</v>
      </c>
      <c r="J149" t="s">
        <v>171</v>
      </c>
      <c r="K149" s="1">
        <v>2</v>
      </c>
      <c r="L149" t="s">
        <v>396</v>
      </c>
      <c r="M149">
        <v>25</v>
      </c>
      <c r="N149" s="147">
        <v>42736</v>
      </c>
      <c r="O149" s="147"/>
      <c r="Q149" t="s">
        <v>171</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428</v>
      </c>
      <c r="H150">
        <v>1</v>
      </c>
      <c r="I150" t="s">
        <v>425</v>
      </c>
      <c r="J150" t="s">
        <v>177</v>
      </c>
      <c r="K150" s="1">
        <v>1</v>
      </c>
      <c r="L150" t="s">
        <v>176</v>
      </c>
      <c r="M150">
        <v>100</v>
      </c>
      <c r="N150" s="147">
        <v>44562</v>
      </c>
      <c r="O150" s="147"/>
      <c r="Q150" t="s">
        <v>177</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428</v>
      </c>
      <c r="H151">
        <v>1</v>
      </c>
      <c r="I151" t="s">
        <v>425</v>
      </c>
      <c r="J151" t="s">
        <v>179</v>
      </c>
      <c r="K151" s="1">
        <v>1</v>
      </c>
      <c r="L151" t="s">
        <v>178</v>
      </c>
      <c r="M151">
        <v>100</v>
      </c>
      <c r="N151" s="147">
        <v>44562</v>
      </c>
      <c r="O151" s="147"/>
      <c r="Q151" t="s">
        <v>179</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428</v>
      </c>
      <c r="H152">
        <v>1</v>
      </c>
      <c r="I152" t="s">
        <v>425</v>
      </c>
      <c r="J152" t="s">
        <v>181</v>
      </c>
      <c r="K152" s="1">
        <v>1</v>
      </c>
      <c r="L152" t="s">
        <v>180</v>
      </c>
      <c r="M152">
        <v>100</v>
      </c>
      <c r="N152" s="147">
        <v>44562</v>
      </c>
      <c r="O152" s="147"/>
      <c r="Q152" t="s">
        <v>181</v>
      </c>
      <c r="R152">
        <v>1</v>
      </c>
    </row>
    <row r="153" spans="1:18" x14ac:dyDescent="0.25">
      <c r="B153"/>
      <c r="E153"/>
      <c r="F153" s="77"/>
      <c r="G153" s="78" t="s">
        <v>413</v>
      </c>
      <c r="H153" s="171">
        <v>44562</v>
      </c>
      <c r="J153" s="170" t="s">
        <v>177</v>
      </c>
      <c r="K153" s="79" t="s">
        <v>79</v>
      </c>
      <c r="L153" s="77" t="s">
        <v>176</v>
      </c>
    </row>
    <row r="154" spans="1:18" x14ac:dyDescent="0.25">
      <c r="A154" t="s">
        <v>0</v>
      </c>
      <c r="B154" s="1" t="s">
        <v>73</v>
      </c>
      <c r="C154" t="s">
        <v>414</v>
      </c>
      <c r="D154" t="s">
        <v>3</v>
      </c>
      <c r="E154" s="80" t="s">
        <v>415</v>
      </c>
      <c r="F154" t="s">
        <v>416</v>
      </c>
      <c r="G154" t="s">
        <v>417</v>
      </c>
      <c r="H154" t="s">
        <v>418</v>
      </c>
      <c r="I154" t="s">
        <v>21</v>
      </c>
      <c r="J154" t="s">
        <v>419</v>
      </c>
      <c r="K154" s="1" t="s">
        <v>1</v>
      </c>
      <c r="L154" t="s">
        <v>56</v>
      </c>
      <c r="M154" t="s">
        <v>74</v>
      </c>
      <c r="N154" s="168" t="s">
        <v>420</v>
      </c>
      <c r="O154" s="168" t="s">
        <v>421</v>
      </c>
      <c r="Q154" t="s">
        <v>422</v>
      </c>
      <c r="R154" t="s">
        <v>423</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424</v>
      </c>
      <c r="H155">
        <v>1</v>
      </c>
      <c r="I155" t="s">
        <v>425</v>
      </c>
      <c r="J155" t="s">
        <v>209</v>
      </c>
      <c r="K155" s="1">
        <v>1</v>
      </c>
      <c r="L155" t="s">
        <v>377</v>
      </c>
      <c r="M155">
        <v>25</v>
      </c>
      <c r="N155" s="147">
        <v>44562</v>
      </c>
      <c r="O155" s="147"/>
      <c r="Q155" t="s">
        <v>209</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424</v>
      </c>
      <c r="H156">
        <v>1</v>
      </c>
      <c r="I156" t="s">
        <v>425</v>
      </c>
      <c r="J156" t="s">
        <v>171</v>
      </c>
      <c r="K156" s="1">
        <v>2</v>
      </c>
      <c r="L156" t="s">
        <v>396</v>
      </c>
      <c r="M156">
        <v>25</v>
      </c>
      <c r="N156" s="147">
        <v>42736</v>
      </c>
      <c r="O156" s="147"/>
      <c r="Q156" t="s">
        <v>171</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424</v>
      </c>
      <c r="H157">
        <v>1</v>
      </c>
      <c r="I157" t="s">
        <v>425</v>
      </c>
      <c r="J157" t="s">
        <v>166</v>
      </c>
      <c r="K157" s="1">
        <v>2</v>
      </c>
      <c r="L157" t="s">
        <v>370</v>
      </c>
      <c r="M157">
        <v>25</v>
      </c>
      <c r="N157" s="147">
        <v>44562</v>
      </c>
      <c r="O157" s="147"/>
      <c r="Q157" t="s">
        <v>166</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424</v>
      </c>
      <c r="H158">
        <v>1</v>
      </c>
      <c r="I158" t="s">
        <v>425</v>
      </c>
      <c r="J158" t="s">
        <v>208</v>
      </c>
      <c r="K158" s="1">
        <v>1</v>
      </c>
      <c r="L158" t="s">
        <v>379</v>
      </c>
      <c r="M158">
        <v>25</v>
      </c>
      <c r="N158" s="147">
        <v>44562</v>
      </c>
      <c r="O158" s="147"/>
      <c r="Q158" t="s">
        <v>208</v>
      </c>
      <c r="R158">
        <v>1</v>
      </c>
    </row>
    <row r="159" spans="1:18" x14ac:dyDescent="0.25">
      <c r="B159"/>
      <c r="E159"/>
      <c r="F159" s="77"/>
      <c r="G159" s="78" t="s">
        <v>413</v>
      </c>
      <c r="H159" s="171">
        <v>44562</v>
      </c>
      <c r="J159" s="170" t="s">
        <v>179</v>
      </c>
      <c r="K159" s="79" t="s">
        <v>79</v>
      </c>
      <c r="L159" s="77" t="s">
        <v>178</v>
      </c>
    </row>
    <row r="160" spans="1:18" x14ac:dyDescent="0.25">
      <c r="A160" t="s">
        <v>0</v>
      </c>
      <c r="B160" s="1" t="s">
        <v>73</v>
      </c>
      <c r="C160" t="s">
        <v>414</v>
      </c>
      <c r="D160" t="s">
        <v>3</v>
      </c>
      <c r="E160" s="80" t="s">
        <v>415</v>
      </c>
      <c r="F160" t="s">
        <v>416</v>
      </c>
      <c r="G160" t="s">
        <v>417</v>
      </c>
      <c r="H160" t="s">
        <v>418</v>
      </c>
      <c r="I160" t="s">
        <v>21</v>
      </c>
      <c r="J160" t="s">
        <v>419</v>
      </c>
      <c r="K160" s="1" t="s">
        <v>1</v>
      </c>
      <c r="L160" t="s">
        <v>56</v>
      </c>
      <c r="M160" t="s">
        <v>74</v>
      </c>
      <c r="N160" s="168" t="s">
        <v>420</v>
      </c>
      <c r="O160" s="168" t="s">
        <v>421</v>
      </c>
      <c r="Q160" t="s">
        <v>422</v>
      </c>
      <c r="R160" t="s">
        <v>423</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424</v>
      </c>
      <c r="H161">
        <v>1</v>
      </c>
      <c r="I161" t="s">
        <v>425</v>
      </c>
      <c r="J161" t="s">
        <v>214</v>
      </c>
      <c r="K161" s="1">
        <v>1</v>
      </c>
      <c r="L161" t="s">
        <v>376</v>
      </c>
      <c r="M161">
        <v>25</v>
      </c>
      <c r="N161" s="147">
        <v>44562</v>
      </c>
      <c r="O161" s="147"/>
      <c r="Q161" t="s">
        <v>214</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424</v>
      </c>
      <c r="H162">
        <v>1</v>
      </c>
      <c r="I162" t="s">
        <v>425</v>
      </c>
      <c r="J162" t="s">
        <v>209</v>
      </c>
      <c r="K162" s="1">
        <v>1</v>
      </c>
      <c r="L162" t="s">
        <v>377</v>
      </c>
      <c r="M162">
        <v>25</v>
      </c>
      <c r="N162" s="147">
        <v>44562</v>
      </c>
      <c r="O162" s="147"/>
      <c r="Q162" t="s">
        <v>209</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424</v>
      </c>
      <c r="H163">
        <v>1</v>
      </c>
      <c r="I163" t="s">
        <v>425</v>
      </c>
      <c r="J163" t="s">
        <v>210</v>
      </c>
      <c r="K163" s="1">
        <v>1</v>
      </c>
      <c r="L163" t="s">
        <v>378</v>
      </c>
      <c r="M163">
        <v>25</v>
      </c>
      <c r="N163" s="147">
        <v>44562</v>
      </c>
      <c r="O163" s="147"/>
      <c r="Q163" t="s">
        <v>210</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424</v>
      </c>
      <c r="H164">
        <v>1</v>
      </c>
      <c r="I164" t="s">
        <v>425</v>
      </c>
      <c r="J164" t="s">
        <v>211</v>
      </c>
      <c r="K164" s="1">
        <v>1</v>
      </c>
      <c r="L164" t="s">
        <v>380</v>
      </c>
      <c r="M164">
        <v>25</v>
      </c>
      <c r="N164" s="147">
        <v>44562</v>
      </c>
      <c r="O164" s="147"/>
      <c r="Q164" t="s">
        <v>211</v>
      </c>
      <c r="R164">
        <v>1</v>
      </c>
    </row>
    <row r="165" spans="1:18" x14ac:dyDescent="0.25">
      <c r="B165"/>
      <c r="E165"/>
      <c r="F165" s="77"/>
      <c r="G165" s="78" t="s">
        <v>413</v>
      </c>
      <c r="H165" s="171">
        <v>44562</v>
      </c>
      <c r="J165" s="170" t="s">
        <v>181</v>
      </c>
      <c r="K165" s="79" t="s">
        <v>79</v>
      </c>
      <c r="L165" s="77" t="s">
        <v>180</v>
      </c>
    </row>
    <row r="166" spans="1:18" x14ac:dyDescent="0.25">
      <c r="A166" t="s">
        <v>0</v>
      </c>
      <c r="B166" s="1" t="s">
        <v>73</v>
      </c>
      <c r="C166" t="s">
        <v>414</v>
      </c>
      <c r="D166" t="s">
        <v>3</v>
      </c>
      <c r="E166" s="80" t="s">
        <v>415</v>
      </c>
      <c r="F166" t="s">
        <v>416</v>
      </c>
      <c r="G166" t="s">
        <v>417</v>
      </c>
      <c r="H166" t="s">
        <v>418</v>
      </c>
      <c r="I166" t="s">
        <v>21</v>
      </c>
      <c r="J166" t="s">
        <v>419</v>
      </c>
      <c r="K166" s="1" t="s">
        <v>1</v>
      </c>
      <c r="L166" t="s">
        <v>56</v>
      </c>
      <c r="M166" t="s">
        <v>74</v>
      </c>
      <c r="N166" s="168" t="s">
        <v>420</v>
      </c>
      <c r="O166" s="168" t="s">
        <v>421</v>
      </c>
      <c r="Q166" t="s">
        <v>422</v>
      </c>
      <c r="R166" t="s">
        <v>423</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424</v>
      </c>
      <c r="H167">
        <v>1</v>
      </c>
      <c r="I167" t="s">
        <v>425</v>
      </c>
      <c r="J167" t="s">
        <v>212</v>
      </c>
      <c r="K167" s="1">
        <v>1</v>
      </c>
      <c r="L167" t="s">
        <v>381</v>
      </c>
      <c r="M167">
        <v>25</v>
      </c>
      <c r="N167" s="147">
        <v>44562</v>
      </c>
      <c r="O167" s="147"/>
      <c r="Q167" t="s">
        <v>212</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424</v>
      </c>
      <c r="H168">
        <v>1</v>
      </c>
      <c r="I168" t="s">
        <v>425</v>
      </c>
      <c r="J168" t="s">
        <v>213</v>
      </c>
      <c r="K168" s="1">
        <v>1</v>
      </c>
      <c r="L168" t="s">
        <v>375</v>
      </c>
      <c r="M168">
        <v>25</v>
      </c>
      <c r="N168" s="147">
        <v>44562</v>
      </c>
      <c r="O168" s="147"/>
      <c r="Q168" t="s">
        <v>213</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424</v>
      </c>
      <c r="H169">
        <v>1</v>
      </c>
      <c r="I169" t="s">
        <v>425</v>
      </c>
      <c r="J169" t="s">
        <v>214</v>
      </c>
      <c r="K169" s="1">
        <v>1</v>
      </c>
      <c r="L169" t="s">
        <v>376</v>
      </c>
      <c r="M169">
        <v>25</v>
      </c>
      <c r="N169" s="147">
        <v>44562</v>
      </c>
      <c r="O169" s="147"/>
      <c r="Q169" t="s">
        <v>214</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424</v>
      </c>
      <c r="H170">
        <v>1</v>
      </c>
      <c r="I170" t="s">
        <v>425</v>
      </c>
      <c r="J170" t="s">
        <v>209</v>
      </c>
      <c r="K170" s="1">
        <v>1</v>
      </c>
      <c r="L170" t="s">
        <v>377</v>
      </c>
      <c r="M170">
        <v>25</v>
      </c>
      <c r="N170" s="147">
        <v>44562</v>
      </c>
      <c r="O170" s="147"/>
      <c r="Q170" t="s">
        <v>209</v>
      </c>
      <c r="R170">
        <v>1</v>
      </c>
    </row>
    <row r="171" spans="1:18" x14ac:dyDescent="0.25">
      <c r="B171"/>
      <c r="E171"/>
      <c r="F171" s="77"/>
      <c r="G171" s="78" t="s">
        <v>413</v>
      </c>
      <c r="H171" s="171">
        <v>44197</v>
      </c>
      <c r="J171" s="170" t="s">
        <v>78</v>
      </c>
      <c r="K171" s="79" t="s">
        <v>79</v>
      </c>
      <c r="L171" s="77" t="s">
        <v>77</v>
      </c>
    </row>
    <row r="172" spans="1:18" x14ac:dyDescent="0.25">
      <c r="A172" t="s">
        <v>0</v>
      </c>
      <c r="B172" s="1" t="s">
        <v>73</v>
      </c>
      <c r="C172" t="s">
        <v>414</v>
      </c>
      <c r="D172" t="s">
        <v>3</v>
      </c>
      <c r="E172" s="80" t="s">
        <v>415</v>
      </c>
      <c r="F172" t="s">
        <v>416</v>
      </c>
      <c r="G172" t="s">
        <v>417</v>
      </c>
      <c r="H172" t="s">
        <v>418</v>
      </c>
      <c r="I172" t="s">
        <v>21</v>
      </c>
      <c r="J172" t="s">
        <v>419</v>
      </c>
      <c r="K172" s="1" t="s">
        <v>1</v>
      </c>
      <c r="L172" t="s">
        <v>56</v>
      </c>
      <c r="M172" t="s">
        <v>74</v>
      </c>
      <c r="N172" s="168" t="s">
        <v>420</v>
      </c>
      <c r="O172" s="168" t="s">
        <v>421</v>
      </c>
      <c r="Q172" t="s">
        <v>422</v>
      </c>
      <c r="R172" t="s">
        <v>423</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428</v>
      </c>
      <c r="H173">
        <v>1</v>
      </c>
      <c r="I173" t="s">
        <v>425</v>
      </c>
      <c r="J173" t="s">
        <v>428</v>
      </c>
      <c r="K173" s="1">
        <v>0</v>
      </c>
      <c r="L173" t="s">
        <v>434</v>
      </c>
      <c r="M173">
        <v>100</v>
      </c>
      <c r="N173" s="147"/>
      <c r="O173" s="147"/>
      <c r="Q173" t="s">
        <v>428</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428</v>
      </c>
      <c r="H174">
        <v>1</v>
      </c>
      <c r="I174" t="s">
        <v>425</v>
      </c>
      <c r="J174" t="s">
        <v>68</v>
      </c>
      <c r="K174" s="1">
        <v>1</v>
      </c>
      <c r="L174" t="s">
        <v>314</v>
      </c>
      <c r="M174">
        <v>25</v>
      </c>
      <c r="N174" s="147">
        <v>43101</v>
      </c>
      <c r="O174" s="147"/>
      <c r="Q174" t="s">
        <v>68</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428</v>
      </c>
      <c r="H175">
        <v>1</v>
      </c>
      <c r="I175" t="s">
        <v>425</v>
      </c>
      <c r="J175" t="s">
        <v>67</v>
      </c>
      <c r="K175" s="1">
        <v>1</v>
      </c>
      <c r="L175" t="s">
        <v>316</v>
      </c>
      <c r="M175">
        <v>25</v>
      </c>
      <c r="N175" s="147">
        <v>43101</v>
      </c>
      <c r="O175" s="147"/>
      <c r="Q175" t="s">
        <v>67</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428</v>
      </c>
      <c r="H176">
        <v>1</v>
      </c>
      <c r="I176" t="s">
        <v>425</v>
      </c>
      <c r="J176" t="s">
        <v>101</v>
      </c>
      <c r="K176" s="1">
        <v>1</v>
      </c>
      <c r="L176" t="s">
        <v>317</v>
      </c>
      <c r="M176">
        <v>25</v>
      </c>
      <c r="N176" s="147">
        <v>43101</v>
      </c>
      <c r="O176" s="147"/>
      <c r="Q176" t="s">
        <v>101</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428</v>
      </c>
      <c r="H177">
        <v>1</v>
      </c>
      <c r="I177" t="s">
        <v>425</v>
      </c>
      <c r="J177" t="s">
        <v>71</v>
      </c>
      <c r="K177" s="1">
        <v>1</v>
      </c>
      <c r="L177" t="s">
        <v>326</v>
      </c>
      <c r="M177">
        <v>25</v>
      </c>
      <c r="N177" s="147">
        <v>43101</v>
      </c>
      <c r="O177" s="147"/>
      <c r="Q177" t="s">
        <v>71</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428</v>
      </c>
      <c r="H178">
        <v>1</v>
      </c>
      <c r="I178" t="s">
        <v>425</v>
      </c>
      <c r="J178" t="s">
        <v>102</v>
      </c>
      <c r="K178" s="1">
        <v>1</v>
      </c>
      <c r="L178" t="s">
        <v>327</v>
      </c>
      <c r="M178">
        <v>25</v>
      </c>
      <c r="N178" s="147">
        <v>43101</v>
      </c>
      <c r="O178" s="147"/>
      <c r="Q178" t="s">
        <v>102</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428</v>
      </c>
      <c r="H179">
        <v>1</v>
      </c>
      <c r="I179" t="s">
        <v>425</v>
      </c>
      <c r="J179" t="s">
        <v>70</v>
      </c>
      <c r="K179" s="1">
        <v>1</v>
      </c>
      <c r="L179" t="s">
        <v>328</v>
      </c>
      <c r="M179">
        <v>25</v>
      </c>
      <c r="N179" s="147">
        <v>43101</v>
      </c>
      <c r="O179" s="147"/>
      <c r="Q179" t="s">
        <v>70</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428</v>
      </c>
      <c r="H180">
        <v>1</v>
      </c>
      <c r="I180" t="s">
        <v>425</v>
      </c>
      <c r="J180" t="s">
        <v>110</v>
      </c>
      <c r="K180" s="1">
        <v>1</v>
      </c>
      <c r="L180" t="s">
        <v>333</v>
      </c>
      <c r="M180">
        <v>25</v>
      </c>
      <c r="N180" s="147">
        <v>43101</v>
      </c>
      <c r="O180" s="147"/>
      <c r="Q180" t="s">
        <v>110</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428</v>
      </c>
      <c r="H181">
        <v>1</v>
      </c>
      <c r="I181" t="s">
        <v>425</v>
      </c>
      <c r="J181" t="s">
        <v>173</v>
      </c>
      <c r="K181" s="1">
        <v>1</v>
      </c>
      <c r="L181" t="s">
        <v>338</v>
      </c>
      <c r="M181">
        <v>25</v>
      </c>
      <c r="N181" s="147">
        <v>43101</v>
      </c>
      <c r="O181" s="147"/>
      <c r="Q181" t="s">
        <v>173</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428</v>
      </c>
      <c r="H182">
        <v>1</v>
      </c>
      <c r="I182" t="s">
        <v>425</v>
      </c>
      <c r="J182" t="s">
        <v>59</v>
      </c>
      <c r="K182" s="1">
        <v>2</v>
      </c>
      <c r="L182" t="s">
        <v>357</v>
      </c>
      <c r="M182">
        <v>25</v>
      </c>
      <c r="N182" s="147">
        <v>44197</v>
      </c>
      <c r="O182" s="147"/>
      <c r="Q182" t="s">
        <v>59</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428</v>
      </c>
      <c r="H183">
        <v>1</v>
      </c>
      <c r="I183" t="s">
        <v>425</v>
      </c>
      <c r="J183" t="s">
        <v>87</v>
      </c>
      <c r="K183" s="1">
        <v>1</v>
      </c>
      <c r="L183" t="s">
        <v>358</v>
      </c>
      <c r="M183">
        <v>25</v>
      </c>
      <c r="N183" s="147">
        <v>43101</v>
      </c>
      <c r="O183" s="147"/>
      <c r="Q183" t="s">
        <v>87</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428</v>
      </c>
      <c r="H184">
        <v>1</v>
      </c>
      <c r="I184" t="s">
        <v>425</v>
      </c>
      <c r="J184" t="s">
        <v>88</v>
      </c>
      <c r="K184" s="1">
        <v>1</v>
      </c>
      <c r="L184" t="s">
        <v>359</v>
      </c>
      <c r="M184">
        <v>25</v>
      </c>
      <c r="N184" s="147">
        <v>43101</v>
      </c>
      <c r="O184" s="147"/>
      <c r="Q184" t="s">
        <v>88</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428</v>
      </c>
      <c r="H185">
        <v>1</v>
      </c>
      <c r="I185" t="s">
        <v>425</v>
      </c>
      <c r="J185" t="s">
        <v>64</v>
      </c>
      <c r="K185" s="1">
        <v>1</v>
      </c>
      <c r="L185" t="s">
        <v>360</v>
      </c>
      <c r="M185">
        <v>25</v>
      </c>
      <c r="N185" s="147">
        <v>43101</v>
      </c>
      <c r="O185" s="147"/>
      <c r="Q185" t="s">
        <v>64</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428</v>
      </c>
      <c r="H186">
        <v>1</v>
      </c>
      <c r="I186" t="s">
        <v>425</v>
      </c>
      <c r="J186" t="s">
        <v>169</v>
      </c>
      <c r="K186" s="1">
        <v>1</v>
      </c>
      <c r="L186" t="s">
        <v>366</v>
      </c>
      <c r="M186">
        <v>25</v>
      </c>
      <c r="N186" s="147">
        <v>44562</v>
      </c>
      <c r="O186" s="147"/>
      <c r="Q186" t="s">
        <v>169</v>
      </c>
      <c r="R186">
        <v>1</v>
      </c>
    </row>
    <row r="188" spans="1:18" x14ac:dyDescent="0.25">
      <c r="B188"/>
      <c r="E188"/>
      <c r="F188" s="77"/>
      <c r="G188" s="78" t="s">
        <v>413</v>
      </c>
      <c r="H188" s="171">
        <v>43466</v>
      </c>
      <c r="J188" s="170" t="s">
        <v>85</v>
      </c>
      <c r="K188" s="79" t="s">
        <v>79</v>
      </c>
      <c r="L188" s="77" t="s">
        <v>84</v>
      </c>
    </row>
    <row r="189" spans="1:18" x14ac:dyDescent="0.25">
      <c r="A189" t="s">
        <v>0</v>
      </c>
      <c r="B189" s="1" t="s">
        <v>73</v>
      </c>
      <c r="C189" t="s">
        <v>414</v>
      </c>
      <c r="D189" t="s">
        <v>3</v>
      </c>
      <c r="E189" s="80" t="s">
        <v>415</v>
      </c>
      <c r="F189" t="s">
        <v>416</v>
      </c>
      <c r="G189" t="s">
        <v>417</v>
      </c>
      <c r="H189" t="s">
        <v>418</v>
      </c>
      <c r="I189" t="s">
        <v>21</v>
      </c>
      <c r="J189" t="s">
        <v>419</v>
      </c>
      <c r="K189" s="1" t="s">
        <v>1</v>
      </c>
      <c r="L189" t="s">
        <v>56</v>
      </c>
      <c r="M189" t="s">
        <v>74</v>
      </c>
      <c r="N189" s="168" t="s">
        <v>420</v>
      </c>
      <c r="O189" s="168" t="s">
        <v>421</v>
      </c>
      <c r="Q189" t="s">
        <v>422</v>
      </c>
      <c r="R189" t="s">
        <v>423</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424</v>
      </c>
      <c r="H190">
        <v>0</v>
      </c>
      <c r="I190" t="s">
        <v>425</v>
      </c>
      <c r="J190" t="s">
        <v>435</v>
      </c>
      <c r="K190" s="1">
        <v>1</v>
      </c>
      <c r="L190" t="s">
        <v>436</v>
      </c>
      <c r="M190">
        <v>25</v>
      </c>
      <c r="N190" s="147">
        <v>43466</v>
      </c>
      <c r="O190" s="147"/>
      <c r="Q190" t="s">
        <v>435</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424</v>
      </c>
      <c r="H191">
        <v>0</v>
      </c>
      <c r="I191" t="s">
        <v>425</v>
      </c>
      <c r="J191" t="s">
        <v>437</v>
      </c>
      <c r="K191" s="1">
        <v>1</v>
      </c>
      <c r="L191" t="s">
        <v>438</v>
      </c>
      <c r="M191">
        <v>25</v>
      </c>
      <c r="N191" s="147">
        <v>43466</v>
      </c>
      <c r="O191" s="147"/>
      <c r="Q191" t="s">
        <v>437</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424</v>
      </c>
      <c r="H192">
        <v>0</v>
      </c>
      <c r="I192" t="s">
        <v>425</v>
      </c>
      <c r="J192" t="s">
        <v>439</v>
      </c>
      <c r="K192" s="1">
        <v>1</v>
      </c>
      <c r="L192" t="s">
        <v>440</v>
      </c>
      <c r="M192">
        <v>25</v>
      </c>
      <c r="N192" s="147">
        <v>43466</v>
      </c>
      <c r="O192" s="147"/>
      <c r="Q192" t="s">
        <v>439</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424</v>
      </c>
      <c r="H193">
        <v>0</v>
      </c>
      <c r="I193" t="s">
        <v>425</v>
      </c>
      <c r="J193" t="s">
        <v>441</v>
      </c>
      <c r="K193" s="1">
        <v>1</v>
      </c>
      <c r="L193" t="s">
        <v>442</v>
      </c>
      <c r="M193">
        <v>25</v>
      </c>
      <c r="N193" s="147">
        <v>43466</v>
      </c>
      <c r="O193" s="147"/>
      <c r="Q193" t="s">
        <v>441</v>
      </c>
      <c r="R193">
        <v>1</v>
      </c>
    </row>
    <row r="195" spans="1:18" x14ac:dyDescent="0.25">
      <c r="B195"/>
      <c r="E195"/>
      <c r="F195" s="77"/>
      <c r="G195" s="78" t="s">
        <v>413</v>
      </c>
      <c r="H195" s="210">
        <v>45292</v>
      </c>
      <c r="J195" s="211" t="s">
        <v>119</v>
      </c>
      <c r="K195" s="79" t="s">
        <v>79</v>
      </c>
      <c r="L195" s="77" t="s">
        <v>118</v>
      </c>
    </row>
    <row r="196" spans="1:18" x14ac:dyDescent="0.25">
      <c r="A196" t="s">
        <v>0</v>
      </c>
      <c r="B196" s="1" t="s">
        <v>73</v>
      </c>
      <c r="C196" t="s">
        <v>414</v>
      </c>
      <c r="D196" t="s">
        <v>3</v>
      </c>
      <c r="E196" s="80" t="s">
        <v>415</v>
      </c>
      <c r="F196" t="s">
        <v>416</v>
      </c>
      <c r="G196" t="s">
        <v>417</v>
      </c>
      <c r="H196" t="s">
        <v>418</v>
      </c>
      <c r="I196" t="s">
        <v>21</v>
      </c>
      <c r="J196" t="s">
        <v>419</v>
      </c>
      <c r="K196" s="1" t="s">
        <v>1</v>
      </c>
      <c r="L196" t="s">
        <v>56</v>
      </c>
      <c r="M196" t="s">
        <v>74</v>
      </c>
      <c r="N196" s="168" t="s">
        <v>420</v>
      </c>
      <c r="O196" s="168" t="s">
        <v>421</v>
      </c>
      <c r="Q196" t="s">
        <v>422</v>
      </c>
      <c r="R196" t="s">
        <v>423</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424</v>
      </c>
      <c r="H197">
        <v>0</v>
      </c>
      <c r="I197" t="s">
        <v>425</v>
      </c>
      <c r="J197" t="s">
        <v>460</v>
      </c>
      <c r="K197" s="1">
        <v>0</v>
      </c>
      <c r="L197" t="s">
        <v>459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424</v>
      </c>
      <c r="H198">
        <v>0</v>
      </c>
      <c r="I198" t="s">
        <v>425</v>
      </c>
      <c r="J198" t="s">
        <v>285</v>
      </c>
      <c r="K198" s="208">
        <v>1</v>
      </c>
      <c r="L198" t="s">
        <v>284</v>
      </c>
      <c r="M198" s="209">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424</v>
      </c>
      <c r="H199">
        <v>0</v>
      </c>
      <c r="I199" t="s">
        <v>425</v>
      </c>
      <c r="J199" t="s">
        <v>287</v>
      </c>
      <c r="K199" s="208">
        <v>1</v>
      </c>
      <c r="L199" t="s">
        <v>231</v>
      </c>
      <c r="M199" s="209">
        <v>200</v>
      </c>
      <c r="N199" s="147">
        <v>45292</v>
      </c>
      <c r="O199" s="147"/>
    </row>
    <row r="200" spans="1:18" x14ac:dyDescent="0.25">
      <c r="B200"/>
      <c r="E200"/>
      <c r="F200" s="77"/>
      <c r="G200" s="78" t="s">
        <v>413</v>
      </c>
      <c r="H200" s="210">
        <v>45292</v>
      </c>
      <c r="J200" s="211" t="s">
        <v>285</v>
      </c>
      <c r="K200" s="79" t="s">
        <v>79</v>
      </c>
      <c r="L200" s="77" t="s">
        <v>284</v>
      </c>
    </row>
    <row r="201" spans="1:18" x14ac:dyDescent="0.25">
      <c r="A201" t="s">
        <v>0</v>
      </c>
      <c r="B201" s="1" t="s">
        <v>73</v>
      </c>
      <c r="C201" t="s">
        <v>414</v>
      </c>
      <c r="D201" t="s">
        <v>3</v>
      </c>
      <c r="E201" s="80" t="s">
        <v>415</v>
      </c>
      <c r="F201" t="s">
        <v>416</v>
      </c>
      <c r="G201" t="s">
        <v>417</v>
      </c>
      <c r="H201" t="s">
        <v>418</v>
      </c>
      <c r="I201" t="s">
        <v>21</v>
      </c>
      <c r="J201" t="s">
        <v>419</v>
      </c>
      <c r="K201" s="1" t="s">
        <v>1</v>
      </c>
      <c r="L201" t="s">
        <v>56</v>
      </c>
      <c r="M201" t="s">
        <v>74</v>
      </c>
      <c r="N201" s="168" t="s">
        <v>420</v>
      </c>
      <c r="O201" s="168" t="s">
        <v>421</v>
      </c>
      <c r="Q201" t="s">
        <v>422</v>
      </c>
      <c r="R201" t="s">
        <v>423</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424</v>
      </c>
      <c r="H202">
        <v>1</v>
      </c>
      <c r="I202" t="s">
        <v>461</v>
      </c>
      <c r="J202" t="s">
        <v>83</v>
      </c>
      <c r="K202" s="1">
        <v>2</v>
      </c>
      <c r="L202" t="s">
        <v>323</v>
      </c>
      <c r="M202" s="209">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424</v>
      </c>
      <c r="H203">
        <v>1</v>
      </c>
      <c r="I203" t="s">
        <v>461</v>
      </c>
      <c r="J203" t="s">
        <v>59</v>
      </c>
      <c r="K203" s="1">
        <v>2</v>
      </c>
      <c r="L203" t="s">
        <v>357</v>
      </c>
      <c r="M203" s="209">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424</v>
      </c>
      <c r="H204">
        <v>1</v>
      </c>
      <c r="I204" t="s">
        <v>462</v>
      </c>
      <c r="J204" t="s">
        <v>94</v>
      </c>
      <c r="K204" s="1">
        <v>1</v>
      </c>
      <c r="L204" t="s">
        <v>325</v>
      </c>
      <c r="M204" s="209">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424</v>
      </c>
      <c r="H205">
        <v>1</v>
      </c>
      <c r="I205" t="s">
        <v>462</v>
      </c>
      <c r="J205" t="s">
        <v>70</v>
      </c>
      <c r="K205" s="1">
        <v>1</v>
      </c>
      <c r="L205" t="s">
        <v>328</v>
      </c>
      <c r="M205" s="209">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424</v>
      </c>
      <c r="H206">
        <v>1</v>
      </c>
      <c r="I206" t="s">
        <v>463</v>
      </c>
      <c r="J206" t="s">
        <v>65</v>
      </c>
      <c r="K206" s="1">
        <v>1</v>
      </c>
      <c r="L206" t="s">
        <v>365</v>
      </c>
      <c r="M206" s="209">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424</v>
      </c>
      <c r="H207">
        <v>1</v>
      </c>
      <c r="I207" t="s">
        <v>463</v>
      </c>
      <c r="J207" t="s">
        <v>115</v>
      </c>
      <c r="K207" s="1">
        <v>1</v>
      </c>
      <c r="L207" s="147" t="s">
        <v>382</v>
      </c>
      <c r="M207" s="209">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424</v>
      </c>
      <c r="H208">
        <v>1</v>
      </c>
      <c r="I208" t="s">
        <v>464</v>
      </c>
      <c r="J208" t="s">
        <v>87</v>
      </c>
      <c r="K208" s="1">
        <v>1</v>
      </c>
      <c r="L208" t="s">
        <v>358</v>
      </c>
      <c r="M208" s="209">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424</v>
      </c>
      <c r="H209">
        <v>1</v>
      </c>
      <c r="I209" t="s">
        <v>464</v>
      </c>
      <c r="J209" t="s">
        <v>71</v>
      </c>
      <c r="K209" s="1">
        <v>1</v>
      </c>
      <c r="L209" t="s">
        <v>326</v>
      </c>
      <c r="M209" s="209">
        <v>25</v>
      </c>
      <c r="N209" s="147">
        <v>43101</v>
      </c>
      <c r="O209" s="147"/>
    </row>
    <row r="210" spans="1:18" x14ac:dyDescent="0.25">
      <c r="B210"/>
      <c r="E210"/>
      <c r="F210" s="77"/>
      <c r="G210" s="78" t="s">
        <v>413</v>
      </c>
      <c r="H210" s="210">
        <v>45292</v>
      </c>
      <c r="J210" s="211" t="s">
        <v>287</v>
      </c>
      <c r="K210" s="79" t="s">
        <v>79</v>
      </c>
      <c r="L210" s="77" t="s">
        <v>231</v>
      </c>
    </row>
    <row r="211" spans="1:18" x14ac:dyDescent="0.25">
      <c r="A211" t="s">
        <v>0</v>
      </c>
      <c r="B211" s="1" t="s">
        <v>73</v>
      </c>
      <c r="C211" t="s">
        <v>414</v>
      </c>
      <c r="D211" t="s">
        <v>3</v>
      </c>
      <c r="E211" s="80" t="s">
        <v>415</v>
      </c>
      <c r="F211" t="s">
        <v>416</v>
      </c>
      <c r="G211" t="s">
        <v>417</v>
      </c>
      <c r="H211" t="s">
        <v>418</v>
      </c>
      <c r="I211" t="s">
        <v>21</v>
      </c>
      <c r="J211" t="s">
        <v>419</v>
      </c>
      <c r="K211" s="1" t="s">
        <v>1</v>
      </c>
      <c r="L211" t="s">
        <v>56</v>
      </c>
      <c r="M211" t="s">
        <v>74</v>
      </c>
      <c r="N211" s="168" t="s">
        <v>420</v>
      </c>
      <c r="O211" s="168" t="s">
        <v>421</v>
      </c>
      <c r="Q211" t="s">
        <v>422</v>
      </c>
      <c r="R211" t="s">
        <v>423</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428</v>
      </c>
      <c r="H212">
        <v>1</v>
      </c>
      <c r="I212" t="s">
        <v>425</v>
      </c>
      <c r="J212" t="s">
        <v>428</v>
      </c>
      <c r="K212" s="1">
        <v>0</v>
      </c>
      <c r="L212" t="s">
        <v>465</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424</v>
      </c>
      <c r="H213">
        <v>1</v>
      </c>
      <c r="I213" t="s">
        <v>461</v>
      </c>
      <c r="J213" t="s">
        <v>251</v>
      </c>
      <c r="K213" s="1">
        <v>1</v>
      </c>
      <c r="L213" t="s">
        <v>344</v>
      </c>
      <c r="M213" s="209">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424</v>
      </c>
      <c r="H214">
        <v>1</v>
      </c>
      <c r="I214" t="s">
        <v>461</v>
      </c>
      <c r="J214" t="s">
        <v>241</v>
      </c>
      <c r="K214" s="1">
        <v>1</v>
      </c>
      <c r="L214" t="s">
        <v>351</v>
      </c>
      <c r="M214" s="209">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424</v>
      </c>
      <c r="H215">
        <v>1</v>
      </c>
      <c r="I215" t="s">
        <v>462</v>
      </c>
      <c r="J215" t="s">
        <v>255</v>
      </c>
      <c r="K215" s="1">
        <v>1</v>
      </c>
      <c r="L215" t="s">
        <v>346</v>
      </c>
      <c r="M215" s="209">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424</v>
      </c>
      <c r="H216">
        <v>1</v>
      </c>
      <c r="I216" t="s">
        <v>463</v>
      </c>
      <c r="J216" t="s">
        <v>88</v>
      </c>
      <c r="K216" s="1">
        <v>1</v>
      </c>
      <c r="L216" t="s">
        <v>359</v>
      </c>
      <c r="M216" s="209">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424</v>
      </c>
      <c r="H217">
        <v>1</v>
      </c>
      <c r="I217" t="s">
        <v>463</v>
      </c>
      <c r="J217" t="s">
        <v>115</v>
      </c>
      <c r="K217" s="1">
        <v>1</v>
      </c>
      <c r="L217" s="147" t="s">
        <v>382</v>
      </c>
      <c r="M217" s="209">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424</v>
      </c>
      <c r="H218">
        <v>1</v>
      </c>
      <c r="I218" t="s">
        <v>464</v>
      </c>
      <c r="J218" t="s">
        <v>87</v>
      </c>
      <c r="K218" s="1">
        <v>1</v>
      </c>
      <c r="L218" t="s">
        <v>358</v>
      </c>
      <c r="M218" s="209">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428</v>
      </c>
      <c r="H219">
        <v>1</v>
      </c>
      <c r="I219" t="s">
        <v>425</v>
      </c>
      <c r="J219" t="s">
        <v>46</v>
      </c>
      <c r="K219" s="208">
        <v>1</v>
      </c>
      <c r="L219" t="s">
        <v>404</v>
      </c>
      <c r="M219" s="20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428</v>
      </c>
      <c r="H220">
        <v>1</v>
      </c>
      <c r="I220" t="s">
        <v>425</v>
      </c>
      <c r="J220" t="s">
        <v>252</v>
      </c>
      <c r="K220" s="208">
        <v>1</v>
      </c>
      <c r="L220" t="s">
        <v>406</v>
      </c>
      <c r="M220" s="209">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428</v>
      </c>
      <c r="H221">
        <v>1</v>
      </c>
      <c r="I221" t="s">
        <v>425</v>
      </c>
      <c r="J221" t="s">
        <v>254</v>
      </c>
      <c r="K221" s="208">
        <v>1</v>
      </c>
      <c r="L221" t="s">
        <v>408</v>
      </c>
      <c r="M221" s="209">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428</v>
      </c>
      <c r="H222">
        <v>1</v>
      </c>
      <c r="I222" t="s">
        <v>425</v>
      </c>
      <c r="J222" t="s">
        <v>257</v>
      </c>
      <c r="K222" s="208">
        <v>1</v>
      </c>
      <c r="L222" t="s">
        <v>409</v>
      </c>
      <c r="M222" s="209">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428</v>
      </c>
      <c r="H223">
        <v>1</v>
      </c>
      <c r="I223" t="s">
        <v>425</v>
      </c>
      <c r="J223" t="s">
        <v>259</v>
      </c>
      <c r="K223" s="208">
        <v>1</v>
      </c>
      <c r="L223" t="s">
        <v>410</v>
      </c>
      <c r="M223" s="209">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428</v>
      </c>
      <c r="H224">
        <v>1</v>
      </c>
      <c r="I224" t="s">
        <v>425</v>
      </c>
      <c r="J224" t="s">
        <v>261</v>
      </c>
      <c r="K224" s="208">
        <v>1</v>
      </c>
      <c r="L224" t="s">
        <v>411</v>
      </c>
      <c r="M224" s="209">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D5" sqref="D5"/>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443</v>
      </c>
      <c r="J1" s="156" t="s">
        <v>444</v>
      </c>
      <c r="K1" s="157">
        <v>45253</v>
      </c>
    </row>
    <row r="3" spans="1:11" x14ac:dyDescent="0.25">
      <c r="B3" t="s">
        <v>126</v>
      </c>
      <c r="D3" t="s">
        <v>127</v>
      </c>
      <c r="F3" t="s">
        <v>128</v>
      </c>
      <c r="H3" t="s">
        <v>129</v>
      </c>
    </row>
    <row r="4" spans="1:11" x14ac:dyDescent="0.25">
      <c r="A4" t="s">
        <v>445</v>
      </c>
      <c r="B4" t="s">
        <v>446</v>
      </c>
      <c r="C4" t="s">
        <v>447</v>
      </c>
      <c r="D4" t="s">
        <v>448</v>
      </c>
      <c r="E4" t="s">
        <v>449</v>
      </c>
      <c r="F4" t="s">
        <v>450</v>
      </c>
      <c r="G4" t="s">
        <v>451</v>
      </c>
      <c r="H4" t="s">
        <v>452</v>
      </c>
      <c r="I4" t="s">
        <v>453</v>
      </c>
    </row>
    <row r="5" spans="1:11" x14ac:dyDescent="0.25">
      <c r="A5" t="s">
        <v>82</v>
      </c>
      <c r="D5">
        <v>1</v>
      </c>
      <c r="E5">
        <v>1</v>
      </c>
    </row>
    <row r="6" spans="1:11" x14ac:dyDescent="0.25">
      <c r="A6" t="s">
        <v>93</v>
      </c>
      <c r="F6">
        <v>1</v>
      </c>
      <c r="G6">
        <v>1</v>
      </c>
    </row>
    <row r="7" spans="1:11" x14ac:dyDescent="0.25">
      <c r="A7" t="s">
        <v>68</v>
      </c>
      <c r="F7">
        <v>1</v>
      </c>
      <c r="G7">
        <v>1</v>
      </c>
    </row>
    <row r="8" spans="1:11" x14ac:dyDescent="0.25">
      <c r="A8" t="s">
        <v>67</v>
      </c>
      <c r="D8">
        <v>1</v>
      </c>
      <c r="E8">
        <v>1</v>
      </c>
    </row>
    <row r="9" spans="1:11" x14ac:dyDescent="0.25">
      <c r="A9" t="s">
        <v>101</v>
      </c>
      <c r="B9">
        <v>1</v>
      </c>
      <c r="C9">
        <v>1</v>
      </c>
    </row>
    <row r="10" spans="1:11" x14ac:dyDescent="0.25">
      <c r="A10" t="s">
        <v>113</v>
      </c>
      <c r="D10">
        <v>1</v>
      </c>
      <c r="E10">
        <v>1</v>
      </c>
    </row>
    <row r="11" spans="1:11" x14ac:dyDescent="0.25">
      <c r="A11" t="s">
        <v>69</v>
      </c>
      <c r="H11">
        <v>1</v>
      </c>
      <c r="I11">
        <v>1</v>
      </c>
    </row>
    <row r="12" spans="1:11" x14ac:dyDescent="0.25">
      <c r="A12" t="s">
        <v>61</v>
      </c>
      <c r="B12">
        <v>1</v>
      </c>
      <c r="C12">
        <v>1</v>
      </c>
      <c r="D12">
        <v>1</v>
      </c>
      <c r="E12">
        <v>1</v>
      </c>
    </row>
    <row r="13" spans="1:11" x14ac:dyDescent="0.25">
      <c r="A13" t="s">
        <v>109</v>
      </c>
      <c r="H13">
        <v>1</v>
      </c>
      <c r="I13">
        <v>1</v>
      </c>
    </row>
    <row r="14" spans="1:11" x14ac:dyDescent="0.25">
      <c r="A14" t="s">
        <v>114</v>
      </c>
      <c r="F14">
        <v>1</v>
      </c>
      <c r="G14">
        <v>1</v>
      </c>
    </row>
    <row r="15" spans="1:11" x14ac:dyDescent="0.25">
      <c r="A15" t="s">
        <v>83</v>
      </c>
      <c r="B15">
        <v>1</v>
      </c>
      <c r="C15">
        <v>1</v>
      </c>
      <c r="D15">
        <v>1</v>
      </c>
      <c r="E15">
        <v>1</v>
      </c>
    </row>
    <row r="16" spans="1:11" x14ac:dyDescent="0.25">
      <c r="A16" t="s">
        <v>94</v>
      </c>
      <c r="D16">
        <v>1</v>
      </c>
      <c r="E16">
        <v>1</v>
      </c>
      <c r="F16">
        <v>1</v>
      </c>
      <c r="G16">
        <v>1</v>
      </c>
    </row>
    <row r="17" spans="1:9" x14ac:dyDescent="0.25">
      <c r="A17" t="s">
        <v>71</v>
      </c>
      <c r="H17">
        <v>1</v>
      </c>
      <c r="I17">
        <v>1</v>
      </c>
    </row>
    <row r="18" spans="1:9" x14ac:dyDescent="0.25">
      <c r="A18" t="s">
        <v>102</v>
      </c>
      <c r="H18">
        <v>1</v>
      </c>
      <c r="I18">
        <v>1</v>
      </c>
    </row>
    <row r="19" spans="1:9" x14ac:dyDescent="0.25">
      <c r="A19" t="s">
        <v>70</v>
      </c>
      <c r="D19">
        <v>1</v>
      </c>
      <c r="E19">
        <v>1</v>
      </c>
    </row>
    <row r="20" spans="1:9" x14ac:dyDescent="0.25">
      <c r="A20" t="s">
        <v>111</v>
      </c>
      <c r="D20">
        <v>1</v>
      </c>
      <c r="E20">
        <v>1</v>
      </c>
    </row>
    <row r="21" spans="1:9" x14ac:dyDescent="0.25">
      <c r="A21" t="s">
        <v>110</v>
      </c>
      <c r="B21">
        <v>1</v>
      </c>
      <c r="C21">
        <v>1</v>
      </c>
    </row>
    <row r="22" spans="1:9" x14ac:dyDescent="0.25">
      <c r="A22" t="s">
        <v>116</v>
      </c>
      <c r="F22">
        <v>1</v>
      </c>
      <c r="G22">
        <v>1</v>
      </c>
    </row>
    <row r="23" spans="1:9" x14ac:dyDescent="0.25">
      <c r="A23" t="s">
        <v>242</v>
      </c>
      <c r="D23">
        <v>1</v>
      </c>
      <c r="E23">
        <v>1</v>
      </c>
      <c r="H23">
        <v>1</v>
      </c>
      <c r="I23">
        <v>1</v>
      </c>
    </row>
    <row r="24" spans="1:9" x14ac:dyDescent="0.25">
      <c r="A24" t="s">
        <v>173</v>
      </c>
      <c r="B24">
        <v>1</v>
      </c>
      <c r="C24">
        <v>1</v>
      </c>
      <c r="F24">
        <v>1</v>
      </c>
      <c r="G24">
        <v>1</v>
      </c>
    </row>
    <row r="25" spans="1:9" x14ac:dyDescent="0.25">
      <c r="A25" t="s">
        <v>271</v>
      </c>
      <c r="D25">
        <v>1</v>
      </c>
      <c r="E25">
        <v>1</v>
      </c>
      <c r="H25">
        <v>1</v>
      </c>
      <c r="I25">
        <v>1</v>
      </c>
    </row>
    <row r="26" spans="1:9" x14ac:dyDescent="0.25">
      <c r="A26" t="s">
        <v>272</v>
      </c>
      <c r="D26">
        <v>1</v>
      </c>
      <c r="E26">
        <v>1</v>
      </c>
      <c r="H26">
        <v>1</v>
      </c>
      <c r="I26">
        <v>1</v>
      </c>
    </row>
    <row r="27" spans="1:9" x14ac:dyDescent="0.25">
      <c r="A27" t="s">
        <v>274</v>
      </c>
      <c r="D27">
        <v>1</v>
      </c>
      <c r="E27">
        <v>1</v>
      </c>
      <c r="H27">
        <v>1</v>
      </c>
      <c r="I27">
        <v>1</v>
      </c>
    </row>
    <row r="28" spans="1:9" x14ac:dyDescent="0.25">
      <c r="A28" t="s">
        <v>275</v>
      </c>
      <c r="D28">
        <v>1</v>
      </c>
      <c r="E28">
        <v>1</v>
      </c>
      <c r="H28">
        <v>1</v>
      </c>
      <c r="I28">
        <v>1</v>
      </c>
    </row>
    <row r="29" spans="1:9" x14ac:dyDescent="0.25">
      <c r="A29" t="s">
        <v>276</v>
      </c>
      <c r="D29">
        <v>1</v>
      </c>
      <c r="E29">
        <v>1</v>
      </c>
      <c r="H29">
        <v>1</v>
      </c>
      <c r="I29">
        <v>1</v>
      </c>
    </row>
    <row r="30" spans="1:9" x14ac:dyDescent="0.25">
      <c r="A30" t="s">
        <v>251</v>
      </c>
      <c r="B30">
        <v>1</v>
      </c>
      <c r="C30">
        <v>1</v>
      </c>
      <c r="D30">
        <v>1</v>
      </c>
      <c r="E30">
        <v>1</v>
      </c>
    </row>
    <row r="31" spans="1:9" x14ac:dyDescent="0.25">
      <c r="A31" t="s">
        <v>255</v>
      </c>
      <c r="D31">
        <v>1</v>
      </c>
      <c r="E31">
        <v>1</v>
      </c>
      <c r="F31">
        <v>1</v>
      </c>
      <c r="G31">
        <v>1</v>
      </c>
    </row>
    <row r="32" spans="1:9" x14ac:dyDescent="0.25">
      <c r="A32" t="s">
        <v>278</v>
      </c>
      <c r="D32">
        <v>1</v>
      </c>
      <c r="E32">
        <v>1</v>
      </c>
      <c r="H32">
        <v>1</v>
      </c>
      <c r="I32">
        <v>1</v>
      </c>
    </row>
    <row r="33" spans="1:9" x14ac:dyDescent="0.25">
      <c r="A33" t="s">
        <v>281</v>
      </c>
      <c r="D33">
        <v>1</v>
      </c>
      <c r="E33">
        <v>1</v>
      </c>
      <c r="H33">
        <v>1</v>
      </c>
      <c r="I33">
        <v>1</v>
      </c>
    </row>
    <row r="34" spans="1:9" x14ac:dyDescent="0.25">
      <c r="A34" t="s">
        <v>282</v>
      </c>
      <c r="D34">
        <v>1</v>
      </c>
      <c r="E34">
        <v>1</v>
      </c>
      <c r="H34">
        <v>1</v>
      </c>
      <c r="I34">
        <v>1</v>
      </c>
    </row>
    <row r="35" spans="1:9" x14ac:dyDescent="0.25">
      <c r="A35" t="s">
        <v>283</v>
      </c>
      <c r="D35">
        <v>1</v>
      </c>
      <c r="E35">
        <v>1</v>
      </c>
      <c r="H35">
        <v>1</v>
      </c>
      <c r="I35">
        <v>1</v>
      </c>
    </row>
    <row r="36" spans="1:9" x14ac:dyDescent="0.25">
      <c r="A36" t="s">
        <v>241</v>
      </c>
      <c r="B36">
        <v>1</v>
      </c>
      <c r="C36">
        <v>1</v>
      </c>
      <c r="D36">
        <v>1</v>
      </c>
      <c r="E36">
        <v>1</v>
      </c>
    </row>
    <row r="37" spans="1:9" x14ac:dyDescent="0.25">
      <c r="A37" t="s">
        <v>279</v>
      </c>
      <c r="D37">
        <v>1</v>
      </c>
      <c r="E37">
        <v>1</v>
      </c>
      <c r="H37">
        <v>1</v>
      </c>
      <c r="I37">
        <v>1</v>
      </c>
    </row>
    <row r="38" spans="1:9" x14ac:dyDescent="0.25">
      <c r="A38" t="s">
        <v>273</v>
      </c>
      <c r="D38">
        <v>1</v>
      </c>
      <c r="E38">
        <v>1</v>
      </c>
      <c r="H38">
        <v>1</v>
      </c>
      <c r="I38">
        <v>1</v>
      </c>
    </row>
    <row r="39" spans="1:9" x14ac:dyDescent="0.25">
      <c r="A39" t="s">
        <v>280</v>
      </c>
      <c r="D39">
        <v>1</v>
      </c>
      <c r="E39">
        <v>1</v>
      </c>
      <c r="H39">
        <v>1</v>
      </c>
      <c r="I39">
        <v>1</v>
      </c>
    </row>
    <row r="40" spans="1:9" x14ac:dyDescent="0.25">
      <c r="A40" t="s">
        <v>290</v>
      </c>
      <c r="D40">
        <v>1</v>
      </c>
      <c r="E40">
        <v>1</v>
      </c>
      <c r="H40">
        <v>1</v>
      </c>
      <c r="I40">
        <v>1</v>
      </c>
    </row>
    <row r="41" spans="1:9" x14ac:dyDescent="0.25">
      <c r="A41" t="s">
        <v>262</v>
      </c>
      <c r="B41">
        <v>1</v>
      </c>
      <c r="C41">
        <v>1</v>
      </c>
    </row>
    <row r="42" spans="1:9" x14ac:dyDescent="0.25">
      <c r="A42" t="s">
        <v>59</v>
      </c>
      <c r="B42">
        <v>1</v>
      </c>
      <c r="C42">
        <v>1</v>
      </c>
      <c r="F42">
        <v>1</v>
      </c>
      <c r="G42">
        <v>1</v>
      </c>
    </row>
    <row r="43" spans="1:9" x14ac:dyDescent="0.25">
      <c r="A43" t="s">
        <v>87</v>
      </c>
      <c r="D43">
        <v>1</v>
      </c>
      <c r="E43">
        <v>1</v>
      </c>
      <c r="F43">
        <v>1</v>
      </c>
      <c r="G43">
        <v>1</v>
      </c>
      <c r="H43">
        <v>1</v>
      </c>
      <c r="I43">
        <v>1</v>
      </c>
    </row>
    <row r="44" spans="1:9" x14ac:dyDescent="0.25">
      <c r="A44" t="s">
        <v>88</v>
      </c>
      <c r="B44">
        <v>1</v>
      </c>
      <c r="C44">
        <v>1</v>
      </c>
      <c r="F44">
        <v>1</v>
      </c>
      <c r="G44">
        <v>1</v>
      </c>
    </row>
    <row r="45" spans="1:9" x14ac:dyDescent="0.25">
      <c r="A45" t="s">
        <v>64</v>
      </c>
      <c r="D45">
        <v>1</v>
      </c>
      <c r="E45">
        <v>1</v>
      </c>
      <c r="H45">
        <v>1</v>
      </c>
      <c r="I45">
        <v>1</v>
      </c>
    </row>
    <row r="46" spans="1:9" x14ac:dyDescent="0.25">
      <c r="A46" t="s">
        <v>157</v>
      </c>
      <c r="D46">
        <v>1</v>
      </c>
      <c r="E46">
        <v>1</v>
      </c>
      <c r="H46">
        <v>1</v>
      </c>
      <c r="I46">
        <v>1</v>
      </c>
    </row>
    <row r="47" spans="1:9" x14ac:dyDescent="0.25">
      <c r="A47" t="s">
        <v>156</v>
      </c>
      <c r="B47">
        <v>1</v>
      </c>
      <c r="C47">
        <v>1</v>
      </c>
      <c r="G47">
        <v>1</v>
      </c>
    </row>
    <row r="48" spans="1:9" x14ac:dyDescent="0.25">
      <c r="A48" t="s">
        <v>162</v>
      </c>
      <c r="C48">
        <v>1</v>
      </c>
      <c r="F48">
        <v>1</v>
      </c>
      <c r="G48">
        <v>1</v>
      </c>
    </row>
    <row r="49" spans="1:9" x14ac:dyDescent="0.25">
      <c r="A49" t="s">
        <v>163</v>
      </c>
      <c r="D49">
        <v>1</v>
      </c>
      <c r="E49">
        <v>1</v>
      </c>
      <c r="I49">
        <v>1</v>
      </c>
    </row>
    <row r="50" spans="1:9" x14ac:dyDescent="0.25">
      <c r="A50" t="s">
        <v>65</v>
      </c>
      <c r="B50">
        <v>1</v>
      </c>
      <c r="C50">
        <v>1</v>
      </c>
      <c r="F50">
        <v>1</v>
      </c>
      <c r="G50">
        <v>1</v>
      </c>
    </row>
    <row r="51" spans="1:9" x14ac:dyDescent="0.25">
      <c r="A51" t="s">
        <v>169</v>
      </c>
      <c r="D51">
        <v>1</v>
      </c>
      <c r="E51">
        <v>1</v>
      </c>
      <c r="H51">
        <v>1</v>
      </c>
      <c r="I51">
        <v>1</v>
      </c>
    </row>
    <row r="52" spans="1:9" x14ac:dyDescent="0.25">
      <c r="A52" t="s">
        <v>203</v>
      </c>
      <c r="B52">
        <v>1</v>
      </c>
      <c r="C52">
        <v>1</v>
      </c>
      <c r="F52">
        <v>1</v>
      </c>
      <c r="G52">
        <v>1</v>
      </c>
    </row>
    <row r="53" spans="1:9" x14ac:dyDescent="0.25">
      <c r="A53" t="s">
        <v>172</v>
      </c>
      <c r="D53">
        <v>1</v>
      </c>
      <c r="E53">
        <v>1</v>
      </c>
      <c r="H53">
        <v>1</v>
      </c>
      <c r="I53">
        <v>1</v>
      </c>
    </row>
    <row r="54" spans="1:9" x14ac:dyDescent="0.25">
      <c r="A54" t="s">
        <v>166</v>
      </c>
      <c r="F54">
        <v>1</v>
      </c>
      <c r="G54">
        <v>1</v>
      </c>
    </row>
    <row r="55" spans="1:9" x14ac:dyDescent="0.25">
      <c r="A55" t="s">
        <v>165</v>
      </c>
      <c r="D55">
        <v>1</v>
      </c>
      <c r="E55">
        <v>1</v>
      </c>
      <c r="H55">
        <v>1</v>
      </c>
      <c r="I55">
        <v>1</v>
      </c>
    </row>
    <row r="56" spans="1:9" x14ac:dyDescent="0.25">
      <c r="A56" t="s">
        <v>159</v>
      </c>
      <c r="D56">
        <v>1</v>
      </c>
      <c r="E56">
        <v>1</v>
      </c>
      <c r="I56">
        <v>1</v>
      </c>
    </row>
    <row r="57" spans="1:9" x14ac:dyDescent="0.25">
      <c r="A57" t="s">
        <v>158</v>
      </c>
      <c r="B57">
        <v>1</v>
      </c>
      <c r="C57">
        <v>1</v>
      </c>
      <c r="F57">
        <v>1</v>
      </c>
      <c r="G57">
        <v>1</v>
      </c>
    </row>
    <row r="58" spans="1:9" x14ac:dyDescent="0.25">
      <c r="A58" t="s">
        <v>204</v>
      </c>
      <c r="D58">
        <v>1</v>
      </c>
      <c r="E58">
        <v>1</v>
      </c>
      <c r="H58">
        <v>1</v>
      </c>
      <c r="I58">
        <v>1</v>
      </c>
    </row>
    <row r="59" spans="1:9" x14ac:dyDescent="0.25">
      <c r="A59" t="s">
        <v>213</v>
      </c>
      <c r="F59">
        <v>1</v>
      </c>
      <c r="G59">
        <v>1</v>
      </c>
    </row>
    <row r="60" spans="1:9" x14ac:dyDescent="0.25">
      <c r="A60" t="s">
        <v>214</v>
      </c>
      <c r="B60">
        <v>1</v>
      </c>
      <c r="C60">
        <v>1</v>
      </c>
      <c r="F60">
        <v>1</v>
      </c>
      <c r="G60">
        <v>1</v>
      </c>
    </row>
    <row r="61" spans="1:9" x14ac:dyDescent="0.25">
      <c r="A61" t="s">
        <v>209</v>
      </c>
      <c r="D61">
        <v>1</v>
      </c>
      <c r="E61">
        <v>1</v>
      </c>
      <c r="H61">
        <v>1</v>
      </c>
      <c r="I61">
        <v>1</v>
      </c>
    </row>
    <row r="62" spans="1:9" x14ac:dyDescent="0.25">
      <c r="A62" t="s">
        <v>210</v>
      </c>
      <c r="B62">
        <v>1</v>
      </c>
      <c r="C62">
        <v>1</v>
      </c>
    </row>
    <row r="63" spans="1:9" x14ac:dyDescent="0.25">
      <c r="A63" t="s">
        <v>208</v>
      </c>
      <c r="B63">
        <v>1</v>
      </c>
      <c r="C63">
        <v>1</v>
      </c>
    </row>
    <row r="64" spans="1:9" x14ac:dyDescent="0.25">
      <c r="A64" t="s">
        <v>211</v>
      </c>
      <c r="F64">
        <v>1</v>
      </c>
      <c r="G64">
        <v>1</v>
      </c>
    </row>
    <row r="65" spans="1:9" x14ac:dyDescent="0.25">
      <c r="A65" t="s">
        <v>212</v>
      </c>
      <c r="B65">
        <v>1</v>
      </c>
      <c r="C65">
        <v>1</v>
      </c>
    </row>
    <row r="66" spans="1:9" x14ac:dyDescent="0.25">
      <c r="A66" t="s">
        <v>115</v>
      </c>
      <c r="B66">
        <v>1</v>
      </c>
      <c r="C66">
        <v>1</v>
      </c>
      <c r="F66">
        <v>1</v>
      </c>
      <c r="G66">
        <v>1</v>
      </c>
    </row>
    <row r="67" spans="1:9" x14ac:dyDescent="0.25">
      <c r="A67" t="s">
        <v>131</v>
      </c>
      <c r="B67">
        <v>1</v>
      </c>
      <c r="C67">
        <v>1</v>
      </c>
      <c r="D67">
        <v>1</v>
      </c>
      <c r="E67">
        <v>1</v>
      </c>
      <c r="F67">
        <v>1</v>
      </c>
      <c r="G67">
        <v>1</v>
      </c>
      <c r="H67">
        <v>1</v>
      </c>
      <c r="I67">
        <v>1</v>
      </c>
    </row>
    <row r="68" spans="1:9" x14ac:dyDescent="0.25">
      <c r="A68" t="s">
        <v>117</v>
      </c>
      <c r="B68">
        <v>1</v>
      </c>
      <c r="C68">
        <v>1</v>
      </c>
      <c r="H68">
        <v>1</v>
      </c>
      <c r="I68">
        <v>1</v>
      </c>
    </row>
    <row r="69" spans="1:9" x14ac:dyDescent="0.25">
      <c r="A69" t="s">
        <v>164</v>
      </c>
      <c r="C69">
        <v>1</v>
      </c>
    </row>
    <row r="70" spans="1:9" x14ac:dyDescent="0.25">
      <c r="A70" t="s">
        <v>171</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abSelected="1"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160</v>
      </c>
      <c r="E6" s="241"/>
      <c r="F6" s="239" t="s">
        <v>15</v>
      </c>
      <c r="G6" s="241" t="str">
        <f>IFERROR(CONCATENATE(VLOOKUP(D6,TableMajors[],2,FALSE)," ",VLOOKUP(D6,TableMajors[],3,FALSE)),"")</f>
        <v>MJRP-TCHPR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ht="15" customHeight="1" x14ac:dyDescent="0.25">
      <c r="A33" s="287"/>
      <c r="B33" s="287"/>
      <c r="C33" s="287"/>
      <c r="D33" s="288"/>
      <c r="E33" s="288"/>
      <c r="F33" s="289"/>
      <c r="G33" s="289"/>
      <c r="H33" s="289"/>
      <c r="I33" s="289"/>
      <c r="J33" s="289"/>
      <c r="K33" s="289"/>
      <c r="L33" s="289"/>
      <c r="M33" s="289"/>
      <c r="N33" s="289"/>
      <c r="O33" s="289"/>
      <c r="P33" s="289"/>
      <c r="Q33" s="231"/>
      <c r="R33" s="231"/>
      <c r="S33" s="231"/>
      <c r="T33" s="231"/>
      <c r="U33" s="231"/>
      <c r="V33" s="231"/>
      <c r="W33" s="231"/>
      <c r="X33" s="231"/>
      <c r="Y33" s="231"/>
      <c r="Z33" s="231"/>
      <c r="AA33" s="16"/>
    </row>
    <row r="34" spans="1:27" s="16" customFormat="1" ht="35.25" customHeight="1" x14ac:dyDescent="0.25">
      <c r="A34" s="366" t="s">
        <v>35</v>
      </c>
      <c r="B34" s="366"/>
      <c r="C34" s="366"/>
      <c r="D34" s="366"/>
      <c r="E34" s="366"/>
      <c r="F34" s="366"/>
      <c r="G34" s="366"/>
      <c r="H34" s="366"/>
      <c r="I34" s="366"/>
      <c r="J34" s="366"/>
      <c r="K34" s="366"/>
      <c r="L34" s="366"/>
      <c r="M34" s="366"/>
      <c r="N34" s="366"/>
      <c r="O34" s="366"/>
      <c r="P34" s="366"/>
      <c r="Q34" s="231"/>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algorithmName="SHA-512" hashValue="d7SSsqUWbYXeFV+1GjWmw9owpmKRVqguXt8+iIHkPNru1gdQ5GU+j7EweOXKv7mSIBqA+yiYQZagHOQ4lo02Qw==" saltValue="Y11BCnfTwJKFUkfb6beGPg==" spinCount="100000" sheet="1" objects="1" scenarios="1" formatCells="0"/>
  <mergeCells count="2">
    <mergeCell ref="A3:D3"/>
    <mergeCell ref="A34:P34"/>
  </mergeCells>
  <conditionalFormatting sqref="D5:D7">
    <cfRule type="containsText" dxfId="443"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96" t="s">
        <v>471</v>
      </c>
      <c r="E5" s="241"/>
      <c r="F5" s="239" t="s">
        <v>12</v>
      </c>
      <c r="G5" s="241" t="str">
        <f>IFERROR(CONCATENATE(VLOOKUP(D5,TableCourses[],2,FALSE)," ",VLOOKUP(D5,TableCourses[],3,FALSE)),"")</f>
        <v/>
      </c>
      <c r="H5" s="241"/>
      <c r="I5" s="241"/>
      <c r="J5" s="241"/>
      <c r="K5" s="242"/>
      <c r="L5" s="242"/>
      <c r="M5" s="242"/>
      <c r="N5" s="242"/>
      <c r="O5" s="242"/>
      <c r="P5" s="245" t="e">
        <f>CONCATENATE(VLOOKUP(D5,TableCourses[],2,FALSE),VLOOKUP(D6,TableStudyPeriods[],2,FALSE))</f>
        <v>#N/A</v>
      </c>
      <c r="Q5" s="231"/>
      <c r="R5" s="231"/>
      <c r="S5" s="231"/>
      <c r="T5" s="231"/>
      <c r="U5" s="231"/>
      <c r="V5" s="231"/>
      <c r="W5" s="231"/>
      <c r="X5" s="231"/>
      <c r="Y5" s="231"/>
      <c r="Z5" s="231"/>
    </row>
    <row r="6" spans="1:27" ht="20.100000000000001" customHeight="1" x14ac:dyDescent="0.25">
      <c r="A6" s="246"/>
      <c r="B6" s="247"/>
      <c r="C6" s="239" t="s">
        <v>16</v>
      </c>
      <c r="D6" s="295" t="s">
        <v>468</v>
      </c>
      <c r="E6" s="249"/>
      <c r="F6" s="239" t="s">
        <v>18</v>
      </c>
      <c r="G6" s="241" t="str">
        <f>IFERROR(VLOOKUP($D$5,TableCourses[],4,FALSE),"")</f>
        <v/>
      </c>
      <c r="H6" s="250"/>
      <c r="I6" s="250"/>
      <c r="J6" s="250"/>
      <c r="K6" s="251"/>
      <c r="L6" s="251"/>
      <c r="M6" s="251"/>
      <c r="N6" s="251"/>
      <c r="O6" s="251"/>
      <c r="P6" s="251"/>
      <c r="Q6" s="231"/>
      <c r="R6" s="231"/>
      <c r="S6" s="231"/>
      <c r="T6" s="231"/>
      <c r="U6" s="231"/>
      <c r="V6" s="231"/>
      <c r="W6" s="231"/>
      <c r="X6" s="231"/>
      <c r="Y6" s="231"/>
      <c r="Z6" s="231"/>
      <c r="AA6" s="16"/>
    </row>
    <row r="7" spans="1:27" s="18" customFormat="1" ht="14.1" customHeight="1" x14ac:dyDescent="0.25">
      <c r="A7" s="252"/>
      <c r="B7" s="252"/>
      <c r="C7" s="252"/>
      <c r="D7" s="253"/>
      <c r="E7" s="254"/>
      <c r="F7" s="252"/>
      <c r="G7" s="252"/>
      <c r="H7" s="255" t="s">
        <v>19</v>
      </c>
      <c r="I7" s="256"/>
      <c r="J7" s="256"/>
      <c r="K7" s="256"/>
      <c r="L7" s="256"/>
      <c r="M7" s="256"/>
      <c r="N7" s="256"/>
      <c r="O7" s="257"/>
      <c r="P7" s="254"/>
      <c r="Q7" s="258"/>
      <c r="R7" s="258"/>
      <c r="S7" s="258"/>
      <c r="T7" s="259"/>
      <c r="U7" s="259"/>
      <c r="V7" s="259"/>
      <c r="W7" s="259"/>
      <c r="X7" s="259"/>
      <c r="Y7" s="259"/>
      <c r="Z7" s="259"/>
      <c r="AA7" s="17"/>
    </row>
    <row r="8" spans="1:27" s="18" customFormat="1" ht="31.5" x14ac:dyDescent="0.25">
      <c r="A8" s="252" t="s">
        <v>20</v>
      </c>
      <c r="B8" s="252"/>
      <c r="C8" s="252"/>
      <c r="D8" s="253" t="s">
        <v>3</v>
      </c>
      <c r="E8" s="260" t="s">
        <v>21</v>
      </c>
      <c r="F8" s="252" t="s">
        <v>22</v>
      </c>
      <c r="G8" s="252" t="s">
        <v>23</v>
      </c>
      <c r="H8" s="261" t="s">
        <v>24</v>
      </c>
      <c r="I8" s="262" t="s">
        <v>25</v>
      </c>
      <c r="J8" s="261" t="s">
        <v>26</v>
      </c>
      <c r="K8" s="262" t="s">
        <v>27</v>
      </c>
      <c r="L8" s="261" t="s">
        <v>28</v>
      </c>
      <c r="M8" s="262" t="s">
        <v>29</v>
      </c>
      <c r="N8" s="261" t="s">
        <v>30</v>
      </c>
      <c r="O8" s="262" t="s">
        <v>31</v>
      </c>
      <c r="P8" s="252" t="s">
        <v>32</v>
      </c>
      <c r="Q8" s="258"/>
      <c r="R8" s="258"/>
      <c r="S8" s="258"/>
      <c r="T8" s="259"/>
      <c r="U8" s="259"/>
      <c r="V8" s="259"/>
      <c r="W8" s="259"/>
      <c r="X8" s="259"/>
      <c r="Y8" s="259"/>
      <c r="Z8" s="259"/>
      <c r="AA8" s="17"/>
    </row>
    <row r="9" spans="1:27" s="20" customFormat="1" ht="21" customHeight="1" x14ac:dyDescent="0.15">
      <c r="A9" s="263" t="str">
        <f>IFERROR(IF(HLOOKUP($P$5,RangeUnitsetsTESOL,Q9,FALSE)=0,"",HLOOKUP($P$5,RangeUnitsetsTESOL,Q9,FALSE)),"")</f>
        <v/>
      </c>
      <c r="B9" s="264" t="str">
        <f>IFERROR(IF(VLOOKUP($A9,TableHandbook[],2,FALSE)=0,"",VLOOKUP($A9,TableHandbook[],2,FALSE)),"")</f>
        <v/>
      </c>
      <c r="C9" s="264" t="str">
        <f>IFERROR(IF(VLOOKUP($A9,TableHandbook[],3,FALSE)=0,"",VLOOKUP($A9,TableHandbook[],3,FALSE)),"")</f>
        <v/>
      </c>
      <c r="D9" s="265" t="str">
        <f>IFERROR(IF(VLOOKUP($A9,TableHandbook[],4,FALSE)=0,"",VLOOKUP($A9,TableHandbook[],4,FALSE)),"")</f>
        <v/>
      </c>
      <c r="E9" s="264" t="str">
        <f>IF(A9="","",VLOOKUP($D$6,TableStudyPeriods[],2,FALSE))</f>
        <v/>
      </c>
      <c r="F9" s="266" t="str">
        <f>IFERROR(IF(VLOOKUP($A9,TableHandbook[],6,FALSE)=0,"",VLOOKUP($A9,TableHandbook[],6,FALSE)),"")</f>
        <v/>
      </c>
      <c r="G9" s="264" t="str">
        <f>IFERROR(IF(VLOOKUP($A9,TableHandbook[],5,FALSE)=0,"",VLOOKUP($A9,TableHandbook[],5,FALSE)),"")</f>
        <v/>
      </c>
      <c r="H9" s="267" t="str">
        <f>IFERROR(VLOOKUP($A9,TableHandbook[],H$2,FALSE),"")</f>
        <v/>
      </c>
      <c r="I9" s="268" t="str">
        <f>IFERROR(VLOOKUP($A9,TableHandbook[],I$2,FALSE),"")</f>
        <v/>
      </c>
      <c r="J9" s="267" t="str">
        <f>IFERROR(VLOOKUP($A9,TableHandbook[],J$2,FALSE),"")</f>
        <v/>
      </c>
      <c r="K9" s="268" t="str">
        <f>IFERROR(VLOOKUP($A9,TableHandbook[],K$2,FALSE),"")</f>
        <v/>
      </c>
      <c r="L9" s="267" t="str">
        <f>IFERROR(VLOOKUP($A9,TableHandbook[],L$2,FALSE),"")</f>
        <v/>
      </c>
      <c r="M9" s="268" t="str">
        <f>IFERROR(VLOOKUP($A9,TableHandbook[],M$2,FALSE),"")</f>
        <v/>
      </c>
      <c r="N9" s="267" t="str">
        <f>IFERROR(VLOOKUP($A9,TableHandbook[],N$2,FALSE),"")</f>
        <v/>
      </c>
      <c r="O9" s="268" t="str">
        <f>IFERROR(VLOOKUP($A9,TableHandbook[],O$2,FALSE),"")</f>
        <v/>
      </c>
      <c r="P9" s="30"/>
      <c r="Q9" s="269">
        <v>2</v>
      </c>
      <c r="R9" s="270"/>
      <c r="S9" s="270"/>
      <c r="T9" s="271"/>
      <c r="U9" s="271"/>
      <c r="V9" s="271"/>
      <c r="W9" s="271"/>
      <c r="X9" s="271"/>
      <c r="Y9" s="271"/>
      <c r="Z9" s="271"/>
      <c r="AA9" s="19"/>
    </row>
    <row r="10" spans="1:27" s="20" customFormat="1" ht="21" customHeight="1" x14ac:dyDescent="0.15">
      <c r="A10" s="263" t="str">
        <f>IFERROR(IF(HLOOKUP($P$5,RangeUnitsetsTESOL,Q10,FALSE)=0,"",HLOOKUP($P$5,RangeUnitsetsTESOL,Q10,FALSE)),"")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IF(A10="","",E9)</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3</v>
      </c>
      <c r="R10" s="270"/>
      <c r="S10" s="270"/>
      <c r="T10" s="271"/>
      <c r="U10" s="271"/>
      <c r="V10" s="271"/>
      <c r="W10" s="271"/>
      <c r="X10" s="271"/>
      <c r="Y10" s="271"/>
      <c r="Z10" s="271"/>
      <c r="AA10" s="19"/>
    </row>
    <row r="11" spans="1:27" s="20" customFormat="1" ht="6" customHeight="1" x14ac:dyDescent="0.15">
      <c r="A11" s="272"/>
      <c r="B11" s="273"/>
      <c r="C11" s="273"/>
      <c r="D11" s="274"/>
      <c r="E11" s="273"/>
      <c r="F11" s="275"/>
      <c r="G11" s="273"/>
      <c r="H11" s="276"/>
      <c r="I11" s="277"/>
      <c r="J11" s="276"/>
      <c r="K11" s="277"/>
      <c r="L11" s="276"/>
      <c r="M11" s="277"/>
      <c r="N11" s="276"/>
      <c r="O11" s="277"/>
      <c r="P11" s="116"/>
      <c r="Q11" s="269"/>
      <c r="R11" s="270"/>
      <c r="S11" s="270"/>
      <c r="T11" s="270"/>
      <c r="U11" s="271"/>
      <c r="V11" s="271"/>
      <c r="W11" s="271"/>
      <c r="X11" s="271"/>
      <c r="Y11" s="271"/>
      <c r="Z11" s="271"/>
      <c r="AA11" s="19"/>
    </row>
    <row r="12" spans="1:27" s="20" customFormat="1" ht="21" customHeight="1" x14ac:dyDescent="0.15">
      <c r="A12" s="263" t="str">
        <f>IFERROR(IF(HLOOKUP($P$5,RangeUnitsetsTESOL,Q12,FALSE)=0,"",HLOOKUP($P$5,RangeUnitsetsTESOL,Q12,FALSE)),"")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IF(A12="","",VLOOKUP($D$6,TableStudyPeriods[],3,FALSE))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1"/>
      <c r="Q12" s="269">
        <v>4</v>
      </c>
      <c r="R12" s="270"/>
      <c r="S12" s="270"/>
      <c r="T12" s="271"/>
      <c r="U12" s="271"/>
      <c r="V12" s="271"/>
      <c r="W12" s="271"/>
      <c r="X12" s="271"/>
      <c r="Y12" s="271"/>
      <c r="Z12" s="271"/>
      <c r="AA12" s="19"/>
    </row>
    <row r="13" spans="1:27" s="20" customFormat="1" ht="21" customHeight="1" x14ac:dyDescent="0.15">
      <c r="A13" s="263" t="str">
        <f>IFERROR(IF(HLOOKUP($P$5,RangeUnitsetsTESOL,Q13,FALSE)=0,"",HLOOKUP($P$5,RangeUnitsetsTESOL,Q13,FALSE)),"")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5</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IFERROR(IF(HLOOKUP($P$5,RangeUnitsetsTESOL,Q15,FALSE)=0,"",HLOOKUP($P$5,RangeUnitsetsTESOL,Q15,FALSE)),"")</f>
        <v/>
      </c>
      <c r="B15" s="278" t="str">
        <f>IFERROR(IF(VLOOKUP($A15,TableHandbook[],2,FALSE)=0,"",VLOOKUP($A15,TableHandbook[],2,FALSE)),"")</f>
        <v/>
      </c>
      <c r="C15" s="278" t="str">
        <f>IFERROR(IF(VLOOKUP($A15,TableHandbook[],3,FALSE)=0,"",VLOOKUP($A15,TableHandbook[],3,FALSE)),"")</f>
        <v/>
      </c>
      <c r="D15" s="265" t="str">
        <f>IFERROR(IF(VLOOKUP($A15,TableHandbook[],4,FALSE)=0,"",VLOOKUP($A15,TableHandbook[],4,FALSE)),"")</f>
        <v/>
      </c>
      <c r="E15" s="264" t="str">
        <f>IF(A15="","",VLOOKUP($D$6,TableStudyPeriods[],4,FALSE))</f>
        <v/>
      </c>
      <c r="F15" s="266" t="str">
        <f>IFERROR(IF(VLOOKUP($A15,TableHandbook[],6,FALSE)=0,"",VLOOKUP($A15,TableHandbook[],6,FALSE)),"")</f>
        <v/>
      </c>
      <c r="G15" s="278" t="str">
        <f>IFERROR(IF(VLOOKUP($A15,TableHandbook[],5,FALSE)=0,"",VLOOKUP($A15,TableHandbook[],5,FALSE)),"")</f>
        <v/>
      </c>
      <c r="H15" s="279" t="str">
        <f>IFERROR(VLOOKUP($A15,TableHandbook[],H$2,FALSE),"")</f>
        <v/>
      </c>
      <c r="I15" s="280" t="str">
        <f>IFERROR(VLOOKUP($A15,TableHandbook[],I$2,FALSE),"")</f>
        <v/>
      </c>
      <c r="J15" s="279" t="str">
        <f>IFERROR(VLOOKUP($A15,TableHandbook[],J$2,FALSE),"")</f>
        <v/>
      </c>
      <c r="K15" s="280" t="str">
        <f>IFERROR(VLOOKUP($A15,TableHandbook[],K$2,FALSE),"")</f>
        <v/>
      </c>
      <c r="L15" s="279" t="str">
        <f>IFERROR(VLOOKUP($A15,TableHandbook[],L$2,FALSE),"")</f>
        <v/>
      </c>
      <c r="M15" s="280" t="str">
        <f>IFERROR(VLOOKUP($A15,TableHandbook[],M$2,FALSE),"")</f>
        <v/>
      </c>
      <c r="N15" s="279" t="str">
        <f>IFERROR(VLOOKUP($A15,TableHandbook[],N$2,FALSE),"")</f>
        <v/>
      </c>
      <c r="O15" s="280" t="str">
        <f>IFERROR(VLOOKUP($A15,TableHandbook[],O$2,FALSE),"")</f>
        <v/>
      </c>
      <c r="P15" s="31"/>
      <c r="Q15" s="269">
        <v>6</v>
      </c>
      <c r="R15" s="270"/>
      <c r="S15" s="270"/>
      <c r="T15" s="271"/>
      <c r="U15" s="271"/>
      <c r="V15" s="271"/>
      <c r="W15" s="271"/>
      <c r="X15" s="271"/>
      <c r="Y15" s="271"/>
      <c r="Z15" s="271"/>
      <c r="AA15" s="19"/>
    </row>
    <row r="16" spans="1:27" s="23" customFormat="1" ht="21" customHeight="1" x14ac:dyDescent="0.15">
      <c r="A16" s="263" t="str">
        <f>IFERROR(IF(HLOOKUP($P$5,RangeUnitsetsTESOL,Q16,FALSE)=0,"",HLOOKUP($P$5,RangeUnitsetsTESOL,Q16,FALSE)),"")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7</v>
      </c>
      <c r="R16" s="281"/>
      <c r="S16" s="281"/>
      <c r="T16" s="282"/>
      <c r="U16" s="282"/>
      <c r="V16" s="282"/>
      <c r="W16" s="282"/>
      <c r="X16" s="282"/>
      <c r="Y16" s="282"/>
      <c r="Z16" s="282"/>
      <c r="AA16" s="22"/>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3" customFormat="1" ht="21" customHeight="1" x14ac:dyDescent="0.15">
      <c r="A18" s="263" t="str">
        <f>IFERROR(IF(HLOOKUP($P$5,RangeUnitsetsTESOL,Q18,FALSE)=0,"",HLOOKUP($P$5,RangeUnitsetsTESOL,Q18,FALSE)),"")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IF(A18="","",VLOOKUP($D$6,TableStudyPeriods[],5,FALSE))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8</v>
      </c>
      <c r="R18" s="281"/>
      <c r="S18" s="281"/>
      <c r="T18" s="282"/>
      <c r="U18" s="282"/>
      <c r="V18" s="282"/>
      <c r="W18" s="282"/>
      <c r="X18" s="282"/>
      <c r="Y18" s="282"/>
      <c r="Z18" s="282"/>
      <c r="AA18" s="22"/>
    </row>
    <row r="19" spans="1:27" s="23" customFormat="1" ht="21" customHeight="1" x14ac:dyDescent="0.15">
      <c r="A19" s="263" t="str">
        <f>IFERROR(IF(HLOOKUP($P$5,RangeUnitsetsTESOL,Q19,FALSE)=0,"",HLOOKUP($P$5,RangeUnitsetsTESOL,Q19,FALSE)),"")</f>
        <v/>
      </c>
      <c r="B19" s="278" t="str">
        <f>IFERROR(IF(VLOOKUP($A19,TableHandbook[],2,FALSE)=0,"",VLOOKUP($A19,TableHandbook[],2,FALSE)),"")</f>
        <v/>
      </c>
      <c r="C19" s="278" t="str">
        <f>IFERROR(IF(VLOOKUP($A19,TableHandbook[],3,FALSE)=0,"",VLOOKUP($A19,TableHandbook[],3,FALSE)),"")</f>
        <v/>
      </c>
      <c r="D19" s="283" t="str">
        <f>IFERROR(IF(VLOOKUP($A19,TableHandbook[],4,FALSE)=0,"",VLOOKUP($A19,TableHandbook[],4,FALSE)),"")</f>
        <v/>
      </c>
      <c r="E19" s="278"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9</v>
      </c>
      <c r="R19" s="281"/>
      <c r="S19" s="281"/>
      <c r="T19" s="282"/>
      <c r="U19" s="282"/>
      <c r="V19" s="282"/>
      <c r="W19" s="282"/>
      <c r="X19" s="282"/>
      <c r="Y19" s="282"/>
      <c r="Z19" s="282"/>
      <c r="AA19" s="22"/>
    </row>
    <row r="20" spans="1:27" s="18" customFormat="1" ht="31.5" x14ac:dyDescent="0.25">
      <c r="A20" s="252" t="s">
        <v>33</v>
      </c>
      <c r="B20" s="252"/>
      <c r="C20" s="252"/>
      <c r="D20" s="284" t="s">
        <v>3</v>
      </c>
      <c r="E20" s="260" t="s">
        <v>21</v>
      </c>
      <c r="F20" s="252" t="s">
        <v>22</v>
      </c>
      <c r="G20" s="252" t="s">
        <v>23</v>
      </c>
      <c r="H20" s="261" t="s">
        <v>24</v>
      </c>
      <c r="I20" s="262" t="s">
        <v>25</v>
      </c>
      <c r="J20" s="261" t="s">
        <v>26</v>
      </c>
      <c r="K20" s="262" t="s">
        <v>27</v>
      </c>
      <c r="L20" s="261" t="s">
        <v>28</v>
      </c>
      <c r="M20" s="262" t="s">
        <v>29</v>
      </c>
      <c r="N20" s="261" t="s">
        <v>30</v>
      </c>
      <c r="O20" s="262" t="s">
        <v>31</v>
      </c>
      <c r="P20" s="252" t="s">
        <v>32</v>
      </c>
      <c r="Q20" s="285"/>
      <c r="R20" s="258"/>
      <c r="S20" s="258"/>
      <c r="T20" s="259"/>
      <c r="U20" s="259"/>
      <c r="V20" s="259"/>
      <c r="W20" s="259"/>
      <c r="X20" s="259"/>
      <c r="Y20" s="259"/>
      <c r="Z20" s="259"/>
      <c r="AA20" s="17"/>
    </row>
    <row r="21" spans="1:27" s="20" customFormat="1" ht="21" customHeight="1" x14ac:dyDescent="0.15">
      <c r="A21" s="263" t="str">
        <f>IFERROR(IF(HLOOKUP($P$5,RangeUnitsetsTESOL,Q21,FALSE)=0,"",HLOOKUP($P$5,RangeUnitsetsTESOL,Q21,FALSE)),"")</f>
        <v/>
      </c>
      <c r="B21" s="278" t="str">
        <f>IFERROR(IF(VLOOKUP($A21,TableHandbook[],2,FALSE)=0,"",VLOOKUP($A21,TableHandbook[],2,FALSE)),"")</f>
        <v/>
      </c>
      <c r="C21" s="278" t="str">
        <f>IFERROR(IF(VLOOKUP($A21,TableHandbook[],3,FALSE)=0,"",VLOOKUP($A21,TableHandbook[],3,FALSE)),"")</f>
        <v/>
      </c>
      <c r="D21" s="286" t="str">
        <f>IFERROR(IF(VLOOKUP($A21,TableHandbook[],4,FALSE)=0,"",VLOOKUP($A21,TableHandbook[],4,FALSE)),"")</f>
        <v/>
      </c>
      <c r="E21" s="278" t="str">
        <f>IF(A21="","",VLOOKUP($D$6,TableStudyPeriods[],2,FALSE))</f>
        <v/>
      </c>
      <c r="F21" s="266" t="str">
        <f>IFERROR(IF(VLOOKUP($A21,TableHandbook[],6,FALSE)=0,"",VLOOKUP($A21,TableHandbook[],6,FALSE)),"")</f>
        <v/>
      </c>
      <c r="G21" s="264" t="str">
        <f>IFERROR(IF(VLOOKUP($A21,TableHandbook[],5,FALSE)=0,"",VLOOKUP($A21,TableHandbook[],5,FALSE)),"")</f>
        <v/>
      </c>
      <c r="H21" s="267" t="str">
        <f>IFERROR(VLOOKUP($A21,TableHandbook[],H$2,FALSE),"")</f>
        <v/>
      </c>
      <c r="I21" s="268" t="str">
        <f>IFERROR(VLOOKUP($A21,TableHandbook[],I$2,FALSE),"")</f>
        <v/>
      </c>
      <c r="J21" s="267" t="str">
        <f>IFERROR(VLOOKUP($A21,TableHandbook[],J$2,FALSE),"")</f>
        <v/>
      </c>
      <c r="K21" s="268" t="str">
        <f>IFERROR(VLOOKUP($A21,TableHandbook[],K$2,FALSE),"")</f>
        <v/>
      </c>
      <c r="L21" s="267" t="str">
        <f>IFERROR(VLOOKUP($A21,TableHandbook[],L$2,FALSE),"")</f>
        <v/>
      </c>
      <c r="M21" s="268" t="str">
        <f>IFERROR(VLOOKUP($A21,TableHandbook[],M$2,FALSE),"")</f>
        <v/>
      </c>
      <c r="N21" s="267" t="str">
        <f>IFERROR(VLOOKUP($A21,TableHandbook[],N$2,FALSE),"")</f>
        <v/>
      </c>
      <c r="O21" s="268" t="str">
        <f>IFERROR(VLOOKUP($A21,TableHandbook[],O$2,FALSE),"")</f>
        <v/>
      </c>
      <c r="P21" s="29"/>
      <c r="Q21" s="269">
        <v>10</v>
      </c>
      <c r="R21" s="270"/>
      <c r="S21" s="270"/>
      <c r="T21" s="271"/>
      <c r="U21" s="271"/>
      <c r="V21" s="271"/>
      <c r="W21" s="271"/>
      <c r="X21" s="271"/>
      <c r="Y21" s="271"/>
      <c r="Z21" s="271"/>
      <c r="AA21" s="19"/>
    </row>
    <row r="22" spans="1:27" s="20" customFormat="1" ht="21" customHeight="1" x14ac:dyDescent="0.15">
      <c r="A22" s="263" t="str">
        <f>IFERROR(IF(HLOOKUP($P$5,RangeUnitsetsTESOL,Q22,FALSE)=0,"",HLOOKUP($P$5,RangeUnitsetsTESOL,Q22,FALSE)),"")</f>
        <v/>
      </c>
      <c r="B22" s="278" t="str">
        <f>IFERROR(IF(VLOOKUP($A22,TableHandbook[],2,FALSE)=0,"",VLOOKUP($A22,TableHandbook[],2,FALSE)),"")</f>
        <v/>
      </c>
      <c r="C22" s="278" t="str">
        <f>IFERROR(IF(VLOOKUP($A22,TableHandbook[],3,FALSE)=0,"",VLOOKUP($A22,TableHandbook[],3,FALSE)),"")</f>
        <v/>
      </c>
      <c r="D22" s="283" t="str">
        <f>IFERROR(IF(VLOOKUP($A22,TableHandbook[],4,FALSE)=0,"",VLOOKUP($A22,TableHandbook[],4,FALSE)),"")</f>
        <v/>
      </c>
      <c r="E22" s="278" t="str">
        <f>IF(A22="","",E21)</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11</v>
      </c>
      <c r="R22" s="270"/>
      <c r="S22" s="270"/>
      <c r="T22" s="271"/>
      <c r="U22" s="271"/>
      <c r="V22" s="271"/>
      <c r="W22" s="271"/>
      <c r="X22" s="271"/>
      <c r="Y22" s="271"/>
      <c r="Z22" s="271"/>
      <c r="AA22" s="19"/>
    </row>
    <row r="23" spans="1:27" s="20" customFormat="1" ht="6" customHeight="1" x14ac:dyDescent="0.15">
      <c r="A23" s="272"/>
      <c r="B23" s="273"/>
      <c r="C23" s="273"/>
      <c r="D23" s="274"/>
      <c r="E23" s="273"/>
      <c r="F23" s="275"/>
      <c r="G23" s="273"/>
      <c r="H23" s="276"/>
      <c r="I23" s="277"/>
      <c r="J23" s="276"/>
      <c r="K23" s="277"/>
      <c r="L23" s="276"/>
      <c r="M23" s="277"/>
      <c r="N23" s="276"/>
      <c r="O23" s="277"/>
      <c r="P23" s="116"/>
      <c r="Q23" s="269"/>
      <c r="R23" s="270"/>
      <c r="S23" s="270"/>
      <c r="T23" s="270"/>
      <c r="U23" s="271"/>
      <c r="V23" s="271"/>
      <c r="W23" s="271"/>
      <c r="X23" s="271"/>
      <c r="Y23" s="271"/>
      <c r="Z23" s="271"/>
      <c r="AA23" s="19"/>
    </row>
    <row r="24" spans="1:27" s="20" customFormat="1" ht="21" customHeight="1" x14ac:dyDescent="0.15">
      <c r="A24" s="263" t="str">
        <f>IFERROR(IF(HLOOKUP($P$5,RangeUnitsetsTESOL,Q24,FALSE)=0,"",HLOOKUP($P$5,RangeUnitsetsTESOL,Q24,FALSE)),"")</f>
        <v/>
      </c>
      <c r="B24" s="278" t="str">
        <f>IFERROR(IF(VLOOKUP($A24,TableHandbook[],2,FALSE)=0,"",VLOOKUP($A24,TableHandbook[],2,FALSE)),"")</f>
        <v/>
      </c>
      <c r="C24" s="278" t="str">
        <f>IFERROR(IF(VLOOKUP($A24,TableHandbook[],3,FALSE)=0,"",VLOOKUP($A24,TableHandbook[],3,FALSE)),"")</f>
        <v/>
      </c>
      <c r="D24" s="283" t="str">
        <f>IFERROR(IF(VLOOKUP($A24,TableHandbook[],4,FALSE)=0,"",VLOOKUP($A24,TableHandbook[],4,FALSE)),"")</f>
        <v/>
      </c>
      <c r="E24" s="278" t="str">
        <f>IF(A24="","",VLOOKUP($D$6,TableStudyPeriods[],3,FALSE))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12</v>
      </c>
      <c r="R24" s="270"/>
      <c r="S24" s="270"/>
      <c r="T24" s="271"/>
      <c r="U24" s="271"/>
      <c r="V24" s="271"/>
      <c r="W24" s="271"/>
      <c r="X24" s="271"/>
      <c r="Y24" s="271"/>
      <c r="Z24" s="271"/>
      <c r="AA24" s="19"/>
    </row>
    <row r="25" spans="1:27" s="20" customFormat="1" ht="21" customHeight="1" x14ac:dyDescent="0.15">
      <c r="A25" s="263" t="str">
        <f>IFERROR(IF(HLOOKUP($P$5,RangeUnitsetsTESOL,Q25,FALSE)=0,"",HLOOKUP($P$5,RangeUnitsetsTESOL,Q25,FALSE)),"")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13</v>
      </c>
      <c r="R25" s="270"/>
      <c r="S25" s="270"/>
      <c r="T25" s="271"/>
      <c r="U25" s="271"/>
      <c r="V25" s="271"/>
      <c r="W25" s="271"/>
      <c r="X25" s="271"/>
      <c r="Y25" s="271"/>
      <c r="Z25" s="271"/>
      <c r="AA25" s="19"/>
    </row>
    <row r="26" spans="1:27" s="20" customFormat="1" ht="6" customHeight="1" x14ac:dyDescent="0.15">
      <c r="A26" s="272"/>
      <c r="B26" s="273"/>
      <c r="C26" s="273"/>
      <c r="D26" s="274"/>
      <c r="E26" s="273"/>
      <c r="F26" s="275"/>
      <c r="G26" s="273"/>
      <c r="H26" s="276"/>
      <c r="I26" s="277"/>
      <c r="J26" s="276"/>
      <c r="K26" s="277"/>
      <c r="L26" s="276"/>
      <c r="M26" s="277"/>
      <c r="N26" s="276"/>
      <c r="O26" s="277"/>
      <c r="P26" s="116"/>
      <c r="Q26" s="269"/>
      <c r="R26" s="270"/>
      <c r="S26" s="270"/>
      <c r="T26" s="270"/>
      <c r="U26" s="271"/>
      <c r="V26" s="271"/>
      <c r="W26" s="271"/>
      <c r="X26" s="271"/>
      <c r="Y26" s="271"/>
      <c r="Z26" s="271"/>
      <c r="AA26" s="19"/>
    </row>
    <row r="27" spans="1:27" s="20" customFormat="1" ht="21" customHeight="1" x14ac:dyDescent="0.15">
      <c r="A27" s="263" t="str">
        <f>IFERROR(IF(HLOOKUP($P$5,RangeUnitsetsTESOL,Q27,FALSE)=0,"",HLOOKUP($P$5,RangeUnitsetsTESOL,Q27,FALSE)),"")</f>
        <v/>
      </c>
      <c r="B27" s="278" t="str">
        <f>IFERROR(IF(VLOOKUP($A27,TableHandbook[],2,FALSE)=0,"",VLOOKUP($A27,TableHandbook[],2,FALSE)),"")</f>
        <v/>
      </c>
      <c r="C27" s="278" t="str">
        <f>IFERROR(IF(VLOOKUP($A27,TableHandbook[],3,FALSE)=0,"",VLOOKUP($A27,TableHandbook[],3,FALSE)),"")</f>
        <v/>
      </c>
      <c r="D27" s="283" t="str">
        <f>IFERROR(IF(VLOOKUP($A27,TableHandbook[],4,FALSE)=0,"",VLOOKUP($A27,TableHandbook[],4,FALSE)),"")</f>
        <v/>
      </c>
      <c r="E27" s="278" t="str">
        <f>IF(A27="","",VLOOKUP($D$6,TableStudyPeriods[],4,FALSE))</f>
        <v/>
      </c>
      <c r="F27" s="266" t="str">
        <f>IFERROR(IF(VLOOKUP($A27,TableHandbook[],6,FALSE)=0,"",VLOOKUP($A27,TableHandbook[],6,FALSE)),"")</f>
        <v/>
      </c>
      <c r="G27" s="264" t="str">
        <f>IFERROR(IF(VLOOKUP($A27,TableHandbook[],5,FALSE)=0,"",VLOOKUP($A27,TableHandbook[],5,FALSE)),"")</f>
        <v/>
      </c>
      <c r="H27" s="279" t="str">
        <f>IFERROR(VLOOKUP($A27,TableHandbook[],H$2,FALSE),"")</f>
        <v/>
      </c>
      <c r="I27" s="280" t="str">
        <f>IFERROR(VLOOKUP($A27,TableHandbook[],I$2,FALSE),"")</f>
        <v/>
      </c>
      <c r="J27" s="279" t="str">
        <f>IFERROR(VLOOKUP($A27,TableHandbook[],J$2,FALSE),"")</f>
        <v/>
      </c>
      <c r="K27" s="280" t="str">
        <f>IFERROR(VLOOKUP($A27,TableHandbook[],K$2,FALSE),"")</f>
        <v/>
      </c>
      <c r="L27" s="279" t="str">
        <f>IFERROR(VLOOKUP($A27,TableHandbook[],L$2,FALSE),"")</f>
        <v/>
      </c>
      <c r="M27" s="280" t="str">
        <f>IFERROR(VLOOKUP($A27,TableHandbook[],M$2,FALSE),"")</f>
        <v/>
      </c>
      <c r="N27" s="279" t="str">
        <f>IFERROR(VLOOKUP($A27,TableHandbook[],N$2,FALSE),"")</f>
        <v/>
      </c>
      <c r="O27" s="280" t="str">
        <f>IFERROR(VLOOKUP($A27,TableHandbook[],O$2,FALSE),"")</f>
        <v/>
      </c>
      <c r="P27" s="29"/>
      <c r="Q27" s="269">
        <v>14</v>
      </c>
      <c r="R27" s="270"/>
      <c r="S27" s="270"/>
      <c r="T27" s="271"/>
      <c r="U27" s="271"/>
      <c r="V27" s="271"/>
      <c r="W27" s="271"/>
      <c r="X27" s="271"/>
      <c r="Y27" s="271"/>
      <c r="Z27" s="271"/>
      <c r="AA27" s="19"/>
    </row>
    <row r="28" spans="1:27" s="20" customFormat="1" ht="21" customHeight="1" x14ac:dyDescent="0.15">
      <c r="A28" s="263" t="str">
        <f>IFERROR(IF(HLOOKUP($P$5,RangeUnitsetsTESOL,Q28,FALSE)=0,"",HLOOKUP($P$5,RangeUnitsetsTESOL,Q28,FALSE)),"")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15</v>
      </c>
      <c r="R28" s="270"/>
      <c r="S28" s="270"/>
      <c r="T28" s="271"/>
      <c r="U28" s="271"/>
      <c r="V28" s="271"/>
      <c r="W28" s="271"/>
      <c r="X28" s="271"/>
      <c r="Y28" s="271"/>
      <c r="Z28" s="271"/>
      <c r="AA28" s="19"/>
    </row>
    <row r="29" spans="1:27" s="23" customFormat="1" ht="6" customHeight="1" x14ac:dyDescent="0.15">
      <c r="A29" s="272"/>
      <c r="B29" s="273"/>
      <c r="C29" s="273"/>
      <c r="D29" s="274"/>
      <c r="E29" s="273"/>
      <c r="F29" s="275"/>
      <c r="G29" s="273"/>
      <c r="H29" s="276"/>
      <c r="I29" s="277"/>
      <c r="J29" s="276"/>
      <c r="K29" s="277"/>
      <c r="L29" s="276"/>
      <c r="M29" s="277"/>
      <c r="N29" s="276"/>
      <c r="O29" s="277"/>
      <c r="P29" s="116"/>
      <c r="Q29" s="269"/>
      <c r="R29" s="281"/>
      <c r="S29" s="281"/>
      <c r="T29" s="282"/>
      <c r="U29" s="282"/>
      <c r="V29" s="282"/>
      <c r="W29" s="282"/>
      <c r="X29" s="282"/>
      <c r="Y29" s="282"/>
      <c r="Z29" s="282"/>
      <c r="AA29" s="22"/>
    </row>
    <row r="30" spans="1:27" s="23" customFormat="1" ht="21" customHeight="1" x14ac:dyDescent="0.15">
      <c r="A30" s="263" t="str">
        <f>IFERROR(IF(HLOOKUP($P$5,RangeUnitsetsTESOL,Q30,FALSE)=0,"",HLOOKUP($P$5,RangeUnitsetsTESOL,Q30,FALSE)),"")</f>
        <v/>
      </c>
      <c r="B30" s="278" t="str">
        <f>IFERROR(IF(VLOOKUP($A30,TableHandbook[],2,FALSE)=0,"",VLOOKUP($A30,TableHandbook[],2,FALSE)),"")</f>
        <v/>
      </c>
      <c r="C30" s="278" t="str">
        <f>IFERROR(IF(VLOOKUP($A30,TableHandbook[],3,FALSE)=0,"",VLOOKUP($A30,TableHandbook[],3,FALSE)),"")</f>
        <v/>
      </c>
      <c r="D30" s="283" t="str">
        <f>IFERROR(IF(VLOOKUP($A30,TableHandbook[],4,FALSE)=0,"",VLOOKUP($A30,TableHandbook[],4,FALSE)),"")</f>
        <v/>
      </c>
      <c r="E30" s="278" t="str">
        <f>IF(A30="","",VLOOKUP($D$6,TableStudyPeriods[],5,FALSE))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16</v>
      </c>
      <c r="R30" s="281"/>
      <c r="S30" s="281"/>
      <c r="T30" s="282"/>
      <c r="U30" s="282"/>
      <c r="V30" s="282"/>
      <c r="W30" s="282"/>
      <c r="X30" s="282"/>
      <c r="Y30" s="282"/>
      <c r="Z30" s="282"/>
      <c r="AA30" s="22"/>
    </row>
    <row r="31" spans="1:27" s="23" customFormat="1" ht="21" customHeight="1" x14ac:dyDescent="0.15">
      <c r="A31" s="263" t="str">
        <f>IFERROR(IF(HLOOKUP($P$5,RangeUnitsetsTESOL,Q31,FALSE)=0,"",HLOOKUP($P$5,RangeUnitsetsTESOL,Q31,FALSE)),"")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64"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17</v>
      </c>
      <c r="R31" s="281"/>
      <c r="S31" s="281"/>
      <c r="T31" s="282"/>
      <c r="U31" s="282"/>
      <c r="V31" s="282"/>
      <c r="W31" s="282"/>
      <c r="X31" s="282"/>
      <c r="Y31" s="282"/>
      <c r="Z31" s="282"/>
      <c r="AA31" s="22"/>
    </row>
    <row r="32" spans="1:27" ht="15" customHeight="1" x14ac:dyDescent="0.25">
      <c r="A32" s="287"/>
      <c r="B32" s="287"/>
      <c r="C32" s="287"/>
      <c r="D32" s="288"/>
      <c r="E32" s="288"/>
      <c r="F32" s="289"/>
      <c r="G32" s="289"/>
      <c r="H32" s="289"/>
      <c r="I32" s="289"/>
      <c r="J32" s="289"/>
      <c r="K32" s="289"/>
      <c r="L32" s="289"/>
      <c r="M32" s="289"/>
      <c r="N32" s="289"/>
      <c r="O32" s="289"/>
      <c r="P32" s="289"/>
      <c r="Q32" s="231"/>
      <c r="R32" s="231"/>
      <c r="S32" s="231"/>
      <c r="T32" s="231"/>
      <c r="U32" s="231"/>
      <c r="V32" s="231"/>
      <c r="W32" s="231"/>
      <c r="X32" s="231"/>
      <c r="Y32" s="231"/>
      <c r="Z32" s="231"/>
      <c r="AA32" s="16"/>
    </row>
    <row r="33" spans="1:27" s="16" customFormat="1" ht="35.25" customHeight="1" x14ac:dyDescent="0.25">
      <c r="A33" s="366" t="s">
        <v>35</v>
      </c>
      <c r="B33" s="366"/>
      <c r="C33" s="366"/>
      <c r="D33" s="366"/>
      <c r="E33" s="366"/>
      <c r="F33" s="366"/>
      <c r="G33" s="366"/>
      <c r="H33" s="366"/>
      <c r="I33" s="366"/>
      <c r="J33" s="366"/>
      <c r="K33" s="366"/>
      <c r="L33" s="366"/>
      <c r="M33" s="366"/>
      <c r="N33" s="366"/>
      <c r="O33" s="366"/>
      <c r="P33" s="366"/>
      <c r="Q33" s="231"/>
      <c r="R33" s="231"/>
      <c r="S33" s="231"/>
      <c r="T33" s="231"/>
      <c r="U33" s="231"/>
      <c r="V33" s="231"/>
      <c r="W33" s="231"/>
      <c r="X33" s="231"/>
      <c r="Y33" s="231"/>
      <c r="Z33" s="231"/>
    </row>
    <row r="34" spans="1:27" s="25" customFormat="1" ht="17.25" x14ac:dyDescent="0.2">
      <c r="A34" s="117" t="s">
        <v>36</v>
      </c>
      <c r="B34" s="117"/>
      <c r="C34" s="117"/>
      <c r="D34" s="118"/>
      <c r="E34" s="118"/>
      <c r="F34" s="118"/>
      <c r="G34" s="118"/>
      <c r="H34" s="118"/>
      <c r="I34" s="118"/>
      <c r="J34" s="118"/>
      <c r="K34" s="118"/>
      <c r="L34" s="118"/>
      <c r="M34" s="118"/>
      <c r="N34" s="118"/>
      <c r="O34" s="118"/>
      <c r="P34" s="118"/>
      <c r="Q34" s="290"/>
      <c r="R34" s="290"/>
      <c r="S34" s="290"/>
      <c r="T34" s="291"/>
      <c r="U34" s="291"/>
      <c r="V34" s="291"/>
      <c r="W34" s="291"/>
      <c r="X34" s="291"/>
      <c r="Y34" s="291"/>
      <c r="Z34" s="291"/>
      <c r="AA34" s="24"/>
    </row>
    <row r="35" spans="1:27" x14ac:dyDescent="0.25">
      <c r="A35" s="292" t="s">
        <v>37</v>
      </c>
      <c r="B35" s="292"/>
      <c r="C35" s="292"/>
      <c r="D35" s="292"/>
      <c r="E35" s="293"/>
      <c r="F35" s="289"/>
      <c r="G35" s="294"/>
      <c r="H35" s="294"/>
      <c r="I35" s="294"/>
      <c r="J35" s="294"/>
      <c r="K35" s="294"/>
      <c r="L35" s="294"/>
      <c r="M35" s="294"/>
      <c r="N35" s="294"/>
      <c r="O35" s="294"/>
      <c r="P35" s="294" t="s">
        <v>38</v>
      </c>
      <c r="Q35" s="231"/>
      <c r="R35" s="231"/>
      <c r="S35" s="231"/>
      <c r="T35" s="231"/>
      <c r="U35" s="231"/>
      <c r="V35" s="231"/>
      <c r="W35" s="231"/>
      <c r="X35" s="231"/>
      <c r="Y35" s="231"/>
      <c r="Z35" s="231"/>
    </row>
  </sheetData>
  <sheetProtection formatCells="0"/>
  <mergeCells count="2">
    <mergeCell ref="A3:D3"/>
    <mergeCell ref="A33:P33"/>
  </mergeCells>
  <conditionalFormatting sqref="A9:P31">
    <cfRule type="expression" dxfId="442" priority="1">
      <formula>$A9=""</formula>
    </cfRule>
  </conditionalFormatting>
  <conditionalFormatting sqref="D5:D6">
    <cfRule type="containsText" dxfId="441"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D6</xm:sqref>
        </x14:dataValidation>
        <x14:dataValidation type="list" allowBlank="1" showInputMessage="1" showErrorMessage="1">
          <x14:formula1>
            <xm:f>Unitsets!$A$38:$A$41</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4" t="s">
        <v>40</v>
      </c>
      <c r="E5" s="241"/>
      <c r="F5" s="239" t="s">
        <v>12</v>
      </c>
      <c r="G5" s="246" t="str">
        <f>IFERROR(CONCATENATE(VLOOKUP(D5,TableCourses[],2,FALSE)," ",VLOOKUP(D5,TableCourses[],3,FALSE)),"")</f>
        <v>MC-EDUC v.3</v>
      </c>
      <c r="H5" s="302"/>
      <c r="I5" s="241"/>
      <c r="J5" s="241"/>
      <c r="K5" s="241"/>
      <c r="L5" s="241"/>
      <c r="M5" s="241"/>
      <c r="N5" s="241"/>
      <c r="O5" s="241"/>
      <c r="P5" s="303"/>
      <c r="Q5" s="297"/>
      <c r="R5" s="231"/>
      <c r="S5" s="231"/>
      <c r="T5" s="231"/>
      <c r="U5" s="231"/>
      <c r="V5" s="231"/>
      <c r="W5" s="231"/>
      <c r="X5" s="231"/>
      <c r="Y5" s="231"/>
      <c r="Z5" s="231"/>
    </row>
    <row r="6" spans="1:27" ht="20.100000000000001" customHeight="1" x14ac:dyDescent="0.25">
      <c r="A6" s="237"/>
      <c r="B6" s="238"/>
      <c r="C6" s="239" t="s">
        <v>41</v>
      </c>
      <c r="D6" s="335" t="s">
        <v>469</v>
      </c>
      <c r="E6" s="241"/>
      <c r="F6" s="239" t="s">
        <v>15</v>
      </c>
      <c r="G6" s="246" t="str">
        <f>IFERROR(CONCATENATE(VLOOKUP(D6,TableSpecialisationsMCEDUC[],2,FALSE)," ",VLOOKUP(D6,TableSpecialisationsMCEDUC[],3,FALSE)),"")</f>
        <v/>
      </c>
      <c r="H6" s="302"/>
      <c r="I6" s="241"/>
      <c r="J6" s="241"/>
      <c r="K6" s="241"/>
      <c r="L6" s="241"/>
      <c r="M6" s="241"/>
      <c r="N6" s="241"/>
      <c r="O6" s="241"/>
      <c r="P6" s="304" t="e">
        <f>CONCATENATE(VLOOKUP(D6,TableSpecialisationsMCEDUC[],2,FALSE),VLOOKUP(D7,TableStudyPeriods[],2,FALSE))</f>
        <v>#N/A</v>
      </c>
      <c r="Q6" s="297"/>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200 credit points required</v>
      </c>
      <c r="H7" s="250"/>
      <c r="I7" s="250"/>
      <c r="J7" s="250"/>
      <c r="K7" s="250"/>
      <c r="L7" s="250"/>
      <c r="M7" s="250"/>
      <c r="N7" s="250"/>
      <c r="O7" s="250"/>
      <c r="P7" s="304" t="str">
        <f>IFERROR(CONCATENATE("DD",MID(#REF!,6,5)),"")</f>
        <v/>
      </c>
      <c r="Q7" s="297"/>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17"/>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17"/>
    </row>
    <row r="10" spans="1:27" s="20" customFormat="1" ht="21" customHeight="1" x14ac:dyDescent="0.15">
      <c r="A10" s="263" t="str">
        <f>IFERROR(IF(HLOOKUP($P$6,RangeUnitsetsMCEDUC,Q10,FALSE)=0,"",HLOOKUP($P$6,RangeUnitsetsMCEDUC,Q10,FALSE)),"")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IF(OR(A10="",A10="--"),"",VLOOKUP($D$7,TableStudyPeriods[],2,FALSE))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305" t="str">
        <f>IFERROR(IF(HLOOKUP($P$6,RangeUnitsetsMCEDUC,Q11,FALSE)=0,"",HLOOKUP($P$6,RangeUnitsetsMCEDUC,Q11,FALSE)),"")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306"/>
      <c r="B12" s="307"/>
      <c r="C12" s="307"/>
      <c r="D12" s="308"/>
      <c r="E12" s="307"/>
      <c r="F12" s="309"/>
      <c r="G12" s="307"/>
      <c r="H12" s="310"/>
      <c r="I12" s="311"/>
      <c r="J12" s="310"/>
      <c r="K12" s="311"/>
      <c r="L12" s="310"/>
      <c r="M12" s="311"/>
      <c r="N12" s="310"/>
      <c r="O12" s="311"/>
      <c r="P12" s="174"/>
      <c r="Q12" s="269"/>
      <c r="R12" s="270"/>
      <c r="S12" s="270"/>
      <c r="T12" s="270"/>
      <c r="U12" s="271"/>
      <c r="V12" s="271"/>
      <c r="W12" s="271"/>
      <c r="X12" s="271"/>
      <c r="Y12" s="271"/>
      <c r="Z12" s="271"/>
      <c r="AA12" s="19"/>
    </row>
    <row r="13" spans="1:27" s="20" customFormat="1" ht="21" customHeight="1" x14ac:dyDescent="0.15">
      <c r="A13" s="263" t="str">
        <f>IFERROR(IF(HLOOKUP($P$6,RangeUnitsetsMCEDUC,Q13,FALSE)=0,"",HLOOKUP($P$6,RangeUnitsetsMCEDUC,Q13,FALSE)),"")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IF(OR(A13="",A13="--"),"",VLOOKUP($D$7,TableStudyPeriods[],3,FALSE))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IFERROR(IF(HLOOKUP($P$6,RangeUnitsetsMCEDUC,Q14,FALSE)=0,"",HLOOKUP($P$6,RangeUnitsetsMCEDUC,Q14,FALSE)),"")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306"/>
      <c r="B15" s="307"/>
      <c r="C15" s="307"/>
      <c r="D15" s="308"/>
      <c r="E15" s="307"/>
      <c r="F15" s="309"/>
      <c r="G15" s="307"/>
      <c r="H15" s="310"/>
      <c r="I15" s="311"/>
      <c r="J15" s="310"/>
      <c r="K15" s="311"/>
      <c r="L15" s="310"/>
      <c r="M15" s="311"/>
      <c r="N15" s="310"/>
      <c r="O15" s="311"/>
      <c r="P15" s="174"/>
      <c r="Q15" s="269"/>
      <c r="R15" s="270"/>
      <c r="S15" s="270"/>
      <c r="T15" s="270"/>
      <c r="U15" s="271"/>
      <c r="V15" s="271"/>
      <c r="W15" s="271"/>
      <c r="X15" s="271"/>
      <c r="Y15" s="271"/>
      <c r="Z15" s="271"/>
      <c r="AA15" s="19"/>
    </row>
    <row r="16" spans="1:27" s="20" customFormat="1" ht="21" customHeight="1" x14ac:dyDescent="0.15">
      <c r="A16" s="263" t="str">
        <f>IFERROR(IF(HLOOKUP($P$6,RangeUnitsetsMCEDUC,Q16,FALSE)=0,"",HLOOKUP($P$6,RangeUnitsetsMCEDUC,Q16,FALSE)),"")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IF(OR(A16="",A16="--"),"",VLOOKUP($D$7,TableStudyPeriods[],4,FALSE))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IFERROR(IF(HLOOKUP($P$6,RangeUnitsetsMCEDUC,Q17,FALSE)=0,"",HLOOKUP($P$6,RangeUnitsetsMCEDUC,Q17,FALSE)),"")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306"/>
      <c r="B18" s="307"/>
      <c r="C18" s="307"/>
      <c r="D18" s="308"/>
      <c r="E18" s="307"/>
      <c r="F18" s="309"/>
      <c r="G18" s="307"/>
      <c r="H18" s="310"/>
      <c r="I18" s="311"/>
      <c r="J18" s="310"/>
      <c r="K18" s="311"/>
      <c r="L18" s="310"/>
      <c r="M18" s="311"/>
      <c r="N18" s="310"/>
      <c r="O18" s="311"/>
      <c r="P18" s="174"/>
      <c r="Q18" s="269"/>
      <c r="R18" s="270"/>
      <c r="S18" s="270"/>
      <c r="T18" s="270"/>
      <c r="U18" s="271"/>
      <c r="V18" s="271"/>
      <c r="W18" s="271"/>
      <c r="X18" s="271"/>
      <c r="Y18" s="271"/>
      <c r="Z18" s="271"/>
      <c r="AA18" s="19"/>
    </row>
    <row r="19" spans="1:27" s="23" customFormat="1" ht="21" customHeight="1" x14ac:dyDescent="0.15">
      <c r="A19" s="263" t="str">
        <f>IFERROR(IF(HLOOKUP($P$6,RangeUnitsetsMCEDUC,Q19,FALSE)=0,"",HLOOKUP($P$6,RangeUnitsetsMCEDUC,Q19,FALSE)),"")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IF(OR(A19="",A19="--"),"",VLOOKUP($D$7,TableStudyPeriods[],5,FALSE))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IFERROR(IF(HLOOKUP($P$6,RangeUnitsetsMCEDUC,Q20,FALSE)=0,"",HLOOKUP($P$6,RangeUnitsetsMCEDUC,Q20,FALSE)),"")</f>
        <v/>
      </c>
      <c r="B20" s="278" t="str">
        <f>IFERROR(IF(VLOOKUP($A20,TableHandbook[],2,FALSE)=0,"",VLOOKUP($A20,TableHandbook[],2,FALSE)),"")</f>
        <v/>
      </c>
      <c r="C20" s="278" t="str">
        <f>IFERROR(IF(VLOOKUP($A20,TableHandbook[],3,FALSE)=0,"",VLOOKUP($A20,TableHandbook[],3,FALSE)),"")</f>
        <v/>
      </c>
      <c r="D20" s="312"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16"/>
    </row>
    <row r="22" spans="1:27" s="27" customFormat="1" ht="25.5" x14ac:dyDescent="0.25">
      <c r="A22" s="313" t="s">
        <v>44</v>
      </c>
      <c r="B22" s="314"/>
      <c r="C22" s="314"/>
      <c r="D22" s="315"/>
      <c r="E22" s="316"/>
      <c r="F22" s="316"/>
      <c r="G22" s="316"/>
      <c r="H22" s="317" t="s">
        <v>19</v>
      </c>
      <c r="I22" s="318"/>
      <c r="J22" s="318"/>
      <c r="K22" s="318"/>
      <c r="L22" s="318"/>
      <c r="M22" s="318"/>
      <c r="N22" s="319"/>
      <c r="O22" s="320"/>
      <c r="P22" s="321"/>
      <c r="Q22" s="297"/>
      <c r="R22" s="334"/>
      <c r="S22" s="334"/>
      <c r="T22" s="334"/>
      <c r="U22" s="334"/>
      <c r="V22" s="334"/>
      <c r="W22" s="334"/>
      <c r="X22" s="334"/>
      <c r="Y22" s="334"/>
      <c r="Z22" s="334"/>
      <c r="AA22" s="26"/>
    </row>
    <row r="23" spans="1:27" ht="21" customHeight="1" x14ac:dyDescent="0.25">
      <c r="A23" s="252"/>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69"/>
      <c r="R23" s="231"/>
      <c r="S23" s="231"/>
      <c r="T23" s="231"/>
      <c r="U23" s="231"/>
      <c r="V23" s="231"/>
      <c r="W23" s="231"/>
      <c r="X23" s="231"/>
      <c r="Y23" s="231"/>
      <c r="Z23" s="231"/>
      <c r="AA23" s="16"/>
    </row>
    <row r="24" spans="1:27" ht="21" customHeight="1" x14ac:dyDescent="0.25">
      <c r="A24" s="322" t="str">
        <f t="shared" ref="A24:A32" si="0">IFERROR(IF(HLOOKUP($P$6,RangeUnitsetsMCEDUC,Q24,FALSE)=0,"",HLOOKUP($P$6,RangeUnitsetsMCEDUC,Q24,FALSE)),"")</f>
        <v/>
      </c>
      <c r="B24" s="323" t="str">
        <f>IFERROR(IF(VLOOKUP($A24,TableHandbook[],2,FALSE)=0,"",VLOOKUP($A24,TableHandbook[],2,FALSE)),"")</f>
        <v/>
      </c>
      <c r="C24" s="324" t="str">
        <f>IFERROR(IF(VLOOKUP($A24,TableHandbook[],3,FALSE)=0,"",VLOOKUP($A24,TableHandbook[],3,FALSE)),"")</f>
        <v/>
      </c>
      <c r="D24" s="324" t="str">
        <f>IFERROR(IF(VLOOKUP($A24,TableHandbook[],4,FALSE)=0,"",VLOOKUP($A24,TableHandbook[],4,FALSE)),"")</f>
        <v/>
      </c>
      <c r="E24" s="325"/>
      <c r="F24" s="326" t="str">
        <f>IFERROR(IF(VLOOKUP($A24,TableHandbook[],6,FALSE)=0,"",VLOOKUP($A24,TableHandbook[],6,FALSE)),"")</f>
        <v/>
      </c>
      <c r="G24" s="326" t="str">
        <f>IFERROR(IF(VLOOKUP($A24,TableHandbook[],5,FALSE)=0,"",VLOOKUP($A24,TableHandbook[],5,FALSE)),"")</f>
        <v/>
      </c>
      <c r="H24" s="279" t="str">
        <f>IFERROR(VLOOKUP($A24,TableHandbook[],H$2,FALSE),"")</f>
        <v/>
      </c>
      <c r="I24" s="280" t="str">
        <f>IFERROR(VLOOKUP($A24,TableHandbook[],I$2,FALSE),"")</f>
        <v/>
      </c>
      <c r="J24" s="278" t="str">
        <f>IFERROR(VLOOKUP($A24,TableHandbook[],J$2,FALSE),"")</f>
        <v/>
      </c>
      <c r="K24" s="280" t="str">
        <f>IFERROR(VLOOKUP($A24,TableHandbook[],K$2,FALSE),"")</f>
        <v/>
      </c>
      <c r="L24" s="278" t="str">
        <f>IFERROR(VLOOKUP($A24,TableHandbook[],L$2,FALSE),"")</f>
        <v/>
      </c>
      <c r="M24" s="280" t="str">
        <f>IFERROR(VLOOKUP($A24,TableHandbook[],M$2,FALSE),"")</f>
        <v/>
      </c>
      <c r="N24" s="278" t="str">
        <f>IFERROR(VLOOKUP($A24,TableHandbook[],N$2,FALSE),"")</f>
        <v/>
      </c>
      <c r="O24" s="280" t="str">
        <f>IFERROR(VLOOKUP($A24,TableHandbook[],O$2,FALSE),"")</f>
        <v/>
      </c>
      <c r="P24" s="31"/>
      <c r="Q24" s="269">
        <v>10</v>
      </c>
      <c r="R24" s="231"/>
      <c r="S24" s="231"/>
      <c r="T24" s="231"/>
      <c r="U24" s="231"/>
      <c r="V24" s="231"/>
      <c r="W24" s="231"/>
      <c r="X24" s="231"/>
      <c r="Y24" s="231"/>
      <c r="Z24" s="231"/>
      <c r="AA24" s="16"/>
    </row>
    <row r="25" spans="1:27" ht="21" customHeight="1" x14ac:dyDescent="0.25">
      <c r="A25" s="322" t="str">
        <f t="shared" si="0"/>
        <v/>
      </c>
      <c r="B25" s="323" t="str">
        <f>IFERROR(IF(VLOOKUP($A25,TableHandbook[],2,FALSE)=0,"",VLOOKUP($A25,TableHandbook[],2,FALSE)),"")</f>
        <v/>
      </c>
      <c r="C25" s="324" t="str">
        <f>IFERROR(IF(VLOOKUP($A25,TableHandbook[],3,FALSE)=0,"",VLOOKUP($A25,TableHandbook[],3,FALSE)),"")</f>
        <v/>
      </c>
      <c r="D25" s="324" t="str">
        <f>IFERROR(IF(VLOOKUP($A25,TableHandbook[],4,FALSE)=0,"",VLOOKUP($A25,TableHandbook[],4,FALSE)),"")</f>
        <v/>
      </c>
      <c r="E25" s="325"/>
      <c r="F25" s="326" t="str">
        <f>IFERROR(IF(VLOOKUP($A25,TableHandbook[],6,FALSE)=0,"",VLOOKUP($A25,TableHandbook[],6,FALSE)),"")</f>
        <v/>
      </c>
      <c r="G25" s="326" t="str">
        <f>IFERROR(IF(VLOOKUP($A25,TableHandbook[],5,FALSE)=0,"",VLOOKUP($A25,TableHandbook[],5,FALSE)),"")</f>
        <v/>
      </c>
      <c r="H25" s="267" t="str">
        <f>IFERROR(VLOOKUP($A25,TableHandbook[],H$2,FALSE),"")</f>
        <v/>
      </c>
      <c r="I25" s="268" t="str">
        <f>IFERROR(VLOOKUP($A25,TableHandbook[],I$2,FALSE),"")</f>
        <v/>
      </c>
      <c r="J25" s="264" t="str">
        <f>IFERROR(VLOOKUP($A25,TableHandbook[],J$2,FALSE),"")</f>
        <v/>
      </c>
      <c r="K25" s="268" t="str">
        <f>IFERROR(VLOOKUP($A25,TableHandbook[],K$2,FALSE),"")</f>
        <v/>
      </c>
      <c r="L25" s="264" t="str">
        <f>IFERROR(VLOOKUP($A25,TableHandbook[],L$2,FALSE),"")</f>
        <v/>
      </c>
      <c r="M25" s="268" t="str">
        <f>IFERROR(VLOOKUP($A25,TableHandbook[],M$2,FALSE),"")</f>
        <v/>
      </c>
      <c r="N25" s="264" t="str">
        <f>IFERROR(VLOOKUP($A25,TableHandbook[],N$2,FALSE),"")</f>
        <v/>
      </c>
      <c r="O25" s="268" t="str">
        <f>IFERROR(VLOOKUP($A25,TableHandbook[],O$2,FALSE),"")</f>
        <v/>
      </c>
      <c r="P25" s="31"/>
      <c r="Q25" s="269">
        <v>11</v>
      </c>
      <c r="R25" s="231"/>
      <c r="S25" s="231"/>
      <c r="T25" s="231"/>
      <c r="U25" s="231"/>
      <c r="V25" s="231"/>
      <c r="W25" s="231"/>
      <c r="X25" s="231"/>
      <c r="Y25" s="231"/>
      <c r="Z25" s="231"/>
      <c r="AA25" s="16"/>
    </row>
    <row r="26" spans="1:27" ht="21" customHeight="1" x14ac:dyDescent="0.25">
      <c r="A26" s="322" t="str">
        <f t="shared" si="0"/>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12</v>
      </c>
      <c r="R26" s="231"/>
      <c r="S26" s="231"/>
      <c r="T26" s="231"/>
      <c r="U26" s="231"/>
      <c r="V26" s="231"/>
      <c r="W26" s="231"/>
      <c r="X26" s="231"/>
      <c r="Y26" s="231"/>
      <c r="Z26" s="231"/>
      <c r="AA26" s="16"/>
    </row>
    <row r="27" spans="1:27" ht="21" customHeight="1" x14ac:dyDescent="0.25">
      <c r="A27" s="322" t="str">
        <f t="shared" si="0"/>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13</v>
      </c>
      <c r="R27" s="231"/>
      <c r="S27" s="231"/>
      <c r="T27" s="231"/>
      <c r="U27" s="231"/>
      <c r="V27" s="231"/>
      <c r="W27" s="231"/>
      <c r="X27" s="231"/>
      <c r="Y27" s="231"/>
      <c r="Z27" s="231"/>
      <c r="AA27" s="16"/>
    </row>
    <row r="28" spans="1:27" ht="21" customHeight="1" x14ac:dyDescent="0.25">
      <c r="A28" s="322" t="str">
        <f t="shared" si="0"/>
        <v/>
      </c>
      <c r="B28" s="323" t="str">
        <f>IFERROR(IF(VLOOKUP($A28,TableHandbook[],2,FALSE)=0,"",VLOOKUP($A28,TableHandbook[],2,FALSE)),"")</f>
        <v/>
      </c>
      <c r="C28" s="324" t="str">
        <f>IFERROR(IF(VLOOKUP($A28,TableHandbook[],3,FALSE)=0,"",VLOOKUP($A28,TableHandbook[],3,FALSE)),"")</f>
        <v/>
      </c>
      <c r="D28" s="324" t="str">
        <f>IFERROR(IF(VLOOKUP($A28,TableHandbook[],4,FALSE)=0,"",VLOOKUP($A28,TableHandbook[],4,FALSE)),"")</f>
        <v/>
      </c>
      <c r="E28" s="325"/>
      <c r="F28" s="326" t="str">
        <f>IFERROR(IF(VLOOKUP($A28,TableHandbook[],6,FALSE)=0,"",VLOOKUP($A28,TableHandbook[],6,FALSE)),"")</f>
        <v/>
      </c>
      <c r="G28" s="326" t="str">
        <f>IFERROR(IF(VLOOKUP($A28,TableHandbook[],5,FALSE)=0,"",VLOOKUP($A28,TableHandbook[],5,FALSE)),"")</f>
        <v/>
      </c>
      <c r="H28" s="279" t="str">
        <f>IFERROR(VLOOKUP($A28,TableHandbook[],H$2,FALSE),"")</f>
        <v/>
      </c>
      <c r="I28" s="280" t="str">
        <f>IFERROR(VLOOKUP($A28,TableHandbook[],I$2,FALSE),"")</f>
        <v/>
      </c>
      <c r="J28" s="278" t="str">
        <f>IFERROR(VLOOKUP($A28,TableHandbook[],J$2,FALSE),"")</f>
        <v/>
      </c>
      <c r="K28" s="280" t="str">
        <f>IFERROR(VLOOKUP($A28,TableHandbook[],K$2,FALSE),"")</f>
        <v/>
      </c>
      <c r="L28" s="278" t="str">
        <f>IFERROR(VLOOKUP($A28,TableHandbook[],L$2,FALSE),"")</f>
        <v/>
      </c>
      <c r="M28" s="280" t="str">
        <f>IFERROR(VLOOKUP($A28,TableHandbook[],M$2,FALSE),"")</f>
        <v/>
      </c>
      <c r="N28" s="278" t="str">
        <f>IFERROR(VLOOKUP($A28,TableHandbook[],N$2,FALSE),"")</f>
        <v/>
      </c>
      <c r="O28" s="280" t="str">
        <f>IFERROR(VLOOKUP($A28,TableHandbook[],O$2,FALSE),"")</f>
        <v/>
      </c>
      <c r="P28" s="31"/>
      <c r="Q28" s="269">
        <v>14</v>
      </c>
      <c r="R28" s="231"/>
      <c r="S28" s="231"/>
      <c r="T28" s="231"/>
      <c r="U28" s="231"/>
      <c r="V28" s="231"/>
      <c r="W28" s="231"/>
      <c r="X28" s="231"/>
      <c r="Y28" s="231"/>
      <c r="Z28" s="231"/>
      <c r="AA28" s="16"/>
    </row>
    <row r="29" spans="1:27" ht="21" customHeight="1" x14ac:dyDescent="0.25">
      <c r="A29" s="322" t="str">
        <f t="shared" si="0"/>
        <v/>
      </c>
      <c r="B29" s="323" t="str">
        <f>IFERROR(IF(VLOOKUP($A29,TableHandbook[],2,FALSE)=0,"",VLOOKUP($A29,TableHandbook[],2,FALSE)),"")</f>
        <v/>
      </c>
      <c r="C29" s="324" t="str">
        <f>IFERROR(IF(VLOOKUP($A29,TableHandbook[],3,FALSE)=0,"",VLOOKUP($A29,TableHandbook[],3,FALSE)),"")</f>
        <v/>
      </c>
      <c r="D29" s="324" t="str">
        <f>IFERROR(IF(VLOOKUP($A29,TableHandbook[],4,FALSE)=0,"",VLOOKUP($A29,TableHandbook[],4,FALSE)),"")</f>
        <v/>
      </c>
      <c r="E29" s="325"/>
      <c r="F29" s="326" t="str">
        <f>IFERROR(IF(VLOOKUP($A29,TableHandbook[],6,FALSE)=0,"",VLOOKUP($A29,TableHandbook[],6,FALSE)),"")</f>
        <v/>
      </c>
      <c r="G29" s="326" t="str">
        <f>IFERROR(IF(VLOOKUP($A29,TableHandbook[],5,FALSE)=0,"",VLOOKUP($A29,TableHandbook[],5,FALSE)),"")</f>
        <v/>
      </c>
      <c r="H29" s="279" t="str">
        <f>IFERROR(VLOOKUP($A29,TableHandbook[],H$2,FALSE),"")</f>
        <v/>
      </c>
      <c r="I29" s="280" t="str">
        <f>IFERROR(VLOOKUP($A29,TableHandbook[],I$2,FALSE),"")</f>
        <v/>
      </c>
      <c r="J29" s="278" t="str">
        <f>IFERROR(VLOOKUP($A29,TableHandbook[],J$2,FALSE),"")</f>
        <v/>
      </c>
      <c r="K29" s="280" t="str">
        <f>IFERROR(VLOOKUP($A29,TableHandbook[],K$2,FALSE),"")</f>
        <v/>
      </c>
      <c r="L29" s="278" t="str">
        <f>IFERROR(VLOOKUP($A29,TableHandbook[],L$2,FALSE),"")</f>
        <v/>
      </c>
      <c r="M29" s="280" t="str">
        <f>IFERROR(VLOOKUP($A29,TableHandbook[],M$2,FALSE),"")</f>
        <v/>
      </c>
      <c r="N29" s="278" t="str">
        <f>IFERROR(VLOOKUP($A29,TableHandbook[],N$2,FALSE),"")</f>
        <v/>
      </c>
      <c r="O29" s="280" t="str">
        <f>IFERROR(VLOOKUP($A29,TableHandbook[],O$2,FALSE),"")</f>
        <v/>
      </c>
      <c r="P29" s="31"/>
      <c r="Q29" s="269">
        <v>15</v>
      </c>
      <c r="R29" s="231"/>
      <c r="S29" s="231"/>
      <c r="T29" s="231"/>
      <c r="U29" s="231"/>
      <c r="V29" s="231"/>
      <c r="W29" s="231"/>
      <c r="X29" s="231"/>
      <c r="Y29" s="231"/>
      <c r="Z29" s="231"/>
      <c r="AA29" s="16"/>
    </row>
    <row r="30" spans="1:27" ht="21" customHeight="1" x14ac:dyDescent="0.25">
      <c r="A30" s="322" t="str">
        <f t="shared" si="0"/>
        <v/>
      </c>
      <c r="B30" s="323" t="str">
        <f>IFERROR(IF(VLOOKUP($A30,TableHandbook[],2,FALSE)=0,"",VLOOKUP($A30,TableHandbook[],2,FALSE)),"")</f>
        <v/>
      </c>
      <c r="C30" s="324" t="str">
        <f>IFERROR(IF(VLOOKUP($A30,TableHandbook[],3,FALSE)=0,"",VLOOKUP($A30,TableHandbook[],3,FALSE)),"")</f>
        <v/>
      </c>
      <c r="D30" s="324" t="str">
        <f>IFERROR(IF(VLOOKUP($A30,TableHandbook[],4,FALSE)=0,"",VLOOKUP($A30,TableHandbook[],4,FALSE)),"")</f>
        <v/>
      </c>
      <c r="E30" s="325"/>
      <c r="F30" s="326" t="str">
        <f>IFERROR(IF(VLOOKUP($A30,TableHandbook[],6,FALSE)=0,"",VLOOKUP($A30,TableHandbook[],6,FALSE)),"")</f>
        <v/>
      </c>
      <c r="G30" s="326" t="str">
        <f>IFERROR(IF(VLOOKUP($A30,TableHandbook[],5,FALSE)=0,"",VLOOKUP($A30,TableHandbook[],5,FALSE)),"")</f>
        <v/>
      </c>
      <c r="H30" s="279" t="str">
        <f>IFERROR(VLOOKUP($A30,TableHandbook[],H$2,FALSE),"")</f>
        <v/>
      </c>
      <c r="I30" s="280" t="str">
        <f>IFERROR(VLOOKUP($A30,TableHandbook[],I$2,FALSE),"")</f>
        <v/>
      </c>
      <c r="J30" s="278" t="str">
        <f>IFERROR(VLOOKUP($A30,TableHandbook[],J$2,FALSE),"")</f>
        <v/>
      </c>
      <c r="K30" s="280" t="str">
        <f>IFERROR(VLOOKUP($A30,TableHandbook[],K$2,FALSE),"")</f>
        <v/>
      </c>
      <c r="L30" s="278" t="str">
        <f>IFERROR(VLOOKUP($A30,TableHandbook[],L$2,FALSE),"")</f>
        <v/>
      </c>
      <c r="M30" s="280" t="str">
        <f>IFERROR(VLOOKUP($A30,TableHandbook[],M$2,FALSE),"")</f>
        <v/>
      </c>
      <c r="N30" s="278" t="str">
        <f>IFERROR(VLOOKUP($A30,TableHandbook[],N$2,FALSE),"")</f>
        <v/>
      </c>
      <c r="O30" s="280" t="str">
        <f>IFERROR(VLOOKUP($A30,TableHandbook[],O$2,FALSE),"")</f>
        <v/>
      </c>
      <c r="P30" s="31"/>
      <c r="Q30" s="269">
        <v>16</v>
      </c>
      <c r="R30" s="231"/>
      <c r="S30" s="231"/>
      <c r="T30" s="231"/>
      <c r="U30" s="231"/>
      <c r="V30" s="231"/>
      <c r="W30" s="231"/>
      <c r="X30" s="231"/>
      <c r="Y30" s="231"/>
      <c r="Z30" s="231"/>
      <c r="AA30" s="16"/>
    </row>
    <row r="31" spans="1:27" ht="21" customHeight="1" x14ac:dyDescent="0.25">
      <c r="A31" s="322" t="str">
        <f t="shared" si="0"/>
        <v/>
      </c>
      <c r="B31" s="323" t="str">
        <f>IFERROR(IF(VLOOKUP($A31,TableHandbook[],2,FALSE)=0,"",VLOOKUP($A31,TableHandbook[],2,FALSE)),"")</f>
        <v/>
      </c>
      <c r="C31" s="324" t="str">
        <f>IFERROR(IF(VLOOKUP($A31,TableHandbook[],3,FALSE)=0,"",VLOOKUP($A31,TableHandbook[],3,FALSE)),"")</f>
        <v/>
      </c>
      <c r="D31" s="324" t="str">
        <f>IFERROR(IF(VLOOKUP($A31,TableHandbook[],4,FALSE)=0,"",VLOOKUP($A31,TableHandbook[],4,FALSE)),"")</f>
        <v/>
      </c>
      <c r="E31" s="325"/>
      <c r="F31" s="326" t="str">
        <f>IFERROR(IF(VLOOKUP($A31,TableHandbook[],6,FALSE)=0,"",VLOOKUP($A31,TableHandbook[],6,FALSE)),"")</f>
        <v/>
      </c>
      <c r="G31" s="326" t="str">
        <f>IFERROR(IF(VLOOKUP($A31,TableHandbook[],5,FALSE)=0,"",VLOOKUP($A31,TableHandbook[],5,FALSE)),"")</f>
        <v/>
      </c>
      <c r="H31" s="267" t="str">
        <f>IFERROR(VLOOKUP($A31,TableHandbook[],H$2,FALSE),"")</f>
        <v/>
      </c>
      <c r="I31" s="268" t="str">
        <f>IFERROR(VLOOKUP($A31,TableHandbook[],I$2,FALSE),"")</f>
        <v/>
      </c>
      <c r="J31" s="264" t="str">
        <f>IFERROR(VLOOKUP($A31,TableHandbook[],J$2,FALSE),"")</f>
        <v/>
      </c>
      <c r="K31" s="268" t="str">
        <f>IFERROR(VLOOKUP($A31,TableHandbook[],K$2,FALSE),"")</f>
        <v/>
      </c>
      <c r="L31" s="264" t="str">
        <f>IFERROR(VLOOKUP($A31,TableHandbook[],L$2,FALSE),"")</f>
        <v/>
      </c>
      <c r="M31" s="268" t="str">
        <f>IFERROR(VLOOKUP($A31,TableHandbook[],M$2,FALSE),"")</f>
        <v/>
      </c>
      <c r="N31" s="264" t="str">
        <f>IFERROR(VLOOKUP($A31,TableHandbook[],N$2,FALSE),"")</f>
        <v/>
      </c>
      <c r="O31" s="268" t="str">
        <f>IFERROR(VLOOKUP($A31,TableHandbook[],O$2,FALSE),"")</f>
        <v/>
      </c>
      <c r="P31" s="31"/>
      <c r="Q31" s="269">
        <v>17</v>
      </c>
      <c r="R31" s="231"/>
      <c r="S31" s="231"/>
      <c r="T31" s="231"/>
      <c r="U31" s="231"/>
      <c r="V31" s="231"/>
      <c r="W31" s="231"/>
      <c r="X31" s="231"/>
      <c r="Y31" s="231"/>
      <c r="Z31" s="231"/>
      <c r="AA31" s="16"/>
    </row>
    <row r="32" spans="1:27" ht="21" customHeight="1" x14ac:dyDescent="0.25">
      <c r="A32" s="322" t="str">
        <f t="shared" si="0"/>
        <v/>
      </c>
      <c r="B32" s="323" t="str">
        <f>IFERROR(IF(VLOOKUP($A32,TableHandbook[],2,FALSE)=0,"",VLOOKUP($A32,TableHandbook[],2,FALSE)),"")</f>
        <v/>
      </c>
      <c r="C32" s="324" t="str">
        <f>IFERROR(IF(VLOOKUP($A32,TableHandbook[],3,FALSE)=0,"",VLOOKUP($A32,TableHandbook[],3,FALSE)),"")</f>
        <v/>
      </c>
      <c r="D32" s="324" t="str">
        <f>IFERROR(IF(VLOOKUP($A32,TableHandbook[],4,FALSE)=0,"",VLOOKUP($A32,TableHandbook[],4,FALSE)),"")</f>
        <v/>
      </c>
      <c r="E32" s="325"/>
      <c r="F32" s="326" t="str">
        <f>IFERROR(IF(VLOOKUP($A32,TableHandbook[],6,FALSE)=0,"",VLOOKUP($A32,TableHandbook[],6,FALSE)),"")</f>
        <v/>
      </c>
      <c r="G32" s="326" t="str">
        <f>IFERROR(IF(VLOOKUP($A32,TableHandbook[],5,FALSE)=0,"",VLOOKUP($A32,TableHandbook[],5,FALSE)),"")</f>
        <v/>
      </c>
      <c r="H32" s="267" t="str">
        <f>IFERROR(VLOOKUP($A32,TableHandbook[],H$2,FALSE),"")</f>
        <v/>
      </c>
      <c r="I32" s="268" t="str">
        <f>IFERROR(VLOOKUP($A32,TableHandbook[],I$2,FALSE),"")</f>
        <v/>
      </c>
      <c r="J32" s="264" t="str">
        <f>IFERROR(VLOOKUP($A32,TableHandbook[],J$2,FALSE),"")</f>
        <v/>
      </c>
      <c r="K32" s="268" t="str">
        <f>IFERROR(VLOOKUP($A32,TableHandbook[],K$2,FALSE),"")</f>
        <v/>
      </c>
      <c r="L32" s="264" t="str">
        <f>IFERROR(VLOOKUP($A32,TableHandbook[],L$2,FALSE),"")</f>
        <v/>
      </c>
      <c r="M32" s="268" t="str">
        <f>IFERROR(VLOOKUP($A32,TableHandbook[],M$2,FALSE),"")</f>
        <v/>
      </c>
      <c r="N32" s="264" t="str">
        <f>IFERROR(VLOOKUP($A32,TableHandbook[],N$2,FALSE),"")</f>
        <v/>
      </c>
      <c r="O32" s="268" t="str">
        <f>IFERROR(VLOOKUP($A32,TableHandbook[],O$2,FALSE),"")</f>
        <v/>
      </c>
      <c r="P32" s="31"/>
      <c r="Q32" s="269">
        <v>18</v>
      </c>
      <c r="R32" s="231"/>
      <c r="S32" s="231"/>
      <c r="T32" s="231"/>
      <c r="U32" s="231"/>
      <c r="V32" s="231"/>
      <c r="W32" s="231"/>
      <c r="X32" s="231"/>
      <c r="Y32" s="231"/>
      <c r="Z32" s="231"/>
      <c r="AA32" s="16"/>
    </row>
    <row r="33" spans="1:27" ht="15" customHeight="1" x14ac:dyDescent="0.25">
      <c r="A33" s="327"/>
      <c r="B33" s="327"/>
      <c r="C33" s="328"/>
      <c r="D33" s="328"/>
      <c r="E33" s="329"/>
      <c r="F33" s="330"/>
      <c r="G33" s="330"/>
      <c r="H33" s="331"/>
      <c r="I33" s="331"/>
      <c r="J33" s="331"/>
      <c r="K33" s="331"/>
      <c r="L33" s="331"/>
      <c r="M33" s="331"/>
      <c r="N33" s="331"/>
      <c r="O33" s="331"/>
      <c r="P33" s="332"/>
      <c r="Q33" s="269"/>
      <c r="R33" s="231"/>
      <c r="S33" s="231"/>
      <c r="T33" s="231"/>
      <c r="U33" s="231"/>
      <c r="V33" s="231"/>
      <c r="W33" s="231"/>
      <c r="X33" s="231"/>
      <c r="Y33" s="231"/>
      <c r="Z33" s="231"/>
      <c r="AA33" s="16"/>
    </row>
    <row r="34" spans="1:27" s="16" customFormat="1" ht="18" x14ac:dyDescent="0.25">
      <c r="A34" s="333" t="s">
        <v>35</v>
      </c>
      <c r="B34" s="333"/>
      <c r="C34" s="333"/>
      <c r="D34" s="333"/>
      <c r="E34" s="333"/>
      <c r="F34" s="333"/>
      <c r="G34" s="333"/>
      <c r="H34" s="333"/>
      <c r="I34" s="333"/>
      <c r="J34" s="333"/>
      <c r="K34" s="333"/>
      <c r="L34" s="333"/>
      <c r="M34" s="333"/>
      <c r="N34" s="333"/>
      <c r="O34" s="333"/>
      <c r="P34" s="333"/>
      <c r="Q34" s="297"/>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1">
    <mergeCell ref="A3:D3"/>
  </mergeCells>
  <conditionalFormatting sqref="A10:P20 A24:P32">
    <cfRule type="expression" dxfId="440" priority="1">
      <formula>$A10=""</formula>
    </cfRule>
  </conditionalFormatting>
  <conditionalFormatting sqref="D5:D7">
    <cfRule type="containsText" dxfId="439"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D7</xm:sqref>
        </x14:dataValidation>
        <x14:dataValidation type="list" allowBlank="1" showInputMessage="1" showErrorMessage="1">
          <x14:formula1>
            <xm:f>Unitsets!$A$31:$A$35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3"/>
  <sheetViews>
    <sheetView topLeftCell="A13" zoomScale="85" zoomScaleNormal="85" workbookViewId="0">
      <selection activeCell="D5" sqref="D5"/>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45</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46</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47</v>
      </c>
      <c r="I4" s="45">
        <v>1</v>
      </c>
      <c r="J4" s="47"/>
      <c r="K4" s="46" t="s">
        <v>48</v>
      </c>
      <c r="L4" s="47"/>
      <c r="M4" s="46" t="s">
        <v>45</v>
      </c>
      <c r="N4" s="47"/>
      <c r="O4" s="46" t="s">
        <v>49</v>
      </c>
      <c r="P4" s="47"/>
      <c r="Q4" s="46" t="s">
        <v>50</v>
      </c>
      <c r="R4" s="47"/>
      <c r="S4" s="46" t="s">
        <v>51</v>
      </c>
      <c r="T4" s="47"/>
      <c r="U4" s="46" t="s">
        <v>52</v>
      </c>
      <c r="V4" s="47"/>
      <c r="W4" s="46" t="s">
        <v>53</v>
      </c>
      <c r="X4" s="47"/>
      <c r="Y4" s="46" t="s">
        <v>54</v>
      </c>
      <c r="Z4" s="48"/>
      <c r="AA4" s="48"/>
      <c r="AB4" s="48"/>
      <c r="AC4" s="48"/>
      <c r="AD4" s="48"/>
      <c r="AE4" s="48"/>
      <c r="AF4" s="48"/>
      <c r="AG4" s="48"/>
      <c r="AH4" s="48"/>
      <c r="AI4" s="48"/>
      <c r="AJ4" s="48"/>
      <c r="AK4" s="48"/>
      <c r="AL4" s="48"/>
      <c r="AM4" s="48"/>
      <c r="AN4" s="48"/>
      <c r="AO4" s="48"/>
      <c r="AP4" s="48"/>
      <c r="AQ4" s="48"/>
      <c r="AR4" s="48"/>
      <c r="AS4" s="48"/>
      <c r="AT4" s="61" t="s">
        <v>55</v>
      </c>
      <c r="AU4" s="61" t="s">
        <v>1</v>
      </c>
      <c r="AV4" s="62"/>
      <c r="AW4" s="61" t="s">
        <v>56</v>
      </c>
      <c r="AX4" s="63" t="s">
        <v>5</v>
      </c>
      <c r="AY4" s="63" t="s">
        <v>57</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58</v>
      </c>
      <c r="K5" s="92" t="s">
        <v>59</v>
      </c>
      <c r="L5" s="86" t="s">
        <v>60</v>
      </c>
      <c r="M5" s="92" t="s">
        <v>61</v>
      </c>
      <c r="N5" s="86" t="s">
        <v>62</v>
      </c>
      <c r="O5" s="92" t="s">
        <v>59</v>
      </c>
      <c r="P5" s="86" t="s">
        <v>63</v>
      </c>
      <c r="Q5" s="92" t="s">
        <v>64</v>
      </c>
      <c r="R5" s="86" t="s">
        <v>58</v>
      </c>
      <c r="S5" s="92" t="s">
        <v>59</v>
      </c>
      <c r="T5" s="86" t="s">
        <v>60</v>
      </c>
      <c r="U5" s="92" t="s">
        <v>64</v>
      </c>
      <c r="V5" s="86" t="s">
        <v>62</v>
      </c>
      <c r="W5" s="92" t="s">
        <v>65</v>
      </c>
      <c r="X5" s="86" t="s">
        <v>63</v>
      </c>
      <c r="Y5" s="92" t="s">
        <v>64</v>
      </c>
      <c r="Z5" s="45"/>
      <c r="AA5" s="45"/>
      <c r="AB5" s="45"/>
      <c r="AC5" s="45"/>
      <c r="AD5" s="45"/>
      <c r="AE5" s="45"/>
      <c r="AF5" s="45"/>
      <c r="AG5" s="45"/>
      <c r="AH5" s="45"/>
      <c r="AI5" s="45"/>
      <c r="AJ5" s="45"/>
      <c r="AK5" s="45"/>
      <c r="AL5" s="45"/>
      <c r="AM5" s="45"/>
      <c r="AN5" s="45"/>
      <c r="AO5" s="45"/>
      <c r="AP5" s="45"/>
      <c r="AQ5" s="45"/>
      <c r="AR5" s="45"/>
      <c r="AS5" s="45"/>
      <c r="AT5" s="98" t="str">
        <f t="shared" ref="AT5:AT22"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66</v>
      </c>
      <c r="I6" s="49">
        <v>3</v>
      </c>
      <c r="J6" s="87" t="s">
        <v>58</v>
      </c>
      <c r="K6" s="93" t="s">
        <v>65</v>
      </c>
      <c r="L6" s="87" t="s">
        <v>60</v>
      </c>
      <c r="M6" s="93" t="s">
        <v>67</v>
      </c>
      <c r="N6" s="87" t="s">
        <v>62</v>
      </c>
      <c r="O6" s="93" t="s">
        <v>68</v>
      </c>
      <c r="P6" s="87" t="s">
        <v>63</v>
      </c>
      <c r="Q6" s="93" t="s">
        <v>69</v>
      </c>
      <c r="R6" s="87" t="s">
        <v>58</v>
      </c>
      <c r="S6" s="93" t="s">
        <v>65</v>
      </c>
      <c r="T6" s="87" t="s">
        <v>60</v>
      </c>
      <c r="U6" s="93" t="s">
        <v>70</v>
      </c>
      <c r="V6" s="87" t="s">
        <v>62</v>
      </c>
      <c r="W6" s="93" t="s">
        <v>59</v>
      </c>
      <c r="X6" s="87" t="s">
        <v>63</v>
      </c>
      <c r="Y6" s="93" t="s">
        <v>71</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72</v>
      </c>
      <c r="B7" s="39" t="s">
        <v>0</v>
      </c>
      <c r="C7" s="36" t="s">
        <v>73</v>
      </c>
      <c r="D7" s="36" t="s">
        <v>74</v>
      </c>
      <c r="E7" s="36" t="s">
        <v>75</v>
      </c>
      <c r="F7" s="36" t="s">
        <v>76</v>
      </c>
      <c r="G7" s="36" t="s">
        <v>6</v>
      </c>
      <c r="I7" s="49">
        <v>4</v>
      </c>
      <c r="J7" s="87" t="s">
        <v>60</v>
      </c>
      <c r="K7" s="93" t="s">
        <v>64</v>
      </c>
      <c r="L7" s="87" t="s">
        <v>62</v>
      </c>
      <c r="M7" s="93" t="s">
        <v>68</v>
      </c>
      <c r="N7" s="87" t="s">
        <v>63</v>
      </c>
      <c r="O7" s="93" t="s">
        <v>64</v>
      </c>
      <c r="P7" s="87" t="s">
        <v>58</v>
      </c>
      <c r="Q7" s="93" t="s">
        <v>59</v>
      </c>
      <c r="R7" s="87" t="s">
        <v>60</v>
      </c>
      <c r="S7" s="93" t="s">
        <v>64</v>
      </c>
      <c r="T7" s="87" t="s">
        <v>62</v>
      </c>
      <c r="U7" s="93" t="s">
        <v>59</v>
      </c>
      <c r="V7" s="87" t="s">
        <v>63</v>
      </c>
      <c r="W7" s="93" t="s">
        <v>71</v>
      </c>
      <c r="X7" s="87" t="s">
        <v>58</v>
      </c>
      <c r="Y7" s="93" t="s">
        <v>65</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77</v>
      </c>
      <c r="B8" s="169" t="s">
        <v>78</v>
      </c>
      <c r="C8" s="166" t="s">
        <v>79</v>
      </c>
      <c r="D8" s="36" t="s">
        <v>80</v>
      </c>
      <c r="E8" s="175">
        <v>44197</v>
      </c>
      <c r="F8" s="175">
        <v>44562</v>
      </c>
      <c r="G8" s="36" t="s">
        <v>81</v>
      </c>
      <c r="I8" s="49">
        <v>5</v>
      </c>
      <c r="J8" s="87" t="s">
        <v>60</v>
      </c>
      <c r="K8" s="94" t="s">
        <v>82</v>
      </c>
      <c r="L8" s="87" t="s">
        <v>62</v>
      </c>
      <c r="M8" s="93" t="s">
        <v>65</v>
      </c>
      <c r="N8" s="87" t="s">
        <v>63</v>
      </c>
      <c r="O8" s="93" t="s">
        <v>69</v>
      </c>
      <c r="P8" s="87" t="s">
        <v>58</v>
      </c>
      <c r="Q8" s="93" t="s">
        <v>65</v>
      </c>
      <c r="R8" s="87" t="s">
        <v>60</v>
      </c>
      <c r="S8" s="93" t="s">
        <v>83</v>
      </c>
      <c r="T8" s="87" t="s">
        <v>62</v>
      </c>
      <c r="U8" s="93" t="s">
        <v>65</v>
      </c>
      <c r="V8" s="87" t="s">
        <v>63</v>
      </c>
      <c r="W8" s="93" t="s">
        <v>64</v>
      </c>
      <c r="X8" s="87" t="s">
        <v>58</v>
      </c>
      <c r="Y8" s="93" t="s">
        <v>59</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84</v>
      </c>
      <c r="B9" s="169" t="s">
        <v>85</v>
      </c>
      <c r="C9" s="166" t="s">
        <v>79</v>
      </c>
      <c r="D9" s="36" t="s">
        <v>80</v>
      </c>
      <c r="E9" s="175">
        <v>43466</v>
      </c>
      <c r="F9" s="175">
        <v>44197</v>
      </c>
      <c r="G9" s="36" t="s">
        <v>86</v>
      </c>
      <c r="I9" s="49">
        <v>6</v>
      </c>
      <c r="J9" s="87" t="s">
        <v>62</v>
      </c>
      <c r="K9" s="93" t="s">
        <v>68</v>
      </c>
      <c r="L9" s="87" t="s">
        <v>63</v>
      </c>
      <c r="M9" s="93" t="s">
        <v>69</v>
      </c>
      <c r="N9" s="87" t="s">
        <v>58</v>
      </c>
      <c r="O9" s="93" t="s">
        <v>65</v>
      </c>
      <c r="P9" s="87" t="s">
        <v>60</v>
      </c>
      <c r="Q9" s="93" t="s">
        <v>82</v>
      </c>
      <c r="R9" s="87" t="s">
        <v>62</v>
      </c>
      <c r="S9" s="93" t="s">
        <v>87</v>
      </c>
      <c r="T9" s="87" t="s">
        <v>63</v>
      </c>
      <c r="U9" s="93" t="s">
        <v>71</v>
      </c>
      <c r="V9" s="87" t="s">
        <v>58</v>
      </c>
      <c r="W9" s="93" t="s">
        <v>88</v>
      </c>
      <c r="X9" s="87" t="s">
        <v>60</v>
      </c>
      <c r="Y9" s="93" t="s">
        <v>70</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89</v>
      </c>
      <c r="B10" s="199" t="s">
        <v>90</v>
      </c>
      <c r="C10" s="166" t="s">
        <v>91</v>
      </c>
      <c r="D10" s="36" t="s">
        <v>80</v>
      </c>
      <c r="E10" s="175">
        <v>42736</v>
      </c>
      <c r="F10" s="175">
        <v>44562</v>
      </c>
      <c r="G10" s="172" t="s">
        <v>92</v>
      </c>
      <c r="I10" s="49">
        <v>7</v>
      </c>
      <c r="J10" s="87" t="s">
        <v>62</v>
      </c>
      <c r="K10" s="94" t="s">
        <v>93</v>
      </c>
      <c r="L10" s="87" t="s">
        <v>63</v>
      </c>
      <c r="M10" s="93" t="s">
        <v>64</v>
      </c>
      <c r="N10" s="87" t="s">
        <v>58</v>
      </c>
      <c r="O10" s="93" t="s">
        <v>61</v>
      </c>
      <c r="P10" s="87" t="s">
        <v>60</v>
      </c>
      <c r="Q10" s="93" t="s">
        <v>61</v>
      </c>
      <c r="R10" s="87" t="s">
        <v>62</v>
      </c>
      <c r="S10" s="93" t="s">
        <v>94</v>
      </c>
      <c r="T10" s="87" t="s">
        <v>63</v>
      </c>
      <c r="U10" s="93" t="s">
        <v>87</v>
      </c>
      <c r="V10" s="87" t="s">
        <v>58</v>
      </c>
      <c r="W10" s="93" t="s">
        <v>83</v>
      </c>
      <c r="X10" s="87" t="s">
        <v>60</v>
      </c>
      <c r="Y10" s="93" t="s">
        <v>83</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95</v>
      </c>
      <c r="B11" s="199" t="s">
        <v>96</v>
      </c>
      <c r="C11" s="166" t="s">
        <v>97</v>
      </c>
      <c r="D11" s="36" t="s">
        <v>98</v>
      </c>
      <c r="E11" s="175">
        <v>43647</v>
      </c>
      <c r="F11" s="175">
        <v>44927</v>
      </c>
      <c r="G11" s="36" t="s">
        <v>81</v>
      </c>
      <c r="I11" s="49">
        <v>8</v>
      </c>
      <c r="J11" s="87" t="s">
        <v>63</v>
      </c>
      <c r="K11" s="93" t="s">
        <v>87</v>
      </c>
      <c r="L11" s="87" t="s">
        <v>58</v>
      </c>
      <c r="M11" s="93" t="s">
        <v>59</v>
      </c>
      <c r="N11" s="87" t="s">
        <v>60</v>
      </c>
      <c r="O11" s="93" t="s">
        <v>82</v>
      </c>
      <c r="P11" s="87" t="s">
        <v>62</v>
      </c>
      <c r="Q11" s="93" t="s">
        <v>93</v>
      </c>
      <c r="R11" s="87" t="s">
        <v>63</v>
      </c>
      <c r="S11" s="93" t="s">
        <v>71</v>
      </c>
      <c r="T11" s="87" t="s">
        <v>58</v>
      </c>
      <c r="U11" s="93" t="s">
        <v>88</v>
      </c>
      <c r="V11" s="87" t="s">
        <v>60</v>
      </c>
      <c r="W11" s="93" t="s">
        <v>70</v>
      </c>
      <c r="X11" s="87" t="s">
        <v>62</v>
      </c>
      <c r="Y11" s="93" t="s">
        <v>88</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40</v>
      </c>
      <c r="B12" s="199" t="s">
        <v>99</v>
      </c>
      <c r="C12" s="166" t="s">
        <v>100</v>
      </c>
      <c r="D12" s="36" t="s">
        <v>98</v>
      </c>
      <c r="E12" s="175">
        <v>44562</v>
      </c>
      <c r="F12" s="175">
        <v>44562</v>
      </c>
      <c r="G12" s="36" t="s">
        <v>81</v>
      </c>
      <c r="I12" s="49">
        <v>9</v>
      </c>
      <c r="J12" s="87" t="s">
        <v>63</v>
      </c>
      <c r="K12" s="93" t="s">
        <v>69</v>
      </c>
      <c r="L12" s="89" t="s">
        <v>58</v>
      </c>
      <c r="M12" s="93" t="s">
        <v>101</v>
      </c>
      <c r="N12" s="87" t="s">
        <v>60</v>
      </c>
      <c r="O12" s="93" t="s">
        <v>67</v>
      </c>
      <c r="P12" s="89" t="s">
        <v>62</v>
      </c>
      <c r="Q12" s="93" t="s">
        <v>68</v>
      </c>
      <c r="R12" s="87" t="s">
        <v>63</v>
      </c>
      <c r="S12" s="93" t="s">
        <v>102</v>
      </c>
      <c r="T12" s="89" t="s">
        <v>58</v>
      </c>
      <c r="U12" s="93" t="s">
        <v>83</v>
      </c>
      <c r="V12" s="87" t="s">
        <v>60</v>
      </c>
      <c r="W12" s="93" t="s">
        <v>94</v>
      </c>
      <c r="X12" s="89" t="s">
        <v>62</v>
      </c>
      <c r="Y12" s="93" t="s">
        <v>94</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9" t="s">
        <v>103</v>
      </c>
      <c r="C13" s="166" t="s">
        <v>91</v>
      </c>
      <c r="D13" s="36" t="s">
        <v>104</v>
      </c>
      <c r="E13" s="175">
        <v>44562</v>
      </c>
      <c r="F13" s="175">
        <v>44562</v>
      </c>
      <c r="G13" s="36" t="s">
        <v>81</v>
      </c>
      <c r="I13" s="49">
        <v>10</v>
      </c>
      <c r="J13" s="86" t="s">
        <v>105</v>
      </c>
      <c r="K13" s="92" t="s">
        <v>61</v>
      </c>
      <c r="L13" s="86" t="s">
        <v>106</v>
      </c>
      <c r="M13" s="92" t="s">
        <v>82</v>
      </c>
      <c r="N13" s="86" t="s">
        <v>107</v>
      </c>
      <c r="O13" s="92" t="s">
        <v>93</v>
      </c>
      <c r="P13" s="86" t="s">
        <v>108</v>
      </c>
      <c r="Q13" s="92" t="s">
        <v>109</v>
      </c>
      <c r="R13" s="86" t="s">
        <v>105</v>
      </c>
      <c r="S13" s="92" t="s">
        <v>110</v>
      </c>
      <c r="T13" s="86" t="s">
        <v>106</v>
      </c>
      <c r="U13" s="92" t="s">
        <v>111</v>
      </c>
      <c r="V13" s="86" t="s">
        <v>107</v>
      </c>
      <c r="W13" s="92" t="s">
        <v>87</v>
      </c>
      <c r="X13" s="86" t="s">
        <v>108</v>
      </c>
      <c r="Y13" s="92" t="s">
        <v>102</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39</v>
      </c>
      <c r="B14" s="199" t="s">
        <v>112</v>
      </c>
      <c r="C14" s="166" t="s">
        <v>91</v>
      </c>
      <c r="D14" s="36" t="s">
        <v>104</v>
      </c>
      <c r="E14" s="175">
        <v>44562</v>
      </c>
      <c r="F14" s="175">
        <v>44562</v>
      </c>
      <c r="G14" s="36" t="s">
        <v>81</v>
      </c>
      <c r="I14" s="49">
        <v>11</v>
      </c>
      <c r="J14" s="87" t="s">
        <v>105</v>
      </c>
      <c r="K14" s="93" t="s">
        <v>101</v>
      </c>
      <c r="L14" s="87" t="s">
        <v>106</v>
      </c>
      <c r="M14" s="93" t="s">
        <v>113</v>
      </c>
      <c r="N14" s="87" t="s">
        <v>107</v>
      </c>
      <c r="O14" s="93" t="s">
        <v>114</v>
      </c>
      <c r="P14" s="87" t="s">
        <v>108</v>
      </c>
      <c r="Q14" s="93" t="s">
        <v>87</v>
      </c>
      <c r="R14" s="87" t="s">
        <v>105</v>
      </c>
      <c r="S14" s="93" t="s">
        <v>115</v>
      </c>
      <c r="T14" s="87" t="s">
        <v>106</v>
      </c>
      <c r="U14" s="93" t="s">
        <v>94</v>
      </c>
      <c r="V14" s="87" t="s">
        <v>107</v>
      </c>
      <c r="W14" s="93" t="s">
        <v>116</v>
      </c>
      <c r="X14" s="87" t="s">
        <v>108</v>
      </c>
      <c r="Y14" s="93" t="s">
        <v>117</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204" t="s">
        <v>118</v>
      </c>
      <c r="B15" s="207" t="s">
        <v>119</v>
      </c>
      <c r="C15" s="205" t="s">
        <v>79</v>
      </c>
      <c r="D15" s="60" t="s">
        <v>98</v>
      </c>
      <c r="E15" s="206">
        <v>45292</v>
      </c>
      <c r="F15" s="206">
        <v>45292</v>
      </c>
      <c r="G15" s="60" t="s">
        <v>120</v>
      </c>
      <c r="I15" s="49">
        <v>12</v>
      </c>
      <c r="J15" s="87" t="s">
        <v>106</v>
      </c>
      <c r="K15" s="93" t="s">
        <v>67</v>
      </c>
      <c r="L15" s="87" t="s">
        <v>107</v>
      </c>
      <c r="M15" s="93" t="s">
        <v>93</v>
      </c>
      <c r="N15" s="87" t="s">
        <v>108</v>
      </c>
      <c r="O15" s="93" t="s">
        <v>109</v>
      </c>
      <c r="P15" s="87" t="s">
        <v>105</v>
      </c>
      <c r="Q15" s="93" t="s">
        <v>101</v>
      </c>
      <c r="R15" s="87" t="s">
        <v>106</v>
      </c>
      <c r="S15" s="93" t="s">
        <v>111</v>
      </c>
      <c r="T15" s="87" t="s">
        <v>107</v>
      </c>
      <c r="U15" s="93" t="s">
        <v>116</v>
      </c>
      <c r="V15" s="87" t="s">
        <v>108</v>
      </c>
      <c r="W15" s="93" t="s">
        <v>102</v>
      </c>
      <c r="X15" s="87" t="s">
        <v>105</v>
      </c>
      <c r="Y15" s="93" t="s">
        <v>110</v>
      </c>
      <c r="Z15" s="55"/>
      <c r="AA15" s="55"/>
      <c r="AB15" s="55"/>
      <c r="AC15" s="55"/>
      <c r="AD15" s="55"/>
      <c r="AE15" s="55"/>
      <c r="AF15" s="55"/>
      <c r="AG15" s="55"/>
      <c r="AH15" s="55"/>
      <c r="AI15" s="55"/>
      <c r="AJ15" s="55"/>
      <c r="AK15" s="55"/>
      <c r="AL15" s="55"/>
      <c r="AM15" s="55"/>
      <c r="AN15" s="55"/>
      <c r="AO15" s="55"/>
      <c r="AP15" s="55"/>
      <c r="AQ15" s="55"/>
      <c r="AR15" s="55"/>
      <c r="AS15" s="55"/>
      <c r="AT15" s="65" t="str">
        <f t="shared" si="0"/>
        <v>EDEC5001</v>
      </c>
      <c r="AU15" s="66">
        <f>VLOOKUP($AT15,TableHandbook[],AU$2,FALSE)</f>
        <v>2</v>
      </c>
      <c r="AV15">
        <f>VLOOKUP($AT15,TableHandbook[],AV$2,FALSE)</f>
        <v>0</v>
      </c>
      <c r="AW15" s="67" t="str">
        <f>VLOOKUP($AT15,TableHandbook[],AW$2,FALSE)</f>
        <v>Early Childhood Professional Experience 2: Planning for Writing, Assessment and Reporting</v>
      </c>
      <c r="AX15" s="68">
        <f>VLOOKUP($AT15,TableHandbook[],AX$2,FALSE)</f>
        <v>25</v>
      </c>
      <c r="AY15" s="68" t="str">
        <f>VLOOKUP($AT15,TableHandbook[],AY$2,FALSE)</f>
        <v>EDEC5000 + EDUC5031</v>
      </c>
      <c r="AZ15" s="1" t="str">
        <f>VLOOKUP($AT15,TableHandbook[],AZ$2,FALSE)</f>
        <v>Y</v>
      </c>
      <c r="BA15" s="1" t="str">
        <f>VLOOKUP($AT15,TableHandbook[],BA$2,FALSE)</f>
        <v>Y</v>
      </c>
      <c r="BB15" s="1" t="str">
        <f>VLOOKUP($AT15,TableHandbook[],BB$2,FALSE)</f>
        <v/>
      </c>
      <c r="BC15" s="1" t="str">
        <f>VLOOKUP($AT15,TableHandbook[],BC$2,FALSE)</f>
        <v/>
      </c>
      <c r="BD15" s="1">
        <f>VLOOKUP($AT15,TableHandbook[],BD$2,FALSE)</f>
        <v>0</v>
      </c>
      <c r="BE15" s="1" t="str">
        <f>VLOOKUP($AT15,TableHandbook[],BE$2,FALSE)</f>
        <v/>
      </c>
      <c r="BF15" s="1" t="str">
        <f>VLOOKUP($AT15,TableHandbook[],BF$2,FALSE)</f>
        <v>Core</v>
      </c>
      <c r="BG15" s="69" t="str">
        <f>VLOOKUP($AT15,TableHandbook[],BG$2,FALSE)</f>
        <v/>
      </c>
      <c r="BM15" s="50"/>
      <c r="BN15" s="50"/>
    </row>
    <row r="16" spans="1:67" x14ac:dyDescent="0.25">
      <c r="I16" s="49">
        <v>13</v>
      </c>
      <c r="J16" s="87" t="s">
        <v>106</v>
      </c>
      <c r="K16" s="93" t="s">
        <v>113</v>
      </c>
      <c r="L16" s="87" t="s">
        <v>107</v>
      </c>
      <c r="M16" s="93" t="s">
        <v>114</v>
      </c>
      <c r="N16" s="87" t="s">
        <v>108</v>
      </c>
      <c r="O16" s="93" t="s">
        <v>87</v>
      </c>
      <c r="P16" s="87" t="s">
        <v>105</v>
      </c>
      <c r="Q16" s="93" t="s">
        <v>115</v>
      </c>
      <c r="R16" s="87" t="s">
        <v>106</v>
      </c>
      <c r="S16" s="93" t="s">
        <v>70</v>
      </c>
      <c r="T16" s="87" t="s">
        <v>107</v>
      </c>
      <c r="U16" s="93" t="s">
        <v>115</v>
      </c>
      <c r="V16" s="87" t="s">
        <v>108</v>
      </c>
      <c r="W16" s="93" t="s">
        <v>117</v>
      </c>
      <c r="X16" s="87" t="s">
        <v>105</v>
      </c>
      <c r="Y16" s="93" t="s">
        <v>115</v>
      </c>
      <c r="Z16" s="55"/>
      <c r="AA16" s="55"/>
      <c r="AB16" s="55"/>
      <c r="AC16" s="55"/>
      <c r="AD16" s="55"/>
      <c r="AE16" s="55"/>
      <c r="AF16" s="55"/>
      <c r="AG16" s="55"/>
      <c r="AH16" s="55"/>
      <c r="AI16" s="55"/>
      <c r="AJ16" s="55"/>
      <c r="AK16" s="55"/>
      <c r="AL16" s="55"/>
      <c r="AM16" s="55"/>
      <c r="AN16" s="55"/>
      <c r="AO16" s="55"/>
      <c r="AP16" s="55"/>
      <c r="AQ16" s="55"/>
      <c r="AR16" s="55"/>
      <c r="AS16" s="55"/>
      <c r="AT16" s="76" t="str">
        <f t="shared" si="0"/>
        <v>EDEC6003</v>
      </c>
      <c r="AU16" s="66">
        <f>VLOOKUP($AT16,TableHandbook[],AU$2,FALSE)</f>
        <v>1</v>
      </c>
      <c r="AV16">
        <f>VLOOKUP($AT16,TableHandbook[],AV$2,FALSE)</f>
        <v>0</v>
      </c>
      <c r="AW16" s="67" t="str">
        <f>VLOOKUP($AT16,TableHandbook[],AW$2,FALSE)</f>
        <v>Philosophy, Management and Leadership in Early Childhood Education and Care</v>
      </c>
      <c r="AX16" s="68">
        <f>VLOOKUP($AT16,TableHandbook[],AX$2,FALSE)</f>
        <v>25</v>
      </c>
      <c r="AY16" s="68" t="str">
        <f>VLOOKUP($AT16,TableHandbook[],AY$2,FALSE)</f>
        <v>Nil</v>
      </c>
      <c r="AZ16" s="1" t="str">
        <f>VLOOKUP($AT16,TableHandbook[],AZ$2,FALSE)</f>
        <v>Y</v>
      </c>
      <c r="BA16" s="1" t="str">
        <f>VLOOKUP($AT16,TableHandbook[],BA$2,FALSE)</f>
        <v>Y</v>
      </c>
      <c r="BB16" s="1" t="str">
        <f>VLOOKUP($AT16,TableHandbook[],BB$2,FALSE)</f>
        <v/>
      </c>
      <c r="BC16" s="1" t="str">
        <f>VLOOKUP($AT16,TableHandbook[],BC$2,FALSE)</f>
        <v/>
      </c>
      <c r="BD16" s="1">
        <f>VLOOKUP($AT16,TableHandbook[],BD$2,FALSE)</f>
        <v>0</v>
      </c>
      <c r="BE16" s="1" t="str">
        <f>VLOOKUP($AT16,TableHandbook[],BE$2,FALSE)</f>
        <v/>
      </c>
      <c r="BF16" s="1" t="str">
        <f>VLOOKUP($AT16,TableHandbook[],BF$2,FALSE)</f>
        <v>Core</v>
      </c>
      <c r="BG16" s="69" t="str">
        <f>VLOOKUP($AT16,TableHandbook[],BG$2,FALSE)</f>
        <v/>
      </c>
      <c r="BH16" s="36"/>
      <c r="BI16" s="50"/>
      <c r="BM16" s="50"/>
      <c r="BN16" s="50"/>
    </row>
    <row r="17" spans="1:67" x14ac:dyDescent="0.25">
      <c r="A17" s="127" t="s">
        <v>121</v>
      </c>
      <c r="I17" s="49">
        <v>14</v>
      </c>
      <c r="J17" s="87" t="s">
        <v>107</v>
      </c>
      <c r="K17" s="94" t="s">
        <v>115</v>
      </c>
      <c r="L17" s="87" t="s">
        <v>108</v>
      </c>
      <c r="M17" s="93" t="s">
        <v>109</v>
      </c>
      <c r="N17" s="87" t="s">
        <v>105</v>
      </c>
      <c r="O17" s="93" t="s">
        <v>115</v>
      </c>
      <c r="P17" s="87" t="s">
        <v>106</v>
      </c>
      <c r="Q17" s="93" t="s">
        <v>67</v>
      </c>
      <c r="R17" s="87" t="s">
        <v>107</v>
      </c>
      <c r="S17" s="93" t="s">
        <v>88</v>
      </c>
      <c r="T17" s="87" t="s">
        <v>108</v>
      </c>
      <c r="U17" s="93" t="s">
        <v>102</v>
      </c>
      <c r="V17" s="87" t="s">
        <v>105</v>
      </c>
      <c r="W17" s="93" t="s">
        <v>110</v>
      </c>
      <c r="X17" s="87" t="s">
        <v>106</v>
      </c>
      <c r="Y17" s="93" t="s">
        <v>111</v>
      </c>
      <c r="Z17" s="55"/>
      <c r="AA17" s="55"/>
      <c r="AB17" s="55"/>
      <c r="AC17" s="55"/>
      <c r="AD17" s="55"/>
      <c r="AE17" s="55"/>
      <c r="AF17" s="55"/>
      <c r="AG17" s="55"/>
      <c r="AH17" s="55"/>
      <c r="AI17" s="55"/>
      <c r="AJ17" s="55"/>
      <c r="AK17" s="55"/>
      <c r="AL17" s="55"/>
      <c r="AM17" s="55"/>
      <c r="AN17" s="55"/>
      <c r="AO17" s="55"/>
      <c r="AP17" s="55"/>
      <c r="AQ17" s="55"/>
      <c r="AR17" s="55"/>
      <c r="AS17" s="55"/>
      <c r="AT17" s="112" t="str">
        <f t="shared" si="0"/>
        <v>EDEC6001</v>
      </c>
      <c r="AU17" s="99">
        <f>VLOOKUP($AT17,TableHandbook[],AU$2,FALSE)</f>
        <v>1</v>
      </c>
      <c r="AV17" s="100">
        <f>VLOOKUP($AT17,TableHandbook[],AV$2,FALSE)</f>
        <v>0</v>
      </c>
      <c r="AW17" s="101" t="str">
        <f>VLOOKUP($AT17,TableHandbook[],AW$2,FALSE)</f>
        <v>Early Literacies and Play-Based Pedagogies</v>
      </c>
      <c r="AX17" s="102">
        <f>VLOOKUP($AT17,TableHandbook[],AX$2,FALSE)</f>
        <v>25</v>
      </c>
      <c r="AY17" s="102" t="str">
        <f>VLOOKUP($AT17,TableHandbook[],AY$2,FALSE)</f>
        <v>Nil</v>
      </c>
      <c r="AZ17" s="103" t="str">
        <f>VLOOKUP($AT17,TableHandbook[],AZ$2,FALSE)</f>
        <v/>
      </c>
      <c r="BA17" s="103" t="str">
        <f>VLOOKUP($AT17,TableHandbook[],BA$2,FALSE)</f>
        <v/>
      </c>
      <c r="BB17" s="103" t="str">
        <f>VLOOKUP($AT17,TableHandbook[],BB$2,FALSE)</f>
        <v>Y</v>
      </c>
      <c r="BC17" s="103" t="str">
        <f>VLOOKUP($AT17,TableHandbook[],BC$2,FALSE)</f>
        <v>Y</v>
      </c>
      <c r="BD17" s="103">
        <f>VLOOKUP($AT17,TableHandbook[],BD$2,FALSE)</f>
        <v>0</v>
      </c>
      <c r="BE17" s="103" t="str">
        <f>VLOOKUP($AT17,TableHandbook[],BE$2,FALSE)</f>
        <v/>
      </c>
      <c r="BF17" s="103" t="str">
        <f>VLOOKUP($AT17,TableHandbook[],BF$2,FALSE)</f>
        <v>Core</v>
      </c>
      <c r="BG17" s="104" t="str">
        <f>VLOOKUP($AT17,TableHandbook[],BG$2,FALSE)</f>
        <v/>
      </c>
      <c r="BH17" s="36"/>
      <c r="BI17" s="50"/>
      <c r="BJ17" s="51"/>
      <c r="BK17" s="50"/>
      <c r="BL17" s="59"/>
      <c r="BM17" s="50"/>
      <c r="BN17" s="50"/>
    </row>
    <row r="18" spans="1:67" x14ac:dyDescent="0.25">
      <c r="A18" s="56" t="s">
        <v>468</v>
      </c>
      <c r="B18" s="57" t="s">
        <v>122</v>
      </c>
      <c r="C18" s="36" t="s">
        <v>123</v>
      </c>
      <c r="D18" s="36" t="s">
        <v>124</v>
      </c>
      <c r="E18" s="36" t="s">
        <v>125</v>
      </c>
      <c r="I18" s="49">
        <v>15</v>
      </c>
      <c r="J18" s="87" t="s">
        <v>107</v>
      </c>
      <c r="K18" s="93" t="s">
        <v>114</v>
      </c>
      <c r="L18" s="87" t="s">
        <v>108</v>
      </c>
      <c r="M18" s="93" t="s">
        <v>87</v>
      </c>
      <c r="N18" s="87" t="s">
        <v>105</v>
      </c>
      <c r="O18" s="93" t="s">
        <v>101</v>
      </c>
      <c r="P18" s="87" t="s">
        <v>106</v>
      </c>
      <c r="Q18" s="93" t="s">
        <v>113</v>
      </c>
      <c r="R18" s="87" t="s">
        <v>107</v>
      </c>
      <c r="S18" s="93" t="s">
        <v>116</v>
      </c>
      <c r="T18" s="87" t="s">
        <v>108</v>
      </c>
      <c r="U18" s="93" t="s">
        <v>117</v>
      </c>
      <c r="V18" s="87" t="s">
        <v>105</v>
      </c>
      <c r="W18" s="93" t="s">
        <v>115</v>
      </c>
      <c r="X18" s="87" t="s">
        <v>106</v>
      </c>
      <c r="Y18" s="93" t="s">
        <v>87</v>
      </c>
      <c r="Z18" s="55"/>
      <c r="AA18" s="55"/>
      <c r="AB18" s="55"/>
      <c r="AC18" s="55"/>
      <c r="AD18" s="55"/>
      <c r="AE18" s="55"/>
      <c r="AF18" s="55"/>
      <c r="AG18" s="55"/>
      <c r="AH18" s="55"/>
      <c r="AI18" s="55"/>
      <c r="AJ18" s="55"/>
      <c r="AK18" s="55"/>
      <c r="AL18" s="55"/>
      <c r="AM18" s="55"/>
      <c r="AN18" s="55"/>
      <c r="AO18" s="55"/>
      <c r="AP18" s="55"/>
      <c r="AQ18" s="55"/>
      <c r="AR18" s="55"/>
      <c r="AS18" s="55"/>
      <c r="AT18" s="113" t="str">
        <f t="shared" si="0"/>
        <v>EDUC5006</v>
      </c>
      <c r="AU18" s="106">
        <f>VLOOKUP($AT18,TableHandbook[],AU$2,FALSE)</f>
        <v>1</v>
      </c>
      <c r="AV18" s="107">
        <f>VLOOKUP($AT18,TableHandbook[],AV$2,FALSE)</f>
        <v>0</v>
      </c>
      <c r="AW18" s="108" t="str">
        <f>VLOOKUP($AT18,TableHandbook[],AW$2,FALSE)</f>
        <v>Creative Technologies</v>
      </c>
      <c r="AX18" s="109">
        <f>VLOOKUP($AT18,TableHandbook[],AX$2,FALSE)</f>
        <v>25</v>
      </c>
      <c r="AY18" s="109" t="str">
        <f>VLOOKUP($AT18,TableHandbook[],AY$2,FALSE)</f>
        <v>Nil</v>
      </c>
      <c r="AZ18" s="110" t="str">
        <f>VLOOKUP($AT18,TableHandbook[],AZ$2,FALSE)</f>
        <v>Y</v>
      </c>
      <c r="BA18" s="110" t="str">
        <f>VLOOKUP($AT18,TableHandbook[],BA$2,FALSE)</f>
        <v>Y</v>
      </c>
      <c r="BB18" s="110" t="str">
        <f>VLOOKUP($AT18,TableHandbook[],BB$2,FALSE)</f>
        <v>Y</v>
      </c>
      <c r="BC18" s="110" t="str">
        <f>VLOOKUP($AT18,TableHandbook[],BC$2,FALSE)</f>
        <v>Y</v>
      </c>
      <c r="BD18" s="110">
        <f>VLOOKUP($AT18,TableHandbook[],BD$2,FALSE)</f>
        <v>0</v>
      </c>
      <c r="BE18" s="110" t="str">
        <f>VLOOKUP($AT18,TableHandbook[],BE$2,FALSE)</f>
        <v/>
      </c>
      <c r="BF18" s="110" t="str">
        <f>VLOOKUP($AT18,TableHandbook[],BF$2,FALSE)</f>
        <v>Core</v>
      </c>
      <c r="BG18" s="111" t="str">
        <f>VLOOKUP($AT18,TableHandbook[],BG$2,FALSE)</f>
        <v>Core</v>
      </c>
      <c r="BH18" s="36"/>
      <c r="BI18" s="50"/>
      <c r="BJ18" s="51"/>
      <c r="BK18" s="50"/>
      <c r="BL18" s="59"/>
      <c r="BM18" s="50"/>
      <c r="BN18" s="50"/>
    </row>
    <row r="19" spans="1:67" x14ac:dyDescent="0.25">
      <c r="A19" s="36" t="s">
        <v>17</v>
      </c>
      <c r="B19" s="166" t="s">
        <v>126</v>
      </c>
      <c r="C19" s="166" t="s">
        <v>127</v>
      </c>
      <c r="D19" s="166" t="s">
        <v>128</v>
      </c>
      <c r="E19" s="166" t="s">
        <v>129</v>
      </c>
      <c r="F19" s="166"/>
      <c r="I19" s="49">
        <v>16</v>
      </c>
      <c r="J19" s="87" t="s">
        <v>108</v>
      </c>
      <c r="K19" s="93" t="s">
        <v>109</v>
      </c>
      <c r="L19" s="87" t="s">
        <v>105</v>
      </c>
      <c r="M19" s="93" t="s">
        <v>115</v>
      </c>
      <c r="N19" s="87" t="s">
        <v>106</v>
      </c>
      <c r="O19" s="93" t="s">
        <v>113</v>
      </c>
      <c r="P19" s="87" t="s">
        <v>107</v>
      </c>
      <c r="Q19" s="93" t="s">
        <v>114</v>
      </c>
      <c r="R19" s="87" t="s">
        <v>108</v>
      </c>
      <c r="S19" s="93" t="s">
        <v>117</v>
      </c>
      <c r="T19" s="87" t="s">
        <v>105</v>
      </c>
      <c r="U19" s="93" t="s">
        <v>110</v>
      </c>
      <c r="V19" s="87" t="s">
        <v>106</v>
      </c>
      <c r="W19" s="93" t="s">
        <v>111</v>
      </c>
      <c r="X19" s="87" t="s">
        <v>107</v>
      </c>
      <c r="Y19" s="93" t="s">
        <v>116</v>
      </c>
      <c r="Z19" s="55"/>
      <c r="AA19" s="55"/>
      <c r="AB19" s="55"/>
      <c r="AC19" s="55"/>
      <c r="AD19" s="55"/>
      <c r="AE19" s="55"/>
      <c r="AF19" s="55"/>
      <c r="AG19" s="55"/>
      <c r="AH19" s="55"/>
      <c r="AI19" s="55"/>
      <c r="AJ19" s="55"/>
      <c r="AK19" s="55"/>
      <c r="AL19" s="55"/>
      <c r="AM19" s="55"/>
      <c r="AN19" s="55"/>
      <c r="AO19" s="55"/>
      <c r="AP19" s="55"/>
      <c r="AQ19" s="55"/>
      <c r="AR19" s="55"/>
      <c r="AS19" s="55"/>
      <c r="AT19" s="76" t="str">
        <f t="shared" si="0"/>
        <v>EDUC6062</v>
      </c>
      <c r="AU19" s="66">
        <f>VLOOKUP($AT19,TableHandbook[],AU$2,FALSE)</f>
        <v>1</v>
      </c>
      <c r="AV19">
        <f>VLOOKUP($AT19,TableHandbook[],AV$2,FALSE)</f>
        <v>0</v>
      </c>
      <c r="AW19" s="67" t="str">
        <f>VLOOKUP($AT19,TableHandbook[],AW$2,FALSE)</f>
        <v>Professional Experience 3: Using Data to Inform Teaching and Learning</v>
      </c>
      <c r="AX19" s="68">
        <f>VLOOKUP($AT19,TableHandbook[],AX$2,FALSE)</f>
        <v>25</v>
      </c>
      <c r="AY19" s="68" t="str">
        <f>VLOOKUP($AT19,TableHandbook[],AY$2,FALSE)</f>
        <v>EDEC5001 or EDPR5001 or EDSC5029</v>
      </c>
      <c r="AZ19" s="1" t="str">
        <f>VLOOKUP($AT19,TableHandbook[],AZ$2,FALSE)</f>
        <v>Y</v>
      </c>
      <c r="BA19" s="1" t="str">
        <f>VLOOKUP($AT19,TableHandbook[],BA$2,FALSE)</f>
        <v>Y</v>
      </c>
      <c r="BB19" s="1" t="str">
        <f>VLOOKUP($AT19,TableHandbook[],BB$2,FALSE)</f>
        <v/>
      </c>
      <c r="BC19" s="1" t="str">
        <f>VLOOKUP($AT19,TableHandbook[],BC$2,FALSE)</f>
        <v/>
      </c>
      <c r="BD19" s="1">
        <f>VLOOKUP($AT19,TableHandbook[],BD$2,FALSE)</f>
        <v>0</v>
      </c>
      <c r="BE19" s="1" t="str">
        <f>VLOOKUP($AT19,TableHandbook[],BE$2,FALSE)</f>
        <v/>
      </c>
      <c r="BF19" s="1" t="str">
        <f>VLOOKUP($AT19,TableHandbook[],BF$2,FALSE)</f>
        <v>Core</v>
      </c>
      <c r="BG19" s="69" t="str">
        <f>VLOOKUP($AT19,TableHandbook[],BG$2,FALSE)</f>
        <v>Core</v>
      </c>
      <c r="BH19" s="36"/>
      <c r="BI19" s="50"/>
      <c r="BJ19" s="51"/>
      <c r="BK19" s="50"/>
      <c r="BL19" s="59"/>
      <c r="BM19" s="50"/>
      <c r="BN19" s="50"/>
    </row>
    <row r="20" spans="1:67" x14ac:dyDescent="0.25">
      <c r="A20" s="36" t="s">
        <v>130</v>
      </c>
      <c r="B20" s="166" t="s">
        <v>127</v>
      </c>
      <c r="C20" s="166" t="s">
        <v>128</v>
      </c>
      <c r="D20" s="166" t="s">
        <v>129</v>
      </c>
      <c r="E20" s="166" t="s">
        <v>126</v>
      </c>
      <c r="F20" s="166"/>
      <c r="I20" s="49">
        <v>17</v>
      </c>
      <c r="J20" s="89" t="s">
        <v>108</v>
      </c>
      <c r="K20" s="115" t="s">
        <v>131</v>
      </c>
      <c r="L20" s="89" t="s">
        <v>105</v>
      </c>
      <c r="M20" s="97" t="s">
        <v>132</v>
      </c>
      <c r="N20" s="89" t="s">
        <v>106</v>
      </c>
      <c r="O20" s="88" t="s">
        <v>131</v>
      </c>
      <c r="P20" s="89" t="s">
        <v>107</v>
      </c>
      <c r="Q20" s="88" t="s">
        <v>131</v>
      </c>
      <c r="R20" s="89" t="s">
        <v>108</v>
      </c>
      <c r="S20" s="88" t="s">
        <v>131</v>
      </c>
      <c r="T20" s="89" t="s">
        <v>105</v>
      </c>
      <c r="U20" s="88" t="s">
        <v>131</v>
      </c>
      <c r="V20" s="89" t="s">
        <v>106</v>
      </c>
      <c r="W20" s="88" t="s">
        <v>131</v>
      </c>
      <c r="X20" s="89" t="s">
        <v>107</v>
      </c>
      <c r="Y20" s="88" t="s">
        <v>131</v>
      </c>
      <c r="Z20" s="55"/>
      <c r="AA20" s="55"/>
      <c r="AB20" s="55"/>
      <c r="AC20" s="55"/>
      <c r="AD20" s="55"/>
      <c r="AE20" s="55"/>
      <c r="AF20" s="55"/>
      <c r="AG20" s="55"/>
      <c r="AH20" s="55"/>
      <c r="AI20" s="55"/>
      <c r="AJ20" s="55"/>
      <c r="AK20" s="55"/>
      <c r="AL20" s="55"/>
      <c r="AM20" s="55"/>
      <c r="AN20" s="55"/>
      <c r="AO20" s="55"/>
      <c r="AP20" s="55"/>
      <c r="AQ20" s="55"/>
      <c r="AR20" s="55"/>
      <c r="AS20" s="55"/>
      <c r="AT20" s="91" t="str">
        <f t="shared" si="0"/>
        <v>---</v>
      </c>
      <c r="AU20" s="70">
        <f>VLOOKUP($AT20,TableHandbook[],AU$2,FALSE)</f>
        <v>0</v>
      </c>
      <c r="AV20" s="71">
        <f>VLOOKUP($AT20,TableHandbook[],AV$2,FALSE)</f>
        <v>0</v>
      </c>
      <c r="AW20" s="72" t="str">
        <f>VLOOKUP($AT20,TableHandbook[],AW$2,FALSE)</f>
        <v>No unit available</v>
      </c>
      <c r="AX20" s="73">
        <f>VLOOKUP($AT20,TableHandbook[],AX$2,FALSE)</f>
        <v>0</v>
      </c>
      <c r="AY20" s="73">
        <f>VLOOKUP($AT20,TableHandbook[],AY$2,FALSE)</f>
        <v>0</v>
      </c>
      <c r="AZ20" s="74" t="str">
        <f>VLOOKUP($AT20,TableHandbook[],AZ$2,FALSE)</f>
        <v/>
      </c>
      <c r="BA20" s="74" t="str">
        <f>VLOOKUP($AT20,TableHandbook[],BA$2,FALSE)</f>
        <v/>
      </c>
      <c r="BB20" s="74" t="str">
        <f>VLOOKUP($AT20,TableHandbook[],BB$2,FALSE)</f>
        <v/>
      </c>
      <c r="BC20" s="74" t="str">
        <f>VLOOKUP($AT20,TableHandbook[],BC$2,FALSE)</f>
        <v/>
      </c>
      <c r="BD20" s="74">
        <f>VLOOKUP($AT20,TableHandbook[],BD$2,FALSE)</f>
        <v>0</v>
      </c>
      <c r="BE20" s="74" t="str">
        <f>VLOOKUP($AT20,TableHandbook[],BE$2,FALSE)</f>
        <v/>
      </c>
      <c r="BF20" s="74" t="str">
        <f>VLOOKUP($AT20,TableHandbook[],BF$2,FALSE)</f>
        <v/>
      </c>
      <c r="BG20" s="75" t="str">
        <f>VLOOKUP($AT20,TableHandbook[],BG$2,FALSE)</f>
        <v/>
      </c>
      <c r="BJ20" s="51"/>
      <c r="BK20" s="50"/>
      <c r="BL20" s="60"/>
      <c r="BM20" s="50"/>
      <c r="BN20" s="54"/>
    </row>
    <row r="21" spans="1:67" x14ac:dyDescent="0.25">
      <c r="A21" s="36" t="s">
        <v>133</v>
      </c>
      <c r="B21" s="166" t="s">
        <v>128</v>
      </c>
      <c r="C21" s="166" t="s">
        <v>129</v>
      </c>
      <c r="D21" s="166" t="s">
        <v>126</v>
      </c>
      <c r="E21" s="166" t="s">
        <v>127</v>
      </c>
      <c r="F21" s="166"/>
      <c r="I21" s="49">
        <v>18</v>
      </c>
      <c r="J21" s="87" t="s">
        <v>134</v>
      </c>
      <c r="K21" s="96" t="s">
        <v>135</v>
      </c>
      <c r="L21" s="87" t="s">
        <v>136</v>
      </c>
      <c r="M21" s="93" t="s">
        <v>131</v>
      </c>
      <c r="N21" s="87" t="s">
        <v>137</v>
      </c>
      <c r="O21" s="96" t="s">
        <v>135</v>
      </c>
      <c r="P21" s="87" t="s">
        <v>138</v>
      </c>
      <c r="Q21" s="96" t="s">
        <v>135</v>
      </c>
      <c r="R21" s="87" t="s">
        <v>134</v>
      </c>
      <c r="S21" s="93" t="s">
        <v>135</v>
      </c>
      <c r="T21" s="87" t="s">
        <v>136</v>
      </c>
      <c r="U21" s="93" t="s">
        <v>135</v>
      </c>
      <c r="V21" s="87" t="s">
        <v>137</v>
      </c>
      <c r="W21" s="93" t="s">
        <v>135</v>
      </c>
      <c r="X21" s="87" t="s">
        <v>138</v>
      </c>
      <c r="Y21" s="93" t="s">
        <v>135</v>
      </c>
      <c r="Z21" s="55"/>
      <c r="AA21" s="55"/>
      <c r="AB21" s="55"/>
      <c r="AC21" s="55"/>
      <c r="AD21" s="55"/>
      <c r="AE21" s="55"/>
      <c r="AF21" s="55"/>
      <c r="AG21" s="55"/>
      <c r="AH21" s="55"/>
      <c r="AI21" s="55"/>
      <c r="AJ21" s="55"/>
      <c r="AK21" s="55"/>
      <c r="AL21" s="55"/>
      <c r="AM21" s="55"/>
      <c r="AN21" s="55"/>
      <c r="AO21" s="55"/>
      <c r="AP21" s="55"/>
      <c r="AQ21" s="55"/>
      <c r="AR21" s="55"/>
      <c r="AS21" s="55"/>
      <c r="AT21" s="76" t="str">
        <f t="shared" si="0"/>
        <v>EDUC6064</v>
      </c>
      <c r="AU21" s="66">
        <f>VLOOKUP($AT21,TableHandbook[],AU$2,FALSE)</f>
        <v>1</v>
      </c>
      <c r="AV21">
        <f>VLOOKUP($AT21,TableHandbook[],AV$2,FALSE)</f>
        <v>0</v>
      </c>
      <c r="AW21" s="67" t="str">
        <f>VLOOKUP($AT21,TableHandbook[],AW$2,FALSE)</f>
        <v>Professional Experience 4: Transition into the Profession</v>
      </c>
      <c r="AX21" s="68">
        <f>VLOOKUP($AT21,TableHandbook[],AX$2,FALSE)</f>
        <v>25</v>
      </c>
      <c r="AY21" s="68" t="str">
        <f>VLOOKUP($AT21,TableHandbook[],AY$2,FALSE)</f>
        <v>EDUC6062</v>
      </c>
      <c r="AZ21" s="1" t="str">
        <f>VLOOKUP($AT21,TableHandbook[],AZ$2,FALSE)</f>
        <v>Y</v>
      </c>
      <c r="BA21" s="1" t="str">
        <f>VLOOKUP($AT21,TableHandbook[],BA$2,FALSE)</f>
        <v>Y</v>
      </c>
      <c r="BB21" s="1" t="str">
        <f>VLOOKUP($AT21,TableHandbook[],BB$2,FALSE)</f>
        <v>Y</v>
      </c>
      <c r="BC21" s="1" t="str">
        <f>VLOOKUP($AT21,TableHandbook[],BC$2,FALSE)</f>
        <v>Y</v>
      </c>
      <c r="BD21" s="1">
        <f>VLOOKUP($AT21,TableHandbook[],BD$2,FALSE)</f>
        <v>0</v>
      </c>
      <c r="BE21" s="1" t="str">
        <f>VLOOKUP($AT21,TableHandbook[],BE$2,FALSE)</f>
        <v/>
      </c>
      <c r="BF21" s="1" t="str">
        <f>VLOOKUP($AT21,TableHandbook[],BF$2,FALSE)</f>
        <v>Core</v>
      </c>
      <c r="BG21" s="69" t="str">
        <f>VLOOKUP($AT21,TableHandbook[],BG$2,FALSE)</f>
        <v>Core</v>
      </c>
    </row>
    <row r="22" spans="1:67" x14ac:dyDescent="0.25">
      <c r="A22" s="36" t="s">
        <v>139</v>
      </c>
      <c r="B22" s="166" t="s">
        <v>129</v>
      </c>
      <c r="C22" s="166" t="s">
        <v>126</v>
      </c>
      <c r="D22" s="166" t="s">
        <v>127</v>
      </c>
      <c r="E22" s="166" t="s">
        <v>128</v>
      </c>
      <c r="F22" s="166"/>
      <c r="I22" s="49">
        <v>19</v>
      </c>
      <c r="J22" s="89" t="s">
        <v>134</v>
      </c>
      <c r="K22" s="97"/>
      <c r="L22" s="89" t="s">
        <v>136</v>
      </c>
      <c r="M22" s="97"/>
      <c r="N22" s="89" t="s">
        <v>137</v>
      </c>
      <c r="O22" s="97"/>
      <c r="P22" s="89" t="s">
        <v>138</v>
      </c>
      <c r="Q22" s="97"/>
      <c r="R22" s="89" t="s">
        <v>134</v>
      </c>
      <c r="S22" s="88"/>
      <c r="T22" s="89" t="s">
        <v>136</v>
      </c>
      <c r="U22" s="88"/>
      <c r="V22" s="89" t="s">
        <v>137</v>
      </c>
      <c r="W22" s="88"/>
      <c r="X22" s="89" t="s">
        <v>138</v>
      </c>
      <c r="Y22" s="88"/>
      <c r="Z22"/>
      <c r="AA22"/>
      <c r="AB22"/>
      <c r="AC22"/>
      <c r="AD22"/>
      <c r="AE22"/>
      <c r="AF22"/>
      <c r="AG22"/>
      <c r="AH22"/>
      <c r="AI22"/>
      <c r="AJ22"/>
      <c r="AK22"/>
      <c r="AL22"/>
      <c r="AM22"/>
      <c r="AN22"/>
      <c r="AO22"/>
      <c r="AP22"/>
      <c r="AQ22"/>
      <c r="AR22"/>
      <c r="AS22"/>
      <c r="AT22" s="91">
        <f t="shared" si="0"/>
        <v>0</v>
      </c>
      <c r="AU22" s="70" t="e">
        <f>VLOOKUP($AT22,TableHandbook[],AU$2,FALSE)</f>
        <v>#N/A</v>
      </c>
      <c r="AV22" s="71" t="e">
        <f>VLOOKUP($AT22,TableHandbook[],AV$2,FALSE)</f>
        <v>#N/A</v>
      </c>
      <c r="AW22" s="72" t="e">
        <f>VLOOKUP($AT22,TableHandbook[],AW$2,FALSE)</f>
        <v>#N/A</v>
      </c>
      <c r="AX22" s="73" t="e">
        <f>VLOOKUP($AT22,TableHandbook[],AX$2,FALSE)</f>
        <v>#N/A</v>
      </c>
      <c r="AY22" s="73" t="e">
        <f>VLOOKUP($AT22,TableHandbook[],AY$2,FALSE)</f>
        <v>#N/A</v>
      </c>
      <c r="AZ22" s="74" t="e">
        <f>VLOOKUP($AT22,TableHandbook[],AZ$2,FALSE)</f>
        <v>#N/A</v>
      </c>
      <c r="BA22" s="74" t="e">
        <f>VLOOKUP($AT22,TableHandbook[],BA$2,FALSE)</f>
        <v>#N/A</v>
      </c>
      <c r="BB22" s="74" t="e">
        <f>VLOOKUP($AT22,TableHandbook[],BB$2,FALSE)</f>
        <v>#N/A</v>
      </c>
      <c r="BC22" s="74" t="e">
        <f>VLOOKUP($AT22,TableHandbook[],BC$2,FALSE)</f>
        <v>#N/A</v>
      </c>
      <c r="BD22" s="74" t="e">
        <f>VLOOKUP($AT22,TableHandbook[],BD$2,FALSE)</f>
        <v>#N/A</v>
      </c>
      <c r="BE22" s="74" t="e">
        <f>VLOOKUP($AT22,TableHandbook[],BE$2,FALSE)</f>
        <v>#N/A</v>
      </c>
      <c r="BF22" s="74" t="e">
        <f>VLOOKUP($AT22,TableHandbook[],BF$2,FALSE)</f>
        <v>#N/A</v>
      </c>
      <c r="BG22" s="75" t="e">
        <f>VLOOKUP($AT22,TableHandbook[],BG$2,FALSE)</f>
        <v>#N/A</v>
      </c>
      <c r="BH22"/>
      <c r="BI22"/>
      <c r="BJ22"/>
      <c r="BK22"/>
      <c r="BL22"/>
      <c r="BM22"/>
      <c r="BN22"/>
      <c r="BO22"/>
    </row>
    <row r="23" spans="1:67" x14ac:dyDescent="0.25">
      <c r="E23" s="58"/>
      <c r="F23" s="58"/>
      <c r="Z23" s="55"/>
      <c r="AA23" s="55"/>
      <c r="AB23" s="55"/>
      <c r="AC23" s="55"/>
      <c r="AD23" s="55"/>
      <c r="AE23"/>
      <c r="AF23"/>
      <c r="AG23"/>
      <c r="AH23"/>
      <c r="AI23"/>
      <c r="AJ23"/>
      <c r="AK23"/>
      <c r="AL23"/>
      <c r="AM23"/>
      <c r="AN23"/>
    </row>
    <row r="24" spans="1:67" x14ac:dyDescent="0.25">
      <c r="A24" s="127" t="s">
        <v>140</v>
      </c>
      <c r="I24"/>
      <c r="J24"/>
      <c r="L24" s="49"/>
      <c r="M24" s="55"/>
      <c r="N24" s="45"/>
      <c r="O24"/>
      <c r="P24"/>
      <c r="Q24"/>
      <c r="R24"/>
      <c r="S24"/>
      <c r="T24"/>
      <c r="U24"/>
      <c r="V24"/>
      <c r="W24"/>
      <c r="X24"/>
      <c r="Y24"/>
      <c r="AE24" s="55"/>
      <c r="AF24"/>
      <c r="AG24"/>
      <c r="AH24"/>
      <c r="AI24"/>
      <c r="AJ24"/>
      <c r="AK24"/>
      <c r="AL24"/>
      <c r="AM24"/>
      <c r="AN24"/>
      <c r="AO24"/>
    </row>
    <row r="25" spans="1:67" x14ac:dyDescent="0.25">
      <c r="A25" s="56" t="s">
        <v>470</v>
      </c>
      <c r="B25" s="57" t="s">
        <v>0</v>
      </c>
      <c r="C25" s="36" t="s">
        <v>73</v>
      </c>
      <c r="D25" s="36" t="s">
        <v>74</v>
      </c>
      <c r="E25" s="36" t="s">
        <v>75</v>
      </c>
      <c r="F25" s="36" t="s">
        <v>76</v>
      </c>
      <c r="H25" s="148" t="s">
        <v>142</v>
      </c>
      <c r="I25" s="45">
        <v>1</v>
      </c>
      <c r="J25" s="47"/>
      <c r="K25" s="46" t="s">
        <v>143</v>
      </c>
      <c r="L25" s="47"/>
      <c r="M25" s="46" t="s">
        <v>144</v>
      </c>
      <c r="N25" s="47"/>
      <c r="O25" s="46" t="s">
        <v>145</v>
      </c>
      <c r="P25" s="47"/>
      <c r="Q25" s="46" t="s">
        <v>146</v>
      </c>
      <c r="R25" s="47"/>
      <c r="S25" s="46" t="s">
        <v>147</v>
      </c>
      <c r="T25" s="47"/>
      <c r="U25" s="46" t="s">
        <v>148</v>
      </c>
      <c r="V25" s="47"/>
      <c r="W25" s="46" t="s">
        <v>149</v>
      </c>
      <c r="X25" s="47"/>
      <c r="Y25" s="46" t="s">
        <v>150</v>
      </c>
      <c r="Z25" s="47"/>
      <c r="AA25" s="46" t="s">
        <v>151</v>
      </c>
      <c r="AB25" s="47"/>
      <c r="AC25" s="46" t="s">
        <v>152</v>
      </c>
      <c r="AD25" s="47"/>
      <c r="AE25" s="46" t="s">
        <v>153</v>
      </c>
      <c r="AF25" s="47"/>
      <c r="AG25" s="46" t="s">
        <v>154</v>
      </c>
      <c r="AH25"/>
      <c r="AI25"/>
      <c r="AJ25"/>
      <c r="AK25"/>
      <c r="AL25"/>
      <c r="AM25"/>
      <c r="AN25"/>
      <c r="AO25"/>
    </row>
    <row r="26" spans="1:67" x14ac:dyDescent="0.25">
      <c r="A26" s="51" t="s">
        <v>14</v>
      </c>
      <c r="B26" s="200" t="s">
        <v>155</v>
      </c>
      <c r="C26" s="50" t="s">
        <v>91</v>
      </c>
      <c r="D26" s="51" t="s">
        <v>104</v>
      </c>
      <c r="E26" s="52">
        <v>44562</v>
      </c>
      <c r="F26" s="173">
        <v>45017</v>
      </c>
      <c r="I26" s="49">
        <v>2</v>
      </c>
      <c r="J26" s="86" t="s">
        <v>58</v>
      </c>
      <c r="K26" s="92" t="s">
        <v>156</v>
      </c>
      <c r="L26" s="86" t="s">
        <v>60</v>
      </c>
      <c r="M26" s="92" t="s">
        <v>157</v>
      </c>
      <c r="N26" s="86" t="s">
        <v>62</v>
      </c>
      <c r="O26" s="92" t="s">
        <v>456</v>
      </c>
      <c r="P26" s="86" t="s">
        <v>63</v>
      </c>
      <c r="Q26" s="92" t="s">
        <v>157</v>
      </c>
      <c r="R26" s="86" t="s">
        <v>58</v>
      </c>
      <c r="S26" s="92" t="s">
        <v>158</v>
      </c>
      <c r="T26" s="86" t="s">
        <v>60</v>
      </c>
      <c r="U26" s="92" t="s">
        <v>159</v>
      </c>
      <c r="V26" s="86" t="s">
        <v>62</v>
      </c>
      <c r="W26" s="92" t="s">
        <v>158</v>
      </c>
      <c r="X26" s="86" t="s">
        <v>63</v>
      </c>
      <c r="Y26" s="92" t="s">
        <v>458</v>
      </c>
      <c r="Z26" s="86" t="s">
        <v>58</v>
      </c>
      <c r="AA26" s="92" t="s">
        <v>59</v>
      </c>
      <c r="AB26" s="86" t="s">
        <v>60</v>
      </c>
      <c r="AC26" s="92" t="s">
        <v>157</v>
      </c>
      <c r="AD26" s="86" t="s">
        <v>62</v>
      </c>
      <c r="AE26" s="92" t="s">
        <v>59</v>
      </c>
      <c r="AF26" s="86" t="s">
        <v>63</v>
      </c>
      <c r="AG26" s="92" t="s">
        <v>157</v>
      </c>
      <c r="AH26" s="45"/>
    </row>
    <row r="27" spans="1:67" x14ac:dyDescent="0.25">
      <c r="A27" s="51" t="s">
        <v>160</v>
      </c>
      <c r="B27" s="200" t="s">
        <v>161</v>
      </c>
      <c r="C27" s="50" t="s">
        <v>91</v>
      </c>
      <c r="D27" s="51" t="s">
        <v>104</v>
      </c>
      <c r="E27" s="52">
        <v>44562</v>
      </c>
      <c r="F27" s="173">
        <v>45017</v>
      </c>
      <c r="I27" s="49">
        <v>3</v>
      </c>
      <c r="J27" s="87" t="s">
        <v>58</v>
      </c>
      <c r="K27" s="93" t="s">
        <v>455</v>
      </c>
      <c r="L27" s="87" t="s">
        <v>60</v>
      </c>
      <c r="M27" s="93" t="s">
        <v>163</v>
      </c>
      <c r="N27" s="87" t="s">
        <v>62</v>
      </c>
      <c r="O27" s="93" t="s">
        <v>162</v>
      </c>
      <c r="P27" s="87" t="s">
        <v>63</v>
      </c>
      <c r="Q27" s="93" t="s">
        <v>454</v>
      </c>
      <c r="R27" s="87" t="s">
        <v>58</v>
      </c>
      <c r="S27" s="93" t="s">
        <v>457</v>
      </c>
      <c r="T27" s="87" t="s">
        <v>60</v>
      </c>
      <c r="U27" s="93" t="s">
        <v>165</v>
      </c>
      <c r="V27" s="87" t="s">
        <v>62</v>
      </c>
      <c r="W27" s="93" t="s">
        <v>166</v>
      </c>
      <c r="X27" s="87" t="s">
        <v>63</v>
      </c>
      <c r="Y27" s="93" t="s">
        <v>165</v>
      </c>
      <c r="Z27" s="87" t="s">
        <v>58</v>
      </c>
      <c r="AA27" s="93" t="s">
        <v>156</v>
      </c>
      <c r="AB27" s="87" t="s">
        <v>60</v>
      </c>
      <c r="AC27" s="93" t="s">
        <v>87</v>
      </c>
      <c r="AD27" s="87" t="s">
        <v>62</v>
      </c>
      <c r="AE27" s="93" t="s">
        <v>162</v>
      </c>
      <c r="AF27" s="87" t="s">
        <v>63</v>
      </c>
      <c r="AG27" s="93" t="s">
        <v>87</v>
      </c>
      <c r="AH27" s="45"/>
    </row>
    <row r="28" spans="1:67" x14ac:dyDescent="0.25">
      <c r="A28" s="51" t="s">
        <v>167</v>
      </c>
      <c r="B28" s="200" t="s">
        <v>168</v>
      </c>
      <c r="C28" s="50" t="s">
        <v>91</v>
      </c>
      <c r="D28" s="51" t="s">
        <v>104</v>
      </c>
      <c r="E28" s="52">
        <v>44562</v>
      </c>
      <c r="F28" s="173">
        <v>45017</v>
      </c>
      <c r="I28" s="49">
        <v>4</v>
      </c>
      <c r="J28" s="87" t="s">
        <v>60</v>
      </c>
      <c r="K28" s="93" t="s">
        <v>157</v>
      </c>
      <c r="L28" s="87" t="s">
        <v>62</v>
      </c>
      <c r="M28" s="93" t="s">
        <v>456</v>
      </c>
      <c r="N28" s="87" t="s">
        <v>63</v>
      </c>
      <c r="O28" s="93" t="s">
        <v>157</v>
      </c>
      <c r="P28" s="87" t="s">
        <v>58</v>
      </c>
      <c r="Q28" s="93" t="s">
        <v>156</v>
      </c>
      <c r="R28" s="87" t="s">
        <v>60</v>
      </c>
      <c r="S28" s="93" t="s">
        <v>159</v>
      </c>
      <c r="T28" s="87" t="s">
        <v>62</v>
      </c>
      <c r="U28" s="93" t="s">
        <v>158</v>
      </c>
      <c r="V28" s="87" t="s">
        <v>63</v>
      </c>
      <c r="W28" s="93" t="s">
        <v>458</v>
      </c>
      <c r="X28" s="87" t="s">
        <v>58</v>
      </c>
      <c r="Y28" s="93" t="s">
        <v>158</v>
      </c>
      <c r="Z28" s="87" t="s">
        <v>60</v>
      </c>
      <c r="AA28" s="93" t="s">
        <v>157</v>
      </c>
      <c r="AB28" s="87" t="s">
        <v>62</v>
      </c>
      <c r="AC28" s="93" t="s">
        <v>59</v>
      </c>
      <c r="AD28" s="87" t="s">
        <v>63</v>
      </c>
      <c r="AE28" s="93" t="s">
        <v>157</v>
      </c>
      <c r="AF28" s="87" t="s">
        <v>58</v>
      </c>
      <c r="AG28" s="93" t="s">
        <v>59</v>
      </c>
    </row>
    <row r="29" spans="1:67" x14ac:dyDescent="0.25">
      <c r="A29" s="56"/>
      <c r="B29" s="57"/>
      <c r="I29" s="49">
        <v>5</v>
      </c>
      <c r="J29" s="89" t="s">
        <v>60</v>
      </c>
      <c r="K29" s="88" t="s">
        <v>163</v>
      </c>
      <c r="L29" s="89" t="s">
        <v>62</v>
      </c>
      <c r="M29" s="88" t="s">
        <v>162</v>
      </c>
      <c r="N29" s="89" t="s">
        <v>63</v>
      </c>
      <c r="O29" s="88" t="s">
        <v>454</v>
      </c>
      <c r="P29" s="89" t="s">
        <v>58</v>
      </c>
      <c r="Q29" s="88" t="s">
        <v>455</v>
      </c>
      <c r="R29" s="87" t="s">
        <v>60</v>
      </c>
      <c r="S29" s="93" t="s">
        <v>165</v>
      </c>
      <c r="T29" s="87" t="s">
        <v>62</v>
      </c>
      <c r="U29" s="93" t="s">
        <v>166</v>
      </c>
      <c r="V29" s="87" t="s">
        <v>63</v>
      </c>
      <c r="W29" s="93" t="s">
        <v>165</v>
      </c>
      <c r="X29" s="87" t="s">
        <v>58</v>
      </c>
      <c r="Y29" s="93" t="s">
        <v>457</v>
      </c>
      <c r="Z29" s="87" t="s">
        <v>60</v>
      </c>
      <c r="AA29" s="93" t="s">
        <v>87</v>
      </c>
      <c r="AB29" s="87" t="s">
        <v>62</v>
      </c>
      <c r="AC29" s="93" t="s">
        <v>162</v>
      </c>
      <c r="AD29" s="87" t="s">
        <v>63</v>
      </c>
      <c r="AE29" s="93" t="s">
        <v>169</v>
      </c>
      <c r="AF29" s="87" t="s">
        <v>58</v>
      </c>
      <c r="AG29" s="93" t="s">
        <v>156</v>
      </c>
    </row>
    <row r="30" spans="1:67" x14ac:dyDescent="0.25">
      <c r="A30" s="127" t="s">
        <v>170</v>
      </c>
      <c r="G30"/>
      <c r="I30" s="49">
        <v>6</v>
      </c>
      <c r="J30" s="87"/>
      <c r="K30" s="93"/>
      <c r="L30" s="87"/>
      <c r="M30" s="93"/>
      <c r="N30" s="87"/>
      <c r="O30" s="93"/>
      <c r="P30" s="87"/>
      <c r="Q30" s="93"/>
      <c r="R30" s="87" t="s">
        <v>62</v>
      </c>
      <c r="S30" s="93" t="s">
        <v>171</v>
      </c>
      <c r="T30" s="87" t="s">
        <v>63</v>
      </c>
      <c r="U30" s="93" t="s">
        <v>172</v>
      </c>
      <c r="V30" s="87" t="s">
        <v>58</v>
      </c>
      <c r="W30" s="93" t="s">
        <v>171</v>
      </c>
      <c r="X30" s="87" t="s">
        <v>60</v>
      </c>
      <c r="Y30" s="93" t="s">
        <v>172</v>
      </c>
      <c r="Z30" s="87" t="s">
        <v>62</v>
      </c>
      <c r="AA30" s="93" t="s">
        <v>173</v>
      </c>
      <c r="AB30" s="87" t="s">
        <v>63</v>
      </c>
      <c r="AC30" s="93" t="s">
        <v>454</v>
      </c>
      <c r="AD30" s="87" t="s">
        <v>58</v>
      </c>
      <c r="AE30" s="93" t="s">
        <v>156</v>
      </c>
      <c r="AF30" s="87" t="s">
        <v>60</v>
      </c>
      <c r="AG30" s="93" t="s">
        <v>163</v>
      </c>
    </row>
    <row r="31" spans="1:67" x14ac:dyDescent="0.25">
      <c r="A31" s="56" t="s">
        <v>469</v>
      </c>
      <c r="B31" s="57" t="s">
        <v>0</v>
      </c>
      <c r="C31" s="36" t="s">
        <v>73</v>
      </c>
      <c r="D31" s="36" t="s">
        <v>74</v>
      </c>
      <c r="E31" s="36" t="s">
        <v>75</v>
      </c>
      <c r="F31" s="36" t="s">
        <v>76</v>
      </c>
      <c r="G31"/>
      <c r="I31" s="49">
        <v>7</v>
      </c>
      <c r="J31" s="87"/>
      <c r="K31" s="93"/>
      <c r="L31" s="87"/>
      <c r="M31" s="93"/>
      <c r="N31" s="87"/>
      <c r="O31" s="93"/>
      <c r="P31" s="87"/>
      <c r="Q31" s="93"/>
      <c r="R31" s="87" t="s">
        <v>62</v>
      </c>
      <c r="S31" s="93" t="s">
        <v>166</v>
      </c>
      <c r="T31" s="87" t="s">
        <v>63</v>
      </c>
      <c r="U31" s="96" t="s">
        <v>174</v>
      </c>
      <c r="V31" s="87" t="s">
        <v>58</v>
      </c>
      <c r="W31" s="93" t="s">
        <v>457</v>
      </c>
      <c r="X31" s="87" t="s">
        <v>60</v>
      </c>
      <c r="Y31" s="96" t="s">
        <v>174</v>
      </c>
      <c r="Z31" s="87" t="s">
        <v>62</v>
      </c>
      <c r="AA31" s="93" t="s">
        <v>162</v>
      </c>
      <c r="AB31" s="87" t="s">
        <v>63</v>
      </c>
      <c r="AC31" s="93" t="s">
        <v>169</v>
      </c>
      <c r="AD31" s="87" t="s">
        <v>58</v>
      </c>
      <c r="AE31" s="93" t="s">
        <v>173</v>
      </c>
      <c r="AF31" s="87" t="s">
        <v>60</v>
      </c>
      <c r="AG31" s="93" t="s">
        <v>169</v>
      </c>
    </row>
    <row r="32" spans="1:67" x14ac:dyDescent="0.25">
      <c r="A32" s="188" t="s">
        <v>42</v>
      </c>
      <c r="B32" s="50" t="s">
        <v>175</v>
      </c>
      <c r="C32" s="50"/>
      <c r="D32" s="51"/>
      <c r="E32" s="173"/>
      <c r="F32" s="173"/>
      <c r="G32"/>
      <c r="I32" s="49">
        <v>8</v>
      </c>
      <c r="J32" s="87"/>
      <c r="K32" s="93"/>
      <c r="L32" s="87"/>
      <c r="M32" s="93"/>
      <c r="N32" s="87"/>
      <c r="O32" s="93"/>
      <c r="P32" s="87"/>
      <c r="Q32" s="93"/>
      <c r="R32" s="87" t="s">
        <v>63</v>
      </c>
      <c r="S32" s="93" t="s">
        <v>172</v>
      </c>
      <c r="T32" s="87" t="s">
        <v>58</v>
      </c>
      <c r="U32" s="93" t="s">
        <v>171</v>
      </c>
      <c r="V32" s="87" t="s">
        <v>60</v>
      </c>
      <c r="W32" s="93" t="s">
        <v>172</v>
      </c>
      <c r="X32" s="87" t="s">
        <v>62</v>
      </c>
      <c r="Y32" s="93" t="s">
        <v>171</v>
      </c>
      <c r="Z32" s="87" t="s">
        <v>63</v>
      </c>
      <c r="AA32" s="93" t="s">
        <v>169</v>
      </c>
      <c r="AB32" s="87" t="s">
        <v>58</v>
      </c>
      <c r="AC32" s="93" t="s">
        <v>156</v>
      </c>
      <c r="AD32" s="87" t="s">
        <v>60</v>
      </c>
      <c r="AE32" s="93" t="s">
        <v>87</v>
      </c>
      <c r="AF32" s="87" t="s">
        <v>62</v>
      </c>
      <c r="AG32" s="93" t="s">
        <v>173</v>
      </c>
    </row>
    <row r="33" spans="1:41" x14ac:dyDescent="0.25">
      <c r="A33" s="51" t="s">
        <v>176</v>
      </c>
      <c r="B33" s="200" t="s">
        <v>177</v>
      </c>
      <c r="C33" s="50" t="s">
        <v>79</v>
      </c>
      <c r="D33" s="51" t="s">
        <v>80</v>
      </c>
      <c r="E33" s="52">
        <v>44562</v>
      </c>
      <c r="F33" s="52">
        <v>44562</v>
      </c>
      <c r="G33"/>
      <c r="I33" s="49">
        <v>9</v>
      </c>
      <c r="J33" s="87"/>
      <c r="K33" s="93"/>
      <c r="L33" s="89"/>
      <c r="M33" s="93"/>
      <c r="N33" s="87"/>
      <c r="O33" s="93"/>
      <c r="P33" s="89"/>
      <c r="Q33" s="93"/>
      <c r="R33" s="87" t="s">
        <v>63</v>
      </c>
      <c r="S33" s="96" t="s">
        <v>174</v>
      </c>
      <c r="T33" s="89" t="s">
        <v>58</v>
      </c>
      <c r="U33" s="93" t="s">
        <v>457</v>
      </c>
      <c r="V33" s="87" t="s">
        <v>60</v>
      </c>
      <c r="W33" s="96" t="s">
        <v>174</v>
      </c>
      <c r="X33" s="89" t="s">
        <v>62</v>
      </c>
      <c r="Y33" s="93" t="s">
        <v>166</v>
      </c>
      <c r="Z33" s="87" t="s">
        <v>63</v>
      </c>
      <c r="AA33" s="93" t="s">
        <v>454</v>
      </c>
      <c r="AB33" s="89" t="s">
        <v>58</v>
      </c>
      <c r="AC33" s="93" t="s">
        <v>173</v>
      </c>
      <c r="AD33" s="87" t="s">
        <v>60</v>
      </c>
      <c r="AE33" s="93" t="s">
        <v>163</v>
      </c>
      <c r="AF33" s="89" t="s">
        <v>62</v>
      </c>
      <c r="AG33" s="93" t="s">
        <v>162</v>
      </c>
    </row>
    <row r="34" spans="1:41" x14ac:dyDescent="0.25">
      <c r="A34" s="51" t="s">
        <v>178</v>
      </c>
      <c r="B34" s="200" t="s">
        <v>179</v>
      </c>
      <c r="C34" s="50" t="s">
        <v>79</v>
      </c>
      <c r="D34" s="51" t="s">
        <v>80</v>
      </c>
      <c r="E34" s="52">
        <v>44562</v>
      </c>
      <c r="F34" s="173">
        <v>44562</v>
      </c>
      <c r="G34"/>
      <c r="I34" s="49">
        <v>10</v>
      </c>
      <c r="J34" s="86"/>
      <c r="K34" s="92"/>
      <c r="L34" s="86"/>
      <c r="M34" s="92"/>
      <c r="N34" s="86"/>
      <c r="O34" s="92"/>
      <c r="P34" s="86"/>
      <c r="Q34" s="92"/>
      <c r="R34" s="86"/>
      <c r="S34" s="92"/>
      <c r="T34" s="86"/>
      <c r="U34" s="92"/>
      <c r="V34" s="86"/>
      <c r="W34" s="92"/>
      <c r="X34" s="86"/>
      <c r="Y34" s="92"/>
      <c r="Z34" s="86" t="s">
        <v>105</v>
      </c>
      <c r="AA34" s="92" t="s">
        <v>158</v>
      </c>
      <c r="AB34" s="86" t="s">
        <v>106</v>
      </c>
      <c r="AC34" s="92" t="s">
        <v>159</v>
      </c>
      <c r="AD34" s="86" t="s">
        <v>107</v>
      </c>
      <c r="AE34" s="92" t="s">
        <v>158</v>
      </c>
      <c r="AF34" s="86" t="s">
        <v>108</v>
      </c>
      <c r="AG34" s="92" t="s">
        <v>458</v>
      </c>
    </row>
    <row r="35" spans="1:41" ht="15.75" customHeight="1" x14ac:dyDescent="0.25">
      <c r="A35" s="51" t="s">
        <v>180</v>
      </c>
      <c r="B35" s="200" t="s">
        <v>181</v>
      </c>
      <c r="C35" s="50" t="s">
        <v>79</v>
      </c>
      <c r="D35" s="51" t="s">
        <v>80</v>
      </c>
      <c r="E35" s="52">
        <v>44562</v>
      </c>
      <c r="F35" s="173">
        <v>44562</v>
      </c>
      <c r="G35"/>
      <c r="I35" s="49">
        <v>11</v>
      </c>
      <c r="J35" s="87"/>
      <c r="K35" s="93"/>
      <c r="L35" s="87"/>
      <c r="M35" s="93"/>
      <c r="N35" s="87"/>
      <c r="O35" s="93"/>
      <c r="P35" s="87"/>
      <c r="Q35" s="93"/>
      <c r="R35" s="87"/>
      <c r="S35" s="93"/>
      <c r="T35" s="87"/>
      <c r="U35" s="93"/>
      <c r="V35" s="87"/>
      <c r="W35" s="93"/>
      <c r="X35" s="87"/>
      <c r="Y35" s="93"/>
      <c r="Z35" s="87" t="s">
        <v>105</v>
      </c>
      <c r="AA35" s="93" t="s">
        <v>457</v>
      </c>
      <c r="AB35" s="87" t="s">
        <v>106</v>
      </c>
      <c r="AC35" s="93" t="s">
        <v>165</v>
      </c>
      <c r="AD35" s="87" t="s">
        <v>107</v>
      </c>
      <c r="AE35" s="93" t="s">
        <v>166</v>
      </c>
      <c r="AF35" s="87" t="s">
        <v>108</v>
      </c>
      <c r="AG35" s="93" t="s">
        <v>165</v>
      </c>
    </row>
    <row r="36" spans="1:41" x14ac:dyDescent="0.25">
      <c r="A36"/>
      <c r="B36"/>
      <c r="C36"/>
      <c r="D36"/>
      <c r="E36"/>
      <c r="F36"/>
      <c r="G36"/>
      <c r="I36" s="49">
        <v>12</v>
      </c>
      <c r="J36" s="87"/>
      <c r="K36" s="93"/>
      <c r="L36" s="87"/>
      <c r="M36" s="93"/>
      <c r="N36" s="87"/>
      <c r="O36" s="93"/>
      <c r="P36" s="87"/>
      <c r="Q36" s="93"/>
      <c r="R36" s="87"/>
      <c r="S36" s="93"/>
      <c r="T36" s="87"/>
      <c r="U36" s="93"/>
      <c r="V36" s="87"/>
      <c r="W36" s="93"/>
      <c r="X36" s="87"/>
      <c r="Y36" s="93"/>
      <c r="Z36" s="87" t="s">
        <v>106</v>
      </c>
      <c r="AA36" s="93" t="s">
        <v>159</v>
      </c>
      <c r="AB36" s="87" t="s">
        <v>107</v>
      </c>
      <c r="AC36" s="93" t="s">
        <v>158</v>
      </c>
      <c r="AD36" s="87" t="s">
        <v>108</v>
      </c>
      <c r="AE36" s="93" t="s">
        <v>458</v>
      </c>
      <c r="AF36" s="87" t="s">
        <v>105</v>
      </c>
      <c r="AG36" s="93" t="s">
        <v>158</v>
      </c>
    </row>
    <row r="37" spans="1:41" ht="15.75" customHeight="1" x14ac:dyDescent="0.25">
      <c r="A37" s="127" t="s">
        <v>182</v>
      </c>
      <c r="B37"/>
      <c r="C37"/>
      <c r="D37"/>
      <c r="E37"/>
      <c r="F37"/>
      <c r="G37"/>
      <c r="I37" s="49">
        <v>13</v>
      </c>
      <c r="J37" s="87"/>
      <c r="K37" s="93"/>
      <c r="L37" s="87"/>
      <c r="M37" s="93"/>
      <c r="N37" s="87"/>
      <c r="O37" s="93"/>
      <c r="P37" s="87"/>
      <c r="Q37" s="93"/>
      <c r="R37" s="87"/>
      <c r="S37" s="93"/>
      <c r="T37" s="87"/>
      <c r="U37" s="93"/>
      <c r="V37" s="87"/>
      <c r="W37" s="93"/>
      <c r="X37" s="87"/>
      <c r="Y37" s="93"/>
      <c r="Z37" s="87" t="s">
        <v>106</v>
      </c>
      <c r="AA37" s="93" t="s">
        <v>165</v>
      </c>
      <c r="AB37" s="87" t="s">
        <v>107</v>
      </c>
      <c r="AC37" s="93" t="s">
        <v>166</v>
      </c>
      <c r="AD37" s="87" t="s">
        <v>108</v>
      </c>
      <c r="AE37" s="93" t="s">
        <v>165</v>
      </c>
      <c r="AF37" s="87" t="s">
        <v>105</v>
      </c>
      <c r="AG37" s="93" t="s">
        <v>457</v>
      </c>
    </row>
    <row r="38" spans="1:41" ht="15.75" customHeight="1" x14ac:dyDescent="0.25">
      <c r="A38" s="160" t="s">
        <v>471</v>
      </c>
      <c r="B38"/>
      <c r="C38"/>
      <c r="D38"/>
      <c r="E38"/>
      <c r="F38"/>
      <c r="G38"/>
      <c r="I38" s="49">
        <v>14</v>
      </c>
      <c r="J38" s="87"/>
      <c r="K38" s="93"/>
      <c r="L38" s="87"/>
      <c r="M38" s="93"/>
      <c r="N38" s="87"/>
      <c r="O38" s="93"/>
      <c r="P38" s="87"/>
      <c r="Q38" s="93"/>
      <c r="R38" s="87"/>
      <c r="S38" s="93"/>
      <c r="T38" s="87"/>
      <c r="U38" s="93"/>
      <c r="V38" s="87"/>
      <c r="W38" s="93"/>
      <c r="X38" s="87"/>
      <c r="Y38" s="93"/>
      <c r="Z38" s="87" t="s">
        <v>107</v>
      </c>
      <c r="AA38" s="93" t="s">
        <v>171</v>
      </c>
      <c r="AB38" s="87" t="s">
        <v>108</v>
      </c>
      <c r="AC38" s="93" t="s">
        <v>172</v>
      </c>
      <c r="AD38" s="87" t="s">
        <v>105</v>
      </c>
      <c r="AE38" s="93" t="s">
        <v>171</v>
      </c>
      <c r="AF38" s="87" t="s">
        <v>106</v>
      </c>
      <c r="AG38" s="93" t="s">
        <v>172</v>
      </c>
    </row>
    <row r="39" spans="1:41" x14ac:dyDescent="0.25">
      <c r="A39" s="158" t="s">
        <v>89</v>
      </c>
      <c r="B39"/>
      <c r="C39"/>
      <c r="D39"/>
      <c r="E39"/>
      <c r="F39"/>
      <c r="I39" s="49">
        <v>15</v>
      </c>
      <c r="J39" s="87"/>
      <c r="K39" s="93"/>
      <c r="L39" s="87"/>
      <c r="M39" s="93"/>
      <c r="N39" s="87"/>
      <c r="O39" s="93"/>
      <c r="P39" s="87"/>
      <c r="Q39" s="93"/>
      <c r="R39" s="87"/>
      <c r="S39" s="93"/>
      <c r="T39" s="87"/>
      <c r="U39" s="93"/>
      <c r="V39" s="87"/>
      <c r="W39" s="93"/>
      <c r="X39" s="87"/>
      <c r="Y39" s="93"/>
      <c r="Z39" s="87" t="s">
        <v>107</v>
      </c>
      <c r="AA39" s="93" t="s">
        <v>166</v>
      </c>
      <c r="AB39" s="87" t="s">
        <v>108</v>
      </c>
      <c r="AC39" s="96" t="s">
        <v>174</v>
      </c>
      <c r="AD39" s="87" t="s">
        <v>105</v>
      </c>
      <c r="AE39" s="93" t="s">
        <v>457</v>
      </c>
      <c r="AF39" s="87" t="s">
        <v>106</v>
      </c>
      <c r="AG39" s="96" t="s">
        <v>174</v>
      </c>
    </row>
    <row r="40" spans="1:41" x14ac:dyDescent="0.25">
      <c r="A40" s="158" t="s">
        <v>95</v>
      </c>
      <c r="C40"/>
      <c r="I40" s="49">
        <v>16</v>
      </c>
      <c r="J40" s="87"/>
      <c r="K40" s="93"/>
      <c r="L40" s="87"/>
      <c r="M40" s="93"/>
      <c r="N40" s="87"/>
      <c r="O40" s="93"/>
      <c r="P40" s="87"/>
      <c r="Q40" s="93"/>
      <c r="R40" s="87"/>
      <c r="S40" s="93"/>
      <c r="T40" s="87"/>
      <c r="U40" s="93"/>
      <c r="V40" s="87"/>
      <c r="W40" s="93"/>
      <c r="X40" s="87"/>
      <c r="Y40" s="93"/>
      <c r="Z40" s="87" t="s">
        <v>108</v>
      </c>
      <c r="AA40" s="93" t="s">
        <v>172</v>
      </c>
      <c r="AB40" s="87" t="s">
        <v>105</v>
      </c>
      <c r="AC40" s="93" t="s">
        <v>171</v>
      </c>
      <c r="AD40" s="87" t="s">
        <v>106</v>
      </c>
      <c r="AE40" s="93" t="s">
        <v>172</v>
      </c>
      <c r="AF40" s="87" t="s">
        <v>107</v>
      </c>
      <c r="AG40" s="93" t="s">
        <v>171</v>
      </c>
    </row>
    <row r="41" spans="1:41" x14ac:dyDescent="0.25">
      <c r="A41" s="159" t="s">
        <v>39</v>
      </c>
      <c r="I41" s="49">
        <v>17</v>
      </c>
      <c r="J41" s="89"/>
      <c r="K41" s="88"/>
      <c r="L41" s="89"/>
      <c r="M41" s="88"/>
      <c r="N41" s="89"/>
      <c r="O41" s="88"/>
      <c r="P41" s="89"/>
      <c r="Q41" s="88"/>
      <c r="R41" s="89"/>
      <c r="S41" s="88"/>
      <c r="T41" s="89"/>
      <c r="U41" s="88"/>
      <c r="V41" s="89"/>
      <c r="W41" s="88"/>
      <c r="X41" s="89"/>
      <c r="Y41" s="88"/>
      <c r="Z41" s="89" t="s">
        <v>108</v>
      </c>
      <c r="AA41" s="97" t="s">
        <v>174</v>
      </c>
      <c r="AB41" s="89" t="s">
        <v>105</v>
      </c>
      <c r="AC41" s="88" t="s">
        <v>457</v>
      </c>
      <c r="AD41" s="89" t="s">
        <v>106</v>
      </c>
      <c r="AE41" s="97" t="s">
        <v>174</v>
      </c>
      <c r="AF41" s="89" t="s">
        <v>107</v>
      </c>
      <c r="AG41" s="88" t="s">
        <v>166</v>
      </c>
    </row>
    <row r="42" spans="1:41" x14ac:dyDescent="0.25">
      <c r="A42"/>
      <c r="I42"/>
      <c r="J42"/>
      <c r="K42"/>
      <c r="L42"/>
      <c r="M42"/>
      <c r="N42"/>
      <c r="O42"/>
      <c r="P42"/>
      <c r="Q42"/>
      <c r="R42"/>
      <c r="S42"/>
      <c r="T42"/>
      <c r="U42"/>
      <c r="V42"/>
      <c r="W42"/>
      <c r="X42"/>
      <c r="Y42"/>
      <c r="Z42"/>
      <c r="AA42"/>
      <c r="AB42"/>
      <c r="AC42"/>
      <c r="AD42"/>
      <c r="AE42"/>
      <c r="AF42"/>
      <c r="AG42"/>
    </row>
    <row r="43" spans="1:41" x14ac:dyDescent="0.25">
      <c r="A43"/>
      <c r="I43"/>
      <c r="J43"/>
      <c r="K43"/>
      <c r="L43"/>
      <c r="M43"/>
      <c r="N43"/>
      <c r="O43"/>
      <c r="P43"/>
      <c r="Q43"/>
      <c r="R43"/>
      <c r="S43"/>
      <c r="T43"/>
      <c r="U43"/>
      <c r="V43"/>
      <c r="W43"/>
      <c r="X43"/>
      <c r="Y43"/>
      <c r="Z43"/>
      <c r="AA43"/>
      <c r="AB43"/>
      <c r="AC43"/>
      <c r="AD43"/>
      <c r="AE43"/>
      <c r="AF43"/>
      <c r="AG43"/>
    </row>
    <row r="44" spans="1:41" x14ac:dyDescent="0.25">
      <c r="A44" s="164" t="s">
        <v>183</v>
      </c>
      <c r="B44" s="36" t="s">
        <v>77</v>
      </c>
      <c r="H44" s="148" t="s">
        <v>184</v>
      </c>
      <c r="I44" s="45">
        <v>1</v>
      </c>
      <c r="J44" s="161"/>
      <c r="K44" s="162" t="s">
        <v>185</v>
      </c>
      <c r="L44" s="161"/>
      <c r="M44" s="162" t="s">
        <v>186</v>
      </c>
      <c r="N44" s="161"/>
      <c r="O44" s="162" t="s">
        <v>187</v>
      </c>
      <c r="P44" s="161"/>
      <c r="Q44" s="162" t="s">
        <v>188</v>
      </c>
      <c r="R44" s="161"/>
      <c r="S44" s="162" t="s">
        <v>189</v>
      </c>
      <c r="T44" s="161"/>
      <c r="U44" s="162" t="s">
        <v>190</v>
      </c>
      <c r="V44" s="161"/>
      <c r="W44" s="162" t="s">
        <v>191</v>
      </c>
      <c r="X44" s="161"/>
      <c r="Y44" s="162" t="s">
        <v>192</v>
      </c>
      <c r="Z44" s="47"/>
      <c r="AA44" s="46" t="s">
        <v>193</v>
      </c>
      <c r="AB44" s="47"/>
      <c r="AC44" s="46" t="s">
        <v>194</v>
      </c>
      <c r="AD44" s="47"/>
      <c r="AE44" s="46" t="s">
        <v>195</v>
      </c>
      <c r="AF44" s="47"/>
      <c r="AG44" s="46" t="s">
        <v>196</v>
      </c>
      <c r="AH44" s="47"/>
      <c r="AI44" s="46" t="s">
        <v>197</v>
      </c>
      <c r="AJ44" s="47"/>
      <c r="AK44" s="46" t="s">
        <v>198</v>
      </c>
      <c r="AL44" s="47"/>
      <c r="AM44" s="46" t="s">
        <v>199</v>
      </c>
      <c r="AN44" s="47"/>
      <c r="AO44" s="46" t="s">
        <v>200</v>
      </c>
    </row>
    <row r="45" spans="1:41" x14ac:dyDescent="0.25">
      <c r="A45" s="164" t="s">
        <v>201</v>
      </c>
      <c r="B45" s="36" t="s">
        <v>202</v>
      </c>
      <c r="I45" s="49">
        <v>2</v>
      </c>
      <c r="J45" s="86" t="s">
        <v>58</v>
      </c>
      <c r="K45" s="92" t="s">
        <v>203</v>
      </c>
      <c r="L45" s="86" t="s">
        <v>60</v>
      </c>
      <c r="M45" s="92" t="s">
        <v>204</v>
      </c>
      <c r="N45" s="86" t="s">
        <v>62</v>
      </c>
      <c r="O45" s="92" t="s">
        <v>203</v>
      </c>
      <c r="P45" s="86" t="s">
        <v>63</v>
      </c>
      <c r="Q45" s="92" t="s">
        <v>204</v>
      </c>
      <c r="R45" s="86" t="s">
        <v>58</v>
      </c>
      <c r="S45" s="92" t="s">
        <v>203</v>
      </c>
      <c r="T45" s="86" t="s">
        <v>60</v>
      </c>
      <c r="U45" s="92" t="s">
        <v>204</v>
      </c>
      <c r="V45" s="86" t="s">
        <v>62</v>
      </c>
      <c r="W45" s="92" t="s">
        <v>203</v>
      </c>
      <c r="X45" s="86" t="s">
        <v>63</v>
      </c>
      <c r="Y45" s="92" t="s">
        <v>204</v>
      </c>
      <c r="Z45" s="86" t="s">
        <v>58</v>
      </c>
      <c r="AA45" s="92" t="s">
        <v>203</v>
      </c>
      <c r="AB45" s="86" t="s">
        <v>60</v>
      </c>
      <c r="AC45" s="92" t="s">
        <v>204</v>
      </c>
      <c r="AD45" s="86" t="s">
        <v>62</v>
      </c>
      <c r="AE45" s="92" t="s">
        <v>203</v>
      </c>
      <c r="AF45" s="86" t="s">
        <v>63</v>
      </c>
      <c r="AG45" s="92" t="s">
        <v>204</v>
      </c>
      <c r="AH45" s="86" t="s">
        <v>58</v>
      </c>
      <c r="AI45" s="92" t="s">
        <v>203</v>
      </c>
      <c r="AJ45" s="86" t="s">
        <v>60</v>
      </c>
      <c r="AK45" s="92" t="s">
        <v>204</v>
      </c>
      <c r="AL45" s="86" t="s">
        <v>62</v>
      </c>
      <c r="AM45" s="92" t="s">
        <v>203</v>
      </c>
      <c r="AN45" s="86" t="s">
        <v>63</v>
      </c>
      <c r="AO45" s="92" t="s">
        <v>204</v>
      </c>
    </row>
    <row r="46" spans="1:41" x14ac:dyDescent="0.25">
      <c r="A46" s="164" t="s">
        <v>205</v>
      </c>
      <c r="B46" s="36" t="s">
        <v>206</v>
      </c>
      <c r="I46" s="49">
        <v>3</v>
      </c>
      <c r="J46" s="87" t="s">
        <v>58</v>
      </c>
      <c r="K46" s="93" t="s">
        <v>207</v>
      </c>
      <c r="L46" s="87" t="s">
        <v>60</v>
      </c>
      <c r="M46" s="93" t="s">
        <v>207</v>
      </c>
      <c r="N46" s="87" t="s">
        <v>62</v>
      </c>
      <c r="O46" s="93" t="s">
        <v>207</v>
      </c>
      <c r="P46" s="87" t="s">
        <v>63</v>
      </c>
      <c r="Q46" s="93" t="s">
        <v>207</v>
      </c>
      <c r="R46" s="87" t="s">
        <v>58</v>
      </c>
      <c r="S46" s="93" t="s">
        <v>208</v>
      </c>
      <c r="T46" s="87" t="s">
        <v>60</v>
      </c>
      <c r="U46" s="93" t="s">
        <v>209</v>
      </c>
      <c r="V46" s="87" t="s">
        <v>62</v>
      </c>
      <c r="W46" s="93" t="s">
        <v>166</v>
      </c>
      <c r="X46" s="87" t="s">
        <v>63</v>
      </c>
      <c r="Y46" s="93" t="s">
        <v>209</v>
      </c>
      <c r="Z46" s="87" t="s">
        <v>58</v>
      </c>
      <c r="AA46" s="93" t="s">
        <v>210</v>
      </c>
      <c r="AB46" s="87" t="s">
        <v>60</v>
      </c>
      <c r="AC46" s="93" t="s">
        <v>209</v>
      </c>
      <c r="AD46" s="87" t="s">
        <v>62</v>
      </c>
      <c r="AE46" s="93" t="s">
        <v>211</v>
      </c>
      <c r="AF46" s="87" t="s">
        <v>63</v>
      </c>
      <c r="AG46" s="93" t="s">
        <v>209</v>
      </c>
      <c r="AH46" s="87" t="s">
        <v>58</v>
      </c>
      <c r="AI46" s="93" t="s">
        <v>212</v>
      </c>
      <c r="AJ46" s="87" t="s">
        <v>60</v>
      </c>
      <c r="AK46" s="93" t="s">
        <v>209</v>
      </c>
      <c r="AL46" s="87" t="s">
        <v>62</v>
      </c>
      <c r="AM46" s="93" t="s">
        <v>213</v>
      </c>
      <c r="AN46" s="87" t="s">
        <v>63</v>
      </c>
      <c r="AO46" s="93" t="s">
        <v>209</v>
      </c>
    </row>
    <row r="47" spans="1:41" x14ac:dyDescent="0.25">
      <c r="I47" s="49">
        <v>4</v>
      </c>
      <c r="J47" s="87" t="s">
        <v>60</v>
      </c>
      <c r="K47" s="93" t="s">
        <v>204</v>
      </c>
      <c r="L47" s="87" t="s">
        <v>62</v>
      </c>
      <c r="M47" s="93" t="s">
        <v>203</v>
      </c>
      <c r="N47" s="87" t="s">
        <v>63</v>
      </c>
      <c r="O47" s="93" t="s">
        <v>204</v>
      </c>
      <c r="P47" s="87" t="s">
        <v>58</v>
      </c>
      <c r="Q47" s="93" t="s">
        <v>203</v>
      </c>
      <c r="R47" s="87" t="s">
        <v>60</v>
      </c>
      <c r="S47" s="93" t="s">
        <v>204</v>
      </c>
      <c r="T47" s="87" t="s">
        <v>62</v>
      </c>
      <c r="U47" s="93" t="s">
        <v>203</v>
      </c>
      <c r="V47" s="87" t="s">
        <v>63</v>
      </c>
      <c r="W47" s="93" t="s">
        <v>204</v>
      </c>
      <c r="X47" s="87" t="s">
        <v>58</v>
      </c>
      <c r="Y47" s="93" t="s">
        <v>203</v>
      </c>
      <c r="Z47" s="87" t="s">
        <v>60</v>
      </c>
      <c r="AA47" s="93" t="s">
        <v>204</v>
      </c>
      <c r="AB47" s="87" t="s">
        <v>62</v>
      </c>
      <c r="AC47" s="93" t="s">
        <v>203</v>
      </c>
      <c r="AD47" s="87" t="s">
        <v>63</v>
      </c>
      <c r="AE47" s="93" t="s">
        <v>204</v>
      </c>
      <c r="AF47" s="87" t="s">
        <v>58</v>
      </c>
      <c r="AG47" s="93" t="s">
        <v>203</v>
      </c>
      <c r="AH47" s="87" t="s">
        <v>60</v>
      </c>
      <c r="AI47" s="93" t="s">
        <v>204</v>
      </c>
      <c r="AJ47" s="87" t="s">
        <v>62</v>
      </c>
      <c r="AK47" s="93" t="s">
        <v>203</v>
      </c>
      <c r="AL47" s="87" t="s">
        <v>63</v>
      </c>
      <c r="AM47" s="93" t="s">
        <v>204</v>
      </c>
      <c r="AN47" s="87" t="s">
        <v>58</v>
      </c>
      <c r="AO47" s="93" t="s">
        <v>203</v>
      </c>
    </row>
    <row r="48" spans="1:41" x14ac:dyDescent="0.25">
      <c r="I48" s="49">
        <v>5</v>
      </c>
      <c r="J48" s="87" t="s">
        <v>60</v>
      </c>
      <c r="K48" s="93" t="s">
        <v>207</v>
      </c>
      <c r="L48" s="87" t="s">
        <v>62</v>
      </c>
      <c r="M48" s="93" t="s">
        <v>207</v>
      </c>
      <c r="N48" s="87" t="s">
        <v>63</v>
      </c>
      <c r="O48" s="93" t="s">
        <v>207</v>
      </c>
      <c r="P48" s="87" t="s">
        <v>58</v>
      </c>
      <c r="Q48" s="93" t="s">
        <v>207</v>
      </c>
      <c r="R48" s="87" t="s">
        <v>60</v>
      </c>
      <c r="S48" s="93" t="s">
        <v>209</v>
      </c>
      <c r="T48" s="87" t="s">
        <v>62</v>
      </c>
      <c r="U48" s="93" t="s">
        <v>166</v>
      </c>
      <c r="V48" s="87" t="s">
        <v>63</v>
      </c>
      <c r="W48" s="93" t="s">
        <v>209</v>
      </c>
      <c r="X48" s="87" t="s">
        <v>58</v>
      </c>
      <c r="Y48" s="93" t="s">
        <v>208</v>
      </c>
      <c r="Z48" s="87" t="s">
        <v>60</v>
      </c>
      <c r="AA48" s="93" t="s">
        <v>209</v>
      </c>
      <c r="AB48" s="87" t="s">
        <v>62</v>
      </c>
      <c r="AC48" s="93" t="s">
        <v>211</v>
      </c>
      <c r="AD48" s="87" t="s">
        <v>63</v>
      </c>
      <c r="AE48" s="93" t="s">
        <v>209</v>
      </c>
      <c r="AF48" s="87" t="s">
        <v>58</v>
      </c>
      <c r="AG48" s="93" t="s">
        <v>210</v>
      </c>
      <c r="AH48" s="87" t="s">
        <v>60</v>
      </c>
      <c r="AI48" s="93" t="s">
        <v>209</v>
      </c>
      <c r="AJ48" s="87" t="s">
        <v>62</v>
      </c>
      <c r="AK48" s="93" t="s">
        <v>213</v>
      </c>
      <c r="AL48" s="87" t="s">
        <v>63</v>
      </c>
      <c r="AM48" s="93" t="s">
        <v>209</v>
      </c>
      <c r="AN48" s="87" t="s">
        <v>58</v>
      </c>
      <c r="AO48" s="93" t="s">
        <v>212</v>
      </c>
    </row>
    <row r="49" spans="9:41" x14ac:dyDescent="0.25">
      <c r="I49" s="49">
        <v>6</v>
      </c>
      <c r="J49" s="87" t="s">
        <v>62</v>
      </c>
      <c r="K49" s="93" t="s">
        <v>207</v>
      </c>
      <c r="L49" s="87" t="s">
        <v>63</v>
      </c>
      <c r="M49" s="93" t="s">
        <v>172</v>
      </c>
      <c r="N49" s="87" t="s">
        <v>58</v>
      </c>
      <c r="O49" s="93" t="s">
        <v>207</v>
      </c>
      <c r="P49" s="87" t="s">
        <v>60</v>
      </c>
      <c r="Q49" s="93" t="s">
        <v>172</v>
      </c>
      <c r="R49" s="87" t="s">
        <v>62</v>
      </c>
      <c r="S49" s="93" t="s">
        <v>171</v>
      </c>
      <c r="T49" s="87" t="s">
        <v>63</v>
      </c>
      <c r="U49" s="93" t="s">
        <v>172</v>
      </c>
      <c r="V49" s="87" t="s">
        <v>58</v>
      </c>
      <c r="W49" s="93" t="s">
        <v>171</v>
      </c>
      <c r="X49" s="87" t="s">
        <v>60</v>
      </c>
      <c r="Y49" s="93" t="s">
        <v>172</v>
      </c>
      <c r="Z49" s="87" t="s">
        <v>62</v>
      </c>
      <c r="AA49" s="93" t="s">
        <v>214</v>
      </c>
      <c r="AB49" s="87" t="s">
        <v>63</v>
      </c>
      <c r="AC49" s="93" t="s">
        <v>172</v>
      </c>
      <c r="AD49" s="87" t="s">
        <v>58</v>
      </c>
      <c r="AE49" s="93" t="s">
        <v>214</v>
      </c>
      <c r="AF49" s="87" t="s">
        <v>60</v>
      </c>
      <c r="AG49" s="93" t="s">
        <v>172</v>
      </c>
      <c r="AH49" s="87" t="s">
        <v>62</v>
      </c>
      <c r="AI49" s="93" t="s">
        <v>214</v>
      </c>
      <c r="AJ49" s="87" t="s">
        <v>63</v>
      </c>
      <c r="AK49" s="93" t="s">
        <v>172</v>
      </c>
      <c r="AL49" s="87" t="s">
        <v>58</v>
      </c>
      <c r="AM49" s="93" t="s">
        <v>214</v>
      </c>
      <c r="AN49" s="87" t="s">
        <v>60</v>
      </c>
      <c r="AO49" s="93" t="s">
        <v>172</v>
      </c>
    </row>
    <row r="50" spans="9:41" x14ac:dyDescent="0.25">
      <c r="I50" s="49">
        <v>7</v>
      </c>
      <c r="J50" s="87" t="s">
        <v>62</v>
      </c>
      <c r="K50" s="93" t="s">
        <v>207</v>
      </c>
      <c r="L50" s="87" t="s">
        <v>63</v>
      </c>
      <c r="M50" s="96" t="s">
        <v>174</v>
      </c>
      <c r="N50" s="87" t="s">
        <v>58</v>
      </c>
      <c r="O50" s="93" t="s">
        <v>207</v>
      </c>
      <c r="P50" s="87" t="s">
        <v>60</v>
      </c>
      <c r="Q50" s="96" t="s">
        <v>174</v>
      </c>
      <c r="R50" s="87" t="s">
        <v>62</v>
      </c>
      <c r="S50" s="93" t="s">
        <v>166</v>
      </c>
      <c r="T50" s="87" t="s">
        <v>63</v>
      </c>
      <c r="U50" s="96" t="s">
        <v>174</v>
      </c>
      <c r="V50" s="87" t="s">
        <v>58</v>
      </c>
      <c r="W50" s="93" t="s">
        <v>208</v>
      </c>
      <c r="X50" s="87" t="s">
        <v>60</v>
      </c>
      <c r="Y50" s="96" t="s">
        <v>174</v>
      </c>
      <c r="Z50" s="87" t="s">
        <v>62</v>
      </c>
      <c r="AA50" s="93" t="s">
        <v>211</v>
      </c>
      <c r="AB50" s="87" t="s">
        <v>63</v>
      </c>
      <c r="AC50" s="96" t="s">
        <v>174</v>
      </c>
      <c r="AD50" s="87" t="s">
        <v>58</v>
      </c>
      <c r="AE50" s="93" t="s">
        <v>210</v>
      </c>
      <c r="AF50" s="87" t="s">
        <v>60</v>
      </c>
      <c r="AG50" s="96" t="s">
        <v>174</v>
      </c>
      <c r="AH50" s="87" t="s">
        <v>62</v>
      </c>
      <c r="AI50" s="93" t="s">
        <v>213</v>
      </c>
      <c r="AJ50" s="87" t="s">
        <v>63</v>
      </c>
      <c r="AK50" s="96" t="s">
        <v>174</v>
      </c>
      <c r="AL50" s="87" t="s">
        <v>58</v>
      </c>
      <c r="AM50" s="93" t="s">
        <v>212</v>
      </c>
      <c r="AN50" s="87" t="s">
        <v>60</v>
      </c>
      <c r="AO50" s="96" t="s">
        <v>174</v>
      </c>
    </row>
    <row r="51" spans="9:41" x14ac:dyDescent="0.25">
      <c r="I51" s="49">
        <v>8</v>
      </c>
      <c r="J51" s="87" t="s">
        <v>63</v>
      </c>
      <c r="K51" s="93" t="s">
        <v>172</v>
      </c>
      <c r="L51" s="87" t="s">
        <v>58</v>
      </c>
      <c r="M51" s="93" t="s">
        <v>207</v>
      </c>
      <c r="N51" s="87" t="s">
        <v>60</v>
      </c>
      <c r="O51" s="93" t="s">
        <v>172</v>
      </c>
      <c r="P51" s="87" t="s">
        <v>62</v>
      </c>
      <c r="Q51" s="93" t="s">
        <v>207</v>
      </c>
      <c r="R51" s="87" t="s">
        <v>63</v>
      </c>
      <c r="S51" s="93" t="s">
        <v>172</v>
      </c>
      <c r="T51" s="87" t="s">
        <v>58</v>
      </c>
      <c r="U51" s="93" t="s">
        <v>171</v>
      </c>
      <c r="V51" s="87" t="s">
        <v>60</v>
      </c>
      <c r="W51" s="93" t="s">
        <v>172</v>
      </c>
      <c r="X51" s="87" t="s">
        <v>62</v>
      </c>
      <c r="Y51" s="93" t="s">
        <v>171</v>
      </c>
      <c r="Z51" s="87" t="s">
        <v>63</v>
      </c>
      <c r="AA51" s="93" t="s">
        <v>172</v>
      </c>
      <c r="AB51" s="87" t="s">
        <v>58</v>
      </c>
      <c r="AC51" s="93" t="s">
        <v>214</v>
      </c>
      <c r="AD51" s="87" t="s">
        <v>60</v>
      </c>
      <c r="AE51" s="93" t="s">
        <v>172</v>
      </c>
      <c r="AF51" s="87" t="s">
        <v>62</v>
      </c>
      <c r="AG51" s="93" t="s">
        <v>214</v>
      </c>
      <c r="AH51" s="87" t="s">
        <v>63</v>
      </c>
      <c r="AI51" s="93" t="s">
        <v>172</v>
      </c>
      <c r="AJ51" s="87" t="s">
        <v>58</v>
      </c>
      <c r="AK51" s="93" t="s">
        <v>214</v>
      </c>
      <c r="AL51" s="87" t="s">
        <v>60</v>
      </c>
      <c r="AM51" s="93" t="s">
        <v>172</v>
      </c>
      <c r="AN51" s="87" t="s">
        <v>62</v>
      </c>
      <c r="AO51" s="93" t="s">
        <v>214</v>
      </c>
    </row>
    <row r="52" spans="9:41" x14ac:dyDescent="0.25">
      <c r="I52" s="49">
        <v>9</v>
      </c>
      <c r="J52" s="89" t="s">
        <v>63</v>
      </c>
      <c r="K52" s="97" t="s">
        <v>174</v>
      </c>
      <c r="L52" s="89" t="s">
        <v>58</v>
      </c>
      <c r="M52" s="88" t="s">
        <v>207</v>
      </c>
      <c r="N52" s="89" t="s">
        <v>60</v>
      </c>
      <c r="O52" s="97" t="s">
        <v>174</v>
      </c>
      <c r="P52" s="89" t="s">
        <v>62</v>
      </c>
      <c r="Q52" s="88" t="s">
        <v>207</v>
      </c>
      <c r="R52" s="89" t="s">
        <v>63</v>
      </c>
      <c r="S52" s="97" t="s">
        <v>174</v>
      </c>
      <c r="T52" s="89" t="s">
        <v>58</v>
      </c>
      <c r="U52" s="88" t="s">
        <v>208</v>
      </c>
      <c r="V52" s="89" t="s">
        <v>60</v>
      </c>
      <c r="W52" s="97" t="s">
        <v>174</v>
      </c>
      <c r="X52" s="89" t="s">
        <v>62</v>
      </c>
      <c r="Y52" s="88" t="s">
        <v>166</v>
      </c>
      <c r="Z52" s="89" t="s">
        <v>63</v>
      </c>
      <c r="AA52" s="97" t="s">
        <v>174</v>
      </c>
      <c r="AB52" s="89" t="s">
        <v>58</v>
      </c>
      <c r="AC52" s="88" t="s">
        <v>210</v>
      </c>
      <c r="AD52" s="89" t="s">
        <v>60</v>
      </c>
      <c r="AE52" s="97" t="s">
        <v>174</v>
      </c>
      <c r="AF52" s="89" t="s">
        <v>62</v>
      </c>
      <c r="AG52" s="88" t="s">
        <v>211</v>
      </c>
      <c r="AH52" s="89" t="s">
        <v>63</v>
      </c>
      <c r="AI52" s="97" t="s">
        <v>174</v>
      </c>
      <c r="AJ52" s="89" t="s">
        <v>58</v>
      </c>
      <c r="AK52" s="88" t="s">
        <v>212</v>
      </c>
      <c r="AL52" s="89" t="s">
        <v>60</v>
      </c>
      <c r="AM52" s="97" t="s">
        <v>174</v>
      </c>
      <c r="AN52" s="89" t="s">
        <v>62</v>
      </c>
      <c r="AO52" s="88" t="s">
        <v>213</v>
      </c>
    </row>
    <row r="53" spans="9:41" x14ac:dyDescent="0.25">
      <c r="I53" s="49">
        <v>10</v>
      </c>
      <c r="J53" s="86" t="s">
        <v>215</v>
      </c>
      <c r="K53" s="92" t="s">
        <v>166</v>
      </c>
      <c r="L53" s="86" t="s">
        <v>215</v>
      </c>
      <c r="M53" s="92" t="s">
        <v>166</v>
      </c>
      <c r="N53" s="86" t="s">
        <v>215</v>
      </c>
      <c r="O53" s="92" t="s">
        <v>166</v>
      </c>
      <c r="P53" s="86" t="s">
        <v>215</v>
      </c>
      <c r="Q53" s="92" t="s">
        <v>166</v>
      </c>
      <c r="R53" s="86"/>
      <c r="S53" s="163" t="s">
        <v>135</v>
      </c>
      <c r="T53" s="86"/>
      <c r="U53" s="163" t="s">
        <v>135</v>
      </c>
      <c r="V53" s="86"/>
      <c r="W53" s="163" t="s">
        <v>135</v>
      </c>
      <c r="X53" s="86"/>
      <c r="Y53" s="163" t="s">
        <v>135</v>
      </c>
      <c r="Z53" s="86"/>
      <c r="AA53" s="163" t="s">
        <v>135</v>
      </c>
      <c r="AB53" s="86"/>
      <c r="AC53" s="163" t="s">
        <v>135</v>
      </c>
      <c r="AD53" s="86"/>
      <c r="AE53" s="163" t="s">
        <v>135</v>
      </c>
      <c r="AF53" s="86"/>
      <c r="AG53" s="163" t="s">
        <v>135</v>
      </c>
      <c r="AH53" s="86"/>
      <c r="AI53" s="163" t="s">
        <v>135</v>
      </c>
      <c r="AJ53" s="86"/>
      <c r="AK53" s="163" t="s">
        <v>135</v>
      </c>
      <c r="AL53" s="86"/>
      <c r="AM53" s="163" t="s">
        <v>135</v>
      </c>
      <c r="AN53" s="86"/>
      <c r="AO53" s="163" t="s">
        <v>135</v>
      </c>
    </row>
    <row r="54" spans="9:41" x14ac:dyDescent="0.25">
      <c r="I54" s="49">
        <v>11</v>
      </c>
      <c r="J54" s="87" t="s">
        <v>216</v>
      </c>
      <c r="K54" s="93" t="s">
        <v>213</v>
      </c>
      <c r="L54" s="87" t="s">
        <v>216</v>
      </c>
      <c r="M54" s="93" t="s">
        <v>213</v>
      </c>
      <c r="N54" s="87" t="s">
        <v>216</v>
      </c>
      <c r="O54" s="93" t="s">
        <v>213</v>
      </c>
      <c r="P54" s="87" t="s">
        <v>216</v>
      </c>
      <c r="Q54" s="93" t="s">
        <v>213</v>
      </c>
      <c r="R54" s="87"/>
      <c r="S54" s="93"/>
      <c r="T54" s="87"/>
      <c r="U54" s="93"/>
      <c r="V54" s="87"/>
      <c r="W54" s="93"/>
      <c r="X54" s="87"/>
      <c r="Y54" s="93"/>
      <c r="Z54" s="87"/>
      <c r="AA54" s="93"/>
      <c r="AB54" s="87"/>
      <c r="AC54" s="93"/>
      <c r="AD54" s="87"/>
      <c r="AE54" s="93"/>
      <c r="AF54" s="87"/>
      <c r="AG54" s="93"/>
      <c r="AH54" s="87"/>
      <c r="AI54" s="93"/>
      <c r="AJ54" s="87"/>
      <c r="AK54" s="93"/>
      <c r="AL54" s="87"/>
      <c r="AM54" s="93"/>
      <c r="AN54" s="87"/>
      <c r="AO54" s="93"/>
    </row>
    <row r="55" spans="9:41" x14ac:dyDescent="0.25">
      <c r="I55" s="49">
        <v>12</v>
      </c>
      <c r="J55" s="87" t="s">
        <v>217</v>
      </c>
      <c r="K55" s="93" t="s">
        <v>214</v>
      </c>
      <c r="L55" s="87" t="s">
        <v>217</v>
      </c>
      <c r="M55" s="93" t="s">
        <v>214</v>
      </c>
      <c r="N55" s="87" t="s">
        <v>217</v>
      </c>
      <c r="O55" s="93" t="s">
        <v>214</v>
      </c>
      <c r="P55" s="87" t="s">
        <v>217</v>
      </c>
      <c r="Q55" s="93" t="s">
        <v>214</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13</v>
      </c>
      <c r="J56" s="87" t="s">
        <v>218</v>
      </c>
      <c r="K56" s="93" t="s">
        <v>209</v>
      </c>
      <c r="L56" s="87" t="s">
        <v>218</v>
      </c>
      <c r="M56" s="93" t="s">
        <v>209</v>
      </c>
      <c r="N56" s="87" t="s">
        <v>218</v>
      </c>
      <c r="O56" s="93" t="s">
        <v>209</v>
      </c>
      <c r="P56" s="87" t="s">
        <v>218</v>
      </c>
      <c r="Q56" s="93" t="s">
        <v>209</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14</v>
      </c>
      <c r="J57" s="87" t="s">
        <v>219</v>
      </c>
      <c r="K57" s="93" t="s">
        <v>210</v>
      </c>
      <c r="L57" s="87" t="s">
        <v>219</v>
      </c>
      <c r="M57" s="93" t="s">
        <v>210</v>
      </c>
      <c r="N57" s="87" t="s">
        <v>219</v>
      </c>
      <c r="O57" s="93" t="s">
        <v>210</v>
      </c>
      <c r="P57" s="87" t="s">
        <v>219</v>
      </c>
      <c r="Q57" s="93" t="s">
        <v>210</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15</v>
      </c>
      <c r="J58" s="87" t="s">
        <v>220</v>
      </c>
      <c r="K58" s="93" t="s">
        <v>208</v>
      </c>
      <c r="L58" s="87" t="s">
        <v>220</v>
      </c>
      <c r="M58" s="93" t="s">
        <v>208</v>
      </c>
      <c r="N58" s="87" t="s">
        <v>220</v>
      </c>
      <c r="O58" s="93" t="s">
        <v>208</v>
      </c>
      <c r="P58" s="87" t="s">
        <v>220</v>
      </c>
      <c r="Q58" s="93" t="s">
        <v>208</v>
      </c>
      <c r="R58" s="87"/>
      <c r="S58" s="93"/>
      <c r="T58" s="87"/>
      <c r="U58" s="96"/>
      <c r="V58" s="87"/>
      <c r="W58" s="93"/>
      <c r="X58" s="87"/>
      <c r="Y58" s="93"/>
      <c r="Z58" s="87"/>
      <c r="AA58" s="93"/>
      <c r="AB58" s="87"/>
      <c r="AC58" s="96"/>
      <c r="AD58" s="87"/>
      <c r="AE58" s="93"/>
      <c r="AF58" s="87"/>
      <c r="AG58" s="96"/>
      <c r="AH58" s="87"/>
      <c r="AI58" s="93"/>
      <c r="AJ58" s="87"/>
      <c r="AK58" s="93"/>
      <c r="AL58" s="87"/>
      <c r="AM58" s="93"/>
      <c r="AN58" s="87"/>
      <c r="AO58" s="93"/>
    </row>
    <row r="59" spans="9:41" x14ac:dyDescent="0.25">
      <c r="I59" s="49">
        <v>16</v>
      </c>
      <c r="J59" s="87" t="s">
        <v>221</v>
      </c>
      <c r="K59" s="93" t="s">
        <v>211</v>
      </c>
      <c r="L59" s="87" t="s">
        <v>221</v>
      </c>
      <c r="M59" s="93" t="s">
        <v>211</v>
      </c>
      <c r="N59" s="87" t="s">
        <v>221</v>
      </c>
      <c r="O59" s="93" t="s">
        <v>211</v>
      </c>
      <c r="P59" s="87" t="s">
        <v>221</v>
      </c>
      <c r="Q59" s="93" t="s">
        <v>211</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17</v>
      </c>
      <c r="J60" s="87" t="s">
        <v>222</v>
      </c>
      <c r="K60" s="93" t="s">
        <v>212</v>
      </c>
      <c r="L60" s="87" t="s">
        <v>222</v>
      </c>
      <c r="M60" s="93" t="s">
        <v>212</v>
      </c>
      <c r="N60" s="87" t="s">
        <v>222</v>
      </c>
      <c r="O60" s="93" t="s">
        <v>212</v>
      </c>
      <c r="P60" s="87" t="s">
        <v>222</v>
      </c>
      <c r="Q60" s="93" t="s">
        <v>212</v>
      </c>
      <c r="R60" s="87"/>
      <c r="S60" s="93"/>
      <c r="T60" s="87"/>
      <c r="U60" s="93"/>
      <c r="V60" s="87"/>
      <c r="W60" s="93"/>
      <c r="X60" s="87"/>
      <c r="Y60" s="93"/>
      <c r="Z60" s="87"/>
      <c r="AA60" s="93"/>
      <c r="AB60" s="87"/>
      <c r="AC60" s="93"/>
      <c r="AD60" s="87"/>
      <c r="AE60" s="93"/>
      <c r="AF60" s="87"/>
      <c r="AG60" s="93"/>
      <c r="AH60" s="87"/>
      <c r="AI60" s="93"/>
      <c r="AJ60" s="87"/>
      <c r="AK60" s="93"/>
      <c r="AL60" s="87"/>
      <c r="AM60" s="93"/>
      <c r="AN60" s="87"/>
      <c r="AO60" s="93"/>
    </row>
    <row r="61" spans="9:41" x14ac:dyDescent="0.25">
      <c r="I61" s="49">
        <v>18</v>
      </c>
      <c r="J61" s="89" t="s">
        <v>223</v>
      </c>
      <c r="K61" s="97" t="s">
        <v>171</v>
      </c>
      <c r="L61" s="89" t="s">
        <v>223</v>
      </c>
      <c r="M61" s="97" t="s">
        <v>171</v>
      </c>
      <c r="N61" s="89" t="s">
        <v>223</v>
      </c>
      <c r="O61" s="97" t="s">
        <v>171</v>
      </c>
      <c r="P61" s="89" t="s">
        <v>223</v>
      </c>
      <c r="Q61" s="97" t="s">
        <v>171</v>
      </c>
      <c r="R61" s="89"/>
      <c r="S61" s="97"/>
      <c r="T61" s="89"/>
      <c r="U61" s="88"/>
      <c r="V61" s="89"/>
      <c r="W61" s="97"/>
      <c r="X61" s="89"/>
      <c r="Y61" s="88"/>
      <c r="Z61" s="89"/>
      <c r="AA61" s="97"/>
      <c r="AB61" s="89"/>
      <c r="AC61" s="88"/>
      <c r="AD61" s="89"/>
      <c r="AE61" s="97"/>
      <c r="AF61" s="89"/>
      <c r="AG61" s="88"/>
      <c r="AH61" s="89"/>
      <c r="AI61" s="88"/>
      <c r="AJ61" s="89"/>
      <c r="AK61" s="88"/>
      <c r="AL61" s="89"/>
      <c r="AM61" s="88"/>
      <c r="AN61" s="89"/>
      <c r="AO61" s="88"/>
    </row>
    <row r="63" spans="9:41" x14ac:dyDescent="0.25">
      <c r="K63"/>
      <c r="L63"/>
      <c r="M63"/>
      <c r="N63"/>
      <c r="O63"/>
      <c r="P63"/>
      <c r="Q63"/>
    </row>
  </sheetData>
  <dataValidations count="2">
    <dataValidation type="list" allowBlank="1" showInputMessage="1" showErrorMessage="1" sqref="AT1">
      <formula1>$K$4:$Y$4</formula1>
    </dataValidation>
    <dataValidation type="list" allowBlank="1" showInputMessage="1" showErrorMessage="1" sqref="AT2:AT3">
      <formula1>$K$25:$Q$25</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7"/>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19.5"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19.5" customHeight="1" x14ac:dyDescent="0.25">
      <c r="A6" s="237"/>
      <c r="B6" s="238"/>
      <c r="C6" s="239" t="s">
        <v>13</v>
      </c>
      <c r="D6" s="244" t="s">
        <v>284</v>
      </c>
      <c r="E6" s="241"/>
      <c r="F6" s="239" t="s">
        <v>15</v>
      </c>
      <c r="G6" s="246" t="str">
        <f>IFERROR(CONCATENATE(VLOOKUP(D6,TableMajorsGDEDUC[],2,FALSE)," ",VLOOKUP(D6,TableMajorsGDEDUC[],3,FALSE)),"")</f>
        <v>MJRP-EDUPR v.1</v>
      </c>
      <c r="H6" s="302"/>
      <c r="I6" s="241"/>
      <c r="J6" s="241"/>
      <c r="K6" s="241"/>
      <c r="L6" s="241"/>
      <c r="M6" s="241"/>
      <c r="N6" s="241"/>
      <c r="O6" s="241"/>
      <c r="P6" s="304" t="str">
        <f>CONCATENATE(VLOOKUP(D6,TableMajorsGDEDUC[],2,FALSE),VLOOKUP(D7,TableStudyPeriods[],2,FALSE))</f>
        <v>MJRP-EDUPRSSP1</v>
      </c>
      <c r="Q6" s="297"/>
      <c r="R6" s="231"/>
      <c r="S6" s="231"/>
      <c r="T6" s="231"/>
      <c r="U6" s="231"/>
      <c r="V6" s="231"/>
      <c r="W6" s="231"/>
      <c r="X6" s="231"/>
      <c r="Y6" s="231"/>
      <c r="Z6" s="231"/>
      <c r="AA6" s="231"/>
    </row>
    <row r="7" spans="1:27" ht="19.5" customHeight="1" x14ac:dyDescent="0.25">
      <c r="A7" s="246"/>
      <c r="B7" s="247"/>
      <c r="C7" s="239" t="s">
        <v>16</v>
      </c>
      <c r="D7" s="248" t="s">
        <v>17</v>
      </c>
      <c r="E7" s="249"/>
      <c r="F7" s="239" t="s">
        <v>18</v>
      </c>
      <c r="G7" s="241" t="str">
        <f>IFERROR(VLOOKUP($D$5,TableCourses[],4,FALSE),"")</f>
        <v>200 credit points required</v>
      </c>
      <c r="H7" s="250"/>
      <c r="I7" s="250"/>
      <c r="J7" s="250"/>
      <c r="K7" s="250"/>
      <c r="L7" s="250"/>
      <c r="M7" s="250"/>
      <c r="N7" s="250"/>
      <c r="O7" s="250"/>
      <c r="P7" s="304" t="str">
        <f>IFERROR(CONCATENATE("DDGD",MID(G6,6,5)),"")</f>
        <v>DDGDEDUPR</v>
      </c>
      <c r="Q7" s="297"/>
      <c r="R7" s="231"/>
      <c r="S7" s="231"/>
      <c r="T7" s="231"/>
      <c r="U7" s="231"/>
      <c r="V7" s="231"/>
      <c r="W7" s="231"/>
      <c r="X7" s="231"/>
      <c r="Y7" s="231"/>
      <c r="Z7" s="231"/>
      <c r="AA7" s="231"/>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259"/>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259"/>
    </row>
    <row r="10" spans="1:27" s="20" customFormat="1" ht="21" customHeight="1" x14ac:dyDescent="0.15">
      <c r="A10" s="263" t="str">
        <f>IFERROR(IF(HLOOKUP($P$6,RangeUnitsetsGDEDUC,Q10,FALSE)=0,"",HLOOKUP($P$6,RangeUnitsetsGDEDUC,Q10,FALSE)),"")</f>
        <v>EDUC5005</v>
      </c>
      <c r="B10" s="264">
        <f>IFERROR(IF(VLOOKUP($A10,TableHandbook[],2,FALSE)=0,"",VLOOKUP($A10,TableHandbook[],2,FALSE)),"")</f>
        <v>2</v>
      </c>
      <c r="C10" s="264" t="str">
        <f>IFERROR(IF(VLOOKUP($A10,TableHandbook[],3,FALSE)=0,"",VLOOKUP($A10,TableHandbook[],3,FALSE)),"")</f>
        <v/>
      </c>
      <c r="D10" s="265" t="str">
        <f>IFERROR(IF(VLOOKUP($A10,TableHandbook[],4,FALSE)=0,"",VLOOKUP($A10,TableHandbook[],4,FALSE)),"")</f>
        <v>Theories of Development and Learning</v>
      </c>
      <c r="E10" s="264" t="str">
        <f>IF(OR(A10="",A10="--"),"",VLOOKUP($D$7,TableStudyPeriods[],2,FALSE))</f>
        <v>SSP1</v>
      </c>
      <c r="F10" s="266" t="str">
        <f>IFERROR(IF(VLOOKUP($A10,TableHandbook[],6,FALSE)=0,"",VLOOKUP($A10,TableHandbook[],6,FALSE)),"")</f>
        <v>Nil</v>
      </c>
      <c r="G10" s="264">
        <f>IFERROR(IF(VLOOKUP($A10,TableHandbook[],5,FALSE)=0,"",VLOOKUP($A10,TableHandbook[],5,FALSE)),"")</f>
        <v>25</v>
      </c>
      <c r="H10" s="267" t="str">
        <f>IFERROR(VLOOKUP($A10,TableHandbook[],H$2,FALSE),"")</f>
        <v>Y</v>
      </c>
      <c r="I10" s="268" t="str">
        <f>IFERROR(VLOOKUP($A10,TableHandbook[],I$2,FALSE),"")</f>
        <v>Y</v>
      </c>
      <c r="J10" s="267" t="str">
        <f>IFERROR(VLOOKUP($A10,TableHandbook[],J$2,FALSE),"")</f>
        <v/>
      </c>
      <c r="K10" s="268" t="str">
        <f>IFERROR(VLOOKUP($A10,TableHandbook[],K$2,FALSE),"")</f>
        <v/>
      </c>
      <c r="L10" s="267" t="str">
        <f>IFERROR(VLOOKUP($A10,TableHandbook[],L$2,FALSE),"")</f>
        <v>Y</v>
      </c>
      <c r="M10" s="268" t="str">
        <f>IFERROR(VLOOKUP($A10,TableHandbook[],M$2,FALSE),"")</f>
        <v>Y</v>
      </c>
      <c r="N10" s="267" t="str">
        <f>IFERROR(VLOOKUP($A10,TableHandbook[],N$2,FALSE),"")</f>
        <v/>
      </c>
      <c r="O10" s="268" t="str">
        <f>IFERROR(VLOOKUP($A10,TableHandbook[],O$2,FALSE),"")</f>
        <v/>
      </c>
      <c r="P10" s="30"/>
      <c r="Q10" s="269">
        <v>2</v>
      </c>
      <c r="R10" s="270"/>
      <c r="S10" s="270"/>
      <c r="T10" s="271"/>
      <c r="U10" s="271"/>
      <c r="V10" s="271"/>
      <c r="W10" s="271"/>
      <c r="X10" s="271"/>
      <c r="Y10" s="271"/>
      <c r="Z10" s="271"/>
      <c r="AA10" s="271"/>
    </row>
    <row r="11" spans="1:27" s="20" customFormat="1" ht="21" customHeight="1" x14ac:dyDescent="0.15">
      <c r="A11" s="305" t="str">
        <f>IFERROR(IF(HLOOKUP($P$6,RangeUnitsetsGDEDUC,Q11,FALSE)=0,"",HLOOKUP($P$6,RangeUnitsetsGDEDUC,Q11,FALSE)),"")</f>
        <v>EDPR5000</v>
      </c>
      <c r="B11" s="264">
        <f>IFERROR(IF(VLOOKUP($A11,TableHandbook[],2,FALSE)=0,"",VLOOKUP($A11,TableHandbook[],2,FALSE)),"")</f>
        <v>2</v>
      </c>
      <c r="C11" s="264" t="str">
        <f>IFERROR(IF(VLOOKUP($A11,TableHandbook[],3,FALSE)=0,"",VLOOKUP($A11,TableHandbook[],3,FALSE)),"")</f>
        <v/>
      </c>
      <c r="D11" s="265" t="str">
        <f>IFERROR(IF(VLOOKUP($A11,TableHandbook[],4,FALSE)=0,"",VLOOKUP($A11,TableHandbook[],4,FALSE)),"")</f>
        <v>Primary Professional Experience 1: Planning for Writing</v>
      </c>
      <c r="E11" s="264" t="str">
        <f>IF(A11="","",E10)</f>
        <v>SSP1</v>
      </c>
      <c r="F11" s="266" t="str">
        <f>IFERROR(IF(VLOOKUP($A11,TableHandbook[],6,FALSE)=0,"",VLOOKUP($A11,TableHandbook[],6,FALSE)),"")</f>
        <v>Nil</v>
      </c>
      <c r="G11" s="264">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271"/>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271"/>
    </row>
    <row r="13" spans="1:27" s="20" customFormat="1" ht="21" customHeight="1" x14ac:dyDescent="0.15">
      <c r="A13" s="263" t="str">
        <f>IFERROR(IF(HLOOKUP($P$6,RangeUnitsetsGDEDUC,Q13,FALSE)=0,"",HLOOKUP($P$6,RangeUnitsetsGDEDUC,Q13,FALSE)),"")</f>
        <v>EDPR5005</v>
      </c>
      <c r="B13" s="264">
        <f>IFERROR(IF(VLOOKUP($A13,TableHandbook[],2,FALSE)=0,"",VLOOKUP($A13,TableHandbook[],2,FALSE)),"")</f>
        <v>1</v>
      </c>
      <c r="C13" s="264" t="str">
        <f>IFERROR(IF(VLOOKUP($A13,TableHandbook[],3,FALSE)=0,"",VLOOKUP($A13,TableHandbook[],3,FALSE)),"")</f>
        <v/>
      </c>
      <c r="D13" s="265" t="str">
        <f>IFERROR(IF(VLOOKUP($A13,TableHandbook[],4,FALSE)=0,"",VLOOKUP($A13,TableHandbook[],4,FALSE)),"")</f>
        <v>Teaching Science in the Primary Years</v>
      </c>
      <c r="E13" s="264" t="str">
        <f>IF(OR(A13="",A13="--"),"",VLOOKUP($D$7,TableStudyPeriods[],3,FALSE))</f>
        <v>SSP2</v>
      </c>
      <c r="F13" s="266" t="str">
        <f>IFERROR(IF(VLOOKUP($A13,TableHandbook[],6,FALSE)=0,"",VLOOKUP($A13,TableHandbook[],6,FALSE)),"")</f>
        <v>Nil</v>
      </c>
      <c r="G13" s="264">
        <f>IFERROR(IF(VLOOKUP($A13,TableHandbook[],5,FALSE)=0,"",VLOOKUP($A13,TableHandbook[],5,FALSE)),"")</f>
        <v>25</v>
      </c>
      <c r="H13" s="267" t="str">
        <f>IFERROR(VLOOKUP($A13,TableHandbook[],H$2,FALSE),"")</f>
        <v/>
      </c>
      <c r="I13" s="268" t="str">
        <f>IFERROR(VLOOKUP($A13,TableHandbook[],I$2,FALSE),"")</f>
        <v/>
      </c>
      <c r="J13" s="267" t="str">
        <f>IFERROR(VLOOKUP($A13,TableHandbook[],J$2,FALSE),"")</f>
        <v>Y</v>
      </c>
      <c r="K13" s="268" t="str">
        <f>IFERROR(VLOOKUP($A13,TableHandbook[],K$2,FALSE),"")</f>
        <v>Y</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271"/>
    </row>
    <row r="14" spans="1:27" s="20" customFormat="1" ht="21" customHeight="1" x14ac:dyDescent="0.15">
      <c r="A14" s="263" t="str">
        <f>IFERROR(IF(HLOOKUP($P$6,RangeUnitsetsGDEDUC,Q14,FALSE)=0,"",HLOOKUP($P$6,RangeUnitsetsGDEDUC,Q14,FALSE)),"")</f>
        <v>EDPR5001</v>
      </c>
      <c r="B14" s="264">
        <f>IFERROR(IF(VLOOKUP($A14,TableHandbook[],2,FALSE)=0,"",VLOOKUP($A14,TableHandbook[],2,FALSE)),"")</f>
        <v>1</v>
      </c>
      <c r="C14" s="264" t="str">
        <f>IFERROR(IF(VLOOKUP($A14,TableHandbook[],3,FALSE)=0,"",VLOOKUP($A14,TableHandbook[],3,FALSE)),"")</f>
        <v/>
      </c>
      <c r="D14" s="265" t="str">
        <f>IFERROR(IF(VLOOKUP($A14,TableHandbook[],4,FALSE)=0,"",VLOOKUP($A14,TableHandbook[],4,FALSE)),"")</f>
        <v>Primary Professional Experience 2: Assessment and Reporting</v>
      </c>
      <c r="E14" s="264" t="str">
        <f>IF(A14="","",E13)</f>
        <v>SSP2</v>
      </c>
      <c r="F14" s="266" t="str">
        <f>IFERROR(IF(VLOOKUP($A14,TableHandbook[],6,FALSE)=0,"",VLOOKUP($A14,TableHandbook[],6,FALSE)),"")</f>
        <v>EDPR5000</v>
      </c>
      <c r="G14" s="264">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0"/>
      <c r="Q14" s="269">
        <v>5</v>
      </c>
      <c r="R14" s="270"/>
      <c r="S14" s="270"/>
      <c r="T14" s="271"/>
      <c r="U14" s="271"/>
      <c r="V14" s="271"/>
      <c r="W14" s="271"/>
      <c r="X14" s="271"/>
      <c r="Y14" s="271"/>
      <c r="Z14" s="271"/>
      <c r="AA14" s="271"/>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271"/>
    </row>
    <row r="16" spans="1:27" s="20" customFormat="1" ht="21" customHeight="1" x14ac:dyDescent="0.15">
      <c r="A16" s="263" t="str">
        <f>IFERROR(IF(HLOOKUP($P$6,RangeUnitsetsGDEDUC,Q16,FALSE)=0,"",HLOOKUP($P$6,RangeUnitsetsGDEDUC,Q16,FALSE)),"")</f>
        <v>EDUC6062</v>
      </c>
      <c r="B16" s="278">
        <f>IFERROR(IF(VLOOKUP($A16,TableHandbook[],2,FALSE)=0,"",VLOOKUP($A16,TableHandbook[],2,FALSE)),"")</f>
        <v>1</v>
      </c>
      <c r="C16" s="278" t="str">
        <f>IFERROR(IF(VLOOKUP($A16,TableHandbook[],3,FALSE)=0,"",VLOOKUP($A16,TableHandbook[],3,FALSE)),"")</f>
        <v/>
      </c>
      <c r="D16" s="265" t="str">
        <f>IFERROR(IF(VLOOKUP($A16,TableHandbook[],4,FALSE)=0,"",VLOOKUP($A16,TableHandbook[],4,FALSE)),"")</f>
        <v>Professional Experience 3: Using Data to Inform Teaching and Learning</v>
      </c>
      <c r="E16" s="264" t="str">
        <f>IF(OR(A16="",A16="--"),"",VLOOKUP($D$7,TableStudyPeriods[],4,FALSE))</f>
        <v>SSP3</v>
      </c>
      <c r="F16" s="266" t="str">
        <f>IFERROR(IF(VLOOKUP($A16,TableHandbook[],6,FALSE)=0,"",VLOOKUP($A16,TableHandbook[],6,FALSE)),"")</f>
        <v>EDEC5001 or EDPR5001 or EDSC5029</v>
      </c>
      <c r="G16" s="278">
        <f>IFERROR(IF(VLOOKUP($A16,TableHandbook[],5,FALSE)=0,"",VLOOKUP($A16,TableHandbook[],5,FALSE)),"")</f>
        <v>25</v>
      </c>
      <c r="H16" s="279" t="str">
        <f>IFERROR(VLOOKUP($A16,TableHandbook[],H$2,FALSE),"")</f>
        <v>Y</v>
      </c>
      <c r="I16" s="280" t="str">
        <f>IFERROR(VLOOKUP($A16,TableHandbook[],I$2,FALSE),"")</f>
        <v>Y</v>
      </c>
      <c r="J16" s="279" t="str">
        <f>IFERROR(VLOOKUP($A16,TableHandbook[],J$2,FALSE),"")</f>
        <v/>
      </c>
      <c r="K16" s="280" t="str">
        <f>IFERROR(VLOOKUP($A16,TableHandbook[],K$2,FALSE),"")</f>
        <v/>
      </c>
      <c r="L16" s="279" t="str">
        <f>IFERROR(VLOOKUP($A16,TableHandbook[],L$2,FALSE),"")</f>
        <v>Y</v>
      </c>
      <c r="M16" s="280" t="str">
        <f>IFERROR(VLOOKUP($A16,TableHandbook[],M$2,FALSE),"")</f>
        <v>Y</v>
      </c>
      <c r="N16" s="279" t="str">
        <f>IFERROR(VLOOKUP($A16,TableHandbook[],N$2,FALSE),"")</f>
        <v/>
      </c>
      <c r="O16" s="280" t="str">
        <f>IFERROR(VLOOKUP($A16,TableHandbook[],O$2,FALSE),"")</f>
        <v/>
      </c>
      <c r="P16" s="31"/>
      <c r="Q16" s="269">
        <v>6</v>
      </c>
      <c r="R16" s="270"/>
      <c r="S16" s="270"/>
      <c r="T16" s="271"/>
      <c r="U16" s="271"/>
      <c r="V16" s="271"/>
      <c r="W16" s="271"/>
      <c r="X16" s="271"/>
      <c r="Y16" s="271"/>
      <c r="Z16" s="271"/>
      <c r="AA16" s="271"/>
    </row>
    <row r="17" spans="1:27" s="23" customFormat="1" ht="21" customHeight="1" x14ac:dyDescent="0.15">
      <c r="A17" s="263" t="str">
        <f>IFERROR(IF(HLOOKUP($P$6,RangeUnitsetsGDEDUC,Q17,FALSE)=0,"",HLOOKUP($P$6,RangeUnitsetsGDEDUC,Q17,FALSE)),"")</f>
        <v>EDUC5031</v>
      </c>
      <c r="B17" s="278">
        <f>IFERROR(IF(VLOOKUP($A17,TableHandbook[],2,FALSE)=0,"",VLOOKUP($A17,TableHandbook[],2,FALSE)),"")</f>
        <v>1</v>
      </c>
      <c r="C17" s="278" t="str">
        <f>IFERROR(IF(VLOOKUP($A17,TableHandbook[],3,FALSE)=0,"",VLOOKUP($A17,TableHandbook[],3,FALSE)),"")</f>
        <v/>
      </c>
      <c r="D17" s="265" t="str">
        <f>IFERROR(IF(VLOOKUP($A17,TableHandbook[],4,FALSE)=0,"",VLOOKUP($A17,TableHandbook[],4,FALSE)),"")</f>
        <v>Introduction to English: Reading</v>
      </c>
      <c r="E17" s="264" t="str">
        <f>IF(A17="","",E16)</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7</v>
      </c>
      <c r="R17" s="281"/>
      <c r="S17" s="281"/>
      <c r="T17" s="282"/>
      <c r="U17" s="282"/>
      <c r="V17" s="282"/>
      <c r="W17" s="282"/>
      <c r="X17" s="282"/>
      <c r="Y17" s="282"/>
      <c r="Z17" s="282"/>
      <c r="AA17" s="28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271"/>
    </row>
    <row r="19" spans="1:27" s="23" customFormat="1" ht="21" customHeight="1" x14ac:dyDescent="0.15">
      <c r="A19" s="263" t="str">
        <f>IFERROR(IF(HLOOKUP($P$6,RangeUnitsetsGDEDUC,Q19,FALSE)=0,"",HLOOKUP($P$6,RangeUnitsetsGDEDUC,Q19,FALSE)),"")</f>
        <v>EDPR5003</v>
      </c>
      <c r="B19" s="278">
        <f>IFERROR(IF(VLOOKUP($A19,TableHandbook[],2,FALSE)=0,"",VLOOKUP($A19,TableHandbook[],2,FALSE)),"")</f>
        <v>1</v>
      </c>
      <c r="C19" s="278" t="str">
        <f>IFERROR(IF(VLOOKUP($A19,TableHandbook[],3,FALSE)=0,"",VLOOKUP($A19,TableHandbook[],3,FALSE)),"")</f>
        <v/>
      </c>
      <c r="D19" s="265" t="str">
        <f>IFERROR(IF(VLOOKUP($A19,TableHandbook[],4,FALSE)=0,"",VLOOKUP($A19,TableHandbook[],4,FALSE)),"")</f>
        <v>Teaching Number, Algebra and Probability in the Primary Years</v>
      </c>
      <c r="E19" s="264" t="str">
        <f>IF(OR(A19="",A19="--"),"",VLOOKUP($D$7,TableStudyPeriods[],5,FALSE))</f>
        <v>SSP4</v>
      </c>
      <c r="F19" s="266" t="str">
        <f>IFERROR(IF(VLOOKUP($A19,TableHandbook[],6,FALSE)=0,"",VLOOKUP($A19,TableHandbook[],6,FALSE)),"")</f>
        <v>Nil</v>
      </c>
      <c r="G19" s="278">
        <f>IFERROR(IF(VLOOKUP($A19,TableHandbook[],5,FALSE)=0,"",VLOOKUP($A19,TableHandbook[],5,FALSE)),"")</f>
        <v>25</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Y</v>
      </c>
      <c r="O19" s="280" t="str">
        <f>IFERROR(VLOOKUP($A19,TableHandbook[],O$2,FALSE),"")</f>
        <v>Y</v>
      </c>
      <c r="P19" s="31"/>
      <c r="Q19" s="269">
        <v>8</v>
      </c>
      <c r="R19" s="281"/>
      <c r="S19" s="281"/>
      <c r="T19" s="282"/>
      <c r="U19" s="282"/>
      <c r="V19" s="282"/>
      <c r="W19" s="282"/>
      <c r="X19" s="282"/>
      <c r="Y19" s="282"/>
      <c r="Z19" s="282"/>
      <c r="AA19" s="282"/>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312" t="str">
        <f>IFERROR(IF(VLOOKUP($A20,TableHandbook[],4,FALSE)=0,"",VLOOKUP($A20,TableHandbook[],4,FALSE)),"")</f>
        <v>Creative Technologies</v>
      </c>
      <c r="E20" s="278" t="str">
        <f>IF(A20="","",E19)</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9</v>
      </c>
      <c r="R20" s="281"/>
      <c r="S20" s="281"/>
      <c r="T20" s="282"/>
      <c r="U20" s="282"/>
      <c r="V20" s="282"/>
      <c r="W20" s="282"/>
      <c r="X20" s="282"/>
      <c r="Y20" s="282"/>
      <c r="Z20" s="282"/>
      <c r="AA20" s="28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231"/>
    </row>
    <row r="22" spans="1:27" s="16" customFormat="1" ht="18" x14ac:dyDescent="0.25">
      <c r="A22" s="333" t="s">
        <v>35</v>
      </c>
      <c r="B22" s="333"/>
      <c r="C22" s="333"/>
      <c r="D22" s="333"/>
      <c r="E22" s="333"/>
      <c r="F22" s="333"/>
      <c r="G22" s="333"/>
      <c r="H22" s="333"/>
      <c r="I22" s="333"/>
      <c r="J22" s="333"/>
      <c r="K22" s="333"/>
      <c r="L22" s="333"/>
      <c r="M22" s="333"/>
      <c r="N22" s="333"/>
      <c r="O22" s="333"/>
      <c r="P22" s="333"/>
      <c r="Q22" s="297"/>
      <c r="R22" s="231"/>
      <c r="S22" s="231"/>
      <c r="T22" s="231"/>
      <c r="U22" s="231"/>
      <c r="V22" s="231"/>
      <c r="W22" s="231"/>
      <c r="X22" s="231"/>
      <c r="Y22" s="231"/>
      <c r="Z22" s="231"/>
      <c r="AA22" s="231"/>
    </row>
    <row r="23" spans="1:27" s="25" customFormat="1" ht="17.25" x14ac:dyDescent="0.2">
      <c r="A23" s="117" t="s">
        <v>36</v>
      </c>
      <c r="B23" s="117"/>
      <c r="C23" s="117"/>
      <c r="D23" s="118"/>
      <c r="E23" s="118"/>
      <c r="F23" s="118"/>
      <c r="G23" s="118"/>
      <c r="H23" s="118"/>
      <c r="I23" s="118"/>
      <c r="J23" s="118"/>
      <c r="K23" s="118"/>
      <c r="L23" s="118"/>
      <c r="M23" s="118"/>
      <c r="N23" s="118"/>
      <c r="O23" s="118"/>
      <c r="P23" s="118"/>
      <c r="Q23" s="290"/>
      <c r="R23" s="290"/>
      <c r="S23" s="290"/>
      <c r="T23" s="291"/>
      <c r="U23" s="291"/>
      <c r="V23" s="291"/>
      <c r="W23" s="291"/>
      <c r="X23" s="291"/>
      <c r="Y23" s="291"/>
      <c r="Z23" s="291"/>
      <c r="AA23" s="291"/>
    </row>
    <row r="24" spans="1:27" x14ac:dyDescent="0.25">
      <c r="A24" s="292" t="s">
        <v>37</v>
      </c>
      <c r="B24" s="292"/>
      <c r="C24" s="292"/>
      <c r="D24" s="292"/>
      <c r="E24" s="293"/>
      <c r="F24" s="289"/>
      <c r="G24" s="294"/>
      <c r="H24" s="294"/>
      <c r="I24" s="294"/>
      <c r="J24" s="294"/>
      <c r="K24" s="294"/>
      <c r="L24" s="294"/>
      <c r="M24" s="294"/>
      <c r="N24" s="294"/>
      <c r="O24" s="294"/>
      <c r="P24" s="294" t="s">
        <v>38</v>
      </c>
      <c r="Q24" s="231"/>
      <c r="R24" s="231"/>
      <c r="S24" s="231"/>
      <c r="T24" s="231"/>
      <c r="U24" s="231"/>
      <c r="V24" s="231"/>
      <c r="W24" s="231"/>
      <c r="X24" s="231"/>
      <c r="Y24" s="231"/>
      <c r="Z24" s="231"/>
      <c r="AA24" s="231"/>
    </row>
    <row r="25" spans="1:27" x14ac:dyDescent="0.25">
      <c r="A25" s="237"/>
      <c r="B25" s="237"/>
      <c r="C25" s="237"/>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x14ac:dyDescent="0.25">
      <c r="A26" s="237"/>
      <c r="B26" s="237"/>
      <c r="C26" s="237"/>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1:27" x14ac:dyDescent="0.25">
      <c r="A27" s="237"/>
      <c r="B27" s="237"/>
      <c r="C27" s="237"/>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sheetData>
  <sheetProtection formatCells="0"/>
  <mergeCells count="1">
    <mergeCell ref="A3:D3"/>
  </mergeCells>
  <conditionalFormatting sqref="A10:Q20">
    <cfRule type="expression" dxfId="406" priority="1">
      <formula>LEFT($A10,4)="GDTA"</formula>
    </cfRule>
  </conditionalFormatting>
  <conditionalFormatting sqref="D5:D7">
    <cfRule type="containsText" dxfId="405"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20.100000000000001"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20.100000000000001" customHeight="1" x14ac:dyDescent="0.25">
      <c r="A6" s="237"/>
      <c r="B6" s="238"/>
      <c r="C6" s="239" t="s">
        <v>13</v>
      </c>
      <c r="D6" s="244" t="s">
        <v>231</v>
      </c>
      <c r="E6" s="241"/>
      <c r="F6" s="239" t="s">
        <v>15</v>
      </c>
      <c r="G6" s="246" t="str">
        <f>IFERROR(CONCATENATE(VLOOKUP(D6,TableMajorsGDEDUC[],2,FALSE)," ",VLOOKUP(D6,TableMajorsGDEDUC[],3,FALSE)),"")</f>
        <v>MJRP-EDUSC v.1</v>
      </c>
      <c r="H6" s="302"/>
      <c r="I6" s="241"/>
      <c r="J6" s="241"/>
      <c r="K6" s="241"/>
      <c r="L6" s="241"/>
      <c r="M6" s="241"/>
      <c r="N6" s="241"/>
      <c r="O6" s="241"/>
      <c r="P6" s="304" t="str">
        <f>CONCATENATE(VLOOKUP(D6,TableMajorsGDEDUC[],2,FALSE),VLOOKUP(D8,TableStudyPeriods[],2,FALSE))</f>
        <v>MJRP-EDUSCSSP1</v>
      </c>
      <c r="Q6" s="297"/>
      <c r="R6" s="231"/>
      <c r="S6" s="231"/>
      <c r="T6" s="231"/>
      <c r="U6" s="231"/>
      <c r="V6" s="231"/>
      <c r="W6" s="231"/>
      <c r="X6" s="231"/>
      <c r="Y6" s="231"/>
      <c r="Z6" s="231"/>
      <c r="AA6" s="231"/>
    </row>
    <row r="7" spans="1:27" ht="20.100000000000001" customHeight="1" x14ac:dyDescent="0.25">
      <c r="A7" s="237"/>
      <c r="B7" s="238"/>
      <c r="C7" s="239" t="s">
        <v>232</v>
      </c>
      <c r="D7" s="337" t="s">
        <v>304</v>
      </c>
      <c r="E7" s="241"/>
      <c r="F7" s="239" t="s">
        <v>233</v>
      </c>
      <c r="G7" s="246" t="str">
        <f>IFERROR(CONCATENATE(VLOOKUP(D7,#REF!,2,FALSE)," ",VLOOKUP(D7,#REF!,3,FALSE)),"")</f>
        <v/>
      </c>
      <c r="H7" s="302"/>
      <c r="I7" s="241"/>
      <c r="J7" s="241"/>
      <c r="K7" s="241"/>
      <c r="L7" s="241"/>
      <c r="M7" s="241"/>
      <c r="N7" s="241"/>
      <c r="O7" s="241"/>
      <c r="P7" s="304" t="e">
        <f>VLOOKUP(D7,TableTeachingArea1[],2,FALSE)</f>
        <v>#N/A</v>
      </c>
      <c r="Q7" s="297"/>
      <c r="R7" s="231"/>
      <c r="S7" s="231"/>
      <c r="T7" s="231"/>
      <c r="U7" s="231"/>
      <c r="V7" s="231"/>
      <c r="W7" s="231"/>
      <c r="X7" s="231"/>
      <c r="Y7" s="231"/>
      <c r="Z7" s="231"/>
      <c r="AA7" s="231"/>
    </row>
    <row r="8" spans="1:27" ht="20.100000000000001" customHeight="1" x14ac:dyDescent="0.25">
      <c r="A8" s="246"/>
      <c r="B8" s="247"/>
      <c r="C8" s="239" t="s">
        <v>16</v>
      </c>
      <c r="D8" s="248" t="s">
        <v>17</v>
      </c>
      <c r="E8" s="249"/>
      <c r="F8" s="239" t="s">
        <v>18</v>
      </c>
      <c r="G8" s="241" t="str">
        <f>IFERROR(VLOOKUP($D$5,TableCourses[],4,FALSE),"")</f>
        <v>200 credit points required</v>
      </c>
      <c r="H8" s="250"/>
      <c r="I8" s="250"/>
      <c r="J8" s="250"/>
      <c r="K8" s="250"/>
      <c r="L8" s="250"/>
      <c r="M8" s="250"/>
      <c r="N8" s="250"/>
      <c r="O8" s="250"/>
      <c r="P8" s="304" t="str">
        <f>IFERROR(CONCATENATE("DDGD",MID(G6,6,5)),"")</f>
        <v>DDGDEDUSC</v>
      </c>
      <c r="Q8" s="297"/>
      <c r="R8" s="231"/>
      <c r="S8" s="231"/>
      <c r="T8" s="231"/>
      <c r="U8" s="231"/>
      <c r="V8" s="231"/>
      <c r="W8" s="231"/>
      <c r="X8" s="231"/>
      <c r="Y8" s="231"/>
      <c r="Z8" s="231"/>
      <c r="AA8" s="231"/>
    </row>
    <row r="9" spans="1:27" s="18" customFormat="1" ht="14.1" customHeight="1" x14ac:dyDescent="0.25">
      <c r="A9" s="252"/>
      <c r="B9" s="252"/>
      <c r="C9" s="252"/>
      <c r="D9" s="253"/>
      <c r="E9" s="254"/>
      <c r="F9" s="252"/>
      <c r="G9" s="252"/>
      <c r="H9" s="255" t="s">
        <v>19</v>
      </c>
      <c r="I9" s="256"/>
      <c r="J9" s="256"/>
      <c r="K9" s="256"/>
      <c r="L9" s="256"/>
      <c r="M9" s="256"/>
      <c r="N9" s="256"/>
      <c r="O9" s="257"/>
      <c r="P9" s="254"/>
      <c r="Q9" s="285"/>
      <c r="R9" s="258"/>
      <c r="S9" s="258"/>
      <c r="T9" s="259"/>
      <c r="U9" s="259"/>
      <c r="V9" s="259"/>
      <c r="W9" s="259"/>
      <c r="X9" s="259"/>
      <c r="Y9" s="259"/>
      <c r="Z9" s="259"/>
      <c r="AA9" s="259"/>
    </row>
    <row r="10" spans="1:27" s="18" customFormat="1" ht="31.5" x14ac:dyDescent="0.25">
      <c r="A10" s="252" t="s">
        <v>20</v>
      </c>
      <c r="B10" s="252"/>
      <c r="C10" s="252"/>
      <c r="D10" s="253" t="s">
        <v>3</v>
      </c>
      <c r="E10" s="260" t="s">
        <v>21</v>
      </c>
      <c r="F10" s="252" t="s">
        <v>43</v>
      </c>
      <c r="G10" s="252" t="s">
        <v>23</v>
      </c>
      <c r="H10" s="261" t="s">
        <v>24</v>
      </c>
      <c r="I10" s="262" t="s">
        <v>25</v>
      </c>
      <c r="J10" s="261" t="s">
        <v>26</v>
      </c>
      <c r="K10" s="262" t="s">
        <v>27</v>
      </c>
      <c r="L10" s="261" t="s">
        <v>28</v>
      </c>
      <c r="M10" s="262" t="s">
        <v>29</v>
      </c>
      <c r="N10" s="261" t="s">
        <v>30</v>
      </c>
      <c r="O10" s="262" t="s">
        <v>31</v>
      </c>
      <c r="P10" s="252" t="s">
        <v>32</v>
      </c>
      <c r="Q10" s="285"/>
      <c r="R10" s="258"/>
      <c r="S10" s="258"/>
      <c r="T10" s="259"/>
      <c r="U10" s="259"/>
      <c r="V10" s="259"/>
      <c r="W10" s="259"/>
      <c r="X10" s="259"/>
      <c r="Y10" s="259"/>
      <c r="Z10" s="259"/>
      <c r="AA10" s="259"/>
    </row>
    <row r="11" spans="1:27" s="20" customFormat="1" ht="21" customHeight="1" x14ac:dyDescent="0.15">
      <c r="A11" s="263" t="str">
        <f>IFERROR(IF(HLOOKUP($P$6,RangeUnitsetsGDEDUC,Q11,FALSE)=0,"",HLOOKUP($P$6,RangeUnitsetsGDEDUC,Q11,FALSE)),"")</f>
        <v>EDSC5035</v>
      </c>
      <c r="B11" s="264">
        <f>IFERROR(IF(VLOOKUP($A11,TableHandbook[],2,FALSE)=0,"",VLOOKUP($A11,TableHandbook[],2,FALSE)),"")</f>
        <v>1</v>
      </c>
      <c r="C11" s="264" t="str">
        <f>IFERROR(IF(VLOOKUP($A11,TableHandbook[],3,FALSE)=0,"",VLOOKUP($A11,TableHandbook[],3,FALSE)),"")</f>
        <v/>
      </c>
      <c r="D11" s="265" t="str">
        <f>IFERROR(IF(VLOOKUP($A11,TableHandbook[],4,FALSE)=0,"",VLOOKUP($A11,TableHandbook[],4,FALSE)),"")</f>
        <v>Teaching in the Secondary School</v>
      </c>
      <c r="E11" s="264" t="str">
        <f>IF(OR(A11="",A11="--"),"",VLOOKUP($D$8,TableStudyPeriods[],2,FALSE))</f>
        <v>SSP1</v>
      </c>
      <c r="F11" s="266" t="str">
        <f>IFERROR(IF(VLOOKUP($A11,TableHandbook[],6,FALSE)=0,"",VLOOKUP($A11,TableHandbook[],6,FALSE)),"")</f>
        <v>Nil</v>
      </c>
      <c r="G11" s="264" t="str">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2</v>
      </c>
      <c r="R11" s="270"/>
      <c r="S11" s="270"/>
      <c r="T11" s="271"/>
      <c r="U11" s="271"/>
      <c r="V11" s="271"/>
      <c r="W11" s="271"/>
      <c r="X11" s="271"/>
      <c r="Y11" s="271"/>
      <c r="Z11" s="271"/>
      <c r="AA11" s="271"/>
    </row>
    <row r="12" spans="1:27" s="20" customFormat="1" ht="21" customHeight="1" x14ac:dyDescent="0.15">
      <c r="A12" s="305" t="str">
        <f>IFERROR(IF(HLOOKUP($P$6,RangeUnitsetsGDEDUC,Q12,FALSE)=0,"",HLOOKUP($P$6,RangeUnitsetsGDEDUC,Q12,FALSE)),"")</f>
        <v>EDSC5028</v>
      </c>
      <c r="B12" s="264">
        <f>IFERROR(IF(VLOOKUP($A12,TableHandbook[],2,FALSE)=0,"",VLOOKUP($A12,TableHandbook[],2,FALSE)),"")</f>
        <v>1</v>
      </c>
      <c r="C12" s="264" t="str">
        <f>IFERROR(IF(VLOOKUP($A12,TableHandbook[],3,FALSE)=0,"",VLOOKUP($A12,TableHandbook[],3,FALSE)),"")</f>
        <v/>
      </c>
      <c r="D12" s="265" t="str">
        <f>IFERROR(IF(VLOOKUP($A12,TableHandbook[],4,FALSE)=0,"",VLOOKUP($A12,TableHandbook[],4,FALSE)),"")</f>
        <v>Secondary Professional Experience 1: Planning</v>
      </c>
      <c r="E12" s="264" t="str">
        <f>IF(A12="","",E11)</f>
        <v>SSP1</v>
      </c>
      <c r="F12" s="266" t="str">
        <f>IFERROR(IF(VLOOKUP($A12,TableHandbook[],6,FALSE)=0,"",VLOOKUP($A12,TableHandbook[],6,FALSE)),"")</f>
        <v>Nil</v>
      </c>
      <c r="G12" s="264" t="str">
        <f>IFERROR(IF(VLOOKUP($A12,TableHandbook[],5,FALSE)=0,"",VLOOKUP($A12,TableHandbook[],5,FALSE)),"")</f>
        <v>25</v>
      </c>
      <c r="H12" s="267" t="str">
        <f>IFERROR(VLOOKUP($A12,TableHandbook[],H$2,FALSE),"")</f>
        <v>Y</v>
      </c>
      <c r="I12" s="268" t="str">
        <f>IFERROR(VLOOKUP($A12,TableHandbook[],I$2,FALSE),"")</f>
        <v>Y</v>
      </c>
      <c r="J12" s="267" t="str">
        <f>IFERROR(VLOOKUP($A12,TableHandbook[],J$2,FALSE),"")</f>
        <v>Y</v>
      </c>
      <c r="K12" s="268" t="str">
        <f>IFERROR(VLOOKUP($A12,TableHandbook[],K$2,FALSE),"")</f>
        <v>Y</v>
      </c>
      <c r="L12" s="267" t="str">
        <f>IFERROR(VLOOKUP($A12,TableHandbook[],L$2,FALSE),"")</f>
        <v/>
      </c>
      <c r="M12" s="268" t="str">
        <f>IFERROR(VLOOKUP($A12,TableHandbook[],M$2,FALSE),"")</f>
        <v/>
      </c>
      <c r="N12" s="267" t="str">
        <f>IFERROR(VLOOKUP($A12,TableHandbook[],N$2,FALSE),"")</f>
        <v/>
      </c>
      <c r="O12" s="268" t="str">
        <f>IFERROR(VLOOKUP($A12,TableHandbook[],O$2,FALSE),"")</f>
        <v/>
      </c>
      <c r="P12" s="30"/>
      <c r="Q12" s="269">
        <v>3</v>
      </c>
      <c r="R12" s="270"/>
      <c r="S12" s="270"/>
      <c r="T12" s="271"/>
      <c r="U12" s="271"/>
      <c r="V12" s="271"/>
      <c r="W12" s="271"/>
      <c r="X12" s="271"/>
      <c r="Y12" s="271"/>
      <c r="Z12" s="271"/>
      <c r="AA12" s="271"/>
    </row>
    <row r="13" spans="1:27" s="20" customFormat="1" ht="6" customHeight="1" x14ac:dyDescent="0.15">
      <c r="A13" s="272"/>
      <c r="B13" s="273"/>
      <c r="C13" s="273"/>
      <c r="D13" s="274"/>
      <c r="E13" s="273"/>
      <c r="F13" s="275"/>
      <c r="G13" s="273"/>
      <c r="H13" s="276"/>
      <c r="I13" s="277"/>
      <c r="J13" s="276"/>
      <c r="K13" s="277"/>
      <c r="L13" s="276"/>
      <c r="M13" s="277"/>
      <c r="N13" s="276"/>
      <c r="O13" s="277"/>
      <c r="P13" s="116"/>
      <c r="Q13" s="269"/>
      <c r="R13" s="270"/>
      <c r="S13" s="270"/>
      <c r="T13" s="270"/>
      <c r="U13" s="271"/>
      <c r="V13" s="271"/>
      <c r="W13" s="271"/>
      <c r="X13" s="271"/>
      <c r="Y13" s="271"/>
      <c r="Z13" s="271"/>
      <c r="AA13" s="271"/>
    </row>
    <row r="14" spans="1:27" s="20" customFormat="1" ht="21" customHeight="1" x14ac:dyDescent="0.15">
      <c r="A14" s="263" t="str">
        <f>IFERROR(IF(HLOOKUP($P$6,RangeUnitsetsGDEDUC,Q14,FALSE)=0,"",HLOOKUP($P$6,RangeUnitsetsGDEDUC,Q14,FALSE)),"")</f>
        <v>EDSC5029</v>
      </c>
      <c r="B14" s="264">
        <f>IFERROR(IF(VLOOKUP($A14,TableHandbook[],2,FALSE)=0,"",VLOOKUP($A14,TableHandbook[],2,FALSE)),"")</f>
        <v>1</v>
      </c>
      <c r="C14" s="264" t="str">
        <f>IFERROR(IF(VLOOKUP($A14,TableHandbook[],3,FALSE)=0,"",VLOOKUP($A14,TableHandbook[],3,FALSE)),"")</f>
        <v/>
      </c>
      <c r="D14" s="265" t="str">
        <f>IFERROR(IF(VLOOKUP($A14,TableHandbook[],4,FALSE)=0,"",VLOOKUP($A14,TableHandbook[],4,FALSE)),"")</f>
        <v>Secondary Professional Experience 2: Assessment and Reporting</v>
      </c>
      <c r="E14" s="264" t="str">
        <f>IF(OR(A14="",A14="--"),"",VLOOKUP($D$8,TableStudyPeriods[],3,FALSE))</f>
        <v>SSP2</v>
      </c>
      <c r="F14" s="266" t="str">
        <f>IFERROR(IF(VLOOKUP($A14,TableHandbook[],6,FALSE)=0,"",VLOOKUP($A14,TableHandbook[],6,FALSE)),"")</f>
        <v>EDSC5028</v>
      </c>
      <c r="G14" s="264" t="str">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1"/>
      <c r="Q14" s="269">
        <v>4</v>
      </c>
      <c r="R14" s="270"/>
      <c r="S14" s="270"/>
      <c r="T14" s="271"/>
      <c r="U14" s="271"/>
      <c r="V14" s="271"/>
      <c r="W14" s="271"/>
      <c r="X14" s="271"/>
      <c r="Y14" s="271"/>
      <c r="Z14" s="271"/>
      <c r="AA14" s="271"/>
    </row>
    <row r="15" spans="1:27" s="20" customFormat="1" ht="21" customHeight="1" x14ac:dyDescent="0.15">
      <c r="A15" s="263" t="str">
        <f>IFERROR(IF(HLOOKUP($P$6,RangeUnitsetsGDEDUC,Q15,FALSE)=0,"",HLOOKUP($P$6,RangeUnitsetsGDEDUC,Q15,FALSE)),"")</f>
        <v>GDTAL</v>
      </c>
      <c r="B15" s="264" t="str">
        <f>IFERROR(IF(VLOOKUP($A15,TableHandbook[],2,FALSE)=0,"",VLOOKUP($A15,TableHandbook[],2,FALSE)),"")</f>
        <v/>
      </c>
      <c r="C15" s="264" t="str">
        <f>IFERROR(IF(VLOOKUP($A15,TableHandbook[],3,FALSE)=0,"",VLOOKUP($A15,TableHandbook[],3,FALSE)),"")</f>
        <v/>
      </c>
      <c r="D15" s="265" t="str">
        <f>IFERROR(IF(VLOOKUP($A15,TableHandbook[],4,FALSE)=0,"",VLOOKUP($A15,TableHandbook[],4,FALSE)),"")</f>
        <v>Teaching Area LOWER subject (see below)</v>
      </c>
      <c r="E15" s="264" t="str">
        <f>IF(A15="","",E14)</f>
        <v>SSP2</v>
      </c>
      <c r="F15" s="266" t="str">
        <f>IFERROR(IF(VLOOKUP($A15,TableHandbook[],6,FALSE)=0,"",VLOOKUP($A15,TableHandbook[],6,FALSE)),"")</f>
        <v>See below</v>
      </c>
      <c r="G15" s="264">
        <f>IFERROR(IF(VLOOKUP($A15,TableHandbook[],5,FALSE)=0,"",VLOOKUP($A15,TableHandbook[],5,FALSE)),"")</f>
        <v>25</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0"/>
      <c r="Q15" s="269">
        <v>5</v>
      </c>
      <c r="R15" s="270"/>
      <c r="S15" s="270"/>
      <c r="T15" s="271"/>
      <c r="U15" s="271"/>
      <c r="V15" s="271"/>
      <c r="W15" s="271"/>
      <c r="X15" s="271"/>
      <c r="Y15" s="271"/>
      <c r="Z15" s="271"/>
      <c r="AA15" s="271"/>
    </row>
    <row r="16" spans="1:27" s="20" customFormat="1" ht="6" customHeight="1" x14ac:dyDescent="0.15">
      <c r="A16" s="272"/>
      <c r="B16" s="273"/>
      <c r="C16" s="273"/>
      <c r="D16" s="274"/>
      <c r="E16" s="273"/>
      <c r="F16" s="275"/>
      <c r="G16" s="273"/>
      <c r="H16" s="276"/>
      <c r="I16" s="277"/>
      <c r="J16" s="276"/>
      <c r="K16" s="277"/>
      <c r="L16" s="276"/>
      <c r="M16" s="277"/>
      <c r="N16" s="276"/>
      <c r="O16" s="277"/>
      <c r="P16" s="116"/>
      <c r="Q16" s="269"/>
      <c r="R16" s="270"/>
      <c r="S16" s="270"/>
      <c r="T16" s="270"/>
      <c r="U16" s="271"/>
      <c r="V16" s="271"/>
      <c r="W16" s="271"/>
      <c r="X16" s="271"/>
      <c r="Y16" s="271"/>
      <c r="Z16" s="271"/>
      <c r="AA16" s="271"/>
    </row>
    <row r="17" spans="1:27" s="20" customFormat="1" ht="21" customHeight="1" x14ac:dyDescent="0.15">
      <c r="A17" s="263" t="str">
        <f>IFERROR(IF(HLOOKUP($P$6,RangeUnitsetsGDEDUC,Q17,FALSE)=0,"",HLOOKUP($P$6,RangeUnitsetsGDEDUC,Q17,FALSE)),"")</f>
        <v>EDUC5009</v>
      </c>
      <c r="B17" s="278">
        <f>IFERROR(IF(VLOOKUP($A17,TableHandbook[],2,FALSE)=0,"",VLOOKUP($A17,TableHandbook[],2,FALSE)),"")</f>
        <v>1</v>
      </c>
      <c r="C17" s="278" t="str">
        <f>IFERROR(IF(VLOOKUP($A17,TableHandbook[],3,FALSE)=0,"",VLOOKUP($A17,TableHandbook[],3,FALSE)),"")</f>
        <v/>
      </c>
      <c r="D17" s="265" t="str">
        <f>IFERROR(IF(VLOOKUP($A17,TableHandbook[],4,FALSE)=0,"",VLOOKUP($A17,TableHandbook[],4,FALSE)),"")</f>
        <v>Pedagogies for Diversity</v>
      </c>
      <c r="E17" s="264" t="str">
        <f>IF(OR(A17="",A17="--"),"",VLOOKUP($D$8,TableStudyPeriods[],4,FALSE))</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6</v>
      </c>
      <c r="R17" s="270"/>
      <c r="S17" s="270"/>
      <c r="T17" s="271"/>
      <c r="U17" s="271"/>
      <c r="V17" s="271"/>
      <c r="W17" s="271"/>
      <c r="X17" s="271"/>
      <c r="Y17" s="271"/>
      <c r="Z17" s="271"/>
      <c r="AA17" s="271"/>
    </row>
    <row r="18" spans="1:27" s="23" customFormat="1" ht="21" customHeight="1" x14ac:dyDescent="0.15">
      <c r="A18" s="263" t="str">
        <f>IFERROR(IF(HLOOKUP($P$6,RangeUnitsetsGDEDUC,Q18,FALSE)=0,"",HLOOKUP($P$6,RangeUnitsetsGDEDUC,Q18,FALSE)),"")</f>
        <v>EDUC6062</v>
      </c>
      <c r="B18" s="278">
        <f>IFERROR(IF(VLOOKUP($A18,TableHandbook[],2,FALSE)=0,"",VLOOKUP($A18,TableHandbook[],2,FALSE)),"")</f>
        <v>1</v>
      </c>
      <c r="C18" s="278" t="str">
        <f>IFERROR(IF(VLOOKUP($A18,TableHandbook[],3,FALSE)=0,"",VLOOKUP($A18,TableHandbook[],3,FALSE)),"")</f>
        <v/>
      </c>
      <c r="D18" s="265" t="str">
        <f>IFERROR(IF(VLOOKUP($A18,TableHandbook[],4,FALSE)=0,"",VLOOKUP($A18,TableHandbook[],4,FALSE)),"")</f>
        <v>Professional Experience 3: Using Data to Inform Teaching and Learning</v>
      </c>
      <c r="E18" s="264" t="str">
        <f>IF(A18="","",E17)</f>
        <v>SSP3</v>
      </c>
      <c r="F18" s="266" t="str">
        <f>IFERROR(IF(VLOOKUP($A18,TableHandbook[],6,FALSE)=0,"",VLOOKUP($A18,TableHandbook[],6,FALSE)),"")</f>
        <v>EDEC5001 or EDPR5001 or EDSC5029</v>
      </c>
      <c r="G18" s="278">
        <f>IFERROR(IF(VLOOKUP($A18,TableHandbook[],5,FALSE)=0,"",VLOOKUP($A18,TableHandbook[],5,FALSE)),"")</f>
        <v>25</v>
      </c>
      <c r="H18" s="279" t="str">
        <f>IFERROR(VLOOKUP($A18,TableHandbook[],H$2,FALSE),"")</f>
        <v>Y</v>
      </c>
      <c r="I18" s="280" t="str">
        <f>IFERROR(VLOOKUP($A18,TableHandbook[],I$2,FALSE),"")</f>
        <v>Y</v>
      </c>
      <c r="J18" s="279" t="str">
        <f>IFERROR(VLOOKUP($A18,TableHandbook[],J$2,FALSE),"")</f>
        <v/>
      </c>
      <c r="K18" s="280" t="str">
        <f>IFERROR(VLOOKUP($A18,TableHandbook[],K$2,FALSE),"")</f>
        <v/>
      </c>
      <c r="L18" s="279" t="str">
        <f>IFERROR(VLOOKUP($A18,TableHandbook[],L$2,FALSE),"")</f>
        <v>Y</v>
      </c>
      <c r="M18" s="280" t="str">
        <f>IFERROR(VLOOKUP($A18,TableHandbook[],M$2,FALSE),"")</f>
        <v>Y</v>
      </c>
      <c r="N18" s="279" t="str">
        <f>IFERROR(VLOOKUP($A18,TableHandbook[],N$2,FALSE),"")</f>
        <v/>
      </c>
      <c r="O18" s="280" t="str">
        <f>IFERROR(VLOOKUP($A18,TableHandbook[],O$2,FALSE),"")</f>
        <v/>
      </c>
      <c r="P18" s="31"/>
      <c r="Q18" s="269">
        <v>7</v>
      </c>
      <c r="R18" s="281"/>
      <c r="S18" s="281"/>
      <c r="T18" s="282"/>
      <c r="U18" s="282"/>
      <c r="V18" s="282"/>
      <c r="W18" s="282"/>
      <c r="X18" s="282"/>
      <c r="Y18" s="282"/>
      <c r="Z18" s="282"/>
      <c r="AA18" s="282"/>
    </row>
    <row r="19" spans="1:27" s="20" customFormat="1" ht="6" customHeight="1" x14ac:dyDescent="0.15">
      <c r="A19" s="272"/>
      <c r="B19" s="273"/>
      <c r="C19" s="273"/>
      <c r="D19" s="274"/>
      <c r="E19" s="273"/>
      <c r="F19" s="275"/>
      <c r="G19" s="273"/>
      <c r="H19" s="276"/>
      <c r="I19" s="277"/>
      <c r="J19" s="276"/>
      <c r="K19" s="277"/>
      <c r="L19" s="276"/>
      <c r="M19" s="277"/>
      <c r="N19" s="276"/>
      <c r="O19" s="277"/>
      <c r="P19" s="116"/>
      <c r="Q19" s="269"/>
      <c r="R19" s="270"/>
      <c r="S19" s="270"/>
      <c r="T19" s="270"/>
      <c r="U19" s="271"/>
      <c r="V19" s="271"/>
      <c r="W19" s="271"/>
      <c r="X19" s="271"/>
      <c r="Y19" s="271"/>
      <c r="Z19" s="271"/>
      <c r="AA19" s="271"/>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265" t="str">
        <f>IFERROR(IF(VLOOKUP($A20,TableHandbook[],4,FALSE)=0,"",VLOOKUP($A20,TableHandbook[],4,FALSE)),"")</f>
        <v>Creative Technologies</v>
      </c>
      <c r="E20" s="264" t="str">
        <f>IF(OR(A20="",A20="--"),"",VLOOKUP($D$8,TableStudyPeriods[],5,FALSE))</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8</v>
      </c>
      <c r="R20" s="281"/>
      <c r="S20" s="281"/>
      <c r="T20" s="282"/>
      <c r="U20" s="282"/>
      <c r="V20" s="282"/>
      <c r="W20" s="282"/>
      <c r="X20" s="282"/>
      <c r="Y20" s="282"/>
      <c r="Z20" s="282"/>
      <c r="AA20" s="282"/>
    </row>
    <row r="21" spans="1:27" s="23" customFormat="1" ht="21" customHeight="1" x14ac:dyDescent="0.15">
      <c r="A21" s="263" t="str">
        <f>IFERROR(IF(HLOOKUP($P$6,RangeUnitsetsGDEDUC,Q21,FALSE)=0,"",HLOOKUP($P$6,RangeUnitsetsGDEDUC,Q21,FALSE)),"")</f>
        <v>GDTAS</v>
      </c>
      <c r="B21" s="278" t="str">
        <f>IFERROR(IF(VLOOKUP($A21,TableHandbook[],2,FALSE)=0,"",VLOOKUP($A21,TableHandbook[],2,FALSE)),"")</f>
        <v/>
      </c>
      <c r="C21" s="278" t="str">
        <f>IFERROR(IF(VLOOKUP($A21,TableHandbook[],3,FALSE)=0,"",VLOOKUP($A21,TableHandbook[],3,FALSE)),"")</f>
        <v/>
      </c>
      <c r="D21" s="312" t="str">
        <f>IFERROR(IF(VLOOKUP($A21,TableHandbook[],4,FALSE)=0,"",VLOOKUP($A21,TableHandbook[],4,FALSE)),"")</f>
        <v>Teaching Area SENIOR subject (see below)</v>
      </c>
      <c r="E21" s="278" t="str">
        <f>IF(A21="","",E20)</f>
        <v>SSP4</v>
      </c>
      <c r="F21" s="266" t="str">
        <f>IFERROR(IF(VLOOKUP($A21,TableHandbook[],6,FALSE)=0,"",VLOOKUP($A21,TableHandbook[],6,FALSE)),"")</f>
        <v>See below</v>
      </c>
      <c r="G21" s="278">
        <f>IFERROR(IF(VLOOKUP($A21,TableHandbook[],5,FALSE)=0,"",VLOOKUP($A21,TableHandbook[],5,FALSE)),"")</f>
        <v>25</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9</v>
      </c>
      <c r="R21" s="281"/>
      <c r="S21" s="281"/>
      <c r="T21" s="282"/>
      <c r="U21" s="282"/>
      <c r="V21" s="282"/>
      <c r="W21" s="282"/>
      <c r="X21" s="282"/>
      <c r="Y21" s="282"/>
      <c r="Z21" s="282"/>
      <c r="AA21" s="282"/>
    </row>
    <row r="22" spans="1:27" ht="16.5" customHeight="1" x14ac:dyDescent="0.25">
      <c r="A22" s="287"/>
      <c r="B22" s="287"/>
      <c r="C22" s="287"/>
      <c r="D22" s="288"/>
      <c r="E22" s="288"/>
      <c r="F22" s="289"/>
      <c r="G22" s="289"/>
      <c r="H22" s="289"/>
      <c r="I22" s="289"/>
      <c r="J22" s="289"/>
      <c r="K22" s="289"/>
      <c r="L22" s="289"/>
      <c r="M22" s="289"/>
      <c r="N22" s="289"/>
      <c r="O22" s="289"/>
      <c r="P22" s="289"/>
      <c r="Q22" s="297"/>
      <c r="R22" s="231"/>
      <c r="S22" s="231"/>
      <c r="T22" s="231"/>
      <c r="U22" s="231"/>
      <c r="V22" s="231"/>
      <c r="W22" s="231"/>
      <c r="X22" s="231"/>
      <c r="Y22" s="231"/>
      <c r="Z22" s="231"/>
      <c r="AA22" s="231"/>
    </row>
    <row r="23" spans="1:27" s="27" customFormat="1" ht="25.5" x14ac:dyDescent="0.25">
      <c r="A23" s="313" t="s">
        <v>230</v>
      </c>
      <c r="B23" s="314"/>
      <c r="C23" s="314"/>
      <c r="D23" s="315"/>
      <c r="E23" s="316"/>
      <c r="F23" s="316"/>
      <c r="G23" s="316"/>
      <c r="H23" s="317" t="s">
        <v>19</v>
      </c>
      <c r="I23" s="318"/>
      <c r="J23" s="318"/>
      <c r="K23" s="318"/>
      <c r="L23" s="318"/>
      <c r="M23" s="318"/>
      <c r="N23" s="319"/>
      <c r="O23" s="320"/>
      <c r="P23" s="321"/>
      <c r="Q23" s="297"/>
      <c r="R23" s="334"/>
      <c r="S23" s="334"/>
      <c r="T23" s="334"/>
      <c r="U23" s="334"/>
      <c r="V23" s="334"/>
      <c r="W23" s="334"/>
      <c r="X23" s="334"/>
      <c r="Y23" s="334"/>
      <c r="Z23" s="334"/>
      <c r="AA23" s="334"/>
    </row>
    <row r="24" spans="1:27" ht="21" customHeight="1" x14ac:dyDescent="0.25">
      <c r="A24" s="252"/>
      <c r="B24" s="252"/>
      <c r="C24" s="252"/>
      <c r="D24" s="253" t="s">
        <v>3</v>
      </c>
      <c r="E24" s="260" t="s">
        <v>21</v>
      </c>
      <c r="F24" s="252" t="s">
        <v>43</v>
      </c>
      <c r="G24" s="252" t="s">
        <v>23</v>
      </c>
      <c r="H24" s="261" t="s">
        <v>24</v>
      </c>
      <c r="I24" s="262" t="s">
        <v>25</v>
      </c>
      <c r="J24" s="261" t="s">
        <v>26</v>
      </c>
      <c r="K24" s="262" t="s">
        <v>27</v>
      </c>
      <c r="L24" s="261" t="s">
        <v>28</v>
      </c>
      <c r="M24" s="262" t="s">
        <v>29</v>
      </c>
      <c r="N24" s="261" t="s">
        <v>30</v>
      </c>
      <c r="O24" s="262" t="s">
        <v>31</v>
      </c>
      <c r="P24" s="252" t="s">
        <v>32</v>
      </c>
      <c r="Q24" s="269"/>
      <c r="R24" s="231"/>
      <c r="S24" s="231"/>
      <c r="T24" s="231"/>
      <c r="U24" s="231"/>
      <c r="V24" s="231"/>
      <c r="W24" s="231"/>
      <c r="X24" s="231"/>
      <c r="Y24" s="231"/>
      <c r="Z24" s="231"/>
      <c r="AA24" s="231"/>
    </row>
    <row r="25" spans="1:27" ht="21" customHeight="1" x14ac:dyDescent="0.25">
      <c r="A25" s="322" t="str">
        <f>IFERROR(IF(HLOOKUP($P$6,RangeUnitsetsGDEDUC,Q25,FALSE)=0,"",HLOOKUP($P$6,RangeUnitsetsGDEDUC,Q25,FALSE)),"")</f>
        <v>GDTA</v>
      </c>
      <c r="B25" s="323" t="str">
        <f>IFERROR(IF(VLOOKUP($A25,TableHandbook[],2,FALSE)=0,"",VLOOKUP($A25,TableHandbook[],2,FALSE)),"")</f>
        <v/>
      </c>
      <c r="C25" s="324" t="str">
        <f>IFERROR(IF(VLOOKUP($A25,TableHandbook[],3,FALSE)=0,"",VLOOKUP($A25,TableHandbook[],3,FALSE)),"")</f>
        <v/>
      </c>
      <c r="D25" s="324" t="str">
        <f>IFERROR(IF(VLOOKUP($A25,TableHandbook[],4,FALSE)=0,"",VLOOKUP($A25,TableHandbook[],4,FALSE)),"")</f>
        <v>Teaching Area (study Lower before Senior)</v>
      </c>
      <c r="E25" s="325"/>
      <c r="F25" s="326" t="str">
        <f>IFERROR(IF(VLOOKUP($A25,TableHandbook[],6,FALSE)=0,"",VLOOKUP($A25,TableHandbook[],6,FALSE)),"")</f>
        <v/>
      </c>
      <c r="G25" s="326" t="str">
        <f>IFERROR(IF(VLOOKUP($A25,TableHandbook[],5,FALSE)=0,"",VLOOKUP($A25,TableHandbook[],5,FALSE)),"")</f>
        <v/>
      </c>
      <c r="H25" s="279" t="str">
        <f>IFERROR(VLOOKUP($A25,TableHandbook[],H$2,FALSE),"")</f>
        <v/>
      </c>
      <c r="I25" s="280" t="str">
        <f>IFERROR(VLOOKUP($A25,TableHandbook[],I$2,FALSE),"")</f>
        <v/>
      </c>
      <c r="J25" s="278" t="str">
        <f>IFERROR(VLOOKUP($A25,TableHandbook[],J$2,FALSE),"")</f>
        <v/>
      </c>
      <c r="K25" s="280" t="str">
        <f>IFERROR(VLOOKUP($A25,TableHandbook[],K$2,FALSE),"")</f>
        <v/>
      </c>
      <c r="L25" s="278" t="str">
        <f>IFERROR(VLOOKUP($A25,TableHandbook[],L$2,FALSE),"")</f>
        <v/>
      </c>
      <c r="M25" s="280" t="str">
        <f>IFERROR(VLOOKUP($A25,TableHandbook[],M$2,FALSE),"")</f>
        <v/>
      </c>
      <c r="N25" s="278" t="str">
        <f>IFERROR(VLOOKUP($A25,TableHandbook[],N$2,FALSE),"")</f>
        <v/>
      </c>
      <c r="O25" s="280" t="str">
        <f>IFERROR(VLOOKUP($A25,TableHandbook[],O$2,FALSE),"")</f>
        <v/>
      </c>
      <c r="P25" s="31"/>
      <c r="Q25" s="269">
        <v>10</v>
      </c>
      <c r="R25" s="231"/>
      <c r="S25" s="231"/>
      <c r="T25" s="231"/>
      <c r="U25" s="231"/>
      <c r="V25" s="231"/>
      <c r="W25" s="231"/>
      <c r="X25" s="231"/>
      <c r="Y25" s="231"/>
      <c r="Z25" s="231"/>
      <c r="AA25" s="231"/>
    </row>
    <row r="26" spans="1:27" ht="21" customHeight="1" x14ac:dyDescent="0.25">
      <c r="A26" s="322" t="str">
        <f>IFERROR(IF(HLOOKUP($P$7,RangeTeachingAreas,Q26,FALSE)=0,"",HLOOKUP($P$7,RangeTeachingAreas,Q26,FALSE)),"")</f>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3</v>
      </c>
      <c r="R26" s="231"/>
      <c r="S26" s="231"/>
      <c r="T26" s="231"/>
      <c r="U26" s="231"/>
      <c r="V26" s="231"/>
      <c r="W26" s="231"/>
      <c r="X26" s="231"/>
      <c r="Y26" s="231"/>
      <c r="Z26" s="231"/>
      <c r="AA26" s="231"/>
    </row>
    <row r="27" spans="1:27" ht="21" customHeight="1" x14ac:dyDescent="0.25">
      <c r="A27" s="322" t="str">
        <f>IFERROR(IF(HLOOKUP($P$7,RangeTeachingAreas,Q27,FALSE)=0,"",HLOOKUP($P$7,RangeTeachingAreas,Q27,FALSE)),"")</f>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4</v>
      </c>
      <c r="R27" s="231"/>
      <c r="S27" s="231"/>
      <c r="T27" s="231"/>
      <c r="U27" s="231"/>
      <c r="V27" s="231"/>
      <c r="W27" s="231"/>
      <c r="X27" s="231"/>
      <c r="Y27" s="231"/>
      <c r="Z27" s="231"/>
      <c r="AA27" s="231"/>
    </row>
    <row r="28" spans="1:27" ht="15" customHeight="1" x14ac:dyDescent="0.25">
      <c r="A28" s="327"/>
      <c r="B28" s="327"/>
      <c r="C28" s="328"/>
      <c r="D28" s="328"/>
      <c r="E28" s="329"/>
      <c r="F28" s="330"/>
      <c r="G28" s="330"/>
      <c r="H28" s="331"/>
      <c r="I28" s="331"/>
      <c r="J28" s="331"/>
      <c r="K28" s="331"/>
      <c r="L28" s="331"/>
      <c r="M28" s="331"/>
      <c r="N28" s="331"/>
      <c r="O28" s="331"/>
      <c r="P28" s="332"/>
      <c r="Q28" s="269"/>
      <c r="R28" s="231"/>
      <c r="S28" s="231"/>
      <c r="T28" s="231"/>
      <c r="U28" s="231"/>
      <c r="V28" s="231"/>
      <c r="W28" s="231"/>
      <c r="X28" s="231"/>
      <c r="Y28" s="231"/>
      <c r="Z28" s="231"/>
      <c r="AA28" s="231"/>
    </row>
    <row r="29" spans="1:27" s="16" customFormat="1" ht="18" x14ac:dyDescent="0.25">
      <c r="A29" s="333" t="s">
        <v>35</v>
      </c>
      <c r="B29" s="333"/>
      <c r="C29" s="333"/>
      <c r="D29" s="333"/>
      <c r="E29" s="333"/>
      <c r="F29" s="333"/>
      <c r="G29" s="333"/>
      <c r="H29" s="333"/>
      <c r="I29" s="333"/>
      <c r="J29" s="333"/>
      <c r="K29" s="333"/>
      <c r="L29" s="333"/>
      <c r="M29" s="333"/>
      <c r="N29" s="333"/>
      <c r="O29" s="333"/>
      <c r="P29" s="333"/>
      <c r="Q29" s="297"/>
      <c r="R29" s="231"/>
      <c r="S29" s="231"/>
      <c r="T29" s="231"/>
      <c r="U29" s="231"/>
      <c r="V29" s="231"/>
      <c r="W29" s="231"/>
      <c r="X29" s="231"/>
      <c r="Y29" s="231"/>
      <c r="Z29" s="231"/>
      <c r="AA29" s="231"/>
    </row>
    <row r="30" spans="1:27" s="25" customFormat="1" ht="17.25" x14ac:dyDescent="0.2">
      <c r="A30" s="117" t="s">
        <v>36</v>
      </c>
      <c r="B30" s="117"/>
      <c r="C30" s="117"/>
      <c r="D30" s="118"/>
      <c r="E30" s="118"/>
      <c r="F30" s="118"/>
      <c r="G30" s="118"/>
      <c r="H30" s="118"/>
      <c r="I30" s="118"/>
      <c r="J30" s="118"/>
      <c r="K30" s="118"/>
      <c r="L30" s="118"/>
      <c r="M30" s="118"/>
      <c r="N30" s="118"/>
      <c r="O30" s="118"/>
      <c r="P30" s="118"/>
      <c r="Q30" s="290"/>
      <c r="R30" s="290"/>
      <c r="S30" s="290"/>
      <c r="T30" s="291"/>
      <c r="U30" s="291"/>
      <c r="V30" s="291"/>
      <c r="W30" s="291"/>
      <c r="X30" s="291"/>
      <c r="Y30" s="291"/>
      <c r="Z30" s="291"/>
      <c r="AA30" s="291"/>
    </row>
    <row r="31" spans="1:27" x14ac:dyDescent="0.25">
      <c r="A31" s="292" t="s">
        <v>37</v>
      </c>
      <c r="B31" s="292"/>
      <c r="C31" s="292"/>
      <c r="D31" s="292"/>
      <c r="E31" s="293"/>
      <c r="F31" s="289"/>
      <c r="G31" s="294"/>
      <c r="H31" s="294"/>
      <c r="I31" s="294"/>
      <c r="J31" s="294"/>
      <c r="K31" s="294"/>
      <c r="L31" s="294"/>
      <c r="M31" s="294"/>
      <c r="N31" s="294"/>
      <c r="O31" s="294"/>
      <c r="P31" s="294" t="s">
        <v>38</v>
      </c>
      <c r="Q31" s="231"/>
      <c r="R31" s="231"/>
      <c r="S31" s="231"/>
      <c r="T31" s="231"/>
      <c r="U31" s="231"/>
      <c r="V31" s="231"/>
      <c r="W31" s="231"/>
      <c r="X31" s="231"/>
      <c r="Y31" s="231"/>
      <c r="Z31" s="231"/>
      <c r="AA31" s="231"/>
    </row>
  </sheetData>
  <sheetProtection formatCells="0"/>
  <mergeCells count="1">
    <mergeCell ref="A3:D3"/>
  </mergeCells>
  <conditionalFormatting sqref="A11:Q21 A25:Q27">
    <cfRule type="expression" dxfId="404" priority="4">
      <formula>LEFT($A11,4)="GDTA"</formula>
    </cfRule>
  </conditionalFormatting>
  <conditionalFormatting sqref="D5:D8">
    <cfRule type="containsText" dxfId="403"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D5" sqref="D5"/>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0" t="s">
        <v>11</v>
      </c>
      <c r="E5" s="241"/>
      <c r="F5" s="239" t="s">
        <v>12</v>
      </c>
      <c r="G5" s="246" t="str">
        <f>IFERROR(CONCATENATE(VLOOKUP(D5,TableCourses[],2,FALSE)," ",VLOOKUP(D5,TableCourses[],3,FALSE)),"")</f>
        <v>MC-TEACH v.2</v>
      </c>
      <c r="H5" s="302"/>
      <c r="I5" s="241"/>
      <c r="J5" s="241"/>
      <c r="K5" s="241"/>
      <c r="L5" s="241"/>
      <c r="M5" s="241"/>
      <c r="N5" s="241"/>
      <c r="O5" s="241"/>
      <c r="P5" s="336"/>
      <c r="Q5" s="297"/>
      <c r="R5" s="231"/>
      <c r="S5" s="231"/>
      <c r="T5" s="231"/>
      <c r="U5" s="231"/>
      <c r="V5" s="231"/>
      <c r="W5" s="231"/>
      <c r="X5" s="231"/>
      <c r="Y5" s="231"/>
      <c r="Z5" s="231"/>
    </row>
    <row r="6" spans="1:27" ht="20.100000000000001" customHeight="1" x14ac:dyDescent="0.25">
      <c r="A6" s="237"/>
      <c r="B6" s="238"/>
      <c r="C6" s="239" t="s">
        <v>13</v>
      </c>
      <c r="D6" s="244" t="s">
        <v>167</v>
      </c>
      <c r="E6" s="241"/>
      <c r="F6" s="239" t="s">
        <v>15</v>
      </c>
      <c r="G6" s="246" t="str">
        <f>IFERROR(CONCATENATE(VLOOKUP(D6,TableMajors[],2,FALSE)," ",VLOOKUP(D6,TableMajors[],3,FALSE)),"")</f>
        <v>MJRP-TCHSC v.2</v>
      </c>
      <c r="H6" s="302"/>
      <c r="I6" s="241"/>
      <c r="J6" s="241"/>
      <c r="K6" s="241"/>
      <c r="L6" s="241"/>
      <c r="M6" s="241"/>
      <c r="N6" s="241"/>
      <c r="O6" s="241"/>
      <c r="P6" s="304" t="e">
        <f>CONCATENATE(VLOOKUP(D6,TableMajors[],2,FALSE),VLOOKUP(D9,TableStudyPeriods[],2,FALSE))</f>
        <v>#N/A</v>
      </c>
      <c r="Q6" s="297"/>
      <c r="R6" s="231"/>
      <c r="S6" s="231"/>
      <c r="T6" s="231"/>
      <c r="U6" s="231"/>
      <c r="V6" s="231"/>
      <c r="W6" s="231"/>
      <c r="X6" s="231"/>
      <c r="Y6" s="231"/>
      <c r="Z6" s="231"/>
    </row>
    <row r="7" spans="1:27" ht="20.100000000000001" customHeight="1" x14ac:dyDescent="0.25">
      <c r="A7" s="237"/>
      <c r="B7" s="238"/>
      <c r="C7" s="239" t="s">
        <v>224</v>
      </c>
      <c r="D7" s="337" t="s">
        <v>466</v>
      </c>
      <c r="E7" s="241"/>
      <c r="F7" s="239" t="s">
        <v>226</v>
      </c>
      <c r="G7" s="246" t="str">
        <f>IFERROR(CONCATENATE(VLOOKUP(D7,TableTeachingArea1[],2,FALSE)," ",VLOOKUP(D7,TableTeachingArea1[],3,FALSE)),"")</f>
        <v/>
      </c>
      <c r="H7" s="302"/>
      <c r="I7" s="241"/>
      <c r="J7" s="241"/>
      <c r="K7" s="241"/>
      <c r="L7" s="241"/>
      <c r="M7" s="241"/>
      <c r="N7" s="241"/>
      <c r="O7" s="241"/>
      <c r="P7" s="304" t="e">
        <f>VLOOKUP(D7,TableTeachingArea1[],2,FALSE)</f>
        <v>#N/A</v>
      </c>
      <c r="Q7" s="297"/>
      <c r="R7" s="231"/>
      <c r="S7" s="231"/>
      <c r="T7" s="231"/>
      <c r="U7" s="231"/>
      <c r="V7" s="231"/>
      <c r="W7" s="231"/>
      <c r="X7" s="231"/>
      <c r="Y7" s="231"/>
      <c r="Z7" s="231"/>
    </row>
    <row r="8" spans="1:27" ht="20.100000000000001" customHeight="1" x14ac:dyDescent="0.25">
      <c r="A8" s="237"/>
      <c r="B8" s="238"/>
      <c r="C8" s="239" t="s">
        <v>227</v>
      </c>
      <c r="D8" s="362" t="s">
        <v>467</v>
      </c>
      <c r="E8" s="241"/>
      <c r="F8" s="239" t="s">
        <v>229</v>
      </c>
      <c r="G8" s="246" t="str">
        <f>IFERROR(CONCATENATE(VLOOKUP(D8,TableTeachingArea2[],2,FALSE)," ",VLOOKUP(D8,TableTeachingArea2[],3,FALSE)),"")</f>
        <v/>
      </c>
      <c r="H8" s="302"/>
      <c r="I8" s="241"/>
      <c r="J8" s="241"/>
      <c r="K8" s="241"/>
      <c r="L8" s="241"/>
      <c r="M8" s="241"/>
      <c r="N8" s="241"/>
      <c r="O8" s="241"/>
      <c r="P8" s="304" t="e">
        <f>VLOOKUP(D8,TableTeachingArea2[],2,FALSE)</f>
        <v>#N/A</v>
      </c>
      <c r="Q8" s="297"/>
      <c r="R8" s="231"/>
      <c r="S8" s="231"/>
      <c r="T8" s="231"/>
      <c r="U8" s="231"/>
      <c r="V8" s="231"/>
      <c r="W8" s="231"/>
      <c r="X8" s="231"/>
      <c r="Y8" s="231"/>
      <c r="Z8" s="231"/>
    </row>
    <row r="9" spans="1:27" ht="20.100000000000001" customHeight="1" x14ac:dyDescent="0.25">
      <c r="A9" s="246"/>
      <c r="B9" s="247"/>
      <c r="C9" s="239" t="s">
        <v>16</v>
      </c>
      <c r="D9" s="295" t="s">
        <v>468</v>
      </c>
      <c r="E9" s="249"/>
      <c r="F9" s="239" t="s">
        <v>18</v>
      </c>
      <c r="G9" s="241" t="str">
        <f>IFERROR(VLOOKUP($D$5,TableCourses[],4,FALSE),"")</f>
        <v>400 credit points required</v>
      </c>
      <c r="H9" s="250"/>
      <c r="I9" s="250"/>
      <c r="J9" s="250"/>
      <c r="K9" s="250"/>
      <c r="L9" s="250"/>
      <c r="M9" s="250"/>
      <c r="N9" s="250"/>
      <c r="O9" s="250"/>
      <c r="P9" s="304" t="str">
        <f>IFERROR(CONCATENATE("DD",MID(G7,6,5)),"")</f>
        <v>DD</v>
      </c>
      <c r="Q9" s="297"/>
      <c r="R9" s="231"/>
      <c r="S9" s="231"/>
      <c r="T9" s="231"/>
      <c r="U9" s="231"/>
      <c r="V9" s="231"/>
      <c r="W9" s="231"/>
      <c r="X9" s="231"/>
      <c r="Y9" s="231"/>
      <c r="Z9" s="231"/>
      <c r="AA9" s="16"/>
    </row>
    <row r="10" spans="1:27" s="18" customFormat="1" ht="14.1" customHeight="1" x14ac:dyDescent="0.25">
      <c r="A10" s="252"/>
      <c r="B10" s="252"/>
      <c r="C10" s="252"/>
      <c r="D10" s="253"/>
      <c r="E10" s="254"/>
      <c r="F10" s="252"/>
      <c r="G10" s="252"/>
      <c r="H10" s="255" t="s">
        <v>19</v>
      </c>
      <c r="I10" s="256"/>
      <c r="J10" s="256"/>
      <c r="K10" s="256"/>
      <c r="L10" s="256"/>
      <c r="M10" s="256"/>
      <c r="N10" s="256"/>
      <c r="O10" s="257"/>
      <c r="P10" s="254"/>
      <c r="Q10" s="285"/>
      <c r="R10" s="258"/>
      <c r="S10" s="258"/>
      <c r="T10" s="259"/>
      <c r="U10" s="259"/>
      <c r="V10" s="259"/>
      <c r="W10" s="259"/>
      <c r="X10" s="259"/>
      <c r="Y10" s="259"/>
      <c r="Z10" s="259"/>
      <c r="AA10" s="17"/>
    </row>
    <row r="11" spans="1:27" s="18" customFormat="1" ht="31.5" x14ac:dyDescent="0.25">
      <c r="A11" s="252" t="s">
        <v>20</v>
      </c>
      <c r="B11" s="252"/>
      <c r="C11" s="252"/>
      <c r="D11" s="253" t="s">
        <v>3</v>
      </c>
      <c r="E11" s="260" t="s">
        <v>21</v>
      </c>
      <c r="F11" s="252" t="s">
        <v>43</v>
      </c>
      <c r="G11" s="252" t="s">
        <v>23</v>
      </c>
      <c r="H11" s="261" t="s">
        <v>24</v>
      </c>
      <c r="I11" s="262" t="s">
        <v>25</v>
      </c>
      <c r="J11" s="261" t="s">
        <v>26</v>
      </c>
      <c r="K11" s="262" t="s">
        <v>27</v>
      </c>
      <c r="L11" s="261" t="s">
        <v>28</v>
      </c>
      <c r="M11" s="262" t="s">
        <v>29</v>
      </c>
      <c r="N11" s="261" t="s">
        <v>30</v>
      </c>
      <c r="O11" s="262" t="s">
        <v>31</v>
      </c>
      <c r="P11" s="252" t="s">
        <v>32</v>
      </c>
      <c r="Q11" s="285"/>
      <c r="R11" s="258"/>
      <c r="S11" s="258"/>
      <c r="T11" s="259"/>
      <c r="U11" s="259"/>
      <c r="V11" s="259"/>
      <c r="W11" s="259"/>
      <c r="X11" s="259"/>
      <c r="Y11" s="259"/>
      <c r="Z11" s="259"/>
      <c r="AA11" s="17"/>
    </row>
    <row r="12" spans="1:27" s="20" customFormat="1" ht="21" customHeight="1" x14ac:dyDescent="0.15">
      <c r="A12" s="263" t="str">
        <f>IFERROR(IF(HLOOKUP($P$6,RangeUnitsetsSec,Q12,FALSE)=0,"",HLOOKUP($P$6,RangeUnitsetsSec,Q12,FALSE)),"")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IF(OR(A12="",A12="--"),"",VLOOKUP($D$9,TableStudyPeriods[],2,FALSE))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0"/>
      <c r="Q12" s="269">
        <v>2</v>
      </c>
      <c r="R12" s="270"/>
      <c r="S12" s="270"/>
      <c r="T12" s="271"/>
      <c r="U12" s="271"/>
      <c r="V12" s="271"/>
      <c r="W12" s="271"/>
      <c r="X12" s="271"/>
      <c r="Y12" s="271"/>
      <c r="Z12" s="271"/>
      <c r="AA12" s="19"/>
    </row>
    <row r="13" spans="1:27" s="20" customFormat="1" ht="21" customHeight="1" x14ac:dyDescent="0.15">
      <c r="A13" s="305" t="str">
        <f>IFERROR(IF(HLOOKUP($P$6,RangeUnitsetsSec,Q13,FALSE)=0,"",HLOOKUP($P$6,RangeUnitsetsSec,Q13,FALSE)),"")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3</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IFERROR(IF(HLOOKUP($P$6,RangeUnitsetsSec,Q15,FALSE)=0,"",HLOOKUP($P$6,RangeUnitsetsSec,Q15,FALSE)),"")</f>
        <v/>
      </c>
      <c r="B15" s="264" t="str">
        <f>IFERROR(IF(VLOOKUP($A15,TableHandbook[],2,FALSE)=0,"",VLOOKUP($A15,TableHandbook[],2,FALSE)),"")</f>
        <v/>
      </c>
      <c r="C15" s="264" t="str">
        <f>IFERROR(IF(VLOOKUP($A15,TableHandbook[],3,FALSE)=0,"",VLOOKUP($A15,TableHandbook[],3,FALSE)),"")</f>
        <v/>
      </c>
      <c r="D15" s="265" t="str">
        <f>IFERROR(IF(VLOOKUP($A15,TableHandbook[],4,FALSE)=0,"",VLOOKUP($A15,TableHandbook[],4,FALSE)),"")</f>
        <v/>
      </c>
      <c r="E15" s="264" t="str">
        <f>IF(OR(A15="",A15="--"),"",VLOOKUP($D$9,TableStudyPeriods[],3,FALSE))</f>
        <v/>
      </c>
      <c r="F15" s="266" t="str">
        <f>IFERROR(IF(VLOOKUP($A15,TableHandbook[],6,FALSE)=0,"",VLOOKUP($A15,TableHandbook[],6,FALSE)),"")</f>
        <v/>
      </c>
      <c r="G15" s="264" t="str">
        <f>IFERROR(IF(VLOOKUP($A15,TableHandbook[],5,FALSE)=0,"",VLOOKUP($A15,TableHandbook[],5,FALSE)),"")</f>
        <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1"/>
      <c r="Q15" s="269">
        <v>4</v>
      </c>
      <c r="R15" s="270"/>
      <c r="S15" s="270"/>
      <c r="T15" s="271"/>
      <c r="U15" s="271"/>
      <c r="V15" s="271"/>
      <c r="W15" s="271"/>
      <c r="X15" s="271"/>
      <c r="Y15" s="271"/>
      <c r="Z15" s="271"/>
      <c r="AA15" s="19"/>
    </row>
    <row r="16" spans="1:27" s="20" customFormat="1" ht="21" customHeight="1" x14ac:dyDescent="0.15">
      <c r="A16" s="263" t="str">
        <f>IFERROR(IF(HLOOKUP($P$6,RangeUnitsetsSec,Q16,FALSE)=0,"",HLOOKUP($P$6,RangeUnitsetsSec,Q16,FALSE)),"")</f>
        <v/>
      </c>
      <c r="B16" s="264" t="str">
        <f>IFERROR(IF(VLOOKUP($A16,TableHandbook[],2,FALSE)=0,"",VLOOKUP($A16,TableHandbook[],2,FALSE)),"")</f>
        <v/>
      </c>
      <c r="C16" s="264"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64" t="str">
        <f>IFERROR(IF(VLOOKUP($A16,TableHandbook[],5,FALSE)=0,"",VLOOKUP($A16,TableHandbook[],5,FALSE)),"")</f>
        <v/>
      </c>
      <c r="H16" s="267" t="str">
        <f>IFERROR(VLOOKUP($A16,TableHandbook[],H$2,FALSE),"")</f>
        <v/>
      </c>
      <c r="I16" s="268" t="str">
        <f>IFERROR(VLOOKUP($A16,TableHandbook[],I$2,FALSE),"")</f>
        <v/>
      </c>
      <c r="J16" s="267" t="str">
        <f>IFERROR(VLOOKUP($A16,TableHandbook[],J$2,FALSE),"")</f>
        <v/>
      </c>
      <c r="K16" s="268" t="str">
        <f>IFERROR(VLOOKUP($A16,TableHandbook[],K$2,FALSE),"")</f>
        <v/>
      </c>
      <c r="L16" s="267" t="str">
        <f>IFERROR(VLOOKUP($A16,TableHandbook[],L$2,FALSE),"")</f>
        <v/>
      </c>
      <c r="M16" s="268" t="str">
        <f>IFERROR(VLOOKUP($A16,TableHandbook[],M$2,FALSE),"")</f>
        <v/>
      </c>
      <c r="N16" s="267" t="str">
        <f>IFERROR(VLOOKUP($A16,TableHandbook[],N$2,FALSE),"")</f>
        <v/>
      </c>
      <c r="O16" s="268" t="str">
        <f>IFERROR(VLOOKUP($A16,TableHandbook[],O$2,FALSE),"")</f>
        <v/>
      </c>
      <c r="P16" s="30"/>
      <c r="Q16" s="269">
        <v>5</v>
      </c>
      <c r="R16" s="270"/>
      <c r="S16" s="270"/>
      <c r="T16" s="271"/>
      <c r="U16" s="271"/>
      <c r="V16" s="271"/>
      <c r="W16" s="271"/>
      <c r="X16" s="271"/>
      <c r="Y16" s="271"/>
      <c r="Z16" s="271"/>
      <c r="AA16" s="19"/>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0" customFormat="1" ht="21" customHeight="1" x14ac:dyDescent="0.15">
      <c r="A18" s="263" t="str">
        <f>IFERROR(IF(HLOOKUP($P$6,RangeUnitsetsSec,Q18,FALSE)=0,"",HLOOKUP($P$6,RangeUnitsetsSec,Q18,FALSE)),"")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IF(OR(A18="",A18="--"),"",VLOOKUP($D$9,TableStudyPeriods[],4,FALSE))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6</v>
      </c>
      <c r="R18" s="270"/>
      <c r="S18" s="270"/>
      <c r="T18" s="271"/>
      <c r="U18" s="271"/>
      <c r="V18" s="271"/>
      <c r="W18" s="271"/>
      <c r="X18" s="271"/>
      <c r="Y18" s="271"/>
      <c r="Z18" s="271"/>
      <c r="AA18" s="19"/>
    </row>
    <row r="19" spans="1:27" s="23" customFormat="1" ht="21" customHeight="1" x14ac:dyDescent="0.15">
      <c r="A19" s="263" t="str">
        <f>IFERROR(IF(HLOOKUP($P$6,RangeUnitsetsSec,Q19,FALSE)=0,"",HLOOKUP($P$6,RangeUnitsetsSec,Q19,FALSE)),"")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7</v>
      </c>
      <c r="R19" s="281"/>
      <c r="S19" s="281"/>
      <c r="T19" s="282"/>
      <c r="U19" s="282"/>
      <c r="V19" s="282"/>
      <c r="W19" s="282"/>
      <c r="X19" s="282"/>
      <c r="Y19" s="282"/>
      <c r="Z19" s="282"/>
      <c r="AA19" s="22"/>
    </row>
    <row r="20" spans="1:27" s="20" customFormat="1" ht="6" customHeight="1" x14ac:dyDescent="0.15">
      <c r="A20" s="272"/>
      <c r="B20" s="273"/>
      <c r="C20" s="273"/>
      <c r="D20" s="274"/>
      <c r="E20" s="273"/>
      <c r="F20" s="275"/>
      <c r="G20" s="273"/>
      <c r="H20" s="276"/>
      <c r="I20" s="277"/>
      <c r="J20" s="276"/>
      <c r="K20" s="277"/>
      <c r="L20" s="276"/>
      <c r="M20" s="277"/>
      <c r="N20" s="276"/>
      <c r="O20" s="277"/>
      <c r="P20" s="116"/>
      <c r="Q20" s="269"/>
      <c r="R20" s="270"/>
      <c r="S20" s="270"/>
      <c r="T20" s="270"/>
      <c r="U20" s="271"/>
      <c r="V20" s="271"/>
      <c r="W20" s="271"/>
      <c r="X20" s="271"/>
      <c r="Y20" s="271"/>
      <c r="Z20" s="271"/>
      <c r="AA20" s="19"/>
    </row>
    <row r="21" spans="1:27" s="23" customFormat="1" ht="21" customHeight="1" x14ac:dyDescent="0.15">
      <c r="A21" s="263" t="str">
        <f>IFERROR(IF(HLOOKUP($P$6,RangeUnitsetsSec,Q21,FALSE)=0,"",HLOOKUP($P$6,RangeUnitsetsSec,Q21,FALSE)),"")</f>
        <v/>
      </c>
      <c r="B21" s="278" t="str">
        <f>IFERROR(IF(VLOOKUP($A21,TableHandbook[],2,FALSE)=0,"",VLOOKUP($A21,TableHandbook[],2,FALSE)),"")</f>
        <v/>
      </c>
      <c r="C21" s="278" t="str">
        <f>IFERROR(IF(VLOOKUP($A21,TableHandbook[],3,FALSE)=0,"",VLOOKUP($A21,TableHandbook[],3,FALSE)),"")</f>
        <v/>
      </c>
      <c r="D21" s="265" t="str">
        <f>IFERROR(IF(VLOOKUP($A21,TableHandbook[],4,FALSE)=0,"",VLOOKUP($A21,TableHandbook[],4,FALSE)),"")</f>
        <v/>
      </c>
      <c r="E21" s="264" t="str">
        <f>IF(OR(A21="",A21="--"),"",VLOOKUP($D$9,TableStudyPeriods[],5,FALSE))</f>
        <v/>
      </c>
      <c r="F21" s="266" t="str">
        <f>IFERROR(IF(VLOOKUP($A21,TableHandbook[],6,FALSE)=0,"",VLOOKUP($A21,TableHandbook[],6,FALSE)),"")</f>
        <v/>
      </c>
      <c r="G21" s="278" t="str">
        <f>IFERROR(IF(VLOOKUP($A21,TableHandbook[],5,FALSE)=0,"",VLOOKUP($A21,TableHandbook[],5,FALSE)),"")</f>
        <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8</v>
      </c>
      <c r="R21" s="281"/>
      <c r="S21" s="281"/>
      <c r="T21" s="282"/>
      <c r="U21" s="282"/>
      <c r="V21" s="282"/>
      <c r="W21" s="282"/>
      <c r="X21" s="282"/>
      <c r="Y21" s="282"/>
      <c r="Z21" s="282"/>
      <c r="AA21" s="22"/>
    </row>
    <row r="22" spans="1:27" s="23" customFormat="1" ht="21" customHeight="1" x14ac:dyDescent="0.15">
      <c r="A22" s="263" t="str">
        <f>IFERROR(IF(HLOOKUP($P$6,RangeUnitsetsSec,Q22,FALSE)=0,"",HLOOKUP($P$6,RangeUnitsetsSec,Q22,FALSE)),"")</f>
        <v/>
      </c>
      <c r="B22" s="278" t="str">
        <f>IFERROR(IF(VLOOKUP($A22,TableHandbook[],2,FALSE)=0,"",VLOOKUP($A22,TableHandbook[],2,FALSE)),"")</f>
        <v/>
      </c>
      <c r="C22" s="278" t="str">
        <f>IFERROR(IF(VLOOKUP($A22,TableHandbook[],3,FALSE)=0,"",VLOOKUP($A22,TableHandbook[],3,FALSE)),"")</f>
        <v/>
      </c>
      <c r="D22" s="312" t="str">
        <f>IFERROR(IF(VLOOKUP($A22,TableHandbook[],4,FALSE)=0,"",VLOOKUP($A22,TableHandbook[],4,FALSE)),"")</f>
        <v/>
      </c>
      <c r="E22" s="278" t="str">
        <f>IF(A22="","",E21)</f>
        <v/>
      </c>
      <c r="F22" s="266" t="str">
        <f>IFERROR(IF(VLOOKUP($A22,TableHandbook[],6,FALSE)=0,"",VLOOKUP($A22,TableHandbook[],6,FALSE)),"")</f>
        <v/>
      </c>
      <c r="G22" s="278" t="str">
        <f>IFERROR(IF(VLOOKUP($A22,TableHandbook[],5,FALSE)=0,"",VLOOKUP($A22,TableHandbook[],5,FALSE)),"")</f>
        <v/>
      </c>
      <c r="H22" s="279" t="str">
        <f>IFERROR(VLOOKUP($A22,TableHandbook[],H$2,FALSE),"")</f>
        <v/>
      </c>
      <c r="I22" s="280" t="str">
        <f>IFERROR(VLOOKUP($A22,TableHandbook[],I$2,FALSE),"")</f>
        <v/>
      </c>
      <c r="J22" s="279" t="str">
        <f>IFERROR(VLOOKUP($A22,TableHandbook[],J$2,FALSE),"")</f>
        <v/>
      </c>
      <c r="K22" s="280" t="str">
        <f>IFERROR(VLOOKUP($A22,TableHandbook[],K$2,FALSE),"")</f>
        <v/>
      </c>
      <c r="L22" s="279" t="str">
        <f>IFERROR(VLOOKUP($A22,TableHandbook[],L$2,FALSE),"")</f>
        <v/>
      </c>
      <c r="M22" s="280" t="str">
        <f>IFERROR(VLOOKUP($A22,TableHandbook[],M$2,FALSE),"")</f>
        <v/>
      </c>
      <c r="N22" s="279" t="str">
        <f>IFERROR(VLOOKUP($A22,TableHandbook[],N$2,FALSE),"")</f>
        <v/>
      </c>
      <c r="O22" s="280" t="str">
        <f>IFERROR(VLOOKUP($A22,TableHandbook[],O$2,FALSE),"")</f>
        <v/>
      </c>
      <c r="P22" s="31"/>
      <c r="Q22" s="269">
        <v>9</v>
      </c>
      <c r="R22" s="281"/>
      <c r="S22" s="281"/>
      <c r="T22" s="282"/>
      <c r="U22" s="282"/>
      <c r="V22" s="282"/>
      <c r="W22" s="282"/>
      <c r="X22" s="282"/>
      <c r="Y22" s="282"/>
      <c r="Z22" s="282"/>
      <c r="AA22" s="22"/>
    </row>
    <row r="23" spans="1:27" s="18" customFormat="1" ht="31.5" x14ac:dyDescent="0.25">
      <c r="A23" s="252" t="s">
        <v>33</v>
      </c>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85"/>
      <c r="R23" s="258"/>
      <c r="S23" s="258"/>
      <c r="T23" s="259"/>
      <c r="U23" s="259"/>
      <c r="V23" s="259"/>
      <c r="W23" s="259"/>
      <c r="X23" s="259"/>
      <c r="Y23" s="259"/>
      <c r="Z23" s="259"/>
      <c r="AA23" s="17"/>
    </row>
    <row r="24" spans="1:27" s="20" customFormat="1" ht="21" customHeight="1" x14ac:dyDescent="0.15">
      <c r="A24" s="263" t="str">
        <f>IFERROR(IF(HLOOKUP($P$6,RangeUnitsetsSec,Q24,FALSE)=0,"",HLOOKUP($P$6,RangeUnitsetsSec,Q24,FALSE)),"")</f>
        <v/>
      </c>
      <c r="B24" s="278" t="str">
        <f>IFERROR(IF(VLOOKUP($A24,TableHandbook[],2,FALSE)=0,"",VLOOKUP($A24,TableHandbook[],2,FALSE)),"")</f>
        <v/>
      </c>
      <c r="C24" s="278" t="str">
        <f>IFERROR(IF(VLOOKUP($A24,TableHandbook[],3,FALSE)=0,"",VLOOKUP($A24,TableHandbook[],3,FALSE)),"")</f>
        <v/>
      </c>
      <c r="D24" s="286" t="str">
        <f>IFERROR(IF(VLOOKUP($A24,TableHandbook[],4,FALSE)=0,"",VLOOKUP($A24,TableHandbook[],4,FALSE)),"")</f>
        <v/>
      </c>
      <c r="E24" s="278" t="str">
        <f>IF(OR(A24="",A24="--"),"",VLOOKUP($D$9,TableStudyPeriods[],2,FALSE))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10</v>
      </c>
      <c r="R24" s="270"/>
      <c r="S24" s="270"/>
      <c r="T24" s="271"/>
      <c r="U24" s="271"/>
      <c r="V24" s="271"/>
      <c r="W24" s="271"/>
      <c r="X24" s="271"/>
      <c r="Y24" s="271"/>
      <c r="Z24" s="271"/>
      <c r="AA24" s="19"/>
    </row>
    <row r="25" spans="1:27" s="20" customFormat="1" ht="21" customHeight="1" x14ac:dyDescent="0.15">
      <c r="A25" s="263" t="str">
        <f>IFERROR(IF(HLOOKUP($P$6,RangeUnitsetsSec,Q25,FALSE)=0,"",HLOOKUP($P$6,RangeUnitsetsSec,Q25,FALSE)),"")</f>
        <v/>
      </c>
      <c r="B25" s="278" t="str">
        <f>IFERROR(IF(VLOOKUP($A25,TableHandbook[],2,FALSE)=0,"",VLOOKUP($A25,TableHandbook[],2,FALSE)),"")</f>
        <v/>
      </c>
      <c r="C25" s="278" t="str">
        <f>IFERROR(IF(VLOOKUP($A25,TableHandbook[],3,FALSE)=0,"",VLOOKUP($A25,TableHandbook[],3,FALSE)),"")</f>
        <v/>
      </c>
      <c r="D25" s="312"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11</v>
      </c>
      <c r="R25" s="270"/>
      <c r="S25" s="270"/>
      <c r="T25" s="271"/>
      <c r="U25" s="271"/>
      <c r="V25" s="271"/>
      <c r="W25" s="271"/>
      <c r="X25" s="271"/>
      <c r="Y25" s="271"/>
      <c r="Z25" s="271"/>
      <c r="AA25" s="19"/>
    </row>
    <row r="26" spans="1:27" s="20" customFormat="1" ht="6" customHeight="1" x14ac:dyDescent="0.15">
      <c r="A26" s="338"/>
      <c r="B26" s="339"/>
      <c r="C26" s="339"/>
      <c r="D26" s="340"/>
      <c r="E26" s="339"/>
      <c r="F26" s="341"/>
      <c r="G26" s="339"/>
      <c r="H26" s="342"/>
      <c r="I26" s="343"/>
      <c r="J26" s="342"/>
      <c r="K26" s="343"/>
      <c r="L26" s="342"/>
      <c r="M26" s="343"/>
      <c r="N26" s="342"/>
      <c r="O26" s="343"/>
      <c r="P26" s="21"/>
      <c r="Q26" s="269"/>
      <c r="R26" s="270"/>
      <c r="S26" s="270"/>
      <c r="T26" s="270"/>
      <c r="U26" s="271"/>
      <c r="V26" s="271"/>
      <c r="W26" s="271"/>
      <c r="X26" s="271"/>
      <c r="Y26" s="271"/>
      <c r="Z26" s="271"/>
      <c r="AA26" s="19"/>
    </row>
    <row r="27" spans="1:27" s="20" customFormat="1" ht="21" customHeight="1" x14ac:dyDescent="0.15">
      <c r="A27" s="263" t="str">
        <f>IFERROR(IF(HLOOKUP($P$6,RangeUnitsetsSec,Q27,FALSE)=0,"",HLOOKUP($P$6,RangeUnitsetsSec,Q27,FALSE)),"")</f>
        <v/>
      </c>
      <c r="B27" s="278" t="str">
        <f>IFERROR(IF(VLOOKUP($A27,TableHandbook[],2,FALSE)=0,"",VLOOKUP($A27,TableHandbook[],2,FALSE)),"")</f>
        <v/>
      </c>
      <c r="C27" s="278" t="str">
        <f>IFERROR(IF(VLOOKUP($A27,TableHandbook[],3,FALSE)=0,"",VLOOKUP($A27,TableHandbook[],3,FALSE)),"")</f>
        <v/>
      </c>
      <c r="D27" s="312" t="str">
        <f>IFERROR(IF(VLOOKUP($A27,TableHandbook[],4,FALSE)=0,"",VLOOKUP($A27,TableHandbook[],4,FALSE)),"")</f>
        <v/>
      </c>
      <c r="E27" s="278" t="str">
        <f>IF(OR(A27="",A27="--"),"",VLOOKUP($D$9,TableStudyPeriods[],3,FALSE))</f>
        <v/>
      </c>
      <c r="F27" s="266" t="str">
        <f>IFERROR(IF(VLOOKUP($A27,TableHandbook[],6,FALSE)=0,"",VLOOKUP($A27,TableHandbook[],6,FALSE)),"")</f>
        <v/>
      </c>
      <c r="G27" s="264" t="str">
        <f>IFERROR(IF(VLOOKUP($A27,TableHandbook[],5,FALSE)=0,"",VLOOKUP($A27,TableHandbook[],5,FALSE)),"")</f>
        <v/>
      </c>
      <c r="H27" s="267" t="str">
        <f>IFERROR(VLOOKUP($A27,TableHandbook[],H$2,FALSE),"")</f>
        <v/>
      </c>
      <c r="I27" s="268" t="str">
        <f>IFERROR(VLOOKUP($A27,TableHandbook[],I$2,FALSE),"")</f>
        <v/>
      </c>
      <c r="J27" s="267" t="str">
        <f>IFERROR(VLOOKUP($A27,TableHandbook[],J$2,FALSE),"")</f>
        <v/>
      </c>
      <c r="K27" s="268" t="str">
        <f>IFERROR(VLOOKUP($A27,TableHandbook[],K$2,FALSE),"")</f>
        <v/>
      </c>
      <c r="L27" s="267" t="str">
        <f>IFERROR(VLOOKUP($A27,TableHandbook[],L$2,FALSE),"")</f>
        <v/>
      </c>
      <c r="M27" s="268" t="str">
        <f>IFERROR(VLOOKUP($A27,TableHandbook[],M$2,FALSE),"")</f>
        <v/>
      </c>
      <c r="N27" s="267" t="str">
        <f>IFERROR(VLOOKUP($A27,TableHandbook[],N$2,FALSE),"")</f>
        <v/>
      </c>
      <c r="O27" s="268" t="str">
        <f>IFERROR(VLOOKUP($A27,TableHandbook[],O$2,FALSE),"")</f>
        <v/>
      </c>
      <c r="P27" s="29"/>
      <c r="Q27" s="269">
        <v>12</v>
      </c>
      <c r="R27" s="270"/>
      <c r="S27" s="270"/>
      <c r="T27" s="271"/>
      <c r="U27" s="271"/>
      <c r="V27" s="271"/>
      <c r="W27" s="271"/>
      <c r="X27" s="271"/>
      <c r="Y27" s="271"/>
      <c r="Z27" s="271"/>
      <c r="AA27" s="19"/>
    </row>
    <row r="28" spans="1:27" s="20" customFormat="1" ht="21" customHeight="1" x14ac:dyDescent="0.15">
      <c r="A28" s="263" t="str">
        <f>IFERROR(IF(HLOOKUP($P$6,RangeUnitsetsSec,Q28,FALSE)=0,"",HLOOKUP($P$6,RangeUnitsetsSec,Q28,FALSE)),"")</f>
        <v/>
      </c>
      <c r="B28" s="278" t="str">
        <f>IFERROR(IF(VLOOKUP($A28,TableHandbook[],2,FALSE)=0,"",VLOOKUP($A28,TableHandbook[],2,FALSE)),"")</f>
        <v/>
      </c>
      <c r="C28" s="278" t="str">
        <f>IFERROR(IF(VLOOKUP($A28,TableHandbook[],3,FALSE)=0,"",VLOOKUP($A28,TableHandbook[],3,FALSE)),"")</f>
        <v/>
      </c>
      <c r="D28" s="312"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67" t="str">
        <f>IFERROR(VLOOKUP($A28,TableHandbook[],H$2,FALSE),"")</f>
        <v/>
      </c>
      <c r="I28" s="268" t="str">
        <f>IFERROR(VLOOKUP($A28,TableHandbook[],I$2,FALSE),"")</f>
        <v/>
      </c>
      <c r="J28" s="267" t="str">
        <f>IFERROR(VLOOKUP($A28,TableHandbook[],J$2,FALSE),"")</f>
        <v/>
      </c>
      <c r="K28" s="268" t="str">
        <f>IFERROR(VLOOKUP($A28,TableHandbook[],K$2,FALSE),"")</f>
        <v/>
      </c>
      <c r="L28" s="267" t="str">
        <f>IFERROR(VLOOKUP($A28,TableHandbook[],L$2,FALSE),"")</f>
        <v/>
      </c>
      <c r="M28" s="268" t="str">
        <f>IFERROR(VLOOKUP($A28,TableHandbook[],M$2,FALSE),"")</f>
        <v/>
      </c>
      <c r="N28" s="267" t="str">
        <f>IFERROR(VLOOKUP($A28,TableHandbook[],N$2,FALSE),"")</f>
        <v/>
      </c>
      <c r="O28" s="268" t="str">
        <f>IFERROR(VLOOKUP($A28,TableHandbook[],O$2,FALSE),"")</f>
        <v/>
      </c>
      <c r="P28" s="29"/>
      <c r="Q28" s="269">
        <v>13</v>
      </c>
      <c r="R28" s="270"/>
      <c r="S28" s="270"/>
      <c r="T28" s="271"/>
      <c r="U28" s="271"/>
      <c r="V28" s="271"/>
      <c r="W28" s="271"/>
      <c r="X28" s="271"/>
      <c r="Y28" s="271"/>
      <c r="Z28" s="271"/>
      <c r="AA28" s="19"/>
    </row>
    <row r="29" spans="1:27" s="20" customFormat="1" ht="6" customHeight="1" x14ac:dyDescent="0.15">
      <c r="A29" s="338"/>
      <c r="B29" s="339"/>
      <c r="C29" s="339"/>
      <c r="D29" s="340"/>
      <c r="E29" s="339"/>
      <c r="F29" s="341"/>
      <c r="G29" s="339"/>
      <c r="H29" s="342"/>
      <c r="I29" s="343"/>
      <c r="J29" s="342"/>
      <c r="K29" s="343"/>
      <c r="L29" s="342"/>
      <c r="M29" s="343"/>
      <c r="N29" s="342"/>
      <c r="O29" s="343"/>
      <c r="P29" s="21"/>
      <c r="Q29" s="269"/>
      <c r="R29" s="270"/>
      <c r="S29" s="270"/>
      <c r="T29" s="270"/>
      <c r="U29" s="271"/>
      <c r="V29" s="271"/>
      <c r="W29" s="271"/>
      <c r="X29" s="271"/>
      <c r="Y29" s="271"/>
      <c r="Z29" s="271"/>
      <c r="AA29" s="19"/>
    </row>
    <row r="30" spans="1:27" s="20" customFormat="1" ht="21" customHeight="1" x14ac:dyDescent="0.15">
      <c r="A30" s="263" t="str">
        <f>IFERROR(IF(HLOOKUP($P$6,RangeUnitsetsSec,Q30,FALSE)=0,"",HLOOKUP($P$6,RangeUnitsetsSec,Q30,FALSE)),"")</f>
        <v/>
      </c>
      <c r="B30" s="278" t="str">
        <f>IFERROR(IF(VLOOKUP($A30,TableHandbook[],2,FALSE)=0,"",VLOOKUP($A30,TableHandbook[],2,FALSE)),"")</f>
        <v/>
      </c>
      <c r="C30" s="278" t="str">
        <f>IFERROR(IF(VLOOKUP($A30,TableHandbook[],3,FALSE)=0,"",VLOOKUP($A30,TableHandbook[],3,FALSE)),"")</f>
        <v/>
      </c>
      <c r="D30" s="312" t="str">
        <f>IFERROR(IF(VLOOKUP($A30,TableHandbook[],4,FALSE)=0,"",VLOOKUP($A30,TableHandbook[],4,FALSE)),"")</f>
        <v/>
      </c>
      <c r="E30" s="278" t="str">
        <f>IF(OR(A30="",A30="--"),"",VLOOKUP($D$9,TableStudyPeriods[],4,FALSE))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14</v>
      </c>
      <c r="R30" s="270"/>
      <c r="S30" s="270"/>
      <c r="T30" s="271"/>
      <c r="U30" s="271"/>
      <c r="V30" s="271"/>
      <c r="W30" s="271"/>
      <c r="X30" s="271"/>
      <c r="Y30" s="271"/>
      <c r="Z30" s="271"/>
      <c r="AA30" s="19"/>
    </row>
    <row r="31" spans="1:27" s="20" customFormat="1" ht="21" customHeight="1" x14ac:dyDescent="0.15">
      <c r="A31" s="263" t="str">
        <f>IFERROR(IF(HLOOKUP($P$6,RangeUnitsetsSec,Q31,FALSE)=0,"",HLOOKUP($P$6,RangeUnitsetsSec,Q31,FALSE)),"")</f>
        <v/>
      </c>
      <c r="B31" s="278" t="str">
        <f>IFERROR(IF(VLOOKUP($A31,TableHandbook[],2,FALSE)=0,"",VLOOKUP($A31,TableHandbook[],2,FALSE)),"")</f>
        <v/>
      </c>
      <c r="C31" s="278" t="str">
        <f>IFERROR(IF(VLOOKUP($A31,TableHandbook[],3,FALSE)=0,"",VLOOKUP($A31,TableHandbook[],3,FALSE)),"")</f>
        <v/>
      </c>
      <c r="D31" s="312" t="str">
        <f>IFERROR(IF(VLOOKUP($A31,TableHandbook[],4,FALSE)=0,"",VLOOKUP($A31,TableHandbook[],4,FALSE)),"")</f>
        <v/>
      </c>
      <c r="E31" s="278"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15</v>
      </c>
      <c r="R31" s="270"/>
      <c r="S31" s="270"/>
      <c r="T31" s="271"/>
      <c r="U31" s="271"/>
      <c r="V31" s="271"/>
      <c r="W31" s="271"/>
      <c r="X31" s="271"/>
      <c r="Y31" s="271"/>
      <c r="Z31" s="271"/>
      <c r="AA31" s="19"/>
    </row>
    <row r="32" spans="1:27" s="23" customFormat="1" ht="6" customHeight="1" x14ac:dyDescent="0.15">
      <c r="A32" s="338"/>
      <c r="B32" s="339"/>
      <c r="C32" s="339"/>
      <c r="D32" s="340"/>
      <c r="E32" s="339"/>
      <c r="F32" s="341"/>
      <c r="G32" s="339"/>
      <c r="H32" s="342"/>
      <c r="I32" s="343"/>
      <c r="J32" s="342"/>
      <c r="K32" s="343"/>
      <c r="L32" s="342"/>
      <c r="M32" s="343"/>
      <c r="N32" s="342"/>
      <c r="O32" s="343"/>
      <c r="P32" s="21"/>
      <c r="Q32" s="269"/>
      <c r="R32" s="281"/>
      <c r="S32" s="281"/>
      <c r="T32" s="282"/>
      <c r="U32" s="282"/>
      <c r="V32" s="282"/>
      <c r="W32" s="282"/>
      <c r="X32" s="282"/>
      <c r="Y32" s="282"/>
      <c r="Z32" s="282"/>
      <c r="AA32" s="22"/>
    </row>
    <row r="33" spans="1:27" s="23" customFormat="1" ht="21" customHeight="1" x14ac:dyDescent="0.15">
      <c r="A33" s="263" t="str">
        <f>IFERROR(IF(HLOOKUP($P$6,RangeUnitsetsSec,Q33,FALSE)=0,"",HLOOKUP($P$6,RangeUnitsetsSec,Q33,FALSE)),"")</f>
        <v/>
      </c>
      <c r="B33" s="278" t="str">
        <f>IFERROR(IF(VLOOKUP($A33,TableHandbook[],2,FALSE)=0,"",VLOOKUP($A33,TableHandbook[],2,FALSE)),"")</f>
        <v/>
      </c>
      <c r="C33" s="278" t="str">
        <f>IFERROR(IF(VLOOKUP($A33,TableHandbook[],3,FALSE)=0,"",VLOOKUP($A33,TableHandbook[],3,FALSE)),"")</f>
        <v/>
      </c>
      <c r="D33" s="312" t="str">
        <f>IFERROR(IF(VLOOKUP($A33,TableHandbook[],4,FALSE)=0,"",VLOOKUP($A33,TableHandbook[],4,FALSE)),"")</f>
        <v/>
      </c>
      <c r="E33" s="278" t="str">
        <f>IF(OR(A33="",A33="--"),"",VLOOKUP($D$9,TableStudyPeriods[],5,FALSE))</f>
        <v/>
      </c>
      <c r="F33" s="266" t="str">
        <f>IFERROR(IF(VLOOKUP($A33,TableHandbook[],6,FALSE)=0,"",VLOOKUP($A33,TableHandbook[],6,FALSE)),"")</f>
        <v/>
      </c>
      <c r="G33" s="264" t="str">
        <f>IFERROR(IF(VLOOKUP($A33,TableHandbook[],5,FALSE)=0,"",VLOOKUP($A33,TableHandbook[],5,FALSE)),"")</f>
        <v/>
      </c>
      <c r="H33" s="279" t="str">
        <f>IFERROR(VLOOKUP($A33,TableHandbook[],H$2,FALSE),"")</f>
        <v/>
      </c>
      <c r="I33" s="280" t="str">
        <f>IFERROR(VLOOKUP($A33,TableHandbook[],I$2,FALSE),"")</f>
        <v/>
      </c>
      <c r="J33" s="279" t="str">
        <f>IFERROR(VLOOKUP($A33,TableHandbook[],J$2,FALSE),"")</f>
        <v/>
      </c>
      <c r="K33" s="280" t="str">
        <f>IFERROR(VLOOKUP($A33,TableHandbook[],K$2,FALSE),"")</f>
        <v/>
      </c>
      <c r="L33" s="279" t="str">
        <f>IFERROR(VLOOKUP($A33,TableHandbook[],L$2,FALSE),"")</f>
        <v/>
      </c>
      <c r="M33" s="280" t="str">
        <f>IFERROR(VLOOKUP($A33,TableHandbook[],M$2,FALSE),"")</f>
        <v/>
      </c>
      <c r="N33" s="279" t="str">
        <f>IFERROR(VLOOKUP($A33,TableHandbook[],N$2,FALSE),"")</f>
        <v/>
      </c>
      <c r="O33" s="280" t="str">
        <f>IFERROR(VLOOKUP($A33,TableHandbook[],O$2,FALSE),"")</f>
        <v/>
      </c>
      <c r="P33" s="29"/>
      <c r="Q33" s="269">
        <v>16</v>
      </c>
      <c r="R33" s="281"/>
      <c r="S33" s="281"/>
      <c r="T33" s="282"/>
      <c r="U33" s="282"/>
      <c r="V33" s="282"/>
      <c r="W33" s="282"/>
      <c r="X33" s="282"/>
      <c r="Y33" s="282"/>
      <c r="Z33" s="282"/>
      <c r="AA33" s="22"/>
    </row>
    <row r="34" spans="1:27" s="23" customFormat="1" ht="21" customHeight="1" x14ac:dyDescent="0.15">
      <c r="A34" s="263" t="str">
        <f>IFERROR(IF(HLOOKUP($P$6,RangeUnitsetsSec,Q34,FALSE)=0,"",HLOOKUP($P$6,RangeUnitsetsSec,Q34,FALSE)),"")</f>
        <v/>
      </c>
      <c r="B34" s="278" t="str">
        <f>IFERROR(IF(VLOOKUP($A34,TableHandbook[],2,FALSE)=0,"",VLOOKUP($A34,TableHandbook[],2,FALSE)),"")</f>
        <v/>
      </c>
      <c r="C34" s="278" t="str">
        <f>IFERROR(IF(VLOOKUP($A34,TableHandbook[],3,FALSE)=0,"",VLOOKUP($A34,TableHandbook[],3,FALSE)),"")</f>
        <v/>
      </c>
      <c r="D34" s="312" t="str">
        <f>IFERROR(IF(VLOOKUP($A34,TableHandbook[],4,FALSE)=0,"",VLOOKUP($A34,TableHandbook[],4,FALSE)),"")</f>
        <v/>
      </c>
      <c r="E34" s="264" t="str">
        <f>IF(A34="","",E33)</f>
        <v/>
      </c>
      <c r="F34" s="266" t="str">
        <f>IFERROR(IF(VLOOKUP($A34,TableHandbook[],6,FALSE)=0,"",VLOOKUP($A34,TableHandbook[],6,FALSE)),"")</f>
        <v/>
      </c>
      <c r="G34" s="264" t="str">
        <f>IFERROR(IF(VLOOKUP($A34,TableHandbook[],5,FALSE)=0,"",VLOOKUP($A34,TableHandbook[],5,FALSE)),"")</f>
        <v/>
      </c>
      <c r="H34" s="279" t="str">
        <f>IFERROR(VLOOKUP($A34,TableHandbook[],H$2,FALSE),"")</f>
        <v/>
      </c>
      <c r="I34" s="280" t="str">
        <f>IFERROR(VLOOKUP($A34,TableHandbook[],I$2,FALSE),"")</f>
        <v/>
      </c>
      <c r="J34" s="279" t="str">
        <f>IFERROR(VLOOKUP($A34,TableHandbook[],J$2,FALSE),"")</f>
        <v/>
      </c>
      <c r="K34" s="280" t="str">
        <f>IFERROR(VLOOKUP($A34,TableHandbook[],K$2,FALSE),"")</f>
        <v/>
      </c>
      <c r="L34" s="279" t="str">
        <f>IFERROR(VLOOKUP($A34,TableHandbook[],L$2,FALSE),"")</f>
        <v/>
      </c>
      <c r="M34" s="280" t="str">
        <f>IFERROR(VLOOKUP($A34,TableHandbook[],M$2,FALSE),"")</f>
        <v/>
      </c>
      <c r="N34" s="279" t="str">
        <f>IFERROR(VLOOKUP($A34,TableHandbook[],N$2,FALSE),"")</f>
        <v/>
      </c>
      <c r="O34" s="280" t="str">
        <f>IFERROR(VLOOKUP($A34,TableHandbook[],O$2,FALSE),"")</f>
        <v/>
      </c>
      <c r="P34" s="29"/>
      <c r="Q34" s="269">
        <v>17</v>
      </c>
      <c r="R34" s="281"/>
      <c r="S34" s="281"/>
      <c r="T34" s="282"/>
      <c r="U34" s="282"/>
      <c r="V34" s="282"/>
      <c r="W34" s="282"/>
      <c r="X34" s="282"/>
      <c r="Y34" s="282"/>
      <c r="Z34" s="282"/>
      <c r="AA34" s="22"/>
    </row>
    <row r="35" spans="1:27" ht="16.5" customHeight="1" x14ac:dyDescent="0.25">
      <c r="A35" s="287"/>
      <c r="B35" s="287"/>
      <c r="C35" s="287"/>
      <c r="D35" s="288"/>
      <c r="E35" s="288"/>
      <c r="F35" s="289"/>
      <c r="G35" s="289"/>
      <c r="H35" s="289"/>
      <c r="I35" s="289"/>
      <c r="J35" s="289"/>
      <c r="K35" s="289"/>
      <c r="L35" s="289"/>
      <c r="M35" s="289"/>
      <c r="N35" s="289"/>
      <c r="O35" s="289"/>
      <c r="P35" s="289"/>
      <c r="Q35" s="297"/>
      <c r="R35" s="231"/>
      <c r="S35" s="231"/>
      <c r="T35" s="231"/>
      <c r="U35" s="231"/>
      <c r="V35" s="231"/>
      <c r="W35" s="231"/>
      <c r="X35" s="231"/>
      <c r="Y35" s="231"/>
      <c r="Z35" s="231"/>
      <c r="AA35" s="16"/>
    </row>
    <row r="36" spans="1:27" s="27" customFormat="1" ht="25.5" x14ac:dyDescent="0.25">
      <c r="A36" s="313" t="s">
        <v>230</v>
      </c>
      <c r="B36" s="314"/>
      <c r="C36" s="314"/>
      <c r="D36" s="315"/>
      <c r="E36" s="316"/>
      <c r="F36" s="316"/>
      <c r="G36" s="316"/>
      <c r="H36" s="317" t="s">
        <v>19</v>
      </c>
      <c r="I36" s="318"/>
      <c r="J36" s="318"/>
      <c r="K36" s="318"/>
      <c r="L36" s="318"/>
      <c r="M36" s="318"/>
      <c r="N36" s="319"/>
      <c r="O36" s="320"/>
      <c r="P36" s="321"/>
      <c r="Q36" s="297"/>
      <c r="R36" s="334"/>
      <c r="S36" s="334"/>
      <c r="T36" s="334"/>
      <c r="U36" s="334"/>
      <c r="V36" s="334"/>
      <c r="W36" s="334"/>
      <c r="X36" s="334"/>
      <c r="Y36" s="334"/>
      <c r="Z36" s="334"/>
      <c r="AA36" s="26"/>
    </row>
    <row r="37" spans="1:27" ht="21" customHeight="1" x14ac:dyDescent="0.25">
      <c r="A37" s="252"/>
      <c r="B37" s="252"/>
      <c r="C37" s="252"/>
      <c r="D37" s="253" t="s">
        <v>3</v>
      </c>
      <c r="E37" s="260" t="s">
        <v>21</v>
      </c>
      <c r="F37" s="252" t="s">
        <v>43</v>
      </c>
      <c r="G37" s="252" t="s">
        <v>23</v>
      </c>
      <c r="H37" s="261" t="s">
        <v>24</v>
      </c>
      <c r="I37" s="262" t="s">
        <v>25</v>
      </c>
      <c r="J37" s="261" t="s">
        <v>26</v>
      </c>
      <c r="K37" s="262" t="s">
        <v>27</v>
      </c>
      <c r="L37" s="261" t="s">
        <v>28</v>
      </c>
      <c r="M37" s="262" t="s">
        <v>29</v>
      </c>
      <c r="N37" s="261" t="s">
        <v>30</v>
      </c>
      <c r="O37" s="262" t="s">
        <v>31</v>
      </c>
      <c r="P37" s="252" t="s">
        <v>32</v>
      </c>
      <c r="Q37" s="269"/>
      <c r="R37" s="231"/>
      <c r="S37" s="231"/>
      <c r="T37" s="231"/>
      <c r="U37" s="231"/>
      <c r="V37" s="231"/>
      <c r="W37" s="231"/>
      <c r="X37" s="231"/>
      <c r="Y37" s="231"/>
      <c r="Z37" s="231"/>
      <c r="AA37" s="16"/>
    </row>
    <row r="38" spans="1:27" ht="21" customHeight="1" x14ac:dyDescent="0.25">
      <c r="A38" s="344" t="str">
        <f>IFERROR(IF(HLOOKUP($P$7,RangeTeachingAreas,Q38,FALSE)=0,"",HLOOKUP($P$7,RangeTeachingAreas,Q38,FALSE)),"")</f>
        <v/>
      </c>
      <c r="B38" s="345" t="str">
        <f>IFERROR(IF(VLOOKUP($A38,TableHandbook[],2,FALSE)=0,"",VLOOKUP($A38,TableHandbook[],2,FALSE)),"")</f>
        <v/>
      </c>
      <c r="C38" s="346" t="str">
        <f>IFERROR(IF(VLOOKUP($A38,TableHandbook[],3,FALSE)=0,"",VLOOKUP($A38,TableHandbook[],3,FALSE)),"")</f>
        <v/>
      </c>
      <c r="D38" s="346" t="str">
        <f>IFERROR(IF(VLOOKUP($A38,TableHandbook[],4,FALSE)=0,"",VLOOKUP($A38,TableHandbook[],4,FALSE)),"")</f>
        <v/>
      </c>
      <c r="E38" s="347"/>
      <c r="F38" s="348" t="str">
        <f>IFERROR(IF(VLOOKUP($A38,TableHandbook[],6,FALSE)=0,"",VLOOKUP($A38,TableHandbook[],6,FALSE)),"")</f>
        <v/>
      </c>
      <c r="G38" s="348" t="str">
        <f>IFERROR(IF(VLOOKUP($A38,TableHandbook[],5,FALSE)=0,"",VLOOKUP($A38,TableHandbook[],5,FALSE)),"")</f>
        <v/>
      </c>
      <c r="H38" s="349" t="str">
        <f>IFERROR(VLOOKUP($A38,TableHandbook[],H$2,FALSE),"")</f>
        <v/>
      </c>
      <c r="I38" s="350" t="str">
        <f>IFERROR(VLOOKUP($A38,TableHandbook[],I$2,FALSE),"")</f>
        <v/>
      </c>
      <c r="J38" s="351" t="str">
        <f>IFERROR(VLOOKUP($A38,TableHandbook[],J$2,FALSE),"")</f>
        <v/>
      </c>
      <c r="K38" s="350" t="str">
        <f>IFERROR(VLOOKUP($A38,TableHandbook[],K$2,FALSE),"")</f>
        <v/>
      </c>
      <c r="L38" s="351" t="str">
        <f>IFERROR(VLOOKUP($A38,TableHandbook[],L$2,FALSE),"")</f>
        <v/>
      </c>
      <c r="M38" s="350" t="str">
        <f>IFERROR(VLOOKUP($A38,TableHandbook[],M$2,FALSE),"")</f>
        <v/>
      </c>
      <c r="N38" s="351" t="str">
        <f>IFERROR(VLOOKUP($A38,TableHandbook[],N$2,FALSE),"")</f>
        <v/>
      </c>
      <c r="O38" s="350" t="str">
        <f>IFERROR(VLOOKUP($A38,TableHandbook[],O$2,FALSE),"")</f>
        <v/>
      </c>
      <c r="P38" s="363"/>
      <c r="Q38" s="352">
        <v>2</v>
      </c>
      <c r="R38" s="231"/>
      <c r="S38" s="231"/>
      <c r="T38" s="231"/>
      <c r="U38" s="231"/>
      <c r="V38" s="231"/>
      <c r="W38" s="231"/>
      <c r="X38" s="231"/>
      <c r="Y38" s="231"/>
      <c r="Z38" s="231"/>
      <c r="AA38" s="16"/>
    </row>
    <row r="39" spans="1:27" ht="21" customHeight="1" x14ac:dyDescent="0.25">
      <c r="A39" s="322" t="str">
        <f>IFERROR(IF(HLOOKUP($P$7,RangeTeachingAreas,Q39,FALSE)=0,"",HLOOKUP($P$7,RangeTeachingAreas,Q39,FALSE)),"")</f>
        <v/>
      </c>
      <c r="B39" s="323" t="str">
        <f>IFERROR(IF(VLOOKUP($A39,TableHandbook[],2,FALSE)=0,"",VLOOKUP($A39,TableHandbook[],2,FALSE)),"")</f>
        <v/>
      </c>
      <c r="C39" s="324" t="str">
        <f>IFERROR(IF(VLOOKUP($A39,TableHandbook[],3,FALSE)=0,"",VLOOKUP($A39,TableHandbook[],3,FALSE)),"")</f>
        <v/>
      </c>
      <c r="D39" s="324" t="str">
        <f>IFERROR(IF(VLOOKUP($A39,TableHandbook[],4,FALSE)=0,"",VLOOKUP($A39,TableHandbook[],4,FALSE)),"")</f>
        <v/>
      </c>
      <c r="E39" s="325"/>
      <c r="F39" s="326" t="str">
        <f>IFERROR(IF(VLOOKUP($A39,TableHandbook[],6,FALSE)=0,"",VLOOKUP($A39,TableHandbook[],6,FALSE)),"")</f>
        <v/>
      </c>
      <c r="G39" s="326" t="str">
        <f>IFERROR(IF(VLOOKUP($A39,TableHandbook[],5,FALSE)=0,"",VLOOKUP($A39,TableHandbook[],5,FALSE)),"")</f>
        <v/>
      </c>
      <c r="H39" s="267" t="str">
        <f>IFERROR(VLOOKUP($A39,TableHandbook[],H$2,FALSE),"")</f>
        <v/>
      </c>
      <c r="I39" s="268" t="str">
        <f>IFERROR(VLOOKUP($A39,TableHandbook[],I$2,FALSE),"")</f>
        <v/>
      </c>
      <c r="J39" s="264" t="str">
        <f>IFERROR(VLOOKUP($A39,TableHandbook[],J$2,FALSE),"")</f>
        <v/>
      </c>
      <c r="K39" s="268" t="str">
        <f>IFERROR(VLOOKUP($A39,TableHandbook[],K$2,FALSE),"")</f>
        <v/>
      </c>
      <c r="L39" s="264" t="str">
        <f>IFERROR(VLOOKUP($A39,TableHandbook[],L$2,FALSE),"")</f>
        <v/>
      </c>
      <c r="M39" s="268" t="str">
        <f>IFERROR(VLOOKUP($A39,TableHandbook[],M$2,FALSE),"")</f>
        <v/>
      </c>
      <c r="N39" s="264" t="str">
        <f>IFERROR(VLOOKUP($A39,TableHandbook[],N$2,FALSE),"")</f>
        <v/>
      </c>
      <c r="O39" s="268" t="str">
        <f>IFERROR(VLOOKUP($A39,TableHandbook[],O$2,FALSE),"")</f>
        <v/>
      </c>
      <c r="P39" s="31"/>
      <c r="Q39" s="269">
        <v>3</v>
      </c>
      <c r="R39" s="231"/>
      <c r="S39" s="231"/>
      <c r="T39" s="231"/>
      <c r="U39" s="231"/>
      <c r="V39" s="231"/>
      <c r="W39" s="231"/>
      <c r="X39" s="231"/>
      <c r="Y39" s="231"/>
      <c r="Z39" s="231"/>
      <c r="AA39" s="16"/>
    </row>
    <row r="40" spans="1:27" ht="21" customHeight="1" x14ac:dyDescent="0.25">
      <c r="A40" s="322" t="str">
        <f>IFERROR(IF(HLOOKUP($P$7,RangeTeachingAreas,Q40,FALSE)=0,"",HLOOKUP($P$7,RangeTeachingAreas,Q40,FALSE)),"")</f>
        <v/>
      </c>
      <c r="B40" s="323" t="str">
        <f>IFERROR(IF(VLOOKUP($A40,TableHandbook[],2,FALSE)=0,"",VLOOKUP($A40,TableHandbook[],2,FALSE)),"")</f>
        <v/>
      </c>
      <c r="C40" s="324" t="str">
        <f>IFERROR(IF(VLOOKUP($A40,TableHandbook[],3,FALSE)=0,"",VLOOKUP($A40,TableHandbook[],3,FALSE)),"")</f>
        <v/>
      </c>
      <c r="D40" s="324" t="str">
        <f>IFERROR(IF(VLOOKUP($A40,TableHandbook[],4,FALSE)=0,"",VLOOKUP($A40,TableHandbook[],4,FALSE)),"")</f>
        <v/>
      </c>
      <c r="E40" s="325"/>
      <c r="F40" s="326" t="str">
        <f>IFERROR(IF(VLOOKUP($A40,TableHandbook[],6,FALSE)=0,"",VLOOKUP($A40,TableHandbook[],6,FALSE)),"")</f>
        <v/>
      </c>
      <c r="G40" s="326" t="str">
        <f>IFERROR(IF(VLOOKUP($A40,TableHandbook[],5,FALSE)=0,"",VLOOKUP($A40,TableHandbook[],5,FALSE)),"")</f>
        <v/>
      </c>
      <c r="H40" s="267" t="str">
        <f>IFERROR(VLOOKUP($A40,TableHandbook[],H$2,FALSE),"")</f>
        <v/>
      </c>
      <c r="I40" s="268" t="str">
        <f>IFERROR(VLOOKUP($A40,TableHandbook[],I$2,FALSE),"")</f>
        <v/>
      </c>
      <c r="J40" s="264" t="str">
        <f>IFERROR(VLOOKUP($A40,TableHandbook[],J$2,FALSE),"")</f>
        <v/>
      </c>
      <c r="K40" s="268" t="str">
        <f>IFERROR(VLOOKUP($A40,TableHandbook[],K$2,FALSE),"")</f>
        <v/>
      </c>
      <c r="L40" s="264" t="str">
        <f>IFERROR(VLOOKUP($A40,TableHandbook[],L$2,FALSE),"")</f>
        <v/>
      </c>
      <c r="M40" s="268" t="str">
        <f>IFERROR(VLOOKUP($A40,TableHandbook[],M$2,FALSE),"")</f>
        <v/>
      </c>
      <c r="N40" s="264" t="str">
        <f>IFERROR(VLOOKUP($A40,TableHandbook[],N$2,FALSE),"")</f>
        <v/>
      </c>
      <c r="O40" s="268" t="str">
        <f>IFERROR(VLOOKUP($A40,TableHandbook[],O$2,FALSE),"")</f>
        <v/>
      </c>
      <c r="P40" s="31"/>
      <c r="Q40" s="269">
        <v>4</v>
      </c>
      <c r="R40" s="231"/>
      <c r="S40" s="231"/>
      <c r="T40" s="231"/>
      <c r="U40" s="231"/>
      <c r="V40" s="231"/>
      <c r="W40" s="231"/>
      <c r="X40" s="231"/>
      <c r="Y40" s="231"/>
      <c r="Z40" s="231"/>
      <c r="AA40" s="16"/>
    </row>
    <row r="41" spans="1:27" ht="21" customHeight="1" x14ac:dyDescent="0.25">
      <c r="A41" s="322"/>
      <c r="B41" s="323"/>
      <c r="C41" s="324"/>
      <c r="D41" s="324"/>
      <c r="E41" s="325"/>
      <c r="F41" s="326"/>
      <c r="G41" s="326"/>
      <c r="H41" s="267"/>
      <c r="I41" s="268"/>
      <c r="J41" s="264"/>
      <c r="K41" s="268"/>
      <c r="L41" s="264"/>
      <c r="M41" s="268"/>
      <c r="N41" s="264"/>
      <c r="O41" s="268"/>
      <c r="P41" s="31"/>
      <c r="Q41" s="269"/>
      <c r="R41" s="231"/>
      <c r="S41" s="231"/>
      <c r="T41" s="231"/>
      <c r="U41" s="231"/>
      <c r="V41" s="231"/>
      <c r="W41" s="231"/>
      <c r="X41" s="231"/>
      <c r="Y41" s="231"/>
      <c r="Z41" s="231"/>
      <c r="AA41" s="16"/>
    </row>
    <row r="42" spans="1:27" ht="21" customHeight="1" x14ac:dyDescent="0.25">
      <c r="A42" s="353" t="str">
        <f>IFERROR(IF(HLOOKUP($P$8,RangeTeachingAreas,Q42,FALSE)=0,"",HLOOKUP($P$8,RangeTeachingAreas,Q42,FALSE)),"")</f>
        <v/>
      </c>
      <c r="B42" s="354" t="str">
        <f>IFERROR(IF(VLOOKUP($A42,TableHandbook[],2,FALSE)=0,"",VLOOKUP($A42,TableHandbook[],2,FALSE)),"")</f>
        <v/>
      </c>
      <c r="C42" s="355" t="str">
        <f>IFERROR(IF(VLOOKUP($A42,TableHandbook[],3,FALSE)=0,"",VLOOKUP($A42,TableHandbook[],3,FALSE)),"")</f>
        <v/>
      </c>
      <c r="D42" s="355" t="str">
        <f>IFERROR(IF(VLOOKUP($A42,TableHandbook[],4,FALSE)=0,"",VLOOKUP($A42,TableHandbook[],4,FALSE)),"")</f>
        <v/>
      </c>
      <c r="E42" s="356"/>
      <c r="F42" s="357" t="str">
        <f>IFERROR(IF(VLOOKUP($A42,TableHandbook[],6,FALSE)=0,"",VLOOKUP($A42,TableHandbook[],6,FALSE)),"")</f>
        <v/>
      </c>
      <c r="G42" s="357" t="str">
        <f>IFERROR(IF(VLOOKUP($A42,TableHandbook[],5,FALSE)=0,"",VLOOKUP($A42,TableHandbook[],5,FALSE)),"")</f>
        <v/>
      </c>
      <c r="H42" s="358" t="str">
        <f>IFERROR(VLOOKUP($A42,TableHandbook[],H$2,FALSE),"")</f>
        <v/>
      </c>
      <c r="I42" s="359" t="str">
        <f>IFERROR(VLOOKUP($A42,TableHandbook[],I$2,FALSE),"")</f>
        <v/>
      </c>
      <c r="J42" s="360" t="str">
        <f>IFERROR(VLOOKUP($A42,TableHandbook[],J$2,FALSE),"")</f>
        <v/>
      </c>
      <c r="K42" s="359" t="str">
        <f>IFERROR(VLOOKUP($A42,TableHandbook[],K$2,FALSE),"")</f>
        <v/>
      </c>
      <c r="L42" s="360" t="str">
        <f>IFERROR(VLOOKUP($A42,TableHandbook[],L$2,FALSE),"")</f>
        <v/>
      </c>
      <c r="M42" s="359" t="str">
        <f>IFERROR(VLOOKUP($A42,TableHandbook[],M$2,FALSE),"")</f>
        <v/>
      </c>
      <c r="N42" s="360" t="str">
        <f>IFERROR(VLOOKUP($A42,TableHandbook[],N$2,FALSE),"")</f>
        <v/>
      </c>
      <c r="O42" s="359" t="str">
        <f>IFERROR(VLOOKUP($A42,TableHandbook[],O$2,FALSE),"")</f>
        <v/>
      </c>
      <c r="P42" s="364"/>
      <c r="Q42" s="361">
        <v>5</v>
      </c>
      <c r="R42" s="231"/>
      <c r="S42" s="231"/>
      <c r="T42" s="231"/>
      <c r="U42" s="231"/>
      <c r="V42" s="231"/>
      <c r="W42" s="231"/>
      <c r="X42" s="231"/>
      <c r="Y42" s="231"/>
      <c r="Z42" s="231"/>
      <c r="AA42" s="16"/>
    </row>
    <row r="43" spans="1:27" ht="21" customHeight="1" x14ac:dyDescent="0.25">
      <c r="A43" s="322" t="str">
        <f>IFERROR(IF(HLOOKUP($P$8,RangeTeachingAreas,Q43,FALSE)=0,"",HLOOKUP($P$8,RangeTeachingAreas,Q43,FALSE)),"")</f>
        <v/>
      </c>
      <c r="B43" s="323" t="str">
        <f>IFERROR(IF(VLOOKUP($A43,TableHandbook[],2,FALSE)=0,"",VLOOKUP($A43,TableHandbook[],2,FALSE)),"")</f>
        <v/>
      </c>
      <c r="C43" s="324" t="str">
        <f>IFERROR(IF(VLOOKUP($A43,TableHandbook[],3,FALSE)=0,"",VLOOKUP($A43,TableHandbook[],3,FALSE)),"")</f>
        <v/>
      </c>
      <c r="D43" s="324" t="str">
        <f>IFERROR(IF(VLOOKUP($A43,TableHandbook[],4,FALSE)=0,"",VLOOKUP($A43,TableHandbook[],4,FALSE)),"")</f>
        <v/>
      </c>
      <c r="E43" s="325"/>
      <c r="F43" s="326" t="str">
        <f>IFERROR(IF(VLOOKUP($A43,TableHandbook[],6,FALSE)=0,"",VLOOKUP($A43,TableHandbook[],6,FALSE)),"")</f>
        <v/>
      </c>
      <c r="G43" s="326" t="str">
        <f>IFERROR(IF(VLOOKUP($A43,TableHandbook[],5,FALSE)=0,"",VLOOKUP($A43,TableHandbook[],5,FALSE)),"")</f>
        <v/>
      </c>
      <c r="H43" s="267" t="str">
        <f>IFERROR(VLOOKUP($A43,TableHandbook[],H$2,FALSE),"")</f>
        <v/>
      </c>
      <c r="I43" s="268" t="str">
        <f>IFERROR(VLOOKUP($A43,TableHandbook[],I$2,FALSE),"")</f>
        <v/>
      </c>
      <c r="J43" s="264" t="str">
        <f>IFERROR(VLOOKUP($A43,TableHandbook[],J$2,FALSE),"")</f>
        <v/>
      </c>
      <c r="K43" s="268" t="str">
        <f>IFERROR(VLOOKUP($A43,TableHandbook[],K$2,FALSE),"")</f>
        <v/>
      </c>
      <c r="L43" s="264" t="str">
        <f>IFERROR(VLOOKUP($A43,TableHandbook[],L$2,FALSE),"")</f>
        <v/>
      </c>
      <c r="M43" s="268" t="str">
        <f>IFERROR(VLOOKUP($A43,TableHandbook[],M$2,FALSE),"")</f>
        <v/>
      </c>
      <c r="N43" s="264" t="str">
        <f>IFERROR(VLOOKUP($A43,TableHandbook[],N$2,FALSE),"")</f>
        <v/>
      </c>
      <c r="O43" s="268" t="str">
        <f>IFERROR(VLOOKUP($A43,TableHandbook[],O$2,FALSE),"")</f>
        <v/>
      </c>
      <c r="P43" s="31"/>
      <c r="Q43" s="269">
        <v>6</v>
      </c>
      <c r="R43" s="231"/>
      <c r="S43" s="231"/>
      <c r="T43" s="231"/>
      <c r="U43" s="231"/>
      <c r="V43" s="231"/>
      <c r="W43" s="231"/>
      <c r="X43" s="231"/>
      <c r="Y43" s="231"/>
      <c r="Z43" s="231"/>
      <c r="AA43" s="16"/>
    </row>
    <row r="44" spans="1:27" ht="21" customHeight="1" x14ac:dyDescent="0.25">
      <c r="A44" s="322" t="str">
        <f>IFERROR(IF(HLOOKUP($P$8,RangeTeachingAreas,Q44,FALSE)=0,"",HLOOKUP($P$8,RangeTeachingAreas,Q44,FALSE)),"")</f>
        <v/>
      </c>
      <c r="B44" s="323" t="str">
        <f>IFERROR(IF(VLOOKUP($A44,TableHandbook[],2,FALSE)=0,"",VLOOKUP($A44,TableHandbook[],2,FALSE)),"")</f>
        <v/>
      </c>
      <c r="C44" s="324" t="str">
        <f>IFERROR(IF(VLOOKUP($A44,TableHandbook[],3,FALSE)=0,"",VLOOKUP($A44,TableHandbook[],3,FALSE)),"")</f>
        <v/>
      </c>
      <c r="D44" s="324" t="str">
        <f>IFERROR(IF(VLOOKUP($A44,TableHandbook[],4,FALSE)=0,"",VLOOKUP($A44,TableHandbook[],4,FALSE)),"")</f>
        <v/>
      </c>
      <c r="E44" s="325"/>
      <c r="F44" s="326" t="str">
        <f>IFERROR(IF(VLOOKUP($A44,TableHandbook[],6,FALSE)=0,"",VLOOKUP($A44,TableHandbook[],6,FALSE)),"")</f>
        <v/>
      </c>
      <c r="G44" s="326" t="str">
        <f>IFERROR(IF(VLOOKUP($A44,TableHandbook[],5,FALSE)=0,"",VLOOKUP($A44,TableHandbook[],5,FALSE)),"")</f>
        <v/>
      </c>
      <c r="H44" s="267" t="str">
        <f>IFERROR(VLOOKUP($A44,TableHandbook[],H$2,FALSE),"")</f>
        <v/>
      </c>
      <c r="I44" s="268" t="str">
        <f>IFERROR(VLOOKUP($A44,TableHandbook[],I$2,FALSE),"")</f>
        <v/>
      </c>
      <c r="J44" s="264" t="str">
        <f>IFERROR(VLOOKUP($A44,TableHandbook[],J$2,FALSE),"")</f>
        <v/>
      </c>
      <c r="K44" s="268" t="str">
        <f>IFERROR(VLOOKUP($A44,TableHandbook[],K$2,FALSE),"")</f>
        <v/>
      </c>
      <c r="L44" s="264" t="str">
        <f>IFERROR(VLOOKUP($A44,TableHandbook[],L$2,FALSE),"")</f>
        <v/>
      </c>
      <c r="M44" s="268" t="str">
        <f>IFERROR(VLOOKUP($A44,TableHandbook[],M$2,FALSE),"")</f>
        <v/>
      </c>
      <c r="N44" s="264" t="str">
        <f>IFERROR(VLOOKUP($A44,TableHandbook[],N$2,FALSE),"")</f>
        <v/>
      </c>
      <c r="O44" s="268" t="str">
        <f>IFERROR(VLOOKUP($A44,TableHandbook[],O$2,FALSE),"")</f>
        <v/>
      </c>
      <c r="P44" s="31"/>
      <c r="Q44" s="269">
        <v>7</v>
      </c>
      <c r="R44" s="231"/>
      <c r="S44" s="231"/>
      <c r="T44" s="231"/>
      <c r="U44" s="231"/>
      <c r="V44" s="231"/>
      <c r="W44" s="231"/>
      <c r="X44" s="231"/>
      <c r="Y44" s="231"/>
      <c r="Z44" s="231"/>
      <c r="AA44" s="16"/>
    </row>
    <row r="45" spans="1:27" ht="15" customHeight="1" x14ac:dyDescent="0.25">
      <c r="A45" s="327"/>
      <c r="B45" s="327"/>
      <c r="C45" s="328"/>
      <c r="D45" s="328"/>
      <c r="E45" s="329"/>
      <c r="F45" s="330"/>
      <c r="G45" s="330"/>
      <c r="H45" s="331"/>
      <c r="I45" s="331"/>
      <c r="J45" s="331"/>
      <c r="K45" s="331"/>
      <c r="L45" s="331"/>
      <c r="M45" s="331"/>
      <c r="N45" s="331"/>
      <c r="O45" s="331"/>
      <c r="P45" s="332"/>
      <c r="Q45" s="269"/>
      <c r="R45" s="231"/>
      <c r="S45" s="231"/>
      <c r="T45" s="231"/>
      <c r="U45" s="231"/>
      <c r="V45" s="231"/>
      <c r="W45" s="231"/>
      <c r="X45" s="231"/>
      <c r="Y45" s="231"/>
      <c r="Z45" s="231"/>
      <c r="AA45" s="16"/>
    </row>
    <row r="46" spans="1:27" s="16" customFormat="1" ht="18" x14ac:dyDescent="0.25">
      <c r="A46" s="333" t="s">
        <v>35</v>
      </c>
      <c r="B46" s="333"/>
      <c r="C46" s="333"/>
      <c r="D46" s="333"/>
      <c r="E46" s="333"/>
      <c r="F46" s="333"/>
      <c r="G46" s="333"/>
      <c r="H46" s="333"/>
      <c r="I46" s="333"/>
      <c r="J46" s="333"/>
      <c r="K46" s="333"/>
      <c r="L46" s="333"/>
      <c r="M46" s="333"/>
      <c r="N46" s="333"/>
      <c r="O46" s="333"/>
      <c r="P46" s="333"/>
      <c r="Q46" s="297"/>
      <c r="R46" s="231"/>
      <c r="S46" s="231"/>
      <c r="T46" s="231"/>
      <c r="U46" s="231"/>
      <c r="V46" s="231"/>
      <c r="W46" s="231"/>
      <c r="X46" s="231"/>
      <c r="Y46" s="231"/>
      <c r="Z46" s="231"/>
    </row>
    <row r="47" spans="1:27" s="25" customFormat="1" ht="17.25" x14ac:dyDescent="0.2">
      <c r="A47" s="117" t="s">
        <v>36</v>
      </c>
      <c r="B47" s="117"/>
      <c r="C47" s="117"/>
      <c r="D47" s="118"/>
      <c r="E47" s="118"/>
      <c r="F47" s="118"/>
      <c r="G47" s="118"/>
      <c r="H47" s="118"/>
      <c r="I47" s="118"/>
      <c r="J47" s="118"/>
      <c r="K47" s="118"/>
      <c r="L47" s="118"/>
      <c r="M47" s="118"/>
      <c r="N47" s="118"/>
      <c r="O47" s="118"/>
      <c r="P47" s="118"/>
      <c r="Q47" s="290"/>
      <c r="R47" s="290"/>
      <c r="S47" s="290"/>
      <c r="T47" s="291"/>
      <c r="U47" s="291"/>
      <c r="V47" s="291"/>
      <c r="W47" s="291"/>
      <c r="X47" s="291"/>
      <c r="Y47" s="291"/>
      <c r="Z47" s="291"/>
      <c r="AA47" s="24"/>
    </row>
    <row r="48" spans="1:27" x14ac:dyDescent="0.25">
      <c r="A48" s="292" t="s">
        <v>37</v>
      </c>
      <c r="B48" s="292"/>
      <c r="C48" s="292"/>
      <c r="D48" s="292"/>
      <c r="E48" s="293"/>
      <c r="F48" s="289"/>
      <c r="G48" s="294"/>
      <c r="H48" s="294"/>
      <c r="I48" s="294"/>
      <c r="J48" s="294"/>
      <c r="K48" s="294"/>
      <c r="L48" s="294"/>
      <c r="M48" s="294"/>
      <c r="N48" s="294"/>
      <c r="O48" s="294"/>
      <c r="P48" s="294" t="s">
        <v>38</v>
      </c>
      <c r="Q48" s="231"/>
      <c r="R48" s="231"/>
      <c r="S48" s="231"/>
      <c r="T48" s="231"/>
      <c r="U48" s="231"/>
      <c r="V48" s="231"/>
      <c r="W48" s="231"/>
      <c r="X48" s="231"/>
      <c r="Y48" s="231"/>
      <c r="Z48" s="231"/>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D9</xm:sqref>
        </x14:dataValidation>
        <x14:dataValidation type="list" showInputMessage="1" showErrorMessage="1">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D5" sqref="D5"/>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234</v>
      </c>
    </row>
    <row r="2" spans="1:22" x14ac:dyDescent="0.25">
      <c r="A2" s="34" t="s">
        <v>118</v>
      </c>
    </row>
    <row r="3" spans="1:22" x14ac:dyDescent="0.25">
      <c r="M3" s="148" t="s">
        <v>235</v>
      </c>
      <c r="N3" s="45">
        <v>1</v>
      </c>
      <c r="O3" s="47"/>
      <c r="P3" s="46" t="s">
        <v>236</v>
      </c>
      <c r="Q3" s="47"/>
      <c r="R3" s="46" t="s">
        <v>237</v>
      </c>
      <c r="S3" s="47"/>
      <c r="T3" s="46" t="s">
        <v>238</v>
      </c>
      <c r="U3" s="47"/>
      <c r="V3" s="46" t="s">
        <v>239</v>
      </c>
    </row>
    <row r="4" spans="1:22" x14ac:dyDescent="0.25">
      <c r="I4" s="127" t="s">
        <v>240</v>
      </c>
      <c r="J4" s="36"/>
      <c r="K4" s="36"/>
      <c r="M4" s="36"/>
      <c r="N4" s="49">
        <v>2</v>
      </c>
      <c r="O4" s="86" t="s">
        <v>58</v>
      </c>
      <c r="P4" s="92" t="s">
        <v>241</v>
      </c>
      <c r="Q4" s="86" t="s">
        <v>60</v>
      </c>
      <c r="R4" s="92" t="s">
        <v>242</v>
      </c>
      <c r="S4" s="86" t="s">
        <v>62</v>
      </c>
      <c r="T4" s="92" t="s">
        <v>59</v>
      </c>
      <c r="U4" s="86" t="s">
        <v>63</v>
      </c>
      <c r="V4" s="92" t="s">
        <v>242</v>
      </c>
    </row>
    <row r="5" spans="1:22" x14ac:dyDescent="0.25">
      <c r="A5" s="127" t="s">
        <v>243</v>
      </c>
      <c r="B5" s="36"/>
      <c r="C5" s="36"/>
      <c r="D5" s="36"/>
      <c r="E5" s="36"/>
      <c r="F5" s="36"/>
      <c r="G5" s="36"/>
      <c r="H5" s="36"/>
      <c r="I5" s="128" t="s">
        <v>244</v>
      </c>
      <c r="J5" s="145" t="s">
        <v>467</v>
      </c>
      <c r="K5" s="146"/>
      <c r="M5" s="36"/>
      <c r="N5" s="49">
        <v>3</v>
      </c>
      <c r="O5" s="87" t="s">
        <v>58</v>
      </c>
      <c r="P5" s="93" t="s">
        <v>59</v>
      </c>
      <c r="Q5" s="87" t="s">
        <v>60</v>
      </c>
      <c r="R5" s="93" t="s">
        <v>241</v>
      </c>
      <c r="S5" s="87" t="s">
        <v>62</v>
      </c>
      <c r="T5" s="93" t="s">
        <v>173</v>
      </c>
      <c r="U5" s="87" t="s">
        <v>63</v>
      </c>
      <c r="V5" s="140" t="s">
        <v>246</v>
      </c>
    </row>
    <row r="6" spans="1:22" x14ac:dyDescent="0.25">
      <c r="A6" s="56" t="s">
        <v>466</v>
      </c>
      <c r="B6" s="57" t="s">
        <v>0</v>
      </c>
      <c r="C6" s="36" t="s">
        <v>73</v>
      </c>
      <c r="D6" s="36" t="s">
        <v>74</v>
      </c>
      <c r="E6" s="36" t="s">
        <v>75</v>
      </c>
      <c r="F6" s="36" t="s">
        <v>76</v>
      </c>
      <c r="G6" s="36" t="s">
        <v>6</v>
      </c>
      <c r="H6" s="36"/>
      <c r="I6" s="128" t="s">
        <v>46</v>
      </c>
      <c r="J6" s="129" t="s">
        <v>245</v>
      </c>
      <c r="K6" s="146"/>
      <c r="M6" s="36"/>
      <c r="N6" s="49">
        <v>4</v>
      </c>
      <c r="O6" s="87" t="s">
        <v>60</v>
      </c>
      <c r="P6" s="93" t="s">
        <v>242</v>
      </c>
      <c r="Q6" s="87" t="s">
        <v>62</v>
      </c>
      <c r="R6" s="93" t="s">
        <v>59</v>
      </c>
      <c r="S6" s="87" t="s">
        <v>63</v>
      </c>
      <c r="T6" s="93" t="s">
        <v>242</v>
      </c>
      <c r="U6" s="87" t="s">
        <v>58</v>
      </c>
      <c r="V6" s="93" t="s">
        <v>241</v>
      </c>
    </row>
    <row r="7" spans="1:22" x14ac:dyDescent="0.25">
      <c r="A7" s="51" t="s">
        <v>247</v>
      </c>
      <c r="B7" s="203" t="s">
        <v>46</v>
      </c>
      <c r="C7" s="51" t="s">
        <v>79</v>
      </c>
      <c r="D7" s="51" t="s">
        <v>248</v>
      </c>
      <c r="E7" s="175">
        <v>44562</v>
      </c>
      <c r="F7" s="175">
        <v>44562</v>
      </c>
      <c r="G7" s="173" t="s">
        <v>249</v>
      </c>
      <c r="H7" s="52"/>
      <c r="I7" s="123"/>
      <c r="J7" s="130" t="str">
        <f>INDEX(TableTeachingArea2[Choose your Second Approved Teaching Area],MATCH(K7,TableTeachingArea2[UDC],0))</f>
        <v>No Second Teaching Area</v>
      </c>
      <c r="K7" s="124" t="s">
        <v>250</v>
      </c>
      <c r="M7" s="36"/>
      <c r="N7" s="49">
        <v>5</v>
      </c>
      <c r="O7" s="87" t="s">
        <v>60</v>
      </c>
      <c r="P7" s="93" t="s">
        <v>251</v>
      </c>
      <c r="Q7" s="87" t="s">
        <v>62</v>
      </c>
      <c r="R7" s="93" t="s">
        <v>173</v>
      </c>
      <c r="S7" s="87" t="s">
        <v>63</v>
      </c>
      <c r="T7" s="140" t="s">
        <v>246</v>
      </c>
      <c r="U7" s="87" t="s">
        <v>58</v>
      </c>
      <c r="V7" s="93" t="s">
        <v>59</v>
      </c>
    </row>
    <row r="8" spans="1:22" x14ac:dyDescent="0.25">
      <c r="A8" s="51" t="s">
        <v>225</v>
      </c>
      <c r="B8" s="203" t="s">
        <v>252</v>
      </c>
      <c r="C8" s="51" t="s">
        <v>79</v>
      </c>
      <c r="D8" s="51" t="s">
        <v>248</v>
      </c>
      <c r="E8" s="175">
        <v>44562</v>
      </c>
      <c r="F8" s="189">
        <v>44562</v>
      </c>
      <c r="G8" s="173" t="s">
        <v>249</v>
      </c>
      <c r="H8" s="52"/>
      <c r="I8" s="123"/>
      <c r="J8" s="130" t="str">
        <f>INDEX(TableTeachingArea2[Choose your Second Approved Teaching Area],MATCH(K8,TableTeachingArea2[UDC],0))</f>
        <v>English Teaching Area</v>
      </c>
      <c r="K8" s="124" t="s">
        <v>252</v>
      </c>
      <c r="M8" s="36"/>
      <c r="N8" s="49">
        <v>6</v>
      </c>
      <c r="O8" s="87" t="s">
        <v>62</v>
      </c>
      <c r="P8" s="93" t="s">
        <v>173</v>
      </c>
      <c r="Q8" s="87" t="s">
        <v>63</v>
      </c>
      <c r="R8" s="140" t="s">
        <v>246</v>
      </c>
      <c r="S8" s="87" t="s">
        <v>58</v>
      </c>
      <c r="T8" s="93" t="s">
        <v>241</v>
      </c>
      <c r="U8" s="87" t="s">
        <v>60</v>
      </c>
      <c r="V8" s="141" t="s">
        <v>253</v>
      </c>
    </row>
    <row r="9" spans="1:22" x14ac:dyDescent="0.25">
      <c r="A9" s="51" t="s">
        <v>228</v>
      </c>
      <c r="B9" s="203" t="s">
        <v>254</v>
      </c>
      <c r="C9" s="51" t="s">
        <v>79</v>
      </c>
      <c r="D9" s="51" t="s">
        <v>248</v>
      </c>
      <c r="E9" s="175">
        <v>44562</v>
      </c>
      <c r="F9" s="189">
        <v>44562</v>
      </c>
      <c r="G9" s="173" t="s">
        <v>249</v>
      </c>
      <c r="H9" s="52"/>
      <c r="I9" s="123"/>
      <c r="J9" s="130" t="str">
        <f>INDEX(TableTeachingArea2[Choose your Second Approved Teaching Area],MATCH(K9,TableTeachingArea2[UDC],0))</f>
        <v>Health and Physical Education Teaching Area</v>
      </c>
      <c r="K9" s="124" t="s">
        <v>254</v>
      </c>
      <c r="M9" s="36"/>
      <c r="N9" s="49">
        <v>7</v>
      </c>
      <c r="O9" s="87" t="s">
        <v>62</v>
      </c>
      <c r="P9" s="93" t="s">
        <v>255</v>
      </c>
      <c r="Q9" s="87" t="s">
        <v>63</v>
      </c>
      <c r="R9" s="141" t="s">
        <v>253</v>
      </c>
      <c r="S9" s="87" t="s">
        <v>58</v>
      </c>
      <c r="T9" s="93" t="s">
        <v>251</v>
      </c>
      <c r="U9" s="87" t="s">
        <v>60</v>
      </c>
      <c r="V9" s="93" t="s">
        <v>251</v>
      </c>
    </row>
    <row r="10" spans="1:22" x14ac:dyDescent="0.25">
      <c r="A10" s="51" t="s">
        <v>256</v>
      </c>
      <c r="B10" s="203" t="s">
        <v>257</v>
      </c>
      <c r="C10" s="51" t="s">
        <v>79</v>
      </c>
      <c r="D10" s="51" t="s">
        <v>248</v>
      </c>
      <c r="E10" s="175">
        <v>44562</v>
      </c>
      <c r="F10" s="189">
        <v>44562</v>
      </c>
      <c r="G10" s="173" t="s">
        <v>249</v>
      </c>
      <c r="H10" s="52"/>
      <c r="I10" s="123"/>
      <c r="J10" s="130" t="str">
        <f>INDEX(TableTeachingArea2[Choose your Second Approved Teaching Area],MATCH(K10,TableTeachingArea2[UDC],0))</f>
        <v>Humanities and Social Sciences Teaching Area</v>
      </c>
      <c r="K10" s="124" t="s">
        <v>257</v>
      </c>
      <c r="M10" s="36"/>
      <c r="N10" s="49">
        <v>8</v>
      </c>
      <c r="O10" s="87" t="s">
        <v>63</v>
      </c>
      <c r="P10" s="140" t="s">
        <v>246</v>
      </c>
      <c r="Q10" s="87" t="s">
        <v>58</v>
      </c>
      <c r="R10" s="93" t="s">
        <v>88</v>
      </c>
      <c r="S10" s="87" t="s">
        <v>60</v>
      </c>
      <c r="T10" s="141" t="s">
        <v>253</v>
      </c>
      <c r="U10" s="87" t="s">
        <v>62</v>
      </c>
      <c r="V10" s="93" t="s">
        <v>173</v>
      </c>
    </row>
    <row r="11" spans="1:22" x14ac:dyDescent="0.25">
      <c r="A11" s="51" t="s">
        <v>258</v>
      </c>
      <c r="B11" s="203" t="s">
        <v>259</v>
      </c>
      <c r="C11" s="51" t="s">
        <v>79</v>
      </c>
      <c r="D11" s="51" t="s">
        <v>248</v>
      </c>
      <c r="E11" s="175">
        <v>44562</v>
      </c>
      <c r="F11" s="189">
        <v>44562</v>
      </c>
      <c r="G11" s="173" t="s">
        <v>249</v>
      </c>
      <c r="H11" s="52"/>
      <c r="I11" s="123"/>
      <c r="J11" s="130" t="str">
        <f>INDEX(TableTeachingArea2[Choose your Second Approved Teaching Area],MATCH(K11,TableTeachingArea2[UDC],0))</f>
        <v>Mathematics Teaching Area</v>
      </c>
      <c r="K11" s="124" t="s">
        <v>259</v>
      </c>
      <c r="M11" s="36"/>
      <c r="N11" s="49">
        <v>9</v>
      </c>
      <c r="O11" s="87" t="s">
        <v>63</v>
      </c>
      <c r="P11" s="141" t="s">
        <v>253</v>
      </c>
      <c r="Q11" s="87" t="s">
        <v>58</v>
      </c>
      <c r="R11" s="93" t="s">
        <v>251</v>
      </c>
      <c r="S11" s="87" t="s">
        <v>60</v>
      </c>
      <c r="T11" s="93" t="s">
        <v>255</v>
      </c>
      <c r="U11" s="87" t="s">
        <v>62</v>
      </c>
      <c r="V11" s="93" t="s">
        <v>255</v>
      </c>
    </row>
    <row r="12" spans="1:22" x14ac:dyDescent="0.25">
      <c r="A12" s="51" t="s">
        <v>260</v>
      </c>
      <c r="B12" s="203" t="s">
        <v>261</v>
      </c>
      <c r="C12" s="51" t="s">
        <v>79</v>
      </c>
      <c r="D12" s="51" t="s">
        <v>248</v>
      </c>
      <c r="E12" s="175">
        <v>44562</v>
      </c>
      <c r="F12" s="189">
        <v>44562</v>
      </c>
      <c r="G12" s="173" t="s">
        <v>249</v>
      </c>
      <c r="H12" s="52"/>
      <c r="I12" s="125"/>
      <c r="J12" s="131" t="str">
        <f>INDEX(TableTeachingArea2[Choose your Second Approved Teaching Area],MATCH(K12,TableTeachingArea2[UDC],0))</f>
        <v>Science Teaching Area</v>
      </c>
      <c r="K12" s="126" t="s">
        <v>261</v>
      </c>
      <c r="M12" s="36"/>
      <c r="N12" s="49">
        <v>10</v>
      </c>
      <c r="O12" s="86" t="s">
        <v>105</v>
      </c>
      <c r="P12" s="92" t="s">
        <v>262</v>
      </c>
      <c r="Q12" s="86" t="s">
        <v>106</v>
      </c>
      <c r="R12" s="142" t="s">
        <v>263</v>
      </c>
      <c r="S12" s="86" t="s">
        <v>107</v>
      </c>
      <c r="T12" s="92" t="s">
        <v>88</v>
      </c>
      <c r="U12" s="86" t="s">
        <v>108</v>
      </c>
      <c r="V12" s="142" t="s">
        <v>263</v>
      </c>
    </row>
    <row r="13" spans="1:22" x14ac:dyDescent="0.25">
      <c r="I13" s="128" t="s">
        <v>252</v>
      </c>
      <c r="J13" s="129" t="s">
        <v>245</v>
      </c>
      <c r="K13" s="146"/>
      <c r="M13" s="36"/>
      <c r="N13" s="49">
        <v>11</v>
      </c>
      <c r="O13" s="87" t="s">
        <v>105</v>
      </c>
      <c r="P13" s="93" t="s">
        <v>115</v>
      </c>
      <c r="Q13" s="87" t="s">
        <v>106</v>
      </c>
      <c r="R13" s="93" t="s">
        <v>255</v>
      </c>
      <c r="S13" s="87" t="s">
        <v>107</v>
      </c>
      <c r="T13" s="93" t="s">
        <v>87</v>
      </c>
      <c r="U13" s="87" t="s">
        <v>108</v>
      </c>
      <c r="V13" s="93" t="s">
        <v>117</v>
      </c>
    </row>
    <row r="14" spans="1:22" x14ac:dyDescent="0.25">
      <c r="A14" s="127" t="s">
        <v>264</v>
      </c>
      <c r="B14" s="36"/>
      <c r="C14" s="36"/>
      <c r="D14" s="36"/>
      <c r="E14" s="36"/>
      <c r="F14" s="36"/>
      <c r="G14" s="36"/>
      <c r="H14" s="36"/>
      <c r="I14" s="123"/>
      <c r="J14" s="130" t="str">
        <f>INDEX(TableTeachingArea2[Choose your Second Approved Teaching Area],MATCH(K14,TableTeachingArea2[UDC],0))</f>
        <v>No Second Teaching Area</v>
      </c>
      <c r="K14" s="124" t="s">
        <v>250</v>
      </c>
      <c r="M14" s="36"/>
      <c r="N14" s="49">
        <v>12</v>
      </c>
      <c r="O14" s="87" t="s">
        <v>106</v>
      </c>
      <c r="P14" s="140" t="s">
        <v>263</v>
      </c>
      <c r="Q14" s="87" t="s">
        <v>107</v>
      </c>
      <c r="R14" s="93" t="s">
        <v>87</v>
      </c>
      <c r="S14" s="87" t="s">
        <v>108</v>
      </c>
      <c r="T14" s="140" t="s">
        <v>263</v>
      </c>
      <c r="U14" s="87" t="s">
        <v>105</v>
      </c>
      <c r="V14" s="93" t="s">
        <v>262</v>
      </c>
    </row>
    <row r="15" spans="1:22" x14ac:dyDescent="0.25">
      <c r="A15" s="56" t="s">
        <v>245</v>
      </c>
      <c r="B15" s="57" t="s">
        <v>0</v>
      </c>
      <c r="C15" s="36" t="s">
        <v>73</v>
      </c>
      <c r="D15" s="36" t="s">
        <v>74</v>
      </c>
      <c r="E15" s="36" t="s">
        <v>75</v>
      </c>
      <c r="F15" s="36" t="s">
        <v>76</v>
      </c>
      <c r="G15" s="36" t="s">
        <v>6</v>
      </c>
      <c r="I15" s="123"/>
      <c r="J15" s="130" t="str">
        <f>INDEX(TableTeachingArea2[Choose your Second Approved Teaching Area],MATCH(K15,TableTeachingArea2[UDC],0))</f>
        <v>The Arts Teaching Area</v>
      </c>
      <c r="K15" s="124" t="s">
        <v>46</v>
      </c>
      <c r="M15" s="36"/>
      <c r="N15" s="49">
        <v>13</v>
      </c>
      <c r="O15" s="87" t="s">
        <v>106</v>
      </c>
      <c r="P15" s="141" t="s">
        <v>265</v>
      </c>
      <c r="Q15" s="87" t="s">
        <v>107</v>
      </c>
      <c r="R15" s="93" t="s">
        <v>115</v>
      </c>
      <c r="S15" s="87" t="s">
        <v>108</v>
      </c>
      <c r="T15" s="93" t="s">
        <v>117</v>
      </c>
      <c r="U15" s="87" t="s">
        <v>105</v>
      </c>
      <c r="V15" s="93" t="s">
        <v>115</v>
      </c>
    </row>
    <row r="16" spans="1:22" x14ac:dyDescent="0.25">
      <c r="A16" s="51" t="s">
        <v>266</v>
      </c>
      <c r="B16" s="203" t="s">
        <v>250</v>
      </c>
      <c r="C16" s="51" t="s">
        <v>79</v>
      </c>
      <c r="D16" s="51" t="s">
        <v>248</v>
      </c>
      <c r="E16" s="175">
        <v>44562</v>
      </c>
      <c r="F16" s="175">
        <v>44562</v>
      </c>
      <c r="G16" s="173" t="s">
        <v>249</v>
      </c>
      <c r="I16" s="123"/>
      <c r="J16" s="130" t="str">
        <f>INDEX(TableTeachingArea2[Choose your Second Approved Teaching Area],MATCH(K16,TableTeachingArea2[UDC],0))</f>
        <v>Health and Physical Education Teaching Area</v>
      </c>
      <c r="K16" s="124" t="s">
        <v>254</v>
      </c>
      <c r="M16" s="36"/>
      <c r="N16" s="49">
        <v>14</v>
      </c>
      <c r="O16" s="87" t="s">
        <v>107</v>
      </c>
      <c r="P16" s="93" t="s">
        <v>88</v>
      </c>
      <c r="Q16" s="87" t="s">
        <v>108</v>
      </c>
      <c r="R16" s="141" t="s">
        <v>265</v>
      </c>
      <c r="S16" s="87" t="s">
        <v>105</v>
      </c>
      <c r="T16" s="93" t="s">
        <v>262</v>
      </c>
      <c r="U16" s="87" t="s">
        <v>106</v>
      </c>
      <c r="V16" s="141" t="s">
        <v>265</v>
      </c>
    </row>
    <row r="17" spans="1:30" x14ac:dyDescent="0.25">
      <c r="A17" s="51" t="s">
        <v>247</v>
      </c>
      <c r="B17" s="203" t="s">
        <v>46</v>
      </c>
      <c r="C17" s="51" t="s">
        <v>79</v>
      </c>
      <c r="D17" s="51" t="s">
        <v>248</v>
      </c>
      <c r="E17" s="175">
        <v>44562</v>
      </c>
      <c r="F17" s="175">
        <v>44562</v>
      </c>
      <c r="G17" s="173" t="s">
        <v>249</v>
      </c>
      <c r="I17" s="123"/>
      <c r="J17" s="130" t="str">
        <f>INDEX(TableTeachingArea2[Choose your Second Approved Teaching Area],MATCH(K17,TableTeachingArea2[UDC],0))</f>
        <v>Humanities and Social Sciences Teaching Area</v>
      </c>
      <c r="K17" s="124" t="s">
        <v>257</v>
      </c>
      <c r="M17" s="36"/>
      <c r="N17" s="49">
        <v>15</v>
      </c>
      <c r="O17" s="87" t="s">
        <v>107</v>
      </c>
      <c r="P17" s="93" t="s">
        <v>87</v>
      </c>
      <c r="Q17" s="87" t="s">
        <v>108</v>
      </c>
      <c r="R17" s="93" t="s">
        <v>117</v>
      </c>
      <c r="S17" s="87" t="s">
        <v>105</v>
      </c>
      <c r="T17" s="93" t="s">
        <v>115</v>
      </c>
      <c r="U17" s="87" t="s">
        <v>106</v>
      </c>
      <c r="V17" s="93" t="s">
        <v>87</v>
      </c>
    </row>
    <row r="18" spans="1:30" x14ac:dyDescent="0.25">
      <c r="A18" s="51" t="s">
        <v>225</v>
      </c>
      <c r="B18" s="203" t="s">
        <v>252</v>
      </c>
      <c r="C18" s="51" t="s">
        <v>79</v>
      </c>
      <c r="D18" s="51" t="s">
        <v>248</v>
      </c>
      <c r="E18" s="175">
        <v>44562</v>
      </c>
      <c r="F18" s="175">
        <v>44562</v>
      </c>
      <c r="G18" s="173" t="s">
        <v>249</v>
      </c>
      <c r="I18" s="123"/>
      <c r="J18" s="130" t="str">
        <f>INDEX(TableTeachingArea2[Choose your Second Approved Teaching Area],MATCH(K18,TableTeachingArea2[UDC],0))</f>
        <v>Mathematics Teaching Area</v>
      </c>
      <c r="K18" s="124" t="s">
        <v>259</v>
      </c>
      <c r="M18" s="36"/>
      <c r="N18" s="49">
        <v>16</v>
      </c>
      <c r="O18" s="87" t="s">
        <v>108</v>
      </c>
      <c r="P18" s="93" t="s">
        <v>117</v>
      </c>
      <c r="Q18" s="87" t="s">
        <v>105</v>
      </c>
      <c r="R18" s="93" t="s">
        <v>262</v>
      </c>
      <c r="S18" s="87" t="s">
        <v>106</v>
      </c>
      <c r="T18" s="141" t="s">
        <v>265</v>
      </c>
      <c r="U18" s="87" t="s">
        <v>107</v>
      </c>
      <c r="V18" s="93" t="s">
        <v>88</v>
      </c>
    </row>
    <row r="19" spans="1:30" x14ac:dyDescent="0.25">
      <c r="A19" s="51" t="s">
        <v>228</v>
      </c>
      <c r="B19" s="203" t="s">
        <v>254</v>
      </c>
      <c r="C19" s="51" t="s">
        <v>79</v>
      </c>
      <c r="D19" s="51" t="s">
        <v>248</v>
      </c>
      <c r="E19" s="175">
        <v>44562</v>
      </c>
      <c r="F19" s="175">
        <v>44562</v>
      </c>
      <c r="G19" s="173" t="s">
        <v>249</v>
      </c>
      <c r="I19" s="125"/>
      <c r="J19" s="131" t="str">
        <f>INDEX(TableTeachingArea2[Choose your Second Approved Teaching Area],MATCH(K19,TableTeachingArea2[UDC],0))</f>
        <v>Science Teaching Area</v>
      </c>
      <c r="K19" s="126" t="s">
        <v>261</v>
      </c>
      <c r="M19" s="36"/>
      <c r="N19" s="49">
        <v>17</v>
      </c>
      <c r="O19" s="89" t="s">
        <v>108</v>
      </c>
      <c r="P19" s="88" t="s">
        <v>131</v>
      </c>
      <c r="Q19" s="89" t="s">
        <v>105</v>
      </c>
      <c r="R19" s="88" t="s">
        <v>131</v>
      </c>
      <c r="S19" s="89" t="s">
        <v>106</v>
      </c>
      <c r="T19" s="88" t="s">
        <v>131</v>
      </c>
      <c r="U19" s="89" t="s">
        <v>107</v>
      </c>
      <c r="V19" s="88" t="s">
        <v>131</v>
      </c>
    </row>
    <row r="20" spans="1:30" x14ac:dyDescent="0.25">
      <c r="A20" s="51" t="s">
        <v>256</v>
      </c>
      <c r="B20" s="203" t="s">
        <v>257</v>
      </c>
      <c r="C20" s="51" t="s">
        <v>79</v>
      </c>
      <c r="D20" s="51" t="s">
        <v>248</v>
      </c>
      <c r="E20" s="175">
        <v>44562</v>
      </c>
      <c r="F20" s="175">
        <v>44562</v>
      </c>
      <c r="G20" s="173" t="s">
        <v>249</v>
      </c>
      <c r="I20" s="128" t="s">
        <v>254</v>
      </c>
      <c r="J20" s="129" t="s">
        <v>245</v>
      </c>
      <c r="K20" s="146"/>
      <c r="M20" s="36"/>
    </row>
    <row r="21" spans="1:30" x14ac:dyDescent="0.25">
      <c r="A21" s="51" t="s">
        <v>258</v>
      </c>
      <c r="B21" s="203" t="s">
        <v>259</v>
      </c>
      <c r="C21" s="51" t="s">
        <v>79</v>
      </c>
      <c r="D21" s="51" t="s">
        <v>248</v>
      </c>
      <c r="E21" s="175">
        <v>44562</v>
      </c>
      <c r="F21" s="175">
        <v>44562</v>
      </c>
      <c r="G21" s="173" t="s">
        <v>249</v>
      </c>
      <c r="I21" s="123"/>
      <c r="J21" s="130" t="str">
        <f>INDEX(TableTeachingArea2[Choose your Second Approved Teaching Area],MATCH(K21,TableTeachingArea2[UDC],0))</f>
        <v>No Second Teaching Area</v>
      </c>
      <c r="K21" s="124" t="s">
        <v>250</v>
      </c>
      <c r="M21" s="36"/>
    </row>
    <row r="22" spans="1:30" x14ac:dyDescent="0.25">
      <c r="A22" s="51" t="s">
        <v>260</v>
      </c>
      <c r="B22" s="203" t="s">
        <v>261</v>
      </c>
      <c r="C22" s="51" t="s">
        <v>79</v>
      </c>
      <c r="D22" s="51" t="s">
        <v>248</v>
      </c>
      <c r="E22" s="175">
        <v>44562</v>
      </c>
      <c r="F22" s="175">
        <v>44562</v>
      </c>
      <c r="G22" s="173" t="s">
        <v>249</v>
      </c>
      <c r="I22" s="123"/>
      <c r="J22" s="130" t="str">
        <f>INDEX(TableTeachingArea2[Choose your Second Approved Teaching Area],MATCH(K22,TableTeachingArea2[UDC],0))</f>
        <v>The Arts Teaching Area</v>
      </c>
      <c r="K22" s="124" t="s">
        <v>46</v>
      </c>
      <c r="M22" s="148" t="s">
        <v>267</v>
      </c>
      <c r="N22" s="45">
        <v>1</v>
      </c>
      <c r="O22" s="134"/>
      <c r="P22" s="134" t="s">
        <v>46</v>
      </c>
      <c r="Q22" s="134" t="s">
        <v>252</v>
      </c>
      <c r="R22" s="134" t="s">
        <v>254</v>
      </c>
      <c r="S22" s="134" t="s">
        <v>257</v>
      </c>
      <c r="T22" s="134" t="s">
        <v>259</v>
      </c>
      <c r="U22" s="134" t="s">
        <v>261</v>
      </c>
      <c r="V22" s="134" t="s">
        <v>250</v>
      </c>
    </row>
    <row r="23" spans="1:30" x14ac:dyDescent="0.25">
      <c r="I23" s="123"/>
      <c r="J23" s="130" t="str">
        <f>INDEX(TableTeachingArea2[Choose your Second Approved Teaching Area],MATCH(K23,TableTeachingArea2[UDC],0))</f>
        <v>English Teaching Area</v>
      </c>
      <c r="K23" s="124" t="s">
        <v>252</v>
      </c>
      <c r="M23" s="52"/>
      <c r="N23" s="49">
        <v>2</v>
      </c>
      <c r="O23" s="135"/>
      <c r="P23" s="135" t="s">
        <v>268</v>
      </c>
      <c r="Q23" s="135" t="s">
        <v>268</v>
      </c>
      <c r="R23" s="135" t="s">
        <v>268</v>
      </c>
      <c r="S23" s="135" t="s">
        <v>268</v>
      </c>
      <c r="T23" s="135" t="s">
        <v>268</v>
      </c>
      <c r="U23" s="135" t="s">
        <v>268</v>
      </c>
      <c r="V23" s="135" t="s">
        <v>268</v>
      </c>
    </row>
    <row r="24" spans="1:30" x14ac:dyDescent="0.25">
      <c r="A24" s="127" t="s">
        <v>269</v>
      </c>
      <c r="B24" s="36"/>
      <c r="C24" s="36"/>
      <c r="D24" s="36"/>
      <c r="E24" s="36"/>
      <c r="F24" s="36"/>
      <c r="G24" s="36"/>
      <c r="I24" s="123"/>
      <c r="J24" s="130" t="str">
        <f>INDEX(TableTeachingArea2[Choose your Second Approved Teaching Area],MATCH(K24,TableTeachingArea2[UDC],0))</f>
        <v>Humanities and Social Sciences Teaching Area</v>
      </c>
      <c r="K24" s="124" t="s">
        <v>257</v>
      </c>
      <c r="M24" s="52"/>
      <c r="N24" s="49">
        <v>3</v>
      </c>
      <c r="O24" s="136" t="s">
        <v>270</v>
      </c>
      <c r="P24" s="136" t="s">
        <v>271</v>
      </c>
      <c r="Q24" s="136" t="s">
        <v>272</v>
      </c>
      <c r="R24" s="136" t="s">
        <v>273</v>
      </c>
      <c r="S24" s="136" t="s">
        <v>274</v>
      </c>
      <c r="T24" s="136" t="s">
        <v>275</v>
      </c>
      <c r="U24" s="136" t="s">
        <v>276</v>
      </c>
      <c r="V24" s="136" t="s">
        <v>174</v>
      </c>
    </row>
    <row r="25" spans="1:30" x14ac:dyDescent="0.25">
      <c r="A25" s="56" t="s">
        <v>141</v>
      </c>
      <c r="B25" s="57" t="s">
        <v>0</v>
      </c>
      <c r="C25" s="36" t="s">
        <v>73</v>
      </c>
      <c r="D25" s="36" t="s">
        <v>74</v>
      </c>
      <c r="E25" s="36" t="s">
        <v>75</v>
      </c>
      <c r="F25" s="36" t="s">
        <v>76</v>
      </c>
      <c r="G25" s="36" t="s">
        <v>6</v>
      </c>
      <c r="I25" s="123"/>
      <c r="J25" s="130" t="str">
        <f>INDEX(TableTeachingArea2[Choose your Second Approved Teaching Area],MATCH(K25,TableTeachingArea2[UDC],0))</f>
        <v>Mathematics Teaching Area</v>
      </c>
      <c r="K25" s="124" t="s">
        <v>259</v>
      </c>
      <c r="M25" s="52"/>
      <c r="N25" s="49">
        <v>4</v>
      </c>
      <c r="O25" s="137" t="s">
        <v>277</v>
      </c>
      <c r="P25" s="137" t="s">
        <v>278</v>
      </c>
      <c r="Q25" s="137" t="s">
        <v>279</v>
      </c>
      <c r="R25" s="137" t="s">
        <v>280</v>
      </c>
      <c r="S25" s="137" t="s">
        <v>281</v>
      </c>
      <c r="T25" s="137" t="s">
        <v>282</v>
      </c>
      <c r="U25" s="137" t="s">
        <v>283</v>
      </c>
      <c r="V25" s="137" t="s">
        <v>174</v>
      </c>
    </row>
    <row r="26" spans="1:30" x14ac:dyDescent="0.25">
      <c r="A26" s="59" t="s">
        <v>284</v>
      </c>
      <c r="B26" s="183" t="s">
        <v>285</v>
      </c>
      <c r="C26" s="59" t="s">
        <v>79</v>
      </c>
      <c r="D26" s="59" t="s">
        <v>98</v>
      </c>
      <c r="E26" s="176"/>
      <c r="F26" s="176">
        <v>45292</v>
      </c>
      <c r="G26" s="184" t="s">
        <v>249</v>
      </c>
      <c r="I26" s="125"/>
      <c r="J26" s="131" t="str">
        <f>INDEX(TableTeachingArea2[Choose your Second Approved Teaching Area],MATCH(K26,TableTeachingArea2[UDC],0))</f>
        <v>Science Teaching Area</v>
      </c>
      <c r="K26" s="126" t="s">
        <v>261</v>
      </c>
      <c r="M26" s="52"/>
      <c r="N26" s="49">
        <v>5</v>
      </c>
      <c r="O26" s="136"/>
      <c r="P26" s="136" t="s">
        <v>286</v>
      </c>
      <c r="Q26" s="136" t="s">
        <v>286</v>
      </c>
      <c r="R26" s="136" t="s">
        <v>286</v>
      </c>
      <c r="S26" s="136" t="s">
        <v>286</v>
      </c>
      <c r="T26" s="136" t="s">
        <v>286</v>
      </c>
      <c r="U26" s="136" t="s">
        <v>286</v>
      </c>
      <c r="V26" s="136" t="s">
        <v>286</v>
      </c>
    </row>
    <row r="27" spans="1:30" x14ac:dyDescent="0.25">
      <c r="A27" s="59" t="s">
        <v>231</v>
      </c>
      <c r="B27" s="183" t="s">
        <v>287</v>
      </c>
      <c r="C27" s="59" t="s">
        <v>79</v>
      </c>
      <c r="D27" s="59" t="s">
        <v>98</v>
      </c>
      <c r="E27" s="176"/>
      <c r="F27" s="176">
        <v>45292</v>
      </c>
      <c r="G27" s="184" t="s">
        <v>249</v>
      </c>
      <c r="I27" s="128" t="s">
        <v>257</v>
      </c>
      <c r="J27" s="129" t="s">
        <v>245</v>
      </c>
      <c r="K27" s="146"/>
      <c r="N27" s="49">
        <v>6</v>
      </c>
      <c r="O27" s="136" t="s">
        <v>288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169</v>
      </c>
    </row>
    <row r="28" spans="1:30" x14ac:dyDescent="0.25">
      <c r="I28" s="123"/>
      <c r="J28" s="130" t="str">
        <f>INDEX(TableTeachingArea2[Choose your Second Approved Teaching Area],MATCH(K28,TableTeachingArea2[UDC],0))</f>
        <v>No Second Teaching Area</v>
      </c>
      <c r="K28" s="124" t="s">
        <v>250</v>
      </c>
      <c r="M28" s="36"/>
      <c r="N28" s="49">
        <v>7</v>
      </c>
      <c r="O28" s="137" t="s">
        <v>289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290</v>
      </c>
    </row>
    <row r="29" spans="1:30" x14ac:dyDescent="0.25">
      <c r="I29" s="123"/>
      <c r="J29" s="130" t="str">
        <f>INDEX(TableTeachingArea2[Choose your Second Approved Teaching Area],MATCH(K29,TableTeachingArea2[UDC],0))</f>
        <v>The Arts Teaching Area</v>
      </c>
      <c r="K29" s="124" t="s">
        <v>46</v>
      </c>
    </row>
    <row r="30" spans="1:30" x14ac:dyDescent="0.25">
      <c r="I30" s="123"/>
      <c r="J30" s="130" t="str">
        <f>INDEX(TableTeachingArea2[Choose your Second Approved Teaching Area],MATCH(K30,TableTeachingArea2[UDC],0))</f>
        <v>English Teaching Area</v>
      </c>
      <c r="K30" s="124" t="s">
        <v>252</v>
      </c>
    </row>
    <row r="31" spans="1:30" x14ac:dyDescent="0.25">
      <c r="I31" s="123"/>
      <c r="J31" s="130" t="str">
        <f>INDEX(TableTeachingArea2[Choose your Second Approved Teaching Area],MATCH(K31,TableTeachingArea2[UDC],0))</f>
        <v>Health and Physical Education Teaching Area</v>
      </c>
      <c r="K31" s="124" t="s">
        <v>254</v>
      </c>
      <c r="M31" s="148" t="s">
        <v>291</v>
      </c>
      <c r="N31" s="45">
        <v>1</v>
      </c>
      <c r="O31" s="161"/>
      <c r="P31" s="162" t="s">
        <v>292</v>
      </c>
      <c r="Q31" s="161"/>
      <c r="R31" s="162" t="s">
        <v>293</v>
      </c>
      <c r="S31" s="161"/>
      <c r="T31" s="162" t="s">
        <v>294</v>
      </c>
      <c r="U31" s="161"/>
      <c r="V31" s="162" t="s">
        <v>295</v>
      </c>
      <c r="W31" s="177"/>
      <c r="X31" s="162" t="s">
        <v>296</v>
      </c>
      <c r="Y31" s="161"/>
      <c r="Z31" s="162" t="s">
        <v>297</v>
      </c>
      <c r="AA31" s="161"/>
      <c r="AB31" s="162" t="s">
        <v>298</v>
      </c>
      <c r="AC31" s="161"/>
      <c r="AD31" s="162" t="s">
        <v>299</v>
      </c>
    </row>
    <row r="32" spans="1:30" x14ac:dyDescent="0.25">
      <c r="I32" s="123"/>
      <c r="J32" s="130" t="str">
        <f>INDEX(TableTeachingArea2[Choose your Second Approved Teaching Area],MATCH(K32,TableTeachingArea2[UDC],0))</f>
        <v>Mathematics Teaching Area</v>
      </c>
      <c r="K32" s="124" t="s">
        <v>259</v>
      </c>
      <c r="M32" s="36"/>
      <c r="N32" s="49">
        <v>2</v>
      </c>
      <c r="O32" s="86" t="s">
        <v>58</v>
      </c>
      <c r="P32" s="92" t="s">
        <v>59</v>
      </c>
      <c r="Q32" s="86"/>
      <c r="R32" s="92"/>
      <c r="S32" s="86"/>
      <c r="T32" s="92"/>
      <c r="U32" s="86"/>
      <c r="V32" s="92"/>
      <c r="W32" s="86" t="s">
        <v>58</v>
      </c>
      <c r="X32" s="178" t="s">
        <v>241</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261</v>
      </c>
      <c r="M33" s="36"/>
      <c r="N33" s="49">
        <v>3</v>
      </c>
      <c r="O33" s="87" t="s">
        <v>58</v>
      </c>
      <c r="P33" s="93" t="s">
        <v>83</v>
      </c>
      <c r="Q33" s="87"/>
      <c r="R33" s="93"/>
      <c r="S33" s="87"/>
      <c r="T33" s="93"/>
      <c r="U33" s="87"/>
      <c r="V33" s="93"/>
      <c r="W33" s="87" t="s">
        <v>58</v>
      </c>
      <c r="X33" s="45" t="s">
        <v>251</v>
      </c>
      <c r="Y33" s="87"/>
      <c r="Z33" s="93"/>
      <c r="AA33" s="87"/>
      <c r="AB33" s="93"/>
      <c r="AC33" s="87"/>
      <c r="AD33" s="93"/>
    </row>
    <row r="34" spans="9:30" x14ac:dyDescent="0.25">
      <c r="I34" s="128" t="s">
        <v>259</v>
      </c>
      <c r="J34" s="129" t="s">
        <v>245</v>
      </c>
      <c r="K34" s="146"/>
      <c r="M34" s="36"/>
      <c r="N34" s="49">
        <v>4</v>
      </c>
      <c r="O34" s="87" t="s">
        <v>60</v>
      </c>
      <c r="P34" s="93" t="s">
        <v>70</v>
      </c>
      <c r="Q34" s="87"/>
      <c r="R34" s="93"/>
      <c r="S34" s="87"/>
      <c r="T34" s="93"/>
      <c r="U34" s="87"/>
      <c r="V34" s="93"/>
      <c r="W34" s="87" t="s">
        <v>60</v>
      </c>
      <c r="X34" s="45" t="s">
        <v>255</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250</v>
      </c>
      <c r="M35" s="36"/>
      <c r="N35" s="49">
        <v>5</v>
      </c>
      <c r="O35" s="87" t="s">
        <v>60</v>
      </c>
      <c r="P35" s="93" t="s">
        <v>94</v>
      </c>
      <c r="Q35" s="87"/>
      <c r="R35" s="93"/>
      <c r="S35" s="87"/>
      <c r="T35" s="93"/>
      <c r="U35" s="87"/>
      <c r="V35" s="93"/>
      <c r="W35" s="87" t="s">
        <v>60</v>
      </c>
      <c r="X35" s="181" t="s">
        <v>300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46</v>
      </c>
      <c r="M36" s="36"/>
      <c r="N36" s="49">
        <v>6</v>
      </c>
      <c r="O36" s="87" t="s">
        <v>62</v>
      </c>
      <c r="P36" s="93" t="s">
        <v>115</v>
      </c>
      <c r="Q36" s="87"/>
      <c r="R36" s="93"/>
      <c r="S36" s="87"/>
      <c r="T36" s="93"/>
      <c r="U36" s="87"/>
      <c r="V36" s="93"/>
      <c r="W36" s="87" t="s">
        <v>62</v>
      </c>
      <c r="X36" s="45" t="s">
        <v>88</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252</v>
      </c>
      <c r="M37" s="36"/>
      <c r="N37" s="49">
        <v>7</v>
      </c>
      <c r="O37" s="87" t="s">
        <v>62</v>
      </c>
      <c r="P37" s="93" t="s">
        <v>65</v>
      </c>
      <c r="Q37" s="87"/>
      <c r="R37" s="96"/>
      <c r="S37" s="87"/>
      <c r="T37" s="93"/>
      <c r="U37" s="87"/>
      <c r="V37" s="96"/>
      <c r="W37" s="87" t="s">
        <v>62</v>
      </c>
      <c r="X37" s="180" t="s">
        <v>115</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254</v>
      </c>
      <c r="M38" s="36"/>
      <c r="N38" s="49">
        <v>8</v>
      </c>
      <c r="O38" s="87" t="s">
        <v>63</v>
      </c>
      <c r="P38" s="93" t="s">
        <v>71</v>
      </c>
      <c r="Q38" s="87"/>
      <c r="R38" s="93"/>
      <c r="S38" s="87"/>
      <c r="T38" s="93"/>
      <c r="U38" s="87"/>
      <c r="V38" s="93"/>
      <c r="W38" s="87" t="s">
        <v>63</v>
      </c>
      <c r="X38" s="45" t="s">
        <v>87</v>
      </c>
      <c r="Y38" s="87" t="s">
        <v>87</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257</v>
      </c>
      <c r="M39" s="36"/>
      <c r="N39" s="49">
        <v>9</v>
      </c>
      <c r="O39" s="89" t="s">
        <v>63</v>
      </c>
      <c r="P39" s="97" t="s">
        <v>87</v>
      </c>
      <c r="Q39" s="89"/>
      <c r="R39" s="88"/>
      <c r="S39" s="89"/>
      <c r="T39" s="97"/>
      <c r="U39" s="89"/>
      <c r="V39" s="88"/>
      <c r="W39" s="89" t="s">
        <v>63</v>
      </c>
      <c r="X39" s="182" t="s">
        <v>301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261</v>
      </c>
      <c r="M40" s="36"/>
      <c r="N40" s="49">
        <v>10</v>
      </c>
      <c r="O40" s="86" t="s">
        <v>215</v>
      </c>
      <c r="P40" s="163" t="s">
        <v>135</v>
      </c>
      <c r="Q40" s="86"/>
      <c r="R40" s="92"/>
      <c r="S40" s="86"/>
      <c r="T40" s="92"/>
      <c r="U40" s="86"/>
      <c r="V40" s="92"/>
      <c r="W40" s="178"/>
      <c r="X40" s="178" t="s">
        <v>302</v>
      </c>
      <c r="Y40" s="86"/>
      <c r="Z40" s="92"/>
      <c r="AA40" s="86"/>
      <c r="AB40" s="92"/>
      <c r="AC40" s="86"/>
      <c r="AD40" s="92"/>
    </row>
    <row r="41" spans="9:30" x14ac:dyDescent="0.25">
      <c r="I41" s="128" t="s">
        <v>261</v>
      </c>
      <c r="J41" s="129" t="s">
        <v>245</v>
      </c>
      <c r="K41" s="146"/>
      <c r="M41" s="36"/>
      <c r="N41" s="49">
        <v>11</v>
      </c>
      <c r="O41" s="89" t="s">
        <v>216</v>
      </c>
      <c r="P41" s="97"/>
      <c r="Q41" s="89"/>
      <c r="R41" s="97"/>
      <c r="S41" s="89"/>
      <c r="T41" s="97"/>
      <c r="U41" s="89"/>
      <c r="V41" s="97"/>
      <c r="W41" s="179"/>
      <c r="X41" s="179"/>
      <c r="Y41" s="89"/>
      <c r="Z41" s="97"/>
      <c r="AA41" s="89"/>
      <c r="AB41" s="97"/>
      <c r="AC41" s="89"/>
      <c r="AD41" s="97"/>
    </row>
    <row r="42" spans="9:30" x14ac:dyDescent="0.25">
      <c r="I42" s="123"/>
      <c r="J42" s="130" t="s">
        <v>266</v>
      </c>
      <c r="K42" s="124" t="s">
        <v>250</v>
      </c>
      <c r="M42" s="36"/>
    </row>
    <row r="43" spans="9:30" x14ac:dyDescent="0.25">
      <c r="I43" s="123"/>
      <c r="J43" s="130" t="str">
        <f>INDEX(TableTeachingArea2[Choose your Second Approved Teaching Area],MATCH(K43,TableTeachingArea2[UDC],0))</f>
        <v>The Arts Teaching Area</v>
      </c>
      <c r="K43" s="124" t="s">
        <v>46</v>
      </c>
      <c r="M43" s="36"/>
    </row>
    <row r="44" spans="9:30" x14ac:dyDescent="0.25">
      <c r="I44" s="123"/>
      <c r="J44" s="130" t="str">
        <f>INDEX(TableTeachingArea2[Choose your Second Approved Teaching Area],MATCH(K44,TableTeachingArea2[UDC],0))</f>
        <v>English Teaching Area</v>
      </c>
      <c r="K44" s="124" t="s">
        <v>252</v>
      </c>
      <c r="M44" s="36"/>
    </row>
    <row r="45" spans="9:30" x14ac:dyDescent="0.25">
      <c r="I45" s="123"/>
      <c r="J45" s="130" t="str">
        <f>INDEX(TableTeachingArea2[Choose your Second Approved Teaching Area],MATCH(K45,TableTeachingArea2[UDC],0))</f>
        <v>Health and Physical Education Teaching Area</v>
      </c>
      <c r="K45" s="124" t="s">
        <v>254</v>
      </c>
      <c r="M45" s="36"/>
    </row>
    <row r="46" spans="9:30" x14ac:dyDescent="0.25">
      <c r="I46" s="123"/>
      <c r="J46" s="130" t="str">
        <f>INDEX(TableTeachingArea2[Choose your Second Approved Teaching Area],MATCH(K46,TableTeachingArea2[UDC],0))</f>
        <v>Humanities and Social Sciences Teaching Area</v>
      </c>
      <c r="K46" s="124" t="s">
        <v>257</v>
      </c>
      <c r="M46" s="36"/>
    </row>
    <row r="47" spans="9:30" x14ac:dyDescent="0.25">
      <c r="I47" s="125"/>
      <c r="J47" s="131" t="str">
        <f>INDEX(TableTeachingArea2[Choose your Second Approved Teaching Area],MATCH(K47,TableTeachingArea2[UDC],0))</f>
        <v>Mathematics Teaching Area</v>
      </c>
      <c r="K47" s="126" t="s">
        <v>259</v>
      </c>
      <c r="M47" s="36"/>
    </row>
    <row r="48" spans="9:30" x14ac:dyDescent="0.25">
      <c r="I48" s="128" t="s">
        <v>303</v>
      </c>
      <c r="J48" s="145" t="s">
        <v>304</v>
      </c>
      <c r="K48" s="146"/>
      <c r="M48" s="36"/>
    </row>
    <row r="49" spans="9:11" x14ac:dyDescent="0.25">
      <c r="I49" s="128" t="s">
        <v>285</v>
      </c>
      <c r="J49" s="129" t="s">
        <v>305</v>
      </c>
      <c r="K49" s="146"/>
    </row>
    <row r="50" spans="9:11" x14ac:dyDescent="0.25">
      <c r="I50" s="128" t="s">
        <v>287</v>
      </c>
      <c r="J50" s="129" t="s">
        <v>304</v>
      </c>
      <c r="K50" s="146"/>
    </row>
    <row r="51" spans="9:11" x14ac:dyDescent="0.25">
      <c r="I51" s="123"/>
      <c r="J51" s="130" t="s">
        <v>247</v>
      </c>
      <c r="K51" s="124" t="s">
        <v>46</v>
      </c>
    </row>
    <row r="52" spans="9:11" x14ac:dyDescent="0.25">
      <c r="I52" s="123"/>
      <c r="J52" s="130" t="s">
        <v>225</v>
      </c>
      <c r="K52" s="124" t="s">
        <v>252</v>
      </c>
    </row>
    <row r="53" spans="9:11" x14ac:dyDescent="0.25">
      <c r="I53" s="123"/>
      <c r="J53" s="130" t="s">
        <v>228</v>
      </c>
      <c r="K53" s="124" t="s">
        <v>254</v>
      </c>
    </row>
    <row r="54" spans="9:11" x14ac:dyDescent="0.25">
      <c r="I54" s="123"/>
      <c r="J54" s="130" t="s">
        <v>256</v>
      </c>
      <c r="K54" s="124" t="s">
        <v>257</v>
      </c>
    </row>
    <row r="55" spans="9:11" x14ac:dyDescent="0.25">
      <c r="I55" s="123"/>
      <c r="J55" s="130" t="s">
        <v>258</v>
      </c>
      <c r="K55" s="124" t="s">
        <v>259</v>
      </c>
    </row>
    <row r="56" spans="9:11" x14ac:dyDescent="0.25">
      <c r="I56" s="125"/>
      <c r="J56" s="131" t="s">
        <v>260</v>
      </c>
      <c r="K56" s="126" t="s">
        <v>261</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elements/1.1/"/>
    <ds:schemaRef ds:uri="http://schemas.microsoft.com/office/2006/metadata/properties"/>
    <ds:schemaRef ds:uri="http://purl.org/dc/terms/"/>
    <ds:schemaRef ds:uri="http://schemas.openxmlformats.org/package/2006/metadata/core-properties"/>
    <ds:schemaRef ds:uri="5053a65b-a790-45aa-b23d-3e4902a85933"/>
    <ds:schemaRef ds:uri="http://schemas.microsoft.com/office/2006/documentManagement/types"/>
    <ds:schemaRef ds:uri="http://schemas.microsoft.com/office/infopath/2007/PartnerControls"/>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BE582170-97FA-403F-8CF1-30B141566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2023-12-22T01:36:34Z</cp:lastPrinted>
  <dcterms:created xsi:type="dcterms:W3CDTF">2022-02-28T04:48:12Z</dcterms:created>
  <dcterms:modified xsi:type="dcterms:W3CDTF">2023-12-22T01:38:37Z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