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ttps://curtin-my.sharepoint.com/personal/259378f_curtin_edu_au/Documents/Enrolment Planners Working Folder/"/>
    </mc:Choice>
  </mc:AlternateContent>
  <workbookProtection workbookAlgorithmName="SHA-512" workbookHashValue="ztH6T9GjIEo9dUZhRcdq/AfMckJbz4oex1u73s6jwqVsGCEWFKn8/19lISDVaJlDV51af84vaJvy44nOpOyt2A==" workbookSaltValue="Yrc9IfWmwIa86H+tYYsw5g==" workbookSpinCount="100000" lockStructure="1"/>
  <bookViews>
    <workbookView xWindow="19935" yWindow="-18120" windowWidth="29040" windowHeight="17640" tabRatio="800" firstSheet="7" activeTab="7"/>
  </bookViews>
  <sheets>
    <sheet name="Planner M-Teach (ECE)" sheetId="5" state="hidden" r:id="rId1"/>
    <sheet name="Planner M-Teach (Prim)" sheetId="17" state="hidden" r:id="rId2"/>
    <sheet name="Planner TESOL_APLING" sheetId="13" state="hidden" r:id="rId3"/>
    <sheet name="Planner MC-EDUC" sheetId="14" state="hidden" r:id="rId4"/>
    <sheet name="Unitsets" sheetId="2" state="hidden" r:id="rId5"/>
    <sheet name="Planner GD-EDUC (Prim)" sheetId="16" state="hidden" r:id="rId6"/>
    <sheet name="Planner GD-EDUC (Sec)" sheetId="15" state="hidden" r:id="rId7"/>
    <sheet name="Planner M-Teach Sec" sheetId="10" r:id="rId8"/>
    <sheet name="Unitsets M-Teach Sec" sheetId="12" state="hidden" r:id="rId9"/>
    <sheet name="Handbook" sheetId="3" state="hidden" r:id="rId10"/>
    <sheet name="Structures" sheetId="8" state="hidden" r:id="rId11"/>
    <sheet name="Availabilities" sheetId="9" state="hidden" r:id="rId12"/>
  </sheets>
  <definedNames>
    <definedName name="_xlnm._FilterDatabase" localSheetId="9" hidden="1">Handbook!$A$2:$M$2</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5">'Planner GD-EDUC (Prim)'!$A$3:$P$24</definedName>
    <definedName name="_xlnm.Print_Area" localSheetId="6">'Planner GD-EDUC (Sec)'!$A$3:$P$31</definedName>
    <definedName name="_xlnm.Print_Area" localSheetId="3">'Planner MC-EDUC'!$A$3:$P$36</definedName>
    <definedName name="_xlnm.Print_Area" localSheetId="0">'Planner M-Teach (ECE)'!$A$3:$P$38</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Unitsets!$J$4:$Y$22</definedName>
    <definedName name="RangeUnitsetsGDEDUC">'Unitsets M-Teach Sec'!$O$31:$AD$41</definedName>
    <definedName name="RangeUnitsetsMCEDUC">Unitsets!$J$44:$AO$61</definedName>
    <definedName name="RangeUnitsetsSec">'Unitsets M-Teach Sec'!$O$3:$V$19</definedName>
    <definedName name="RangeUnitsetsTESOL">Unitsets!$J$25:$AG$41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7" l="1"/>
  <c r="P6" i="17"/>
  <c r="A25" i="17" s="1"/>
  <c r="G6" i="17"/>
  <c r="G5" i="17"/>
  <c r="G7" i="16"/>
  <c r="P6" i="16"/>
  <c r="A20" i="16" s="1"/>
  <c r="G6" i="16"/>
  <c r="P7" i="16" s="1"/>
  <c r="G5" i="16"/>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G81" i="3"/>
  <c r="G82" i="3"/>
  <c r="G83" i="3"/>
  <c r="G87" i="3"/>
  <c r="H81" i="3"/>
  <c r="H82" i="3"/>
  <c r="H83" i="3"/>
  <c r="H87" i="3"/>
  <c r="I81" i="3"/>
  <c r="I82" i="3"/>
  <c r="I83" i="3"/>
  <c r="I87" i="3"/>
  <c r="J81" i="3"/>
  <c r="J82" i="3"/>
  <c r="J83" i="3"/>
  <c r="J87" i="3"/>
  <c r="K81" i="3"/>
  <c r="K82" i="3"/>
  <c r="K83" i="3"/>
  <c r="K87" i="3"/>
  <c r="L81" i="3"/>
  <c r="L82" i="3"/>
  <c r="L83" i="3"/>
  <c r="L87" i="3"/>
  <c r="M81" i="3"/>
  <c r="M82" i="3"/>
  <c r="M83" i="3"/>
  <c r="M87" i="3"/>
  <c r="N81" i="3"/>
  <c r="N82" i="3"/>
  <c r="N83" i="3"/>
  <c r="N87" i="3"/>
  <c r="P81" i="3"/>
  <c r="P82" i="3"/>
  <c r="P83" i="3"/>
  <c r="P87" i="3"/>
  <c r="Q81" i="3"/>
  <c r="Q82" i="3"/>
  <c r="Q83" i="3"/>
  <c r="Q87" i="3"/>
  <c r="R81" i="3"/>
  <c r="R82" i="3"/>
  <c r="R83" i="3"/>
  <c r="R87" i="3"/>
  <c r="S81" i="3"/>
  <c r="S82" i="3"/>
  <c r="S83" i="3"/>
  <c r="S87" i="3"/>
  <c r="T81" i="3"/>
  <c r="T82" i="3"/>
  <c r="T83" i="3"/>
  <c r="T87" i="3"/>
  <c r="U81" i="3"/>
  <c r="U82" i="3"/>
  <c r="U83" i="3"/>
  <c r="U87" i="3"/>
  <c r="V81" i="3"/>
  <c r="V82" i="3"/>
  <c r="V83" i="3"/>
  <c r="V87" i="3"/>
  <c r="W81" i="3"/>
  <c r="W82" i="3"/>
  <c r="W83" i="3"/>
  <c r="W87" i="3"/>
  <c r="X81" i="3"/>
  <c r="X82" i="3"/>
  <c r="X83" i="3"/>
  <c r="X87" i="3"/>
  <c r="Y81" i="3"/>
  <c r="Y82" i="3"/>
  <c r="Y83" i="3"/>
  <c r="Y87" i="3"/>
  <c r="Z81" i="3"/>
  <c r="Z82" i="3"/>
  <c r="Z83" i="3"/>
  <c r="Z87" i="3"/>
  <c r="AA81" i="3"/>
  <c r="AA82" i="3"/>
  <c r="AA83" i="3"/>
  <c r="AA87" i="3"/>
  <c r="AB81" i="3"/>
  <c r="AB82" i="3"/>
  <c r="AB83" i="3"/>
  <c r="AB87" i="3"/>
  <c r="AC81" i="3"/>
  <c r="AC82" i="3"/>
  <c r="AC83" i="3"/>
  <c r="AC87" i="3"/>
  <c r="AD81" i="3"/>
  <c r="AD82" i="3"/>
  <c r="AD83" i="3"/>
  <c r="AD87" i="3"/>
  <c r="AE81" i="3"/>
  <c r="AE82" i="3"/>
  <c r="AE83" i="3"/>
  <c r="AE87" i="3"/>
  <c r="AI81" i="3"/>
  <c r="AI82" i="3"/>
  <c r="AI83" i="3"/>
  <c r="AI87" i="3"/>
  <c r="AJ81" i="3"/>
  <c r="AJ82" i="3"/>
  <c r="AJ83" i="3"/>
  <c r="AJ87" i="3"/>
  <c r="AK81" i="3"/>
  <c r="AK82" i="3"/>
  <c r="AK83" i="3"/>
  <c r="AK87" i="3"/>
  <c r="AL81" i="3"/>
  <c r="AL82" i="3"/>
  <c r="AL83" i="3"/>
  <c r="AL87" i="3"/>
  <c r="A10" i="17" l="1"/>
  <c r="O10" i="17" s="1"/>
  <c r="A22" i="17"/>
  <c r="O22" i="17" s="1"/>
  <c r="I25" i="17"/>
  <c r="H25" i="17"/>
  <c r="O25" i="17"/>
  <c r="G25" i="17"/>
  <c r="N25" i="17"/>
  <c r="F25" i="17"/>
  <c r="L25" i="17"/>
  <c r="D25" i="17"/>
  <c r="C25" i="17"/>
  <c r="M25" i="17"/>
  <c r="E25" i="17"/>
  <c r="J25" i="17"/>
  <c r="B25" i="17"/>
  <c r="K25" i="17"/>
  <c r="H10" i="17"/>
  <c r="A11" i="17"/>
  <c r="A23" i="17"/>
  <c r="A19" i="17"/>
  <c r="A31" i="17"/>
  <c r="A20" i="17"/>
  <c r="A32" i="17"/>
  <c r="A17" i="17"/>
  <c r="A29" i="17"/>
  <c r="E10" i="17"/>
  <c r="A16" i="17"/>
  <c r="A28" i="17"/>
  <c r="A14" i="17"/>
  <c r="A26" i="17"/>
  <c r="A13" i="17"/>
  <c r="A19" i="16"/>
  <c r="H19" i="16" s="1"/>
  <c r="I20" i="16"/>
  <c r="B20" i="16"/>
  <c r="H20" i="16"/>
  <c r="O20" i="16"/>
  <c r="G20" i="16"/>
  <c r="N20" i="16"/>
  <c r="F20" i="16"/>
  <c r="M20" i="16"/>
  <c r="J20" i="16"/>
  <c r="L20" i="16"/>
  <c r="D20" i="16"/>
  <c r="K20" i="16"/>
  <c r="C20" i="16"/>
  <c r="A17" i="16"/>
  <c r="B19" i="16"/>
  <c r="J19" i="16"/>
  <c r="A16" i="16"/>
  <c r="C19" i="16"/>
  <c r="K19" i="16"/>
  <c r="A14" i="16"/>
  <c r="D19" i="16"/>
  <c r="L19" i="16"/>
  <c r="A13" i="16"/>
  <c r="E19" i="16"/>
  <c r="E20" i="16" s="1"/>
  <c r="M19" i="16"/>
  <c r="I19" i="16"/>
  <c r="A11" i="16"/>
  <c r="F19" i="16"/>
  <c r="N19" i="16"/>
  <c r="A10" i="16"/>
  <c r="G19" i="16"/>
  <c r="O19" i="16"/>
  <c r="N22" i="3"/>
  <c r="M22" i="3"/>
  <c r="L22" i="3"/>
  <c r="K22" i="3"/>
  <c r="J22" i="3"/>
  <c r="I22" i="3"/>
  <c r="H22" i="3"/>
  <c r="G22" i="3"/>
  <c r="N25" i="3"/>
  <c r="G76" i="3"/>
  <c r="H76" i="3"/>
  <c r="I76" i="3"/>
  <c r="J76" i="3"/>
  <c r="K76" i="3"/>
  <c r="L76" i="3"/>
  <c r="M76" i="3"/>
  <c r="N76" i="3"/>
  <c r="G78" i="3"/>
  <c r="H78" i="3"/>
  <c r="I78" i="3"/>
  <c r="J78" i="3"/>
  <c r="K78" i="3"/>
  <c r="L78" i="3"/>
  <c r="M78" i="3"/>
  <c r="N78" i="3"/>
  <c r="G77" i="3"/>
  <c r="H77" i="3"/>
  <c r="I77" i="3"/>
  <c r="J77" i="3"/>
  <c r="K77" i="3"/>
  <c r="L77" i="3"/>
  <c r="M77" i="3"/>
  <c r="N77" i="3"/>
  <c r="G7" i="15"/>
  <c r="P6" i="15"/>
  <c r="A25" i="15" s="1"/>
  <c r="G6" i="15"/>
  <c r="P8" i="15" s="1"/>
  <c r="G8" i="15"/>
  <c r="P7" i="15"/>
  <c r="G5" i="15"/>
  <c r="F10" i="17" l="1"/>
  <c r="G22" i="17"/>
  <c r="E22" i="17"/>
  <c r="J10" i="17"/>
  <c r="C22" i="17"/>
  <c r="N22" i="17"/>
  <c r="F22" i="17"/>
  <c r="L22" i="17"/>
  <c r="N10" i="17"/>
  <c r="G10" i="17"/>
  <c r="L10" i="17"/>
  <c r="I10" i="17"/>
  <c r="D10" i="17"/>
  <c r="K10" i="17"/>
  <c r="M10" i="17"/>
  <c r="B10" i="17"/>
  <c r="M22" i="17"/>
  <c r="J22" i="17"/>
  <c r="I22" i="17"/>
  <c r="H22" i="17"/>
  <c r="C10" i="17"/>
  <c r="D22" i="17"/>
  <c r="B22" i="17"/>
  <c r="K22" i="17"/>
  <c r="J14" i="17"/>
  <c r="B14" i="17"/>
  <c r="I14" i="17"/>
  <c r="L14" i="17"/>
  <c r="H14" i="17"/>
  <c r="D14" i="17"/>
  <c r="O14" i="17"/>
  <c r="G14" i="17"/>
  <c r="M14" i="17"/>
  <c r="N14" i="17"/>
  <c r="F14" i="17"/>
  <c r="K14" i="17"/>
  <c r="C14" i="17"/>
  <c r="L17" i="17"/>
  <c r="D17" i="17"/>
  <c r="F17" i="17"/>
  <c r="K17" i="17"/>
  <c r="C17" i="17"/>
  <c r="J17" i="17"/>
  <c r="B17" i="17"/>
  <c r="N17" i="17"/>
  <c r="I17" i="17"/>
  <c r="O17" i="17"/>
  <c r="G17" i="17"/>
  <c r="H17" i="17"/>
  <c r="M17" i="17"/>
  <c r="N20" i="17"/>
  <c r="F20" i="17"/>
  <c r="H20" i="17"/>
  <c r="M20" i="17"/>
  <c r="L20" i="17"/>
  <c r="D20" i="17"/>
  <c r="K20" i="17"/>
  <c r="C20" i="17"/>
  <c r="I20" i="17"/>
  <c r="J20" i="17"/>
  <c r="B20" i="17"/>
  <c r="O20" i="17"/>
  <c r="G20" i="17"/>
  <c r="K16" i="17"/>
  <c r="C16" i="17"/>
  <c r="J16" i="17"/>
  <c r="B16" i="17"/>
  <c r="M16" i="17"/>
  <c r="I16" i="17"/>
  <c r="H16" i="17"/>
  <c r="N16" i="17"/>
  <c r="F16" i="17"/>
  <c r="O16" i="17"/>
  <c r="G16" i="17"/>
  <c r="L16" i="17"/>
  <c r="D16" i="17"/>
  <c r="E16" i="17"/>
  <c r="E17" i="17" s="1"/>
  <c r="H11" i="17"/>
  <c r="O11" i="17"/>
  <c r="G11" i="17"/>
  <c r="J11" i="17"/>
  <c r="N11" i="17"/>
  <c r="F11" i="17"/>
  <c r="B11" i="17"/>
  <c r="M11" i="17"/>
  <c r="E11" i="17"/>
  <c r="K11" i="17"/>
  <c r="C11" i="17"/>
  <c r="L11" i="17"/>
  <c r="D11" i="17"/>
  <c r="I11" i="17"/>
  <c r="M19" i="17"/>
  <c r="E19" i="17"/>
  <c r="E20" i="17" s="1"/>
  <c r="L19" i="17"/>
  <c r="D19" i="17"/>
  <c r="O19" i="17"/>
  <c r="K19" i="17"/>
  <c r="C19" i="17"/>
  <c r="J19" i="17"/>
  <c r="B19" i="17"/>
  <c r="H19" i="17"/>
  <c r="I19" i="17"/>
  <c r="N19" i="17"/>
  <c r="F19" i="17"/>
  <c r="G19" i="17"/>
  <c r="J26" i="17"/>
  <c r="B26" i="17"/>
  <c r="D26" i="17"/>
  <c r="I26" i="17"/>
  <c r="H26" i="17"/>
  <c r="O26" i="17"/>
  <c r="G26" i="17"/>
  <c r="M26" i="17"/>
  <c r="E26" i="17"/>
  <c r="N26" i="17"/>
  <c r="F26" i="17"/>
  <c r="K26" i="17"/>
  <c r="C26" i="17"/>
  <c r="L26" i="17"/>
  <c r="K28" i="17"/>
  <c r="C28" i="17"/>
  <c r="J28" i="17"/>
  <c r="B28" i="17"/>
  <c r="I28" i="17"/>
  <c r="H28" i="17"/>
  <c r="N28" i="17"/>
  <c r="F28" i="17"/>
  <c r="E28" i="17"/>
  <c r="E29" i="17" s="1"/>
  <c r="O28" i="17"/>
  <c r="G28" i="17"/>
  <c r="L28" i="17"/>
  <c r="D28" i="17"/>
  <c r="M28" i="17"/>
  <c r="I13" i="17"/>
  <c r="K13" i="17"/>
  <c r="H13" i="17"/>
  <c r="O13" i="17"/>
  <c r="G13" i="17"/>
  <c r="N13" i="17"/>
  <c r="F13" i="17"/>
  <c r="L13" i="17"/>
  <c r="D13" i="17"/>
  <c r="M13" i="17"/>
  <c r="E13" i="17"/>
  <c r="E14" i="17" s="1"/>
  <c r="J13" i="17"/>
  <c r="B13" i="17"/>
  <c r="C13" i="17"/>
  <c r="L29" i="17"/>
  <c r="D29" i="17"/>
  <c r="K29" i="17"/>
  <c r="C29" i="17"/>
  <c r="N29" i="17"/>
  <c r="J29" i="17"/>
  <c r="B29" i="17"/>
  <c r="I29" i="17"/>
  <c r="O29" i="17"/>
  <c r="G29" i="17"/>
  <c r="F29" i="17"/>
  <c r="H29" i="17"/>
  <c r="M29" i="17"/>
  <c r="N32" i="17"/>
  <c r="F32" i="17"/>
  <c r="M32" i="17"/>
  <c r="L32" i="17"/>
  <c r="D32" i="17"/>
  <c r="K32" i="17"/>
  <c r="C32" i="17"/>
  <c r="I32" i="17"/>
  <c r="J32" i="17"/>
  <c r="B32" i="17"/>
  <c r="O32" i="17"/>
  <c r="G32" i="17"/>
  <c r="H32" i="17"/>
  <c r="H23" i="17"/>
  <c r="O23" i="17"/>
  <c r="G23" i="17"/>
  <c r="J23" i="17"/>
  <c r="N23" i="17"/>
  <c r="F23" i="17"/>
  <c r="M23" i="17"/>
  <c r="E23" i="17"/>
  <c r="K23" i="17"/>
  <c r="C23" i="17"/>
  <c r="L23" i="17"/>
  <c r="D23" i="17"/>
  <c r="I23" i="17"/>
  <c r="B23" i="17"/>
  <c r="M31" i="17"/>
  <c r="E31" i="17"/>
  <c r="E32" i="17" s="1"/>
  <c r="O31" i="17"/>
  <c r="L31" i="17"/>
  <c r="D31" i="17"/>
  <c r="K31" i="17"/>
  <c r="C31" i="17"/>
  <c r="G31" i="17"/>
  <c r="J31" i="17"/>
  <c r="B31" i="17"/>
  <c r="H31" i="17"/>
  <c r="I31" i="17"/>
  <c r="N31" i="17"/>
  <c r="F31" i="17"/>
  <c r="L13" i="16"/>
  <c r="D13" i="16"/>
  <c r="K13" i="16"/>
  <c r="C13" i="16"/>
  <c r="M13" i="16"/>
  <c r="J13" i="16"/>
  <c r="B13" i="16"/>
  <c r="E13" i="16"/>
  <c r="E14" i="16" s="1"/>
  <c r="I13" i="16"/>
  <c r="H13" i="16"/>
  <c r="O13" i="16"/>
  <c r="G13" i="16"/>
  <c r="N13" i="16"/>
  <c r="F13" i="16"/>
  <c r="J10" i="16"/>
  <c r="B10" i="16"/>
  <c r="C10" i="16"/>
  <c r="I10" i="16"/>
  <c r="K10" i="16"/>
  <c r="H10" i="16"/>
  <c r="O10" i="16"/>
  <c r="G10" i="16"/>
  <c r="N10" i="16"/>
  <c r="F10" i="16"/>
  <c r="M10" i="16"/>
  <c r="E10" i="16"/>
  <c r="E11" i="16" s="1"/>
  <c r="L10" i="16"/>
  <c r="D10" i="16"/>
  <c r="O17" i="16"/>
  <c r="G17" i="16"/>
  <c r="N17" i="16"/>
  <c r="F17" i="16"/>
  <c r="H17" i="16"/>
  <c r="M17" i="16"/>
  <c r="L17" i="16"/>
  <c r="D17" i="16"/>
  <c r="K17" i="16"/>
  <c r="C17" i="16"/>
  <c r="J17" i="16"/>
  <c r="B17" i="16"/>
  <c r="I17" i="16"/>
  <c r="N16" i="16"/>
  <c r="F16" i="16"/>
  <c r="M16" i="16"/>
  <c r="E16" i="16"/>
  <c r="E17" i="16" s="1"/>
  <c r="L16" i="16"/>
  <c r="D16" i="16"/>
  <c r="G16" i="16"/>
  <c r="K16" i="16"/>
  <c r="C16" i="16"/>
  <c r="J16" i="16"/>
  <c r="B16" i="16"/>
  <c r="I16" i="16"/>
  <c r="O16" i="16"/>
  <c r="H16" i="16"/>
  <c r="M14" i="16"/>
  <c r="L14" i="16"/>
  <c r="D14" i="16"/>
  <c r="N14" i="16"/>
  <c r="K14" i="16"/>
  <c r="C14" i="16"/>
  <c r="J14" i="16"/>
  <c r="B14" i="16"/>
  <c r="I14" i="16"/>
  <c r="H14" i="16"/>
  <c r="F14" i="16"/>
  <c r="O14" i="16"/>
  <c r="G14" i="16"/>
  <c r="K11" i="16"/>
  <c r="C11" i="16"/>
  <c r="J11" i="16"/>
  <c r="B11" i="16"/>
  <c r="I11" i="16"/>
  <c r="H11" i="16"/>
  <c r="O11" i="16"/>
  <c r="G11" i="16"/>
  <c r="D11" i="16"/>
  <c r="N11" i="16"/>
  <c r="F11" i="16"/>
  <c r="L11" i="16"/>
  <c r="M11" i="16"/>
  <c r="A15" i="15"/>
  <c r="C15" i="15" s="1"/>
  <c r="A17" i="15"/>
  <c r="A18" i="15"/>
  <c r="A20" i="15"/>
  <c r="A27" i="15"/>
  <c r="A26" i="15"/>
  <c r="A21" i="15"/>
  <c r="A11" i="15"/>
  <c r="A12" i="15"/>
  <c r="A14" i="15"/>
  <c r="C14" i="15" s="1"/>
  <c r="D25" i="15"/>
  <c r="C25" i="15"/>
  <c r="B25" i="15"/>
  <c r="F25" i="15"/>
  <c r="G25" i="15"/>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E212" i="8"/>
  <c r="D212" i="8"/>
  <c r="B212" i="8"/>
  <c r="A212"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E202" i="8"/>
  <c r="D202" i="8"/>
  <c r="B202" i="8"/>
  <c r="A202" i="8"/>
  <c r="E199" i="8"/>
  <c r="D199" i="8"/>
  <c r="B199" i="8"/>
  <c r="A199" i="8"/>
  <c r="E198" i="8"/>
  <c r="D198" i="8"/>
  <c r="B198" i="8"/>
  <c r="A198" i="8"/>
  <c r="E197" i="8"/>
  <c r="D197" i="8"/>
  <c r="B197" i="8"/>
  <c r="A197" i="8"/>
  <c r="D17" i="15" l="1"/>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6" i="3"/>
  <c r="M86" i="3"/>
  <c r="L86" i="3"/>
  <c r="K86" i="3"/>
  <c r="J86" i="3"/>
  <c r="I86" i="3"/>
  <c r="H86" i="3"/>
  <c r="G86" i="3"/>
  <c r="N85" i="3"/>
  <c r="M85" i="3"/>
  <c r="L85" i="3"/>
  <c r="K85" i="3"/>
  <c r="J85" i="3"/>
  <c r="I85" i="3"/>
  <c r="H85" i="3"/>
  <c r="G85" i="3"/>
  <c r="N84" i="3"/>
  <c r="M84" i="3"/>
  <c r="L84" i="3"/>
  <c r="K84" i="3"/>
  <c r="J84" i="3"/>
  <c r="I84" i="3"/>
  <c r="H84" i="3"/>
  <c r="G84" i="3"/>
  <c r="N80" i="3"/>
  <c r="M80" i="3"/>
  <c r="L80" i="3"/>
  <c r="K80" i="3"/>
  <c r="J80" i="3"/>
  <c r="I80" i="3"/>
  <c r="H80" i="3"/>
  <c r="G80" i="3"/>
  <c r="N79" i="3"/>
  <c r="M79" i="3"/>
  <c r="L79" i="3"/>
  <c r="K79" i="3"/>
  <c r="J79" i="3"/>
  <c r="I79" i="3"/>
  <c r="H79" i="3"/>
  <c r="G79" i="3"/>
  <c r="N75" i="3"/>
  <c r="M75" i="3"/>
  <c r="L75" i="3"/>
  <c r="K75" i="3"/>
  <c r="J75" i="3"/>
  <c r="I75" i="3"/>
  <c r="H75" i="3"/>
  <c r="G75" i="3"/>
  <c r="N74" i="3"/>
  <c r="M74" i="3"/>
  <c r="L74" i="3"/>
  <c r="K74" i="3"/>
  <c r="J74" i="3"/>
  <c r="I74" i="3"/>
  <c r="H74" i="3"/>
  <c r="G74" i="3"/>
  <c r="N73" i="3"/>
  <c r="M73" i="3"/>
  <c r="L73" i="3"/>
  <c r="K73" i="3"/>
  <c r="J73" i="3"/>
  <c r="I73" i="3"/>
  <c r="H73" i="3"/>
  <c r="G73" i="3"/>
  <c r="N72" i="3"/>
  <c r="O25" i="15" s="1"/>
  <c r="M72" i="3"/>
  <c r="N25" i="15" s="1"/>
  <c r="L72" i="3"/>
  <c r="M25" i="15" s="1"/>
  <c r="K72" i="3"/>
  <c r="L25" i="15" s="1"/>
  <c r="J72" i="3"/>
  <c r="K25" i="15" s="1"/>
  <c r="I72" i="3"/>
  <c r="J25" i="15" s="1"/>
  <c r="H72" i="3"/>
  <c r="I25" i="15" s="1"/>
  <c r="G72" i="3"/>
  <c r="H25" i="15" s="1"/>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O17" i="15" s="1"/>
  <c r="M47" i="3"/>
  <c r="N17" i="15" s="1"/>
  <c r="L47" i="3"/>
  <c r="M17" i="15" s="1"/>
  <c r="K47" i="3"/>
  <c r="L17" i="15" s="1"/>
  <c r="J47" i="3"/>
  <c r="K17" i="15" s="1"/>
  <c r="I47" i="3"/>
  <c r="J17" i="15" s="1"/>
  <c r="H47" i="3"/>
  <c r="I17" i="15" s="1"/>
  <c r="G47" i="3"/>
  <c r="H17" i="15" s="1"/>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O11" i="15" s="1"/>
  <c r="M39" i="3"/>
  <c r="N11" i="15" s="1"/>
  <c r="L39" i="3"/>
  <c r="M11" i="15" s="1"/>
  <c r="K39" i="3"/>
  <c r="L11" i="15" s="1"/>
  <c r="J39" i="3"/>
  <c r="K11" i="15" s="1"/>
  <c r="I39" i="3"/>
  <c r="J11" i="15" s="1"/>
  <c r="H39" i="3"/>
  <c r="I11" i="15" s="1"/>
  <c r="G39" i="3"/>
  <c r="H11" i="15" s="1"/>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M25" i="3"/>
  <c r="L25" i="3"/>
  <c r="K25" i="3"/>
  <c r="J25" i="3"/>
  <c r="I25" i="3"/>
  <c r="H25" i="3"/>
  <c r="G25" i="3"/>
  <c r="N24" i="3"/>
  <c r="M24" i="3"/>
  <c r="L24" i="3"/>
  <c r="K24" i="3"/>
  <c r="J24" i="3"/>
  <c r="I24" i="3"/>
  <c r="H24" i="3"/>
  <c r="G24" i="3"/>
  <c r="N23" i="3"/>
  <c r="M23" i="3"/>
  <c r="L23" i="3"/>
  <c r="K23" i="3"/>
  <c r="J23" i="3"/>
  <c r="I23" i="3"/>
  <c r="H23" i="3"/>
  <c r="G23"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L27" i="15" l="1"/>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79" i="8"/>
  <c r="P5" i="13" l="1"/>
  <c r="P6" i="14" l="1"/>
  <c r="A20" i="14" s="1"/>
  <c r="G6" i="14"/>
  <c r="G7" i="14"/>
  <c r="P7" i="14"/>
  <c r="G5" i="14"/>
  <c r="A25" i="14" l="1"/>
  <c r="D25" i="14" s="1"/>
  <c r="A24" i="14"/>
  <c r="K24" i="14" s="1"/>
  <c r="A26" i="14"/>
  <c r="H26" i="14" s="1"/>
  <c r="A32" i="14"/>
  <c r="J32" i="14" s="1"/>
  <c r="A27" i="14"/>
  <c r="M27" i="14" s="1"/>
  <c r="A28" i="14"/>
  <c r="F28" i="14" s="1"/>
  <c r="A31" i="14"/>
  <c r="A29" i="14"/>
  <c r="A30" i="14"/>
  <c r="L30" i="14" s="1"/>
  <c r="A13" i="14"/>
  <c r="N13" i="14" s="1"/>
  <c r="A11" i="14"/>
  <c r="A14" i="14"/>
  <c r="A16" i="14"/>
  <c r="A17" i="14"/>
  <c r="A19" i="14"/>
  <c r="A10" i="14"/>
  <c r="D26" i="14" l="1"/>
  <c r="L27" i="14"/>
  <c r="C27" i="14"/>
  <c r="K26" i="14"/>
  <c r="J24" i="14"/>
  <c r="L26" i="14"/>
  <c r="I24" i="14"/>
  <c r="O26" i="14"/>
  <c r="J26" i="14"/>
  <c r="B24" i="14"/>
  <c r="J27" i="14"/>
  <c r="G27" i="14"/>
  <c r="I27" i="14"/>
  <c r="N27" i="14"/>
  <c r="C24" i="14"/>
  <c r="F24" i="14"/>
  <c r="L24" i="14"/>
  <c r="N24" i="14"/>
  <c r="D24" i="14"/>
  <c r="H24" i="14"/>
  <c r="M24" i="14"/>
  <c r="D32"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1" i="14"/>
  <c r="N31" i="14"/>
  <c r="C31" i="14"/>
  <c r="M31" i="14"/>
  <c r="B31" i="14"/>
  <c r="D31" i="14"/>
  <c r="L31" i="14"/>
  <c r="K31" i="14"/>
  <c r="F31" i="14"/>
  <c r="I31" i="14"/>
  <c r="H31" i="14"/>
  <c r="N28" i="14"/>
  <c r="G28" i="14"/>
  <c r="O28" i="14"/>
  <c r="D28" i="14"/>
  <c r="L28" i="14"/>
  <c r="B28" i="14"/>
  <c r="H28" i="14"/>
  <c r="M28" i="14"/>
  <c r="C28" i="14"/>
  <c r="I28" i="14"/>
  <c r="K28" i="14"/>
  <c r="J28" i="14"/>
  <c r="H27" i="14"/>
  <c r="D27" i="14"/>
  <c r="B27" i="14"/>
  <c r="O27" i="14"/>
  <c r="K27" i="14"/>
  <c r="O31" i="14"/>
  <c r="M32" i="14"/>
  <c r="L32" i="14"/>
  <c r="K32" i="14"/>
  <c r="O32" i="14"/>
  <c r="C32" i="14"/>
  <c r="N32" i="14"/>
  <c r="B32" i="14"/>
  <c r="I32" i="14"/>
  <c r="H32" i="14"/>
  <c r="G32" i="14"/>
  <c r="F32" i="14"/>
  <c r="G31"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E20" i="14" s="1"/>
  <c r="H19" i="14"/>
  <c r="L19" i="14"/>
  <c r="O19" i="14"/>
  <c r="G19" i="14"/>
  <c r="N19" i="14"/>
  <c r="F19" i="14"/>
  <c r="M19" i="14"/>
  <c r="D19" i="14"/>
  <c r="K19" i="14"/>
  <c r="C19" i="14"/>
  <c r="D17" i="14"/>
  <c r="G17" i="14"/>
  <c r="C17" i="14"/>
  <c r="F17" i="14"/>
  <c r="B17" i="14"/>
  <c r="E193" i="8" l="1"/>
  <c r="D193" i="8"/>
  <c r="B193" i="8"/>
  <c r="A193" i="8"/>
  <c r="E192" i="8"/>
  <c r="D192" i="8"/>
  <c r="B192" i="8"/>
  <c r="A192" i="8"/>
  <c r="E191" i="8"/>
  <c r="D191" i="8"/>
  <c r="B191" i="8"/>
  <c r="A191" i="8"/>
  <c r="E190" i="8"/>
  <c r="D190" i="8"/>
  <c r="B190" i="8"/>
  <c r="A190" i="8"/>
  <c r="AD22" i="3" s="1"/>
  <c r="G6" i="13"/>
  <c r="G5" i="13"/>
  <c r="AD76" i="3" l="1"/>
  <c r="AD78" i="3"/>
  <c r="AD77" i="3"/>
  <c r="AD5" i="3"/>
  <c r="AD35" i="3"/>
  <c r="AD59" i="3"/>
  <c r="AD99" i="3"/>
  <c r="AD91" i="3"/>
  <c r="AD79" i="3"/>
  <c r="AD68" i="3"/>
  <c r="AD60" i="3"/>
  <c r="AD52" i="3"/>
  <c r="AD44" i="3"/>
  <c r="AD36" i="3"/>
  <c r="AD28" i="3"/>
  <c r="AD19" i="3"/>
  <c r="AD11" i="3"/>
  <c r="AD51" i="3"/>
  <c r="AD10" i="3"/>
  <c r="AD97" i="3"/>
  <c r="AD89" i="3"/>
  <c r="AD74" i="3"/>
  <c r="AD66" i="3"/>
  <c r="AD58" i="3"/>
  <c r="AD50" i="3"/>
  <c r="AD42" i="3"/>
  <c r="AD34" i="3"/>
  <c r="AD26" i="3"/>
  <c r="AD17" i="3"/>
  <c r="AD9" i="3"/>
  <c r="AD90" i="3"/>
  <c r="AD43" i="3"/>
  <c r="AD96" i="3"/>
  <c r="AD88" i="3"/>
  <c r="AD73" i="3"/>
  <c r="AD65" i="3"/>
  <c r="AD57" i="3"/>
  <c r="AD49" i="3"/>
  <c r="AD41" i="3"/>
  <c r="AD33" i="3"/>
  <c r="AD25" i="3"/>
  <c r="AD16" i="3"/>
  <c r="AD8" i="3"/>
  <c r="AD75" i="3"/>
  <c r="AD18" i="3"/>
  <c r="AD95" i="3"/>
  <c r="AD86" i="3"/>
  <c r="AD72" i="3"/>
  <c r="AD64" i="3"/>
  <c r="AD56" i="3"/>
  <c r="AD48" i="3"/>
  <c r="AD40" i="3"/>
  <c r="AD32" i="3"/>
  <c r="AD24" i="3"/>
  <c r="AD15" i="3"/>
  <c r="AD7" i="3"/>
  <c r="AD67" i="3"/>
  <c r="AD27" i="3"/>
  <c r="AD102" i="3"/>
  <c r="AD94" i="3"/>
  <c r="AD85" i="3"/>
  <c r="AD71" i="3"/>
  <c r="AD63" i="3"/>
  <c r="AD55" i="3"/>
  <c r="AD47" i="3"/>
  <c r="AD39" i="3"/>
  <c r="AD31" i="3"/>
  <c r="AD23" i="3"/>
  <c r="AD14" i="3"/>
  <c r="AD4" i="3"/>
  <c r="AD101" i="3"/>
  <c r="AD93" i="3"/>
  <c r="AD84" i="3"/>
  <c r="AD70" i="3"/>
  <c r="AD62" i="3"/>
  <c r="AD54" i="3"/>
  <c r="AD46" i="3"/>
  <c r="AD38" i="3"/>
  <c r="AD30" i="3"/>
  <c r="AD21" i="3"/>
  <c r="AD13" i="3"/>
  <c r="AD6" i="3"/>
  <c r="AD98" i="3"/>
  <c r="AD100" i="3"/>
  <c r="AD92" i="3"/>
  <c r="AD80" i="3"/>
  <c r="AD69" i="3"/>
  <c r="AD61" i="3"/>
  <c r="AD53" i="3"/>
  <c r="AD45" i="3"/>
  <c r="AD37" i="3"/>
  <c r="AD29" i="3"/>
  <c r="AD20" i="3"/>
  <c r="AD12" i="3"/>
  <c r="A9" i="13"/>
  <c r="A30" i="13"/>
  <c r="A18" i="13"/>
  <c r="A15" i="13"/>
  <c r="A25" i="13"/>
  <c r="A12" i="13"/>
  <c r="A22" i="13"/>
  <c r="A21" i="13"/>
  <c r="A31" i="13"/>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E31" i="13" s="1"/>
  <c r="H30" i="13"/>
  <c r="G30" i="13"/>
  <c r="K30" i="13"/>
  <c r="D30" i="13"/>
  <c r="C30" i="13"/>
  <c r="L30" i="13"/>
  <c r="E186" i="8"/>
  <c r="D186" i="8"/>
  <c r="B186" i="8"/>
  <c r="A186" i="8"/>
  <c r="E185" i="8"/>
  <c r="D185" i="8"/>
  <c r="B185" i="8"/>
  <c r="A185" i="8"/>
  <c r="E184" i="8"/>
  <c r="D184" i="8"/>
  <c r="B184" i="8"/>
  <c r="A184" i="8"/>
  <c r="E183" i="8"/>
  <c r="D183" i="8"/>
  <c r="B183" i="8"/>
  <c r="A183" i="8"/>
  <c r="E182" i="8"/>
  <c r="D182" i="8"/>
  <c r="B182" i="8"/>
  <c r="A182" i="8"/>
  <c r="E181" i="8"/>
  <c r="D181" i="8"/>
  <c r="B181" i="8"/>
  <c r="A181" i="8"/>
  <c r="E180" i="8"/>
  <c r="D180" i="8"/>
  <c r="B180" i="8"/>
  <c r="A180" i="8"/>
  <c r="E179" i="8"/>
  <c r="B179" i="8"/>
  <c r="A179" i="8"/>
  <c r="E178" i="8"/>
  <c r="D178" i="8"/>
  <c r="B178" i="8"/>
  <c r="A178" i="8"/>
  <c r="E177" i="8"/>
  <c r="D177" i="8"/>
  <c r="B177" i="8"/>
  <c r="A177" i="8"/>
  <c r="E176" i="8"/>
  <c r="D176" i="8"/>
  <c r="B176" i="8"/>
  <c r="A176" i="8"/>
  <c r="E175" i="8"/>
  <c r="D175" i="8"/>
  <c r="B175" i="8"/>
  <c r="A175" i="8"/>
  <c r="E174" i="8"/>
  <c r="D174" i="8"/>
  <c r="B174" i="8"/>
  <c r="A174" i="8"/>
  <c r="E173" i="8"/>
  <c r="D173" i="8"/>
  <c r="B173" i="8"/>
  <c r="A173" i="8"/>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22" i="3" l="1"/>
  <c r="AE76" i="3"/>
  <c r="AE78" i="3"/>
  <c r="AE77" i="3"/>
  <c r="AE4" i="3"/>
  <c r="AE86" i="3"/>
  <c r="AE8" i="3"/>
  <c r="AE16" i="3"/>
  <c r="AE25" i="3"/>
  <c r="AE33" i="3"/>
  <c r="AE41" i="3"/>
  <c r="AE49" i="3"/>
  <c r="AE57" i="3"/>
  <c r="AE65" i="3"/>
  <c r="AE73" i="3"/>
  <c r="AE88" i="3"/>
  <c r="AE96" i="3"/>
  <c r="AE10" i="3"/>
  <c r="AE27" i="3"/>
  <c r="AE43" i="3"/>
  <c r="AE59" i="3"/>
  <c r="AE75" i="3"/>
  <c r="AE98" i="3"/>
  <c r="AE19" i="3"/>
  <c r="AE36" i="3"/>
  <c r="AE52" i="3"/>
  <c r="AE68" i="3"/>
  <c r="AE91" i="3"/>
  <c r="AE99" i="3"/>
  <c r="AE39" i="3"/>
  <c r="AE63" i="3"/>
  <c r="AE94" i="3"/>
  <c r="AE15" i="3"/>
  <c r="AE40" i="3"/>
  <c r="AE64" i="3"/>
  <c r="AE9" i="3"/>
  <c r="AE17" i="3"/>
  <c r="AE26" i="3"/>
  <c r="AE34" i="3"/>
  <c r="AE42" i="3"/>
  <c r="AE50" i="3"/>
  <c r="AE58" i="3"/>
  <c r="AE66" i="3"/>
  <c r="AE74" i="3"/>
  <c r="AE89" i="3"/>
  <c r="AE97" i="3"/>
  <c r="AE18" i="3"/>
  <c r="AE35" i="3"/>
  <c r="AE51" i="3"/>
  <c r="AE67" i="3"/>
  <c r="AE90" i="3"/>
  <c r="AE11" i="3"/>
  <c r="AE28" i="3"/>
  <c r="AE44" i="3"/>
  <c r="AE60" i="3"/>
  <c r="AE79" i="3"/>
  <c r="AE23" i="3"/>
  <c r="AE47" i="3"/>
  <c r="AE71" i="3"/>
  <c r="AE102" i="3"/>
  <c r="AE24" i="3"/>
  <c r="AE48" i="3"/>
  <c r="AE72" i="3"/>
  <c r="AE95" i="3"/>
  <c r="AE12" i="3"/>
  <c r="AE20" i="3"/>
  <c r="AE29" i="3"/>
  <c r="AE37" i="3"/>
  <c r="AE45" i="3"/>
  <c r="AE53" i="3"/>
  <c r="AE61" i="3"/>
  <c r="AE69" i="3"/>
  <c r="AE80" i="3"/>
  <c r="AE92" i="3"/>
  <c r="AE100" i="3"/>
  <c r="AE6" i="3"/>
  <c r="AE13" i="3"/>
  <c r="AE21" i="3"/>
  <c r="AE30" i="3"/>
  <c r="AE38" i="3"/>
  <c r="AE46" i="3"/>
  <c r="AE54" i="3"/>
  <c r="AE62" i="3"/>
  <c r="AE70" i="3"/>
  <c r="AE84" i="3"/>
  <c r="AE93" i="3"/>
  <c r="AE101" i="3"/>
  <c r="AE5" i="3"/>
  <c r="AE14" i="3"/>
  <c r="AE31" i="3"/>
  <c r="AE55" i="3"/>
  <c r="AE85" i="3"/>
  <c r="AE7" i="3"/>
  <c r="AE32" i="3"/>
  <c r="AE56" i="3"/>
  <c r="E170" i="8" l="1"/>
  <c r="D170" i="8"/>
  <c r="B170" i="8"/>
  <c r="A170" i="8"/>
  <c r="E169" i="8"/>
  <c r="D169" i="8"/>
  <c r="B169" i="8"/>
  <c r="A169" i="8"/>
  <c r="E168" i="8"/>
  <c r="D168" i="8"/>
  <c r="B168" i="8"/>
  <c r="A168" i="8"/>
  <c r="E167" i="8"/>
  <c r="D167" i="8"/>
  <c r="B167" i="8"/>
  <c r="A167" i="8"/>
  <c r="AL22" i="3" s="1"/>
  <c r="E164" i="8"/>
  <c r="D164" i="8"/>
  <c r="B164" i="8"/>
  <c r="A164" i="8"/>
  <c r="E163" i="8"/>
  <c r="D163" i="8"/>
  <c r="B163" i="8"/>
  <c r="A163" i="8"/>
  <c r="E162" i="8"/>
  <c r="D162" i="8"/>
  <c r="B162" i="8"/>
  <c r="A162" i="8"/>
  <c r="E161" i="8"/>
  <c r="D161" i="8"/>
  <c r="B161" i="8"/>
  <c r="A161" i="8"/>
  <c r="AK22" i="3" s="1"/>
  <c r="E158" i="8"/>
  <c r="D158" i="8"/>
  <c r="B158" i="8"/>
  <c r="A158" i="8"/>
  <c r="E157" i="8"/>
  <c r="D157" i="8"/>
  <c r="B157" i="8"/>
  <c r="A157" i="8"/>
  <c r="E156" i="8"/>
  <c r="D156" i="8"/>
  <c r="B156" i="8"/>
  <c r="A156" i="8"/>
  <c r="E155" i="8"/>
  <c r="D155" i="8"/>
  <c r="B155" i="8"/>
  <c r="A155" i="8"/>
  <c r="AJ22" i="3" s="1"/>
  <c r="A152" i="8"/>
  <c r="B152" i="8"/>
  <c r="D152" i="8"/>
  <c r="E152" i="8"/>
  <c r="AJ4" i="3" l="1"/>
  <c r="AJ76" i="3"/>
  <c r="AJ78" i="3"/>
  <c r="AJ77" i="3"/>
  <c r="AK76" i="3"/>
  <c r="AK78" i="3"/>
  <c r="AK77" i="3"/>
  <c r="AL76" i="3"/>
  <c r="AL78" i="3"/>
  <c r="AL77" i="3"/>
  <c r="AK4" i="3"/>
  <c r="AL4" i="3"/>
  <c r="AK11" i="3"/>
  <c r="AK19" i="3"/>
  <c r="AK28" i="3"/>
  <c r="AK36" i="3"/>
  <c r="AK44" i="3"/>
  <c r="AK52" i="3"/>
  <c r="AK60" i="3"/>
  <c r="AK68" i="3"/>
  <c r="AK79" i="3"/>
  <c r="AK91" i="3"/>
  <c r="AK99" i="3"/>
  <c r="AK6" i="3"/>
  <c r="AK21" i="3"/>
  <c r="AK38" i="3"/>
  <c r="AK54" i="3"/>
  <c r="AK62" i="3"/>
  <c r="AK84" i="3"/>
  <c r="AK101" i="3"/>
  <c r="AK12" i="3"/>
  <c r="AK20" i="3"/>
  <c r="AK29" i="3"/>
  <c r="AK37" i="3"/>
  <c r="AK45" i="3"/>
  <c r="AK53" i="3"/>
  <c r="AK61" i="3"/>
  <c r="AK69" i="3"/>
  <c r="AK80" i="3"/>
  <c r="AK92" i="3"/>
  <c r="AK100" i="3"/>
  <c r="AK13" i="3"/>
  <c r="AK30" i="3"/>
  <c r="AK46" i="3"/>
  <c r="AK70" i="3"/>
  <c r="AK93" i="3"/>
  <c r="AK5" i="3"/>
  <c r="AK14" i="3"/>
  <c r="AK23" i="3"/>
  <c r="AK31" i="3"/>
  <c r="AK39" i="3"/>
  <c r="AK47" i="3"/>
  <c r="AK55" i="3"/>
  <c r="AK63" i="3"/>
  <c r="AK71" i="3"/>
  <c r="AK85" i="3"/>
  <c r="AK94" i="3"/>
  <c r="AK102" i="3"/>
  <c r="AK8" i="3"/>
  <c r="AK25" i="3"/>
  <c r="AK41" i="3"/>
  <c r="AK49" i="3"/>
  <c r="AK65" i="3"/>
  <c r="AK96" i="3"/>
  <c r="AK7" i="3"/>
  <c r="AK15" i="3"/>
  <c r="AK24" i="3"/>
  <c r="AK32" i="3"/>
  <c r="AK40" i="3"/>
  <c r="AK48" i="3"/>
  <c r="AK56" i="3"/>
  <c r="AK64" i="3"/>
  <c r="AK72" i="3"/>
  <c r="AK86" i="3"/>
  <c r="AK95" i="3"/>
  <c r="AK16" i="3"/>
  <c r="AK33" i="3"/>
  <c r="AK57" i="3"/>
  <c r="AK88" i="3"/>
  <c r="AK73" i="3"/>
  <c r="AK9" i="3"/>
  <c r="AK17" i="3"/>
  <c r="AK26" i="3"/>
  <c r="AK34" i="3"/>
  <c r="AK42" i="3"/>
  <c r="AK50" i="3"/>
  <c r="AK58" i="3"/>
  <c r="AK66" i="3"/>
  <c r="AK74" i="3"/>
  <c r="AK89" i="3"/>
  <c r="AK97" i="3"/>
  <c r="AK10" i="3"/>
  <c r="AK18" i="3"/>
  <c r="AK27" i="3"/>
  <c r="AK35" i="3"/>
  <c r="AK43" i="3"/>
  <c r="AK51" i="3"/>
  <c r="AK59" i="3"/>
  <c r="AK67" i="3"/>
  <c r="AK75" i="3"/>
  <c r="AK90" i="3"/>
  <c r="AK98" i="3"/>
  <c r="AJ9" i="3"/>
  <c r="AJ17" i="3"/>
  <c r="AJ26" i="3"/>
  <c r="AJ34" i="3"/>
  <c r="AJ42" i="3"/>
  <c r="AJ50" i="3"/>
  <c r="AJ58" i="3"/>
  <c r="AJ66" i="3"/>
  <c r="AJ74" i="3"/>
  <c r="AJ89" i="3"/>
  <c r="AJ97" i="3"/>
  <c r="AJ19" i="3"/>
  <c r="AJ36" i="3"/>
  <c r="AJ52" i="3"/>
  <c r="AJ68" i="3"/>
  <c r="AJ91" i="3"/>
  <c r="AJ10" i="3"/>
  <c r="AJ18" i="3"/>
  <c r="AJ27" i="3"/>
  <c r="AJ35" i="3"/>
  <c r="AJ43" i="3"/>
  <c r="AJ51" i="3"/>
  <c r="AJ59" i="3"/>
  <c r="AJ67" i="3"/>
  <c r="AJ75" i="3"/>
  <c r="AJ90" i="3"/>
  <c r="AJ98" i="3"/>
  <c r="AJ11" i="3"/>
  <c r="AJ28" i="3"/>
  <c r="AJ44" i="3"/>
  <c r="AJ60" i="3"/>
  <c r="AJ79" i="3"/>
  <c r="AJ99" i="3"/>
  <c r="AJ12" i="3"/>
  <c r="AJ20" i="3"/>
  <c r="AJ29" i="3"/>
  <c r="AJ37" i="3"/>
  <c r="AJ45" i="3"/>
  <c r="AJ53" i="3"/>
  <c r="AJ61" i="3"/>
  <c r="AJ69" i="3"/>
  <c r="AJ80" i="3"/>
  <c r="AJ92" i="3"/>
  <c r="AJ100" i="3"/>
  <c r="AJ14" i="3"/>
  <c r="AJ31" i="3"/>
  <c r="AJ47" i="3"/>
  <c r="AJ63" i="3"/>
  <c r="AJ85" i="3"/>
  <c r="AJ102" i="3"/>
  <c r="AJ6" i="3"/>
  <c r="AJ13" i="3"/>
  <c r="AJ21" i="3"/>
  <c r="AJ30" i="3"/>
  <c r="AJ38" i="3"/>
  <c r="AJ46" i="3"/>
  <c r="AJ54" i="3"/>
  <c r="AJ62" i="3"/>
  <c r="AJ70" i="3"/>
  <c r="AJ84" i="3"/>
  <c r="AJ93" i="3"/>
  <c r="AJ101" i="3"/>
  <c r="AJ5" i="3"/>
  <c r="AJ23" i="3"/>
  <c r="AJ39" i="3"/>
  <c r="AJ55" i="3"/>
  <c r="AJ71" i="3"/>
  <c r="AJ94" i="3"/>
  <c r="AJ7" i="3"/>
  <c r="AJ15" i="3"/>
  <c r="AJ24" i="3"/>
  <c r="AJ32" i="3"/>
  <c r="AJ40" i="3"/>
  <c r="AJ48" i="3"/>
  <c r="AJ56" i="3"/>
  <c r="AJ64" i="3"/>
  <c r="AJ72" i="3"/>
  <c r="AJ86" i="3"/>
  <c r="AJ95" i="3"/>
  <c r="AJ8" i="3"/>
  <c r="AJ16" i="3"/>
  <c r="AJ25" i="3"/>
  <c r="AJ33" i="3"/>
  <c r="AJ41" i="3"/>
  <c r="AJ49" i="3"/>
  <c r="AJ57" i="3"/>
  <c r="AJ65" i="3"/>
  <c r="AJ73" i="3"/>
  <c r="AJ88" i="3"/>
  <c r="AJ96" i="3"/>
  <c r="AL6" i="3"/>
  <c r="AL13" i="3"/>
  <c r="AL21" i="3"/>
  <c r="AL30" i="3"/>
  <c r="AL38" i="3"/>
  <c r="AL46" i="3"/>
  <c r="AL54" i="3"/>
  <c r="AL62" i="3"/>
  <c r="AL70" i="3"/>
  <c r="AL84" i="3"/>
  <c r="AL93" i="3"/>
  <c r="AL101" i="3"/>
  <c r="AL24" i="3"/>
  <c r="AL32" i="3"/>
  <c r="AL48" i="3"/>
  <c r="AL64" i="3"/>
  <c r="AL86" i="3"/>
  <c r="AL5" i="3"/>
  <c r="AL14" i="3"/>
  <c r="AL23" i="3"/>
  <c r="AL31" i="3"/>
  <c r="AL39" i="3"/>
  <c r="AL47" i="3"/>
  <c r="AL55" i="3"/>
  <c r="AL63" i="3"/>
  <c r="AL71" i="3"/>
  <c r="AL85" i="3"/>
  <c r="AL94" i="3"/>
  <c r="AL102" i="3"/>
  <c r="AL15" i="3"/>
  <c r="AL40" i="3"/>
  <c r="AL56" i="3"/>
  <c r="AL72" i="3"/>
  <c r="AL95" i="3"/>
  <c r="AL7" i="3"/>
  <c r="AL8" i="3"/>
  <c r="AL16" i="3"/>
  <c r="AL25" i="3"/>
  <c r="AL33" i="3"/>
  <c r="AL41" i="3"/>
  <c r="AL49" i="3"/>
  <c r="AL57" i="3"/>
  <c r="AL65" i="3"/>
  <c r="AL73" i="3"/>
  <c r="AL88" i="3"/>
  <c r="AL96" i="3"/>
  <c r="AL27" i="3"/>
  <c r="AL51" i="3"/>
  <c r="AL67" i="3"/>
  <c r="AL90" i="3"/>
  <c r="AL9" i="3"/>
  <c r="AL17" i="3"/>
  <c r="AL26" i="3"/>
  <c r="AL34" i="3"/>
  <c r="AL42" i="3"/>
  <c r="AL50" i="3"/>
  <c r="AL58" i="3"/>
  <c r="AL66" i="3"/>
  <c r="AL74" i="3"/>
  <c r="AL89" i="3"/>
  <c r="AL97" i="3"/>
  <c r="AL35" i="3"/>
  <c r="AL43" i="3"/>
  <c r="AL59" i="3"/>
  <c r="AL75" i="3"/>
  <c r="AL98" i="3"/>
  <c r="AL10" i="3"/>
  <c r="AL18" i="3"/>
  <c r="AL11" i="3"/>
  <c r="AL19" i="3"/>
  <c r="AL28" i="3"/>
  <c r="AL36" i="3"/>
  <c r="AL44" i="3"/>
  <c r="AL52" i="3"/>
  <c r="AL60" i="3"/>
  <c r="AL68" i="3"/>
  <c r="AL79" i="3"/>
  <c r="AL91" i="3"/>
  <c r="AL99" i="3"/>
  <c r="AL29" i="3"/>
  <c r="AL37" i="3"/>
  <c r="AL45" i="3"/>
  <c r="AL53" i="3"/>
  <c r="AL61" i="3"/>
  <c r="AL69" i="3"/>
  <c r="AL80" i="3"/>
  <c r="AL92" i="3"/>
  <c r="AL100" i="3"/>
  <c r="AL12" i="3"/>
  <c r="AL20" i="3"/>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4" i="8"/>
  <c r="D144" i="8"/>
  <c r="B144" i="8"/>
  <c r="A144"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22" i="3" l="1"/>
  <c r="AI76" i="3"/>
  <c r="AI78" i="3"/>
  <c r="AI77" i="3"/>
  <c r="AI4" i="3"/>
  <c r="AI45" i="3"/>
  <c r="AI73" i="3"/>
  <c r="AI63" i="3"/>
  <c r="AI91" i="3"/>
  <c r="AI64" i="3"/>
  <c r="AI66" i="3"/>
  <c r="AI61" i="3"/>
  <c r="AI67" i="3"/>
  <c r="AI88" i="3"/>
  <c r="AI89" i="3"/>
  <c r="AI62" i="3"/>
  <c r="AI65" i="3"/>
  <c r="AI68" i="3"/>
  <c r="AI90" i="3"/>
  <c r="AI55" i="3"/>
  <c r="AI57" i="3"/>
  <c r="AI48" i="3"/>
  <c r="AI40" i="3"/>
  <c r="AI32" i="3"/>
  <c r="AI8" i="3"/>
  <c r="AI24" i="3"/>
  <c r="AI100" i="3"/>
  <c r="AI15" i="3"/>
  <c r="AI92" i="3"/>
  <c r="AI99" i="3"/>
  <c r="AI86" i="3"/>
  <c r="AI72" i="3"/>
  <c r="AI56" i="3"/>
  <c r="AI47" i="3"/>
  <c r="AI39" i="3"/>
  <c r="AI31" i="3"/>
  <c r="AI23" i="3"/>
  <c r="AI14" i="3"/>
  <c r="AI5" i="3"/>
  <c r="AI98" i="3"/>
  <c r="AI85" i="3"/>
  <c r="AI71" i="3"/>
  <c r="AI54" i="3"/>
  <c r="AI46" i="3"/>
  <c r="AI38" i="3"/>
  <c r="AI30" i="3"/>
  <c r="AI21" i="3"/>
  <c r="AI13" i="3"/>
  <c r="AI6" i="3"/>
  <c r="AI97" i="3"/>
  <c r="AI70" i="3"/>
  <c r="AI29" i="3"/>
  <c r="AI20" i="3"/>
  <c r="AI96" i="3"/>
  <c r="AI80" i="3"/>
  <c r="AI69" i="3"/>
  <c r="AI52" i="3"/>
  <c r="AI44" i="3"/>
  <c r="AI36" i="3"/>
  <c r="AI28" i="3"/>
  <c r="AI19" i="3"/>
  <c r="AI11" i="3"/>
  <c r="AI84" i="3"/>
  <c r="AI53" i="3"/>
  <c r="AI37" i="3"/>
  <c r="AI12" i="3"/>
  <c r="AI95" i="3"/>
  <c r="AI79" i="3"/>
  <c r="AI60" i="3"/>
  <c r="AI51" i="3"/>
  <c r="AI43" i="3"/>
  <c r="AI35" i="3"/>
  <c r="AI27" i="3"/>
  <c r="AI18" i="3"/>
  <c r="AI10" i="3"/>
  <c r="AI7" i="3"/>
  <c r="AI102" i="3"/>
  <c r="AI94" i="3"/>
  <c r="AI75" i="3"/>
  <c r="AI59" i="3"/>
  <c r="AI50" i="3"/>
  <c r="AI42" i="3"/>
  <c r="AI34" i="3"/>
  <c r="AI26" i="3"/>
  <c r="AI17" i="3"/>
  <c r="AI9" i="3"/>
  <c r="AI101" i="3"/>
  <c r="AI93" i="3"/>
  <c r="AI74" i="3"/>
  <c r="AI58" i="3"/>
  <c r="AI49" i="3"/>
  <c r="AI41" i="3"/>
  <c r="AI33" i="3"/>
  <c r="AI25" i="3"/>
  <c r="AI16" i="3"/>
  <c r="E133" i="8"/>
  <c r="D133" i="8"/>
  <c r="B133" i="8"/>
  <c r="A133" i="8"/>
  <c r="E132" i="8"/>
  <c r="D132" i="8"/>
  <c r="B132" i="8"/>
  <c r="A132" i="8"/>
  <c r="E131" i="8"/>
  <c r="D131" i="8"/>
  <c r="B131" i="8"/>
  <c r="A131" i="8"/>
  <c r="E130" i="8"/>
  <c r="D130" i="8"/>
  <c r="B130" i="8"/>
  <c r="A130" i="8"/>
  <c r="AA22" i="3" s="1"/>
  <c r="AA76" i="3" l="1"/>
  <c r="AA78" i="3"/>
  <c r="AA77" i="3"/>
  <c r="AA4" i="3"/>
  <c r="AA55" i="3"/>
  <c r="AA68" i="3"/>
  <c r="AA88" i="3"/>
  <c r="AA89" i="3"/>
  <c r="AA63" i="3"/>
  <c r="AA91" i="3"/>
  <c r="AA64" i="3"/>
  <c r="AA66" i="3"/>
  <c r="AA62" i="3"/>
  <c r="AA65" i="3"/>
  <c r="AA61" i="3"/>
  <c r="AA67" i="3"/>
  <c r="AA90" i="3"/>
  <c r="AA8" i="3"/>
  <c r="AA16" i="3"/>
  <c r="AA25" i="3"/>
  <c r="AA33" i="3"/>
  <c r="AA41" i="3"/>
  <c r="AA49" i="3"/>
  <c r="AA58" i="3"/>
  <c r="AA74" i="3"/>
  <c r="AA93" i="3"/>
  <c r="AA101" i="3"/>
  <c r="AA18" i="3"/>
  <c r="AA43" i="3"/>
  <c r="AA79" i="3"/>
  <c r="AA95" i="3"/>
  <c r="AA44" i="3"/>
  <c r="AA96" i="3"/>
  <c r="AA37" i="3"/>
  <c r="AA97" i="3"/>
  <c r="AA32" i="3"/>
  <c r="AA9" i="3"/>
  <c r="AA17" i="3"/>
  <c r="AA26" i="3"/>
  <c r="AA34" i="3"/>
  <c r="AA42" i="3"/>
  <c r="AA50" i="3"/>
  <c r="AA59" i="3"/>
  <c r="AA75" i="3"/>
  <c r="AA94" i="3"/>
  <c r="AA102" i="3"/>
  <c r="AA10" i="3"/>
  <c r="AA35" i="3"/>
  <c r="AA60" i="3"/>
  <c r="AA11" i="3"/>
  <c r="AA28" i="3"/>
  <c r="AA69" i="3"/>
  <c r="AA45" i="3"/>
  <c r="AA40" i="3"/>
  <c r="AA27" i="3"/>
  <c r="AA51" i="3"/>
  <c r="AA19" i="3"/>
  <c r="AA36" i="3"/>
  <c r="AA80" i="3"/>
  <c r="AA12" i="3"/>
  <c r="AA53" i="3"/>
  <c r="AA24" i="3"/>
  <c r="AA92" i="3"/>
  <c r="AA52" i="3"/>
  <c r="AA20" i="3"/>
  <c r="AA70" i="3"/>
  <c r="AA100" i="3"/>
  <c r="AA29" i="3"/>
  <c r="AA84" i="3"/>
  <c r="AA57" i="3"/>
  <c r="AA6" i="3"/>
  <c r="AA13" i="3"/>
  <c r="AA21" i="3"/>
  <c r="AA30" i="3"/>
  <c r="AA38" i="3"/>
  <c r="AA46" i="3"/>
  <c r="AA54" i="3"/>
  <c r="AA71" i="3"/>
  <c r="AA85" i="3"/>
  <c r="AA98" i="3"/>
  <c r="AA14" i="3"/>
  <c r="AA23" i="3"/>
  <c r="AA39" i="3"/>
  <c r="AA56" i="3"/>
  <c r="AA86" i="3"/>
  <c r="AA15" i="3"/>
  <c r="AA48" i="3"/>
  <c r="AA5" i="3"/>
  <c r="AA31" i="3"/>
  <c r="AA47" i="3"/>
  <c r="AA72" i="3"/>
  <c r="AA99" i="3"/>
  <c r="AA7" i="3"/>
  <c r="AA73"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22" i="3" l="1"/>
  <c r="AC76" i="3"/>
  <c r="AC78" i="3"/>
  <c r="AC77" i="3"/>
  <c r="AC4" i="3"/>
  <c r="AC65" i="3"/>
  <c r="AC66" i="3"/>
  <c r="AC55" i="3"/>
  <c r="AC68" i="3"/>
  <c r="AC88" i="3"/>
  <c r="AC89" i="3"/>
  <c r="AC63" i="3"/>
  <c r="AC91" i="3"/>
  <c r="AC67" i="3"/>
  <c r="AC90" i="3"/>
  <c r="AC64" i="3"/>
  <c r="AC61" i="3"/>
  <c r="AC62" i="3"/>
  <c r="AC9" i="3"/>
  <c r="AC17" i="3"/>
  <c r="AC26" i="3"/>
  <c r="AC34" i="3"/>
  <c r="AC42" i="3"/>
  <c r="AC50" i="3"/>
  <c r="AC59" i="3"/>
  <c r="AC75" i="3"/>
  <c r="AC94" i="3"/>
  <c r="AC102" i="3"/>
  <c r="AC12" i="3"/>
  <c r="AC29" i="3"/>
  <c r="AC45" i="3"/>
  <c r="AC84" i="3"/>
  <c r="AC39" i="3"/>
  <c r="AC86" i="3"/>
  <c r="AC49" i="3"/>
  <c r="AC10" i="3"/>
  <c r="AC18" i="3"/>
  <c r="AC27" i="3"/>
  <c r="AC35" i="3"/>
  <c r="AC43" i="3"/>
  <c r="AC51" i="3"/>
  <c r="AC60" i="3"/>
  <c r="AC79" i="3"/>
  <c r="AC95" i="3"/>
  <c r="AC20" i="3"/>
  <c r="AC53" i="3"/>
  <c r="AC70" i="3"/>
  <c r="AC31" i="3"/>
  <c r="AC72" i="3"/>
  <c r="AC58" i="3"/>
  <c r="AC11" i="3"/>
  <c r="AC19" i="3"/>
  <c r="AC28" i="3"/>
  <c r="AC36" i="3"/>
  <c r="AC44" i="3"/>
  <c r="AC52" i="3"/>
  <c r="AC69" i="3"/>
  <c r="AC80" i="3"/>
  <c r="AC96" i="3"/>
  <c r="AC37" i="3"/>
  <c r="AC97" i="3"/>
  <c r="AC47" i="3"/>
  <c r="AC99" i="3"/>
  <c r="AC93" i="3"/>
  <c r="AC6" i="3"/>
  <c r="AC13" i="3"/>
  <c r="AC21" i="3"/>
  <c r="AC30" i="3"/>
  <c r="AC38" i="3"/>
  <c r="AC46" i="3"/>
  <c r="AC54" i="3"/>
  <c r="AC71" i="3"/>
  <c r="AC85" i="3"/>
  <c r="AC98" i="3"/>
  <c r="AC5" i="3"/>
  <c r="AC14" i="3"/>
  <c r="AC23" i="3"/>
  <c r="AC56" i="3"/>
  <c r="AC41" i="3"/>
  <c r="AC101" i="3"/>
  <c r="AC7" i="3"/>
  <c r="AC15" i="3"/>
  <c r="AC24" i="3"/>
  <c r="AC32" i="3"/>
  <c r="AC40" i="3"/>
  <c r="AC48" i="3"/>
  <c r="AC57" i="3"/>
  <c r="AC73" i="3"/>
  <c r="AC92" i="3"/>
  <c r="AC100" i="3"/>
  <c r="AC8" i="3"/>
  <c r="AC16" i="3"/>
  <c r="AC25" i="3"/>
  <c r="AC33" i="3"/>
  <c r="AC74"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22" i="3" l="1"/>
  <c r="AB76" i="3"/>
  <c r="AB78" i="3"/>
  <c r="AB77" i="3"/>
  <c r="AB4" i="3"/>
  <c r="AB62" i="3"/>
  <c r="AB90" i="3"/>
  <c r="AB63" i="3"/>
  <c r="AB91" i="3"/>
  <c r="AB65" i="3"/>
  <c r="AB66" i="3"/>
  <c r="AB55" i="3"/>
  <c r="AB68" i="3"/>
  <c r="AB61" i="3"/>
  <c r="AB88" i="3"/>
  <c r="AB64" i="3"/>
  <c r="AB89" i="3"/>
  <c r="AB67" i="3"/>
  <c r="AB12" i="3"/>
  <c r="AB20" i="3"/>
  <c r="AB29" i="3"/>
  <c r="AB37" i="3"/>
  <c r="AB45" i="3"/>
  <c r="AB71" i="3"/>
  <c r="AB98" i="3"/>
  <c r="AB75" i="3"/>
  <c r="AB80" i="3"/>
  <c r="AB6" i="3"/>
  <c r="AB13" i="3"/>
  <c r="AB21" i="3"/>
  <c r="AB30" i="3"/>
  <c r="AB38" i="3"/>
  <c r="AB46" i="3"/>
  <c r="AB74" i="3"/>
  <c r="AB99" i="3"/>
  <c r="AB93" i="3"/>
  <c r="AB58" i="3"/>
  <c r="AB5" i="3"/>
  <c r="AB14" i="3"/>
  <c r="AB23" i="3"/>
  <c r="AB31" i="3"/>
  <c r="AB39" i="3"/>
  <c r="AB47" i="3"/>
  <c r="AB84" i="3"/>
  <c r="AB100" i="3"/>
  <c r="AB95" i="3"/>
  <c r="AB57" i="3"/>
  <c r="AB7" i="3"/>
  <c r="AB15" i="3"/>
  <c r="AB24" i="3"/>
  <c r="AB32" i="3"/>
  <c r="AB40" i="3"/>
  <c r="AB48" i="3"/>
  <c r="AB85" i="3"/>
  <c r="AB101" i="3"/>
  <c r="AB49" i="3"/>
  <c r="AB56" i="3"/>
  <c r="AB8" i="3"/>
  <c r="AB16" i="3"/>
  <c r="AB25" i="3"/>
  <c r="AB33" i="3"/>
  <c r="AB41" i="3"/>
  <c r="AB53" i="3"/>
  <c r="AB86" i="3"/>
  <c r="AB102" i="3"/>
  <c r="AB50" i="3"/>
  <c r="AB60" i="3"/>
  <c r="AB9" i="3"/>
  <c r="AB17" i="3"/>
  <c r="AB26" i="3"/>
  <c r="AB34" i="3"/>
  <c r="AB42" i="3"/>
  <c r="AB54" i="3"/>
  <c r="AB94" i="3"/>
  <c r="AB72" i="3"/>
  <c r="AB51" i="3"/>
  <c r="AB59" i="3"/>
  <c r="AB19" i="3"/>
  <c r="AB28" i="3"/>
  <c r="AB44" i="3"/>
  <c r="AB97" i="3"/>
  <c r="AB10" i="3"/>
  <c r="AB18" i="3"/>
  <c r="AB27" i="3"/>
  <c r="AB35" i="3"/>
  <c r="AB43" i="3"/>
  <c r="AB69" i="3"/>
  <c r="AB96" i="3"/>
  <c r="AB92" i="3"/>
  <c r="AB52" i="3"/>
  <c r="AB11" i="3"/>
  <c r="AB36" i="3"/>
  <c r="AB70" i="3"/>
  <c r="AB73" i="3"/>
  <c r="AB79"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AT22" i="2" l="1"/>
  <c r="AT21" i="2"/>
  <c r="AT20" i="2"/>
  <c r="AT19" i="2"/>
  <c r="AT18" i="2"/>
  <c r="AT17" i="2"/>
  <c r="AT16" i="2"/>
  <c r="AT15" i="2"/>
  <c r="AT14" i="2"/>
  <c r="AT13" i="2"/>
  <c r="AT12" i="2"/>
  <c r="AT11" i="2"/>
  <c r="AT10" i="2"/>
  <c r="AT9" i="2"/>
  <c r="AT8" i="2"/>
  <c r="AT7" i="2"/>
  <c r="AT6" i="2"/>
  <c r="AT5" i="2"/>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22" i="3" s="1"/>
  <c r="G9" i="10"/>
  <c r="P6" i="10"/>
  <c r="Z4" i="3" l="1"/>
  <c r="Z76" i="3"/>
  <c r="Z78" i="3"/>
  <c r="Z77" i="3"/>
  <c r="A33" i="10"/>
  <c r="A21" i="10"/>
  <c r="A27" i="10"/>
  <c r="A31" i="10"/>
  <c r="A19" i="10"/>
  <c r="A34" i="10"/>
  <c r="A30" i="10"/>
  <c r="A18" i="10"/>
  <c r="A15" i="10"/>
  <c r="D15" i="10" s="1"/>
  <c r="A28" i="10"/>
  <c r="A16" i="10"/>
  <c r="A25" i="10"/>
  <c r="A24" i="10"/>
  <c r="A22" i="10"/>
  <c r="A13" i="10"/>
  <c r="A12" i="10"/>
  <c r="Z61" i="3"/>
  <c r="Z67" i="3"/>
  <c r="Z55" i="3"/>
  <c r="Z68" i="3"/>
  <c r="Z88" i="3"/>
  <c r="Z62" i="3"/>
  <c r="Z90" i="3"/>
  <c r="Z63" i="3"/>
  <c r="Z91" i="3"/>
  <c r="Z65" i="3"/>
  <c r="Z64" i="3"/>
  <c r="Z89" i="3"/>
  <c r="Z66" i="3"/>
  <c r="Z79" i="3"/>
  <c r="Z58" i="3"/>
  <c r="Z57" i="3"/>
  <c r="Z49" i="3"/>
  <c r="Z80" i="3"/>
  <c r="Z56" i="3"/>
  <c r="Z50" i="3"/>
  <c r="Z60" i="3"/>
  <c r="Z52" i="3"/>
  <c r="Z51" i="3"/>
  <c r="Z59" i="3"/>
  <c r="Z72" i="3"/>
  <c r="Z92" i="3"/>
  <c r="Z73" i="3"/>
  <c r="Z75" i="3"/>
  <c r="Z93" i="3"/>
  <c r="Z95" i="3"/>
  <c r="Z6" i="3"/>
  <c r="Z5" i="3"/>
  <c r="Z7" i="3"/>
  <c r="Z8" i="3"/>
  <c r="Z9" i="3"/>
  <c r="Z10" i="3"/>
  <c r="Z11" i="3"/>
  <c r="Z12" i="3"/>
  <c r="Z13" i="3"/>
  <c r="Z14" i="3"/>
  <c r="Z15" i="3"/>
  <c r="Z16" i="3"/>
  <c r="Z17" i="3"/>
  <c r="Z18" i="3"/>
  <c r="Z19" i="3"/>
  <c r="Z20" i="3"/>
  <c r="Z21" i="3"/>
  <c r="Z23" i="3"/>
  <c r="Z24" i="3"/>
  <c r="Z25" i="3"/>
  <c r="Z26" i="3"/>
  <c r="Z27" i="3"/>
  <c r="Z28" i="3"/>
  <c r="Z29" i="3"/>
  <c r="Z30" i="3"/>
  <c r="Z31" i="3"/>
  <c r="Z32" i="3"/>
  <c r="Z33" i="3"/>
  <c r="Z34" i="3"/>
  <c r="Z35" i="3"/>
  <c r="Z36" i="3"/>
  <c r="Z37" i="3"/>
  <c r="Z38" i="3"/>
  <c r="Z39" i="3"/>
  <c r="Z40" i="3"/>
  <c r="Z41" i="3"/>
  <c r="Z42" i="3"/>
  <c r="Z43" i="3"/>
  <c r="Z44" i="3"/>
  <c r="Z45" i="3"/>
  <c r="Z46" i="3"/>
  <c r="Z47" i="3"/>
  <c r="Z48" i="3"/>
  <c r="Z53" i="3"/>
  <c r="Z54" i="3"/>
  <c r="Z69" i="3"/>
  <c r="Z70" i="3"/>
  <c r="Z71" i="3"/>
  <c r="Z74" i="3"/>
  <c r="Z84" i="3"/>
  <c r="Z85" i="3"/>
  <c r="Z86" i="3"/>
  <c r="Z94" i="3"/>
  <c r="Z96" i="3"/>
  <c r="Z97" i="3"/>
  <c r="Z98" i="3"/>
  <c r="Z99" i="3"/>
  <c r="Z100" i="3"/>
  <c r="Z101" i="3"/>
  <c r="Z102"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E92" i="8"/>
  <c r="D92" i="8"/>
  <c r="B92" i="8"/>
  <c r="A92" i="8"/>
  <c r="E91" i="8"/>
  <c r="D91" i="8"/>
  <c r="B91" i="8"/>
  <c r="A91" i="8"/>
  <c r="Y22" i="3" l="1"/>
  <c r="X22" i="3"/>
  <c r="X76" i="3"/>
  <c r="X78" i="3"/>
  <c r="X77" i="3"/>
  <c r="Y76" i="3"/>
  <c r="Y78" i="3"/>
  <c r="Y77" i="3"/>
  <c r="X4" i="3"/>
  <c r="Y4" i="3"/>
  <c r="X88" i="3"/>
  <c r="X89" i="3"/>
  <c r="X63" i="3"/>
  <c r="X62" i="3"/>
  <c r="X90" i="3"/>
  <c r="X91" i="3"/>
  <c r="X64" i="3"/>
  <c r="X65" i="3"/>
  <c r="X61" i="3"/>
  <c r="X67" i="3"/>
  <c r="X68" i="3"/>
  <c r="X55" i="3"/>
  <c r="X66" i="3"/>
  <c r="Y64" i="3"/>
  <c r="Y66" i="3"/>
  <c r="Y65" i="3"/>
  <c r="Y61" i="3"/>
  <c r="Y67" i="3"/>
  <c r="Y55" i="3"/>
  <c r="Y68" i="3"/>
  <c r="Y62" i="3"/>
  <c r="Y90" i="3"/>
  <c r="Y88" i="3"/>
  <c r="Y63" i="3"/>
  <c r="Y89" i="3"/>
  <c r="Y91" i="3"/>
  <c r="Y57" i="3"/>
  <c r="Y50" i="3"/>
  <c r="Y60" i="3"/>
  <c r="Y51" i="3"/>
  <c r="Y58" i="3"/>
  <c r="Y59" i="3"/>
  <c r="Y52" i="3"/>
  <c r="Y49" i="3"/>
  <c r="Y56" i="3"/>
  <c r="Y79" i="3"/>
  <c r="Y80" i="3"/>
  <c r="X51" i="3"/>
  <c r="X59" i="3"/>
  <c r="X52" i="3"/>
  <c r="X79" i="3"/>
  <c r="X80" i="3"/>
  <c r="X50" i="3"/>
  <c r="X60" i="3"/>
  <c r="X58" i="3"/>
  <c r="X57" i="3"/>
  <c r="X49" i="3"/>
  <c r="X56" i="3"/>
  <c r="X72" i="3"/>
  <c r="X92" i="3"/>
  <c r="X73" i="3"/>
  <c r="X75" i="3"/>
  <c r="X93" i="3"/>
  <c r="X95" i="3"/>
  <c r="X6" i="3"/>
  <c r="X5" i="3"/>
  <c r="X7" i="3"/>
  <c r="X8" i="3"/>
  <c r="X9" i="3"/>
  <c r="X10" i="3"/>
  <c r="X11" i="3"/>
  <c r="X12" i="3"/>
  <c r="X13" i="3"/>
  <c r="X14" i="3"/>
  <c r="X15" i="3"/>
  <c r="X16" i="3"/>
  <c r="X17" i="3"/>
  <c r="X18" i="3"/>
  <c r="X19" i="3"/>
  <c r="X20" i="3"/>
  <c r="X21" i="3"/>
  <c r="X23" i="3"/>
  <c r="X24" i="3"/>
  <c r="X25" i="3"/>
  <c r="X26" i="3"/>
  <c r="X27" i="3"/>
  <c r="X28" i="3"/>
  <c r="X29" i="3"/>
  <c r="X30" i="3"/>
  <c r="X31" i="3"/>
  <c r="X32" i="3"/>
  <c r="X33" i="3"/>
  <c r="X34" i="3"/>
  <c r="X35" i="3"/>
  <c r="X36" i="3"/>
  <c r="X37" i="3"/>
  <c r="X38" i="3"/>
  <c r="X39" i="3"/>
  <c r="X40" i="3"/>
  <c r="X41" i="3"/>
  <c r="X42" i="3"/>
  <c r="X43" i="3"/>
  <c r="X44" i="3"/>
  <c r="X45" i="3"/>
  <c r="X46" i="3"/>
  <c r="X47" i="3"/>
  <c r="X48" i="3"/>
  <c r="X53" i="3"/>
  <c r="X54" i="3"/>
  <c r="X69" i="3"/>
  <c r="X70" i="3"/>
  <c r="X71" i="3"/>
  <c r="X74" i="3"/>
  <c r="X84" i="3"/>
  <c r="X85" i="3"/>
  <c r="X86" i="3"/>
  <c r="X94" i="3"/>
  <c r="X96" i="3"/>
  <c r="X97" i="3"/>
  <c r="X98" i="3"/>
  <c r="X99" i="3"/>
  <c r="X100" i="3"/>
  <c r="X101" i="3"/>
  <c r="X102" i="3"/>
  <c r="Y72" i="3"/>
  <c r="Y92" i="3"/>
  <c r="Y73" i="3"/>
  <c r="Y75" i="3"/>
  <c r="Y93" i="3"/>
  <c r="Y95" i="3"/>
  <c r="Y6" i="3"/>
  <c r="Y5" i="3"/>
  <c r="Y7" i="3"/>
  <c r="Y8" i="3"/>
  <c r="Y9" i="3"/>
  <c r="Y10" i="3"/>
  <c r="Y11" i="3"/>
  <c r="Y12" i="3"/>
  <c r="Y13" i="3"/>
  <c r="Y14" i="3"/>
  <c r="Y15" i="3"/>
  <c r="Y16" i="3"/>
  <c r="Y17" i="3"/>
  <c r="Y18" i="3"/>
  <c r="Y19" i="3"/>
  <c r="Y20" i="3"/>
  <c r="Y21" i="3"/>
  <c r="Y23" i="3"/>
  <c r="Y24" i="3"/>
  <c r="Y25" i="3"/>
  <c r="Y26" i="3"/>
  <c r="Y27" i="3"/>
  <c r="Y28" i="3"/>
  <c r="Y29" i="3"/>
  <c r="Y30" i="3"/>
  <c r="Y31" i="3"/>
  <c r="Y32" i="3"/>
  <c r="Y33" i="3"/>
  <c r="Y34" i="3"/>
  <c r="Y35" i="3"/>
  <c r="Y36" i="3"/>
  <c r="Y37" i="3"/>
  <c r="Y38" i="3"/>
  <c r="Y39" i="3"/>
  <c r="Y40" i="3"/>
  <c r="Y41" i="3"/>
  <c r="Y42" i="3"/>
  <c r="Y43" i="3"/>
  <c r="Y44" i="3"/>
  <c r="Y45" i="3"/>
  <c r="Y46" i="3"/>
  <c r="Y47" i="3"/>
  <c r="Y48" i="3"/>
  <c r="Y53" i="3"/>
  <c r="Y54" i="3"/>
  <c r="Y69" i="3"/>
  <c r="Y70" i="3"/>
  <c r="Y71" i="3"/>
  <c r="Y74" i="3"/>
  <c r="Y84" i="3"/>
  <c r="Y85" i="3"/>
  <c r="Y86" i="3"/>
  <c r="Y94" i="3"/>
  <c r="Y96" i="3"/>
  <c r="Y97" i="3"/>
  <c r="Y98" i="3"/>
  <c r="Y99" i="3"/>
  <c r="Y100" i="3"/>
  <c r="Y101" i="3"/>
  <c r="Y102" i="3"/>
  <c r="E88" i="8"/>
  <c r="D88" i="8"/>
  <c r="B88" i="8"/>
  <c r="A88" i="8"/>
  <c r="E87" i="8"/>
  <c r="D87" i="8"/>
  <c r="B87" i="8"/>
  <c r="A87" i="8"/>
  <c r="E84" i="8"/>
  <c r="D84" i="8"/>
  <c r="B84" i="8"/>
  <c r="A84" i="8"/>
  <c r="E83" i="8"/>
  <c r="D83" i="8"/>
  <c r="B83" i="8"/>
  <c r="A83" i="8"/>
  <c r="E80" i="8"/>
  <c r="D80" i="8"/>
  <c r="B80" i="8"/>
  <c r="A80" i="8"/>
  <c r="E79" i="8"/>
  <c r="D79" i="8"/>
  <c r="B79" i="8"/>
  <c r="A79" i="8"/>
  <c r="E76" i="8"/>
  <c r="D76" i="8"/>
  <c r="B76" i="8"/>
  <c r="A76" i="8"/>
  <c r="E75" i="8"/>
  <c r="D75" i="8"/>
  <c r="B75" i="8"/>
  <c r="A75" i="8"/>
  <c r="U22" i="3" l="1"/>
  <c r="T22" i="3"/>
  <c r="V22" i="3"/>
  <c r="W22" i="3"/>
  <c r="T76" i="3"/>
  <c r="T78" i="3"/>
  <c r="T77" i="3"/>
  <c r="U76" i="3"/>
  <c r="U78" i="3"/>
  <c r="U77" i="3"/>
  <c r="V76" i="3"/>
  <c r="V78" i="3"/>
  <c r="V77" i="3"/>
  <c r="W76" i="3"/>
  <c r="W78" i="3"/>
  <c r="W77" i="3"/>
  <c r="T4" i="3"/>
  <c r="U4" i="3"/>
  <c r="V4" i="3"/>
  <c r="W4" i="3"/>
  <c r="N20" i="14"/>
  <c r="N19" i="13"/>
  <c r="H20" i="14"/>
  <c r="H19" i="13"/>
  <c r="I20" i="14"/>
  <c r="I19" i="13"/>
  <c r="J20" i="14"/>
  <c r="J19" i="13"/>
  <c r="K20" i="14"/>
  <c r="K19" i="13"/>
  <c r="L20" i="14"/>
  <c r="L19" i="13"/>
  <c r="O20" i="14"/>
  <c r="O19" i="13"/>
  <c r="M20" i="14"/>
  <c r="M19" i="13"/>
  <c r="V63" i="3"/>
  <c r="V91" i="3"/>
  <c r="V65" i="3"/>
  <c r="V64" i="3"/>
  <c r="V66" i="3"/>
  <c r="V68" i="3"/>
  <c r="V61" i="3"/>
  <c r="V67" i="3"/>
  <c r="V55" i="3"/>
  <c r="V88" i="3"/>
  <c r="V89" i="3"/>
  <c r="V62" i="3"/>
  <c r="V90" i="3"/>
  <c r="T65" i="3"/>
  <c r="T61" i="3"/>
  <c r="T66" i="3"/>
  <c r="T67" i="3"/>
  <c r="T55" i="3"/>
  <c r="T68" i="3"/>
  <c r="T62" i="3"/>
  <c r="T88" i="3"/>
  <c r="T89" i="3"/>
  <c r="T90" i="3"/>
  <c r="T63" i="3"/>
  <c r="T91" i="3"/>
  <c r="T64" i="3"/>
  <c r="U55" i="3"/>
  <c r="U68" i="3"/>
  <c r="U62" i="3"/>
  <c r="U88" i="3"/>
  <c r="U89" i="3"/>
  <c r="U90" i="3"/>
  <c r="U63" i="3"/>
  <c r="U91" i="3"/>
  <c r="U65" i="3"/>
  <c r="U64" i="3"/>
  <c r="U66" i="3"/>
  <c r="U67" i="3"/>
  <c r="U61" i="3"/>
  <c r="W66" i="3"/>
  <c r="W68" i="3"/>
  <c r="W61" i="3"/>
  <c r="W67" i="3"/>
  <c r="W55" i="3"/>
  <c r="W88" i="3"/>
  <c r="W89" i="3"/>
  <c r="W62" i="3"/>
  <c r="W90" i="3"/>
  <c r="W64" i="3"/>
  <c r="W65" i="3"/>
  <c r="W63" i="3"/>
  <c r="W91" i="3"/>
  <c r="T58" i="3"/>
  <c r="T57" i="3"/>
  <c r="T49" i="3"/>
  <c r="T56" i="3"/>
  <c r="T50" i="3"/>
  <c r="T51" i="3"/>
  <c r="T80" i="3"/>
  <c r="T60" i="3"/>
  <c r="T59" i="3"/>
  <c r="T52" i="3"/>
  <c r="T79" i="3"/>
  <c r="U52" i="3"/>
  <c r="U79" i="3"/>
  <c r="U80" i="3"/>
  <c r="U58" i="3"/>
  <c r="U57" i="3"/>
  <c r="U51" i="3"/>
  <c r="U49" i="3"/>
  <c r="U56" i="3"/>
  <c r="U59" i="3"/>
  <c r="U50" i="3"/>
  <c r="U60" i="3"/>
  <c r="V49" i="3"/>
  <c r="V56" i="3"/>
  <c r="V60" i="3"/>
  <c r="V50" i="3"/>
  <c r="V51" i="3"/>
  <c r="V59" i="3"/>
  <c r="V52" i="3"/>
  <c r="V79" i="3"/>
  <c r="V80" i="3"/>
  <c r="V58" i="3"/>
  <c r="V57" i="3"/>
  <c r="W80" i="3"/>
  <c r="W58" i="3"/>
  <c r="W57" i="3"/>
  <c r="W49" i="3"/>
  <c r="W60" i="3"/>
  <c r="W56" i="3"/>
  <c r="W50" i="3"/>
  <c r="W79" i="3"/>
  <c r="W51" i="3"/>
  <c r="W59" i="3"/>
  <c r="W52" i="3"/>
  <c r="T72" i="3"/>
  <c r="T92" i="3"/>
  <c r="T73" i="3"/>
  <c r="T75" i="3"/>
  <c r="T93" i="3"/>
  <c r="T95" i="3"/>
  <c r="T6" i="3"/>
  <c r="T5" i="3"/>
  <c r="T7" i="3"/>
  <c r="T8" i="3"/>
  <c r="T9" i="3"/>
  <c r="T10" i="3"/>
  <c r="T11" i="3"/>
  <c r="T12" i="3"/>
  <c r="T13" i="3"/>
  <c r="T14" i="3"/>
  <c r="T15" i="3"/>
  <c r="T16" i="3"/>
  <c r="T17" i="3"/>
  <c r="T18" i="3"/>
  <c r="T19" i="3"/>
  <c r="T20" i="3"/>
  <c r="T21" i="3"/>
  <c r="T23" i="3"/>
  <c r="T24" i="3"/>
  <c r="T25" i="3"/>
  <c r="T26" i="3"/>
  <c r="T27" i="3"/>
  <c r="T28" i="3"/>
  <c r="T29" i="3"/>
  <c r="T30" i="3"/>
  <c r="T31" i="3"/>
  <c r="T32" i="3"/>
  <c r="T33" i="3"/>
  <c r="T34" i="3"/>
  <c r="T35" i="3"/>
  <c r="T36" i="3"/>
  <c r="T37" i="3"/>
  <c r="T38" i="3"/>
  <c r="T39" i="3"/>
  <c r="T40" i="3"/>
  <c r="T41" i="3"/>
  <c r="T42" i="3"/>
  <c r="T43" i="3"/>
  <c r="T44" i="3"/>
  <c r="T45" i="3"/>
  <c r="T46" i="3"/>
  <c r="T47" i="3"/>
  <c r="T48" i="3"/>
  <c r="T53" i="3"/>
  <c r="T54" i="3"/>
  <c r="T69" i="3"/>
  <c r="T70" i="3"/>
  <c r="T71" i="3"/>
  <c r="T74" i="3"/>
  <c r="T84" i="3"/>
  <c r="T85" i="3"/>
  <c r="T86" i="3"/>
  <c r="T94" i="3"/>
  <c r="T96" i="3"/>
  <c r="T97" i="3"/>
  <c r="T98" i="3"/>
  <c r="T99" i="3"/>
  <c r="T100" i="3"/>
  <c r="T101" i="3"/>
  <c r="T102" i="3"/>
  <c r="U72" i="3"/>
  <c r="U92" i="3"/>
  <c r="U73" i="3"/>
  <c r="U75" i="3"/>
  <c r="U93" i="3"/>
  <c r="U95" i="3"/>
  <c r="U6" i="3"/>
  <c r="U5" i="3"/>
  <c r="U7" i="3"/>
  <c r="U8" i="3"/>
  <c r="U9" i="3"/>
  <c r="U10" i="3"/>
  <c r="U11" i="3"/>
  <c r="U12" i="3"/>
  <c r="U13" i="3"/>
  <c r="U14" i="3"/>
  <c r="U15" i="3"/>
  <c r="U16" i="3"/>
  <c r="U17" i="3"/>
  <c r="U18" i="3"/>
  <c r="U19" i="3"/>
  <c r="U20" i="3"/>
  <c r="U21" i="3"/>
  <c r="U23" i="3"/>
  <c r="U24" i="3"/>
  <c r="U25" i="3"/>
  <c r="U26" i="3"/>
  <c r="U27" i="3"/>
  <c r="U28" i="3"/>
  <c r="U29" i="3"/>
  <c r="U30" i="3"/>
  <c r="U31" i="3"/>
  <c r="U32" i="3"/>
  <c r="U33" i="3"/>
  <c r="U34" i="3"/>
  <c r="U35" i="3"/>
  <c r="U36" i="3"/>
  <c r="U37" i="3"/>
  <c r="U38" i="3"/>
  <c r="U39" i="3"/>
  <c r="U40" i="3"/>
  <c r="U41" i="3"/>
  <c r="U42" i="3"/>
  <c r="U43" i="3"/>
  <c r="U44" i="3"/>
  <c r="U45" i="3"/>
  <c r="U46" i="3"/>
  <c r="U47" i="3"/>
  <c r="U48" i="3"/>
  <c r="U53" i="3"/>
  <c r="U54" i="3"/>
  <c r="U69" i="3"/>
  <c r="U70" i="3"/>
  <c r="U71" i="3"/>
  <c r="U74" i="3"/>
  <c r="U84" i="3"/>
  <c r="U85" i="3"/>
  <c r="U86" i="3"/>
  <c r="U94" i="3"/>
  <c r="U96" i="3"/>
  <c r="U97" i="3"/>
  <c r="U98" i="3"/>
  <c r="U99" i="3"/>
  <c r="U100" i="3"/>
  <c r="U101" i="3"/>
  <c r="U102" i="3"/>
  <c r="V72" i="3"/>
  <c r="V92" i="3"/>
  <c r="V73" i="3"/>
  <c r="V75" i="3"/>
  <c r="V93" i="3"/>
  <c r="V95" i="3"/>
  <c r="V6" i="3"/>
  <c r="V5" i="3"/>
  <c r="V7" i="3"/>
  <c r="V8" i="3"/>
  <c r="V9" i="3"/>
  <c r="V10" i="3"/>
  <c r="V11" i="3"/>
  <c r="V12" i="3"/>
  <c r="V13" i="3"/>
  <c r="V14" i="3"/>
  <c r="V15" i="3"/>
  <c r="V16" i="3"/>
  <c r="V17" i="3"/>
  <c r="V18" i="3"/>
  <c r="V19" i="3"/>
  <c r="V20" i="3"/>
  <c r="V21" i="3"/>
  <c r="V23" i="3"/>
  <c r="V24" i="3"/>
  <c r="V25" i="3"/>
  <c r="V26" i="3"/>
  <c r="V27" i="3"/>
  <c r="V28" i="3"/>
  <c r="V29" i="3"/>
  <c r="V30" i="3"/>
  <c r="V31" i="3"/>
  <c r="V32" i="3"/>
  <c r="V33" i="3"/>
  <c r="V34" i="3"/>
  <c r="V35" i="3"/>
  <c r="V36" i="3"/>
  <c r="V37" i="3"/>
  <c r="V38" i="3"/>
  <c r="V39" i="3"/>
  <c r="V40" i="3"/>
  <c r="V41" i="3"/>
  <c r="V42" i="3"/>
  <c r="V43" i="3"/>
  <c r="V44" i="3"/>
  <c r="V45" i="3"/>
  <c r="V46" i="3"/>
  <c r="V47" i="3"/>
  <c r="V48" i="3"/>
  <c r="V53" i="3"/>
  <c r="V54" i="3"/>
  <c r="V69" i="3"/>
  <c r="V70" i="3"/>
  <c r="V71" i="3"/>
  <c r="V74" i="3"/>
  <c r="V84" i="3"/>
  <c r="V85" i="3"/>
  <c r="V86" i="3"/>
  <c r="V94" i="3"/>
  <c r="V96" i="3"/>
  <c r="V97" i="3"/>
  <c r="V98" i="3"/>
  <c r="V99" i="3"/>
  <c r="V100" i="3"/>
  <c r="V101" i="3"/>
  <c r="V102" i="3"/>
  <c r="W72" i="3"/>
  <c r="W92" i="3"/>
  <c r="W73" i="3"/>
  <c r="W75" i="3"/>
  <c r="W93" i="3"/>
  <c r="W95" i="3"/>
  <c r="W6" i="3"/>
  <c r="W5" i="3"/>
  <c r="W7" i="3"/>
  <c r="W8" i="3"/>
  <c r="W9" i="3"/>
  <c r="W10" i="3"/>
  <c r="W11" i="3"/>
  <c r="W12" i="3"/>
  <c r="W13" i="3"/>
  <c r="W14" i="3"/>
  <c r="W15" i="3"/>
  <c r="W16" i="3"/>
  <c r="W17" i="3"/>
  <c r="W18" i="3"/>
  <c r="W19" i="3"/>
  <c r="W20" i="3"/>
  <c r="W21" i="3"/>
  <c r="W23" i="3"/>
  <c r="W24" i="3"/>
  <c r="W25" i="3"/>
  <c r="W26" i="3"/>
  <c r="W27" i="3"/>
  <c r="W28" i="3"/>
  <c r="W29" i="3"/>
  <c r="W30" i="3"/>
  <c r="W31" i="3"/>
  <c r="W32" i="3"/>
  <c r="W33" i="3"/>
  <c r="W34" i="3"/>
  <c r="W35" i="3"/>
  <c r="W36" i="3"/>
  <c r="W37" i="3"/>
  <c r="W38" i="3"/>
  <c r="W39" i="3"/>
  <c r="W40" i="3"/>
  <c r="W41" i="3"/>
  <c r="W42" i="3"/>
  <c r="W43" i="3"/>
  <c r="W44" i="3"/>
  <c r="W45" i="3"/>
  <c r="W46" i="3"/>
  <c r="W47" i="3"/>
  <c r="W48" i="3"/>
  <c r="W53" i="3"/>
  <c r="W54" i="3"/>
  <c r="W69" i="3"/>
  <c r="W70" i="3"/>
  <c r="W71" i="3"/>
  <c r="W74" i="3"/>
  <c r="W84" i="3"/>
  <c r="W85" i="3"/>
  <c r="W86" i="3"/>
  <c r="W94" i="3"/>
  <c r="W96" i="3"/>
  <c r="W97" i="3"/>
  <c r="W98" i="3"/>
  <c r="W99" i="3"/>
  <c r="W100" i="3"/>
  <c r="W101" i="3"/>
  <c r="W102" i="3"/>
  <c r="AX21" i="2"/>
  <c r="AZ22" i="2"/>
  <c r="AW21" i="2"/>
  <c r="AY22" i="2"/>
  <c r="AY21" i="2"/>
  <c r="BA22" i="2"/>
  <c r="BB22" i="2"/>
  <c r="AU22" i="2"/>
  <c r="BC22" i="2"/>
  <c r="AV22" i="2"/>
  <c r="AU21" i="2"/>
  <c r="AW22" i="2"/>
  <c r="BD22" i="2"/>
  <c r="AV21" i="2"/>
  <c r="AX22" i="2"/>
  <c r="AZ21" i="2" l="1"/>
  <c r="BB21" i="2"/>
  <c r="BC21" i="2"/>
  <c r="BD21" i="2"/>
  <c r="BA21" i="2"/>
  <c r="P6" i="5" l="1"/>
  <c r="A34" i="5" l="1"/>
  <c r="A22" i="5"/>
  <c r="A10" i="5"/>
  <c r="A32" i="5"/>
  <c r="A20" i="5"/>
  <c r="A31" i="5"/>
  <c r="A19" i="5"/>
  <c r="A16" i="5"/>
  <c r="A14" i="5"/>
  <c r="A29" i="5"/>
  <c r="A17" i="5"/>
  <c r="A28" i="5"/>
  <c r="A26" i="5"/>
  <c r="A25" i="5"/>
  <c r="A13" i="5"/>
  <c r="A23" i="5"/>
  <c r="A11" i="5"/>
  <c r="AY13" i="2"/>
  <c r="BD13" i="2"/>
  <c r="BC13" i="2"/>
  <c r="BB13" i="2"/>
  <c r="BA13" i="2"/>
  <c r="AY19" i="2"/>
  <c r="BD19" i="2"/>
  <c r="BA19" i="2"/>
  <c r="BC19" i="2"/>
  <c r="BB19" i="2"/>
  <c r="AY5" i="2"/>
  <c r="BD5" i="2"/>
  <c r="BB5" i="2"/>
  <c r="BA5" i="2"/>
  <c r="BC5" i="2"/>
  <c r="AY6" i="2"/>
  <c r="BB6" i="2"/>
  <c r="BA6" i="2"/>
  <c r="BD6" i="2"/>
  <c r="BC6" i="2"/>
  <c r="AY14" i="2"/>
  <c r="BB14" i="2"/>
  <c r="BA14" i="2"/>
  <c r="BD14" i="2"/>
  <c r="BC14" i="2"/>
  <c r="AY15" i="2"/>
  <c r="BD15" i="2"/>
  <c r="BC15" i="2"/>
  <c r="BB15" i="2"/>
  <c r="BA15" i="2"/>
  <c r="AY12" i="2"/>
  <c r="BB12" i="2"/>
  <c r="BA12" i="2"/>
  <c r="BD12" i="2"/>
  <c r="BC12" i="2"/>
  <c r="AY8" i="2"/>
  <c r="BB8" i="2"/>
  <c r="BA8" i="2"/>
  <c r="BD8" i="2"/>
  <c r="BC8" i="2"/>
  <c r="AY16" i="2"/>
  <c r="BB16" i="2"/>
  <c r="BA16" i="2"/>
  <c r="BD16" i="2"/>
  <c r="BC16" i="2"/>
  <c r="AY20" i="2"/>
  <c r="BB20" i="2"/>
  <c r="BA20" i="2"/>
  <c r="BD20" i="2"/>
  <c r="BC20" i="2"/>
  <c r="AY9" i="2"/>
  <c r="BD9" i="2"/>
  <c r="BA9" i="2"/>
  <c r="BC9" i="2"/>
  <c r="BB9" i="2"/>
  <c r="AY17" i="2"/>
  <c r="BD17" i="2"/>
  <c r="BA17" i="2"/>
  <c r="BC17" i="2"/>
  <c r="BB17" i="2"/>
  <c r="AY11" i="2"/>
  <c r="BD11" i="2"/>
  <c r="BC11" i="2"/>
  <c r="BB11" i="2"/>
  <c r="BA11" i="2"/>
  <c r="AY7" i="2"/>
  <c r="BD7" i="2"/>
  <c r="BC7" i="2"/>
  <c r="BB7" i="2"/>
  <c r="BA7" i="2"/>
  <c r="AY10" i="2"/>
  <c r="BB10" i="2"/>
  <c r="BA10" i="2"/>
  <c r="BD10" i="2"/>
  <c r="BC10" i="2"/>
  <c r="AY18" i="2"/>
  <c r="BB18" i="2"/>
  <c r="BA18" i="2"/>
  <c r="BD18" i="2"/>
  <c r="BC18" i="2"/>
  <c r="E16" i="5" l="1"/>
  <c r="E17" i="5" s="1"/>
  <c r="I16" i="5"/>
  <c r="M16" i="5"/>
  <c r="J16" i="5"/>
  <c r="O16" i="5"/>
  <c r="N16" i="5"/>
  <c r="K16" i="5"/>
  <c r="H16" i="5"/>
  <c r="L16" i="5"/>
  <c r="E13" i="5"/>
  <c r="E14" i="5" s="1"/>
  <c r="K13" i="5"/>
  <c r="M13" i="5"/>
  <c r="O13" i="5"/>
  <c r="I13" i="5"/>
  <c r="L13" i="5"/>
  <c r="H13" i="5"/>
  <c r="J13" i="5"/>
  <c r="N13" i="5"/>
  <c r="E19" i="5"/>
  <c r="E20" i="5" s="1"/>
  <c r="K19" i="5"/>
  <c r="J19" i="5"/>
  <c r="O19" i="5"/>
  <c r="L19" i="5"/>
  <c r="I19" i="5"/>
  <c r="M19" i="5"/>
  <c r="N19" i="5"/>
  <c r="H19" i="5"/>
  <c r="E25" i="5"/>
  <c r="E26" i="5" s="1"/>
  <c r="K25" i="5"/>
  <c r="O25" i="5"/>
  <c r="L25" i="5"/>
  <c r="I25" i="5"/>
  <c r="M25" i="5"/>
  <c r="N25" i="5"/>
  <c r="J25" i="5"/>
  <c r="H25" i="5"/>
  <c r="E31" i="5"/>
  <c r="E32" i="5" s="1"/>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E28" i="5"/>
  <c r="E29" i="5" s="1"/>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E10" i="5"/>
  <c r="E11" i="5" s="1"/>
  <c r="L10" i="5"/>
  <c r="I10" i="5"/>
  <c r="H10" i="5"/>
  <c r="M10" i="5"/>
  <c r="K10" i="5"/>
  <c r="J10" i="5"/>
  <c r="N10" i="5"/>
  <c r="O10" i="5"/>
  <c r="E22" i="5"/>
  <c r="E23" i="5" s="1"/>
  <c r="O22" i="5"/>
  <c r="L22" i="5"/>
  <c r="I22" i="5"/>
  <c r="M22" i="5"/>
  <c r="J22" i="5"/>
  <c r="H22" i="5"/>
  <c r="N22" i="5"/>
  <c r="K22" i="5"/>
  <c r="H23" i="5"/>
  <c r="M23" i="5"/>
  <c r="J23" i="5"/>
  <c r="O23" i="5"/>
  <c r="N23" i="5"/>
  <c r="K23" i="5"/>
  <c r="L23" i="5"/>
  <c r="I23" i="5"/>
  <c r="M14" i="5"/>
  <c r="H14" i="5"/>
  <c r="J14" i="5"/>
  <c r="L14" i="5"/>
  <c r="N14" i="5"/>
  <c r="K14" i="5"/>
  <c r="I14" i="5"/>
  <c r="O14" i="5"/>
  <c r="E34" i="5"/>
  <c r="L34" i="5"/>
  <c r="I34" i="5"/>
  <c r="M34" i="5"/>
  <c r="H34" i="5"/>
  <c r="J34" i="5"/>
  <c r="N34" i="5"/>
  <c r="K34" i="5"/>
  <c r="O3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22" i="3" l="1"/>
  <c r="S76" i="3"/>
  <c r="S78" i="3"/>
  <c r="S77" i="3"/>
  <c r="S4" i="3"/>
  <c r="S62" i="3"/>
  <c r="S90" i="3"/>
  <c r="S63" i="3"/>
  <c r="S91" i="3"/>
  <c r="S64" i="3"/>
  <c r="S65" i="3"/>
  <c r="S66" i="3"/>
  <c r="S61" i="3"/>
  <c r="S67" i="3"/>
  <c r="S55" i="3"/>
  <c r="S68" i="3"/>
  <c r="S88" i="3"/>
  <c r="S89" i="3"/>
  <c r="S50" i="3"/>
  <c r="S60" i="3"/>
  <c r="S59" i="3"/>
  <c r="S51" i="3"/>
  <c r="S52" i="3"/>
  <c r="S79" i="3"/>
  <c r="S49" i="3"/>
  <c r="S56" i="3"/>
  <c r="S80" i="3"/>
  <c r="S58" i="3"/>
  <c r="S57" i="3"/>
  <c r="S72" i="3"/>
  <c r="S92" i="3"/>
  <c r="S73" i="3"/>
  <c r="S75" i="3"/>
  <c r="S93" i="3"/>
  <c r="S95" i="3"/>
  <c r="S96" i="3"/>
  <c r="S97" i="3"/>
  <c r="S99" i="3"/>
  <c r="S100" i="3"/>
  <c r="S101" i="3"/>
  <c r="S102" i="3"/>
  <c r="S98" i="3"/>
  <c r="S84" i="3"/>
  <c r="S85" i="3"/>
  <c r="S86" i="3"/>
  <c r="S26" i="3"/>
  <c r="S27" i="3"/>
  <c r="S33" i="3"/>
  <c r="S34" i="3"/>
  <c r="S39" i="3"/>
  <c r="S74" i="3"/>
  <c r="S44" i="3"/>
  <c r="S94" i="3"/>
  <c r="S54" i="3"/>
  <c r="S43" i="3"/>
  <c r="S28" i="3"/>
  <c r="S40" i="3"/>
  <c r="S41" i="3"/>
  <c r="S30" i="3"/>
  <c r="S31" i="3"/>
  <c r="S32" i="3"/>
  <c r="S35" i="3"/>
  <c r="S29" i="3"/>
  <c r="S42" i="3"/>
  <c r="S36" i="3"/>
  <c r="S37" i="3"/>
  <c r="S38" i="3"/>
  <c r="S5" i="3"/>
  <c r="S6" i="3"/>
  <c r="S19" i="3"/>
  <c r="S13" i="3"/>
  <c r="S12" i="3"/>
  <c r="S16" i="3"/>
  <c r="S25" i="3"/>
  <c r="S9" i="3"/>
  <c r="S69" i="3"/>
  <c r="S47" i="3"/>
  <c r="S45" i="3"/>
  <c r="S23" i="3"/>
  <c r="S11" i="3"/>
  <c r="S24" i="3"/>
  <c r="S8" i="3"/>
  <c r="S71" i="3"/>
  <c r="S7" i="3"/>
  <c r="S46" i="3"/>
  <c r="S17" i="3"/>
  <c r="S15" i="3"/>
  <c r="S18" i="3"/>
  <c r="S20" i="3"/>
  <c r="S14" i="3"/>
  <c r="S10" i="3"/>
  <c r="S21" i="3"/>
  <c r="S53" i="3"/>
  <c r="S70" i="3"/>
  <c r="S48"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22" i="3" s="1"/>
  <c r="R22" i="3" l="1"/>
  <c r="Q22" i="3"/>
  <c r="P4" i="3"/>
  <c r="P76" i="3"/>
  <c r="P78" i="3"/>
  <c r="P77" i="3"/>
  <c r="Q76" i="3"/>
  <c r="Q78" i="3"/>
  <c r="Q77" i="3"/>
  <c r="R76" i="3"/>
  <c r="R78" i="3"/>
  <c r="R77" i="3"/>
  <c r="R4" i="3"/>
  <c r="Q4" i="3"/>
  <c r="R61" i="3"/>
  <c r="R67" i="3"/>
  <c r="R89" i="3"/>
  <c r="R55" i="3"/>
  <c r="R68" i="3"/>
  <c r="R88" i="3"/>
  <c r="R62" i="3"/>
  <c r="R90" i="3"/>
  <c r="R64" i="3"/>
  <c r="R63" i="3"/>
  <c r="R91" i="3"/>
  <c r="R65" i="3"/>
  <c r="R66" i="3"/>
  <c r="P88" i="3"/>
  <c r="P89" i="3"/>
  <c r="P63" i="3"/>
  <c r="P62" i="3"/>
  <c r="P90" i="3"/>
  <c r="P91" i="3"/>
  <c r="P64" i="3"/>
  <c r="P65" i="3"/>
  <c r="P66" i="3"/>
  <c r="P61" i="3"/>
  <c r="P67" i="3"/>
  <c r="P68" i="3"/>
  <c r="P55" i="3"/>
  <c r="Q64" i="3"/>
  <c r="Q66" i="3"/>
  <c r="Q65" i="3"/>
  <c r="Q61" i="3"/>
  <c r="Q67" i="3"/>
  <c r="Q88" i="3"/>
  <c r="Q55" i="3"/>
  <c r="Q68" i="3"/>
  <c r="Q89" i="3"/>
  <c r="Q62" i="3"/>
  <c r="Q90" i="3"/>
  <c r="Q63" i="3"/>
  <c r="Q91" i="3"/>
  <c r="R79" i="3"/>
  <c r="R80" i="3"/>
  <c r="R58" i="3"/>
  <c r="R49" i="3"/>
  <c r="R56" i="3"/>
  <c r="R57" i="3"/>
  <c r="R52" i="3"/>
  <c r="R50" i="3"/>
  <c r="R60" i="3"/>
  <c r="R51" i="3"/>
  <c r="R59" i="3"/>
  <c r="P51" i="3"/>
  <c r="P59" i="3"/>
  <c r="P52" i="3"/>
  <c r="P79" i="3"/>
  <c r="P58" i="3"/>
  <c r="P50" i="3"/>
  <c r="P80" i="3"/>
  <c r="P60" i="3"/>
  <c r="P57" i="3"/>
  <c r="P49" i="3"/>
  <c r="P56" i="3"/>
  <c r="Q57" i="3"/>
  <c r="Q49" i="3"/>
  <c r="Q56" i="3"/>
  <c r="Q50" i="3"/>
  <c r="Q60" i="3"/>
  <c r="Q59" i="3"/>
  <c r="Q52" i="3"/>
  <c r="Q58" i="3"/>
  <c r="Q51" i="3"/>
  <c r="Q79" i="3"/>
  <c r="Q80" i="3"/>
  <c r="P72" i="3"/>
  <c r="P92" i="3"/>
  <c r="P73" i="3"/>
  <c r="P75" i="3"/>
  <c r="P93" i="3"/>
  <c r="P95" i="3"/>
  <c r="P96" i="3"/>
  <c r="P97" i="3"/>
  <c r="P99" i="3"/>
  <c r="P100" i="3"/>
  <c r="P101" i="3"/>
  <c r="P102" i="3"/>
  <c r="P98" i="3"/>
  <c r="P84" i="3"/>
  <c r="P85" i="3"/>
  <c r="P86" i="3"/>
  <c r="Q72" i="3"/>
  <c r="Q92" i="3"/>
  <c r="Q73" i="3"/>
  <c r="Q75" i="3"/>
  <c r="Q93" i="3"/>
  <c r="Q95" i="3"/>
  <c r="Q96" i="3"/>
  <c r="Q97" i="3"/>
  <c r="Q99" i="3"/>
  <c r="Q100" i="3"/>
  <c r="Q101" i="3"/>
  <c r="Q102" i="3"/>
  <c r="Q98" i="3"/>
  <c r="Q84" i="3"/>
  <c r="Q85" i="3"/>
  <c r="Q86" i="3"/>
  <c r="R72" i="3"/>
  <c r="R92" i="3"/>
  <c r="R73" i="3"/>
  <c r="R75" i="3"/>
  <c r="R93" i="3"/>
  <c r="R95" i="3"/>
  <c r="R96" i="3"/>
  <c r="R97" i="3"/>
  <c r="R99" i="3"/>
  <c r="R100" i="3"/>
  <c r="R101" i="3"/>
  <c r="R102" i="3"/>
  <c r="R98" i="3"/>
  <c r="R84" i="3"/>
  <c r="R85" i="3"/>
  <c r="R86" i="3"/>
  <c r="P26" i="3"/>
  <c r="P27" i="3"/>
  <c r="P33" i="3"/>
  <c r="P34" i="3"/>
  <c r="P39" i="3"/>
  <c r="P74" i="3"/>
  <c r="P44" i="3"/>
  <c r="P94" i="3"/>
  <c r="Q26" i="3"/>
  <c r="Q27" i="3"/>
  <c r="Q33" i="3"/>
  <c r="Q34" i="3"/>
  <c r="Q39" i="3"/>
  <c r="Q74" i="3"/>
  <c r="Q44" i="3"/>
  <c r="Q94" i="3"/>
  <c r="R26" i="3"/>
  <c r="R27" i="3"/>
  <c r="R33" i="3"/>
  <c r="R34" i="3"/>
  <c r="R39" i="3"/>
  <c r="R74" i="3"/>
  <c r="R44" i="3"/>
  <c r="R94" i="3"/>
  <c r="P54" i="3"/>
  <c r="P43" i="3"/>
  <c r="Q54" i="3"/>
  <c r="Q43" i="3"/>
  <c r="R54" i="3"/>
  <c r="R43" i="3"/>
  <c r="P42" i="3"/>
  <c r="P36" i="3"/>
  <c r="P37" i="3"/>
  <c r="P38" i="3"/>
  <c r="P35" i="3"/>
  <c r="P29" i="3"/>
  <c r="P28" i="3"/>
  <c r="P40" i="3"/>
  <c r="P41" i="3"/>
  <c r="P30" i="3"/>
  <c r="P31" i="3"/>
  <c r="P32" i="3"/>
  <c r="R28" i="3"/>
  <c r="R40" i="3"/>
  <c r="R41" i="3"/>
  <c r="R30" i="3"/>
  <c r="R31" i="3"/>
  <c r="R32" i="3"/>
  <c r="R35" i="3"/>
  <c r="R29" i="3"/>
  <c r="R42" i="3"/>
  <c r="R36" i="3"/>
  <c r="R37" i="3"/>
  <c r="R38" i="3"/>
  <c r="Q35" i="3"/>
  <c r="Q29" i="3"/>
  <c r="Q42" i="3"/>
  <c r="Q36" i="3"/>
  <c r="Q37" i="3"/>
  <c r="Q30" i="3"/>
  <c r="Q31" i="3"/>
  <c r="Q28" i="3"/>
  <c r="Q40" i="3"/>
  <c r="Q32" i="3"/>
  <c r="Q41" i="3"/>
  <c r="Q38" i="3"/>
  <c r="R5" i="3"/>
  <c r="R6" i="3"/>
  <c r="BG22" i="2" s="1"/>
  <c r="R25" i="3"/>
  <c r="R14" i="3"/>
  <c r="R10" i="3"/>
  <c r="R47" i="3"/>
  <c r="R12" i="3"/>
  <c r="R69" i="3"/>
  <c r="R23" i="3"/>
  <c r="R53" i="3"/>
  <c r="R16" i="3"/>
  <c r="R71" i="3"/>
  <c r="R9" i="3"/>
  <c r="R17" i="3"/>
  <c r="R24" i="3"/>
  <c r="R45" i="3"/>
  <c r="R70" i="3"/>
  <c r="R19" i="3"/>
  <c r="R7" i="3"/>
  <c r="R18" i="3"/>
  <c r="R20" i="3"/>
  <c r="R11" i="3"/>
  <c r="R46" i="3"/>
  <c r="R21" i="3"/>
  <c r="R8" i="3"/>
  <c r="R15" i="3"/>
  <c r="R13" i="3"/>
  <c r="P5" i="3"/>
  <c r="P6" i="3"/>
  <c r="BE22" i="2" s="1"/>
  <c r="P17" i="3"/>
  <c r="P24" i="3"/>
  <c r="P7" i="3"/>
  <c r="P46" i="3"/>
  <c r="P18" i="3"/>
  <c r="P20" i="3"/>
  <c r="P8" i="3"/>
  <c r="P19" i="3"/>
  <c r="P14" i="3"/>
  <c r="P10" i="3"/>
  <c r="P21" i="3"/>
  <c r="P12" i="3"/>
  <c r="P25" i="3"/>
  <c r="P53" i="3"/>
  <c r="P16" i="3"/>
  <c r="P70" i="3"/>
  <c r="P47" i="3"/>
  <c r="P9" i="3"/>
  <c r="P69" i="3"/>
  <c r="P23" i="3"/>
  <c r="P45" i="3"/>
  <c r="P71" i="3"/>
  <c r="P11" i="3"/>
  <c r="P15" i="3"/>
  <c r="P13" i="3"/>
  <c r="Q5" i="3"/>
  <c r="Q6" i="3"/>
  <c r="BF22" i="2" s="1"/>
  <c r="Q23" i="3"/>
  <c r="Q8" i="3"/>
  <c r="Q15" i="3"/>
  <c r="Q71" i="3"/>
  <c r="Q14" i="3"/>
  <c r="Q10" i="3"/>
  <c r="Q53" i="3"/>
  <c r="Q17" i="3"/>
  <c r="Q24" i="3"/>
  <c r="Q13" i="3"/>
  <c r="Q12" i="3"/>
  <c r="Q18" i="3"/>
  <c r="Q20" i="3"/>
  <c r="Q19" i="3"/>
  <c r="Q9" i="3"/>
  <c r="Q69" i="3"/>
  <c r="Q21" i="3"/>
  <c r="Q45" i="3"/>
  <c r="Q70" i="3"/>
  <c r="Q25" i="3"/>
  <c r="Q11" i="3"/>
  <c r="Q47" i="3"/>
  <c r="Q7" i="3"/>
  <c r="Q46" i="3"/>
  <c r="Q16" i="3"/>
  <c r="R48" i="3"/>
  <c r="P48" i="3"/>
  <c r="Q48" i="3"/>
  <c r="G7" i="5"/>
  <c r="BF21" i="2" l="1"/>
  <c r="BG21" i="2"/>
  <c r="BE21" i="2"/>
  <c r="BG20" i="2"/>
  <c r="BF20" i="2"/>
  <c r="BE20" i="2"/>
  <c r="AZ20" i="2"/>
  <c r="AX20" i="2"/>
  <c r="AW20" i="2"/>
  <c r="AV20" i="2"/>
  <c r="AU20" i="2"/>
  <c r="AX19" i="2"/>
  <c r="AW19" i="2"/>
  <c r="AV19" i="2"/>
  <c r="AU19" i="2"/>
  <c r="AX18" i="2"/>
  <c r="AW18" i="2"/>
  <c r="AV18" i="2"/>
  <c r="AU18" i="2"/>
  <c r="AX17" i="2"/>
  <c r="AW17" i="2"/>
  <c r="AV17" i="2"/>
  <c r="AU17" i="2"/>
  <c r="AX16" i="2"/>
  <c r="AW16" i="2"/>
  <c r="AV16" i="2"/>
  <c r="AU16" i="2"/>
  <c r="AU5" i="2" l="1"/>
  <c r="AV5" i="2"/>
  <c r="AU15" i="2"/>
  <c r="AU14" i="2"/>
  <c r="AU13" i="2"/>
  <c r="AU12" i="2"/>
  <c r="AU11" i="2"/>
  <c r="AU10" i="2"/>
  <c r="AU9" i="2"/>
  <c r="AU8" i="2"/>
  <c r="AU7" i="2"/>
  <c r="AU6" i="2"/>
  <c r="BG15" i="2"/>
  <c r="BF15" i="2"/>
  <c r="BE15" i="2"/>
  <c r="AZ15" i="2"/>
  <c r="AX15" i="2"/>
  <c r="AW15" i="2"/>
  <c r="AV15" i="2"/>
  <c r="AX14" i="2"/>
  <c r="AW14" i="2"/>
  <c r="AV14" i="2"/>
  <c r="AX13" i="2"/>
  <c r="AW13" i="2"/>
  <c r="AV13" i="2"/>
  <c r="AX12" i="2"/>
  <c r="AW12" i="2"/>
  <c r="AV12" i="2"/>
  <c r="AX11" i="2"/>
  <c r="AW11" i="2"/>
  <c r="AV11" i="2"/>
  <c r="AX10" i="2"/>
  <c r="AW10" i="2"/>
  <c r="AV10" i="2"/>
  <c r="AX9" i="2"/>
  <c r="AW9" i="2"/>
  <c r="AV9" i="2"/>
  <c r="AX8" i="2"/>
  <c r="AW8" i="2"/>
  <c r="AV8" i="2"/>
  <c r="AX7" i="2"/>
  <c r="AW7" i="2"/>
  <c r="AV7" i="2"/>
  <c r="AX6" i="2"/>
  <c r="AW6" i="2"/>
  <c r="AV6" i="2"/>
  <c r="AX5" i="2"/>
  <c r="AW5" i="2"/>
  <c r="BG5" i="2"/>
  <c r="BG6" i="2"/>
  <c r="BG9" i="2"/>
  <c r="BG10" i="2"/>
  <c r="BG14" i="2"/>
  <c r="BG19" i="2"/>
  <c r="BG7" i="2"/>
  <c r="BG17" i="2"/>
  <c r="BF5" i="2"/>
  <c r="BF6" i="2"/>
  <c r="BF9" i="2"/>
  <c r="BF10" i="2"/>
  <c r="BF19" i="2"/>
  <c r="BF7" i="2"/>
  <c r="BF17" i="2"/>
  <c r="BE5" i="2"/>
  <c r="BE6" i="2"/>
  <c r="BE9" i="2"/>
  <c r="BE10" i="2"/>
  <c r="BE19" i="2"/>
  <c r="BE7" i="2"/>
  <c r="BE17" i="2"/>
  <c r="AZ5" i="2"/>
  <c r="AZ6" i="2"/>
  <c r="AZ9" i="2"/>
  <c r="AZ10" i="2"/>
  <c r="AZ19" i="2"/>
  <c r="AZ7" i="2"/>
  <c r="AZ17"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4" i="5"/>
  <c r="F34" i="5"/>
  <c r="D34" i="5"/>
  <c r="C34" i="5"/>
  <c r="B34" i="5"/>
  <c r="G20" i="5"/>
  <c r="F20" i="5"/>
  <c r="D20" i="5"/>
  <c r="C20" i="5"/>
  <c r="B20" i="5"/>
  <c r="AZ14" i="2"/>
  <c r="BF14" i="2"/>
  <c r="BE14" i="2"/>
  <c r="AZ11" i="2"/>
  <c r="BE11" i="2"/>
  <c r="BF11" i="2"/>
  <c r="BG11" i="2"/>
  <c r="AZ13" i="2"/>
  <c r="AZ18" i="2"/>
  <c r="AZ16" i="2"/>
  <c r="AZ12" i="2"/>
  <c r="AZ8" i="2"/>
  <c r="BE18" i="2"/>
  <c r="BE16" i="2"/>
  <c r="BE12" i="2"/>
  <c r="BE8" i="2"/>
  <c r="BE13" i="2"/>
  <c r="BF13" i="2"/>
  <c r="BF18" i="2"/>
  <c r="BF16" i="2"/>
  <c r="BF12" i="2"/>
  <c r="BF8" i="2"/>
  <c r="BG13" i="2"/>
  <c r="BG18" i="2"/>
  <c r="BG16" i="2"/>
  <c r="BG12" i="2"/>
  <c r="BG8" i="2"/>
</calcChain>
</file>

<file path=xl/sharedStrings.xml><?xml version="1.0" encoding="utf-8"?>
<sst xmlns="http://schemas.openxmlformats.org/spreadsheetml/2006/main" count="3557" uniqueCount="472">
  <si>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</si>
  <si>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</si>
  <si>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</si>
  <si>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</si>
  <si>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</si>
  <si>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</si>
  <si>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</si>
  <si>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</si>
  <si>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</si>
  <si>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</si>
  <si>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</si>
  <si>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t>
  </si>
  <si>
    <t>Course version:</t>
  </si>
  <si>
    <t>Major:</t>
  </si>
  <si>
    <t>Early Childhood Education Major (MTeach)</t>
  </si>
  <si>
    <t>Major version:</t>
  </si>
  <si>
    <t>Commencing:</t>
  </si>
  <si>
    <t>Special Study Period 1 (February - May)</t>
  </si>
  <si>
    <t>Credits to Complete:</t>
  </si>
  <si>
    <t>2024 Availabilities</t>
  </si>
  <si>
    <t>Year 1</t>
  </si>
  <si>
    <t>Study Period</t>
  </si>
  <si>
    <t>Pre Requisite(s)</t>
  </si>
  <si>
    <t>CP</t>
  </si>
  <si>
    <t>SSP1 BEN</t>
  </si>
  <si>
    <t>SSP1 FO</t>
  </si>
  <si>
    <t>SSP2 BEN</t>
  </si>
  <si>
    <t>SSP2 FO</t>
  </si>
  <si>
    <t>SSP3 BEN</t>
  </si>
  <si>
    <t>SSP3 FO</t>
  </si>
  <si>
    <t>SSP4 BEN</t>
  </si>
  <si>
    <t>SSP4 FO</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</si>
  <si>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</si>
  <si>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</si>
  <si>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</si>
  <si>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</si>
  <si>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</si>
  <si>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</si>
  <si>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</si>
  <si>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Master of TESOL</t>
  </si>
  <si>
    <t>Master of Education</t>
  </si>
  <si>
    <t>Specialisation:</t>
  </si>
  <si>
    <t>No Specialisation - study 4 Option units</t>
  </si>
  <si>
    <t>Pre Requisites</t>
  </si>
  <si>
    <t>Option Units</t>
  </si>
  <si>
    <t>MJRP-TCHECSSP2</t>
  </si>
  <si>
    <t>STRP-SCART</t>
  </si>
  <si>
    <t>RangeUnitsetsECEPR</t>
  </si>
  <si>
    <t>MJRP-TCHECSSP1</t>
  </si>
  <si>
    <t>MJRP-TCHECSSP3</t>
  </si>
  <si>
    <t>MJRP-TCHECSSP4</t>
  </si>
  <si>
    <t>MJRP-TCHPRSSP1</t>
  </si>
  <si>
    <t>MJRP-TCHPRSSP2</t>
  </si>
  <si>
    <t>MJRP-TCHPRSSP3</t>
  </si>
  <si>
    <t>MJRP-TCHPRSSP4</t>
  </si>
  <si>
    <t>Spk Cd</t>
  </si>
  <si>
    <t>Structure Line</t>
  </si>
  <si>
    <t>Prereqs</t>
  </si>
  <si>
    <t>Y1SSP1</t>
  </si>
  <si>
    <t>EDUC5005</t>
  </si>
  <si>
    <t>Y1SSP2</t>
  </si>
  <si>
    <t>EDEC5010</t>
  </si>
  <si>
    <t>Y1SSP3</t>
  </si>
  <si>
    <t>Y1SSP4</t>
  </si>
  <si>
    <t>EDUC5011</t>
  </si>
  <si>
    <t>EDUC5031</t>
  </si>
  <si>
    <t>TableCourses</t>
  </si>
  <si>
    <t>EDEC5005</t>
  </si>
  <si>
    <t>EDEC5002</t>
  </si>
  <si>
    <t>EDEC5008</t>
  </si>
  <si>
    <t>EDPR5005</t>
  </si>
  <si>
    <t>EDPR5003</t>
  </si>
  <si>
    <t>Choose your Course</t>
  </si>
  <si>
    <t>Version</t>
  </si>
  <si>
    <t>Credit Points</t>
  </si>
  <si>
    <t>Effective Date</t>
  </si>
  <si>
    <t>Akari Update</t>
  </si>
  <si>
    <t>Graduate Certificate in Education</t>
  </si>
  <si>
    <t>GC-EDUC</t>
  </si>
  <si>
    <t>v.1</t>
  </si>
  <si>
    <t>100 credit points required</t>
  </si>
  <si>
    <t>Int &amp; FO - SSP1;SSP2;SSP3;SSP4</t>
  </si>
  <si>
    <t>EDEC5000</t>
  </si>
  <si>
    <t>EDPR5000</t>
  </si>
  <si>
    <t>Graduate Certificate in Higher Education Innovative Learning and Teaching</t>
  </si>
  <si>
    <t>GC-EDHE</t>
  </si>
  <si>
    <t>FO - SSP1;SSP2;SSP3;SSP4</t>
  </si>
  <si>
    <t>EDUC5006</t>
  </si>
  <si>
    <t>EDUC5009</t>
  </si>
  <si>
    <t>Graduate Certificate in Teaching English to Speakers of Other Languages</t>
  </si>
  <si>
    <t>GC-TESOL</t>
  </si>
  <si>
    <t>v.2</t>
  </si>
  <si>
    <t>None</t>
  </si>
  <si>
    <t>EDEC5001</t>
  </si>
  <si>
    <t>EDPR5001</t>
  </si>
  <si>
    <t>Master of Arts (Applied Linguistics)</t>
  </si>
  <si>
    <t>MC-APLING</t>
  </si>
  <si>
    <t>v.6</t>
  </si>
  <si>
    <t>200 credit points required</t>
  </si>
  <si>
    <t>MC-EDUC</t>
  </si>
  <si>
    <t>v.3</t>
  </si>
  <si>
    <t>EDEC5006</t>
  </si>
  <si>
    <t>EDPR5004</t>
  </si>
  <si>
    <t>MC-TEACH</t>
  </si>
  <si>
    <t>400 credit points required</t>
  </si>
  <si>
    <t>Y2SSP1</t>
  </si>
  <si>
    <t>Y2SSP2</t>
  </si>
  <si>
    <t>Y2SSP3</t>
  </si>
  <si>
    <t>Y2SSP4</t>
  </si>
  <si>
    <t>EDEC6001</t>
  </si>
  <si>
    <t>EDPR5008</t>
  </si>
  <si>
    <t>EDPR5007</t>
  </si>
  <si>
    <t>MC-TESOL</t>
  </si>
  <si>
    <t>EDEC5007</t>
  </si>
  <si>
    <t>EDEC6003</t>
  </si>
  <si>
    <t>EDUC6062</t>
  </si>
  <si>
    <t>EDPR6000</t>
  </si>
  <si>
    <t>EDUC6066</t>
  </si>
  <si>
    <t>Graduate Diploma in Education</t>
  </si>
  <si>
    <t>GD-EDUC</t>
  </si>
  <si>
    <t>Int &amp; FO - SSP1</t>
  </si>
  <si>
    <t>TableStudyPeriods</t>
  </si>
  <si>
    <t>START</t>
  </si>
  <si>
    <t>Next</t>
  </si>
  <si>
    <t>Next2</t>
  </si>
  <si>
    <t>Next3</t>
  </si>
  <si>
    <t>SSP1</t>
  </si>
  <si>
    <t>SSP2</t>
  </si>
  <si>
    <t>SSP3</t>
  </si>
  <si>
    <t>SSP4</t>
  </si>
  <si>
    <t>Special Study Period 2 (May - August)</t>
  </si>
  <si>
    <t>EDUC6064</t>
  </si>
  <si>
    <t>---</t>
  </si>
  <si>
    <t>Special Study Period 3 (August - November)</t>
  </si>
  <si>
    <t>Y3SSP1</t>
  </si>
  <si>
    <t>--</t>
  </si>
  <si>
    <t>Y3SSP2</t>
  </si>
  <si>
    <t>Y3SSP3</t>
  </si>
  <si>
    <t>Y3SSP4</t>
  </si>
  <si>
    <t>Special Study Period 4 (November - February)</t>
  </si>
  <si>
    <t>TableMajors</t>
  </si>
  <si>
    <t>Choose your Major</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</si>
  <si>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</si>
  <si>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</si>
  <si>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</si>
  <si>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</si>
  <si>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</si>
  <si>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</si>
  <si>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</si>
  <si>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</si>
  <si>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</si>
  <si>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</si>
  <si>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</si>
  <si>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</si>
  <si>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</si>
  <si>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MJRP-TCHEC</t>
  </si>
  <si>
    <t>EDUC5021</t>
  </si>
  <si>
    <t>EDUC5019</t>
  </si>
  <si>
    <t>EDUC6041</t>
  </si>
  <si>
    <t>EDUC6040</t>
  </si>
  <si>
    <t>Primary Education Major (MTeach)</t>
  </si>
  <si>
    <t>MJRP-TCHPR</t>
  </si>
  <si>
    <t>EDUC5023</t>
  </si>
  <si>
    <t>EDUC5025</t>
  </si>
  <si>
    <t>LING6000</t>
  </si>
  <si>
    <t>EDUC6027</t>
  </si>
  <si>
    <t>EDUC6025</t>
  </si>
  <si>
    <t>Secondary Education Major (MTeach)</t>
  </si>
  <si>
    <t>MJRP-TCHSC</t>
  </si>
  <si>
    <t>EDUC5033</t>
  </si>
  <si>
    <t>TableSpecialisationsMCEDUC</t>
  </si>
  <si>
    <t>LING6001</t>
  </si>
  <si>
    <t>EDUC6015</t>
  </si>
  <si>
    <t>EDSC5022</t>
  </si>
  <si>
    <t>-</t>
  </si>
  <si>
    <t>SPPE-None</t>
  </si>
  <si>
    <t>Cultural and Linguistic Diversity Specialisation (MEd)</t>
  </si>
  <si>
    <t>SPPE-CULIN</t>
  </si>
  <si>
    <t>Innovative Learning and Teaching Specialisation (MEd)</t>
  </si>
  <si>
    <t>SPPE-LNTCH</t>
  </si>
  <si>
    <t>Innovative STEM Education Specialisation (MEd)</t>
  </si>
  <si>
    <t>SPPE-STEME</t>
  </si>
  <si>
    <t>DropDownTESOL_APLING</t>
  </si>
  <si>
    <t>Need to create front pages for GCs highlighted above.</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</si>
  <si>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</si>
  <si>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</si>
  <si>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</si>
  <si>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</si>
  <si>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</si>
  <si>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</si>
  <si>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</si>
  <si>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</si>
  <si>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</si>
  <si>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</si>
  <si>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</si>
  <si>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</si>
  <si>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</si>
  <si>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</si>
  <si>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</si>
  <si>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</si>
  <si>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</si>
  <si>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GC-TESOL - no 2024 availabilities</t>
  </si>
  <si>
    <t>?? Still Pending</t>
  </si>
  <si>
    <t>EDUC6003</t>
  </si>
  <si>
    <t>EDUC6046</t>
  </si>
  <si>
    <t>23/11/2023 - GD Education, not yet approved in AKARI, no structure in S.M.</t>
  </si>
  <si>
    <t>Waiting</t>
  </si>
  <si>
    <t>OptionMEd</t>
  </si>
  <si>
    <t>EDUC6056</t>
  </si>
  <si>
    <t>EDUC6052</t>
  </si>
  <si>
    <t>EDUC6054</t>
  </si>
  <si>
    <t>EDUC6058</t>
  </si>
  <si>
    <t>EDUC6060</t>
  </si>
  <si>
    <t>EDUC6048</t>
  </si>
  <si>
    <t>EDUC6050</t>
  </si>
  <si>
    <t>Option1</t>
  </si>
  <si>
    <t>Option2</t>
  </si>
  <si>
    <t>Option3</t>
  </si>
  <si>
    <t>Option4</t>
  </si>
  <si>
    <t>Option5</t>
  </si>
  <si>
    <t>Option6</t>
  </si>
  <si>
    <t>Option7</t>
  </si>
  <si>
    <t>Option8</t>
  </si>
  <si>
    <t>Option9</t>
  </si>
  <si>
    <t>First Teaching Area:</t>
  </si>
  <si>
    <t>English Teaching Area</t>
  </si>
  <si>
    <t>First Teaching Area version:</t>
  </si>
  <si>
    <t>Second Teaching Area:</t>
  </si>
  <si>
    <t>Health and Physical Education Teaching Area</t>
  </si>
  <si>
    <t>Second Teaching Area version:</t>
  </si>
  <si>
    <t>Teaching Area Subjects</t>
  </si>
  <si>
    <t>Secondary Education Major (GradDipEdu)</t>
  </si>
  <si>
    <t>Stream/Teaching Area:</t>
  </si>
  <si>
    <t>Stream version:</t>
  </si>
  <si>
    <t>MC-TEACH Master of Teaching (Secondary)</t>
  </si>
  <si>
    <t>RangeUnitsetsSec</t>
  </si>
  <si>
    <t>MJRP-TCHSCSSP1</t>
  </si>
  <si>
    <t>MJRP-TCHSCSSP2</t>
  </si>
  <si>
    <t>MJRP-TCHSCSSP3</t>
  </si>
  <si>
    <t>MJRP-TCHSCSSP4</t>
  </si>
  <si>
    <t>DropDownLists</t>
  </si>
  <si>
    <t>EDSC5035</t>
  </si>
  <si>
    <t>EDSC5021</t>
  </si>
  <si>
    <t>TableTeachingArea1</t>
  </si>
  <si>
    <t>DD</t>
  </si>
  <si>
    <t>Choose your Second Approved Teaching Area</t>
  </si>
  <si>
    <t>FTAL</t>
  </si>
  <si>
    <t>The Arts Teaching Area</t>
  </si>
  <si>
    <t>50 credit points required</t>
  </si>
  <si>
    <t>Not Applicable</t>
  </si>
  <si>
    <t>STRP-SCFON</t>
  </si>
  <si>
    <t>EDSC5028</t>
  </si>
  <si>
    <t>STRP-SCENG</t>
  </si>
  <si>
    <t>STAL</t>
  </si>
  <si>
    <t>STRP-SCHLP</t>
  </si>
  <si>
    <t>EDSC5029</t>
  </si>
  <si>
    <t>Humanities and Social Sciences Teaching Area</t>
  </si>
  <si>
    <t>STRP-SCHUS</t>
  </si>
  <si>
    <t>Mathematics Teaching Area</t>
  </si>
  <si>
    <t>STRP-SCMAT</t>
  </si>
  <si>
    <t>Science Teaching Area</t>
  </si>
  <si>
    <t>STRP-SCSCI</t>
  </si>
  <si>
    <t>EDSC6000</t>
  </si>
  <si>
    <t>FTAS</t>
  </si>
  <si>
    <t>TableTeachingArea2</t>
  </si>
  <si>
    <t>STAS</t>
  </si>
  <si>
    <t>No Second Teaching Area</t>
  </si>
  <si>
    <t>RangeTeachingAreas</t>
  </si>
  <si>
    <t>FTA</t>
  </si>
  <si>
    <t>TableMajorsGDEDUC</t>
  </si>
  <si>
    <t>FTALower</t>
  </si>
  <si>
    <t>EDSC5023</t>
  </si>
  <si>
    <t>EDSC5024</t>
  </si>
  <si>
    <t>EDSC5055</t>
  </si>
  <si>
    <t>EDSC5025</t>
  </si>
  <si>
    <t>EDSC5026</t>
  </si>
  <si>
    <t>EDSC5027</t>
  </si>
  <si>
    <t>FTASenior</t>
  </si>
  <si>
    <t>EDSC5030</t>
  </si>
  <si>
    <t>EDSC5053</t>
  </si>
  <si>
    <t>EDSC5057</t>
  </si>
  <si>
    <t>EDSC5032</t>
  </si>
  <si>
    <t>EDSC5033</t>
  </si>
  <si>
    <t>EDSC5034</t>
  </si>
  <si>
    <t>Primary Education Major (GradDipEdu)</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</si>
  <si>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</si>
  <si>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</si>
  <si>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</si>
  <si>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</si>
  <si>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</si>
  <si>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</si>
  <si>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</si>
  <si>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</si>
  <si>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</si>
  <si>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</si>
  <si>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</si>
  <si>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</si>
  <si>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</si>
  <si>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</si>
  <si>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</si>
  <si>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</si>
  <si>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</si>
  <si>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</si>
  <si>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DDGD</t>
  </si>
  <si>
    <t>Choose your Teaching Area (Secondary Major only)</t>
  </si>
  <si>
    <t>Not applicable to Primary Major</t>
  </si>
  <si>
    <t>Title</t>
  </si>
  <si>
    <t>Notes</t>
  </si>
  <si>
    <t>Please note this is a 50CP unit</t>
  </si>
  <si>
    <t>Not relevant to this study sequence</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</si>
  <si>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</si>
  <si>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</si>
  <si>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</si>
  <si>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</si>
  <si>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</si>
  <si>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</si>
  <si>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</si>
  <si>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</si>
  <si>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</si>
  <si>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</si>
  <si>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</si>
  <si>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</si>
  <si>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</si>
  <si>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Primary Professional Experience 1: Planning for Writing</t>
  </si>
  <si>
    <t>2024 - Pre Reqs being removed (was EDUC5005 + EDUC5031)</t>
  </si>
  <si>
    <t>Primary Professional Experience 2: Assessment and Reporting</t>
  </si>
  <si>
    <t>Teaching Number, Algebra and Probability in the Primary Years</t>
  </si>
  <si>
    <t>Teaching Humanities and Social Sciences in the Primary Years</t>
  </si>
  <si>
    <t>Teaching Science in the Primary Years</t>
  </si>
  <si>
    <t>EDPR5007.PO</t>
  </si>
  <si>
    <t>Quantitative Mathematics for Science Inquiry</t>
  </si>
  <si>
    <t>Statistics For Educators</t>
  </si>
  <si>
    <t>2024 Late Change</t>
  </si>
  <si>
    <t>Teaching Arts in the Primary Years</t>
  </si>
  <si>
    <t>Extending English in the Primary Years</t>
  </si>
  <si>
    <t>Pre-Req: EDUC5030 not relevant.</t>
  </si>
  <si>
    <t>Literacy and Numeracy across the Curriculum</t>
  </si>
  <si>
    <t>25</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</si>
  <si>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</si>
  <si>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</si>
  <si>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</si>
  <si>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</si>
  <si>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</si>
  <si>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</si>
  <si>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</si>
  <si>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2024 - Pre Reqs being removed (was EDUC5005)</t>
  </si>
  <si>
    <t>Secondary Professional Experience 2: Assessment and Reporting</t>
  </si>
  <si>
    <t>Curriculum and Instruction Senior Secondary: The Arts</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</si>
  <si>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</si>
  <si>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</si>
  <si>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</si>
  <si>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</si>
  <si>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</si>
  <si>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</si>
  <si>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</si>
  <si>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</si>
  <si>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</si>
  <si>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</si>
  <si>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</si>
  <si>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</si>
  <si>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</si>
  <si>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</si>
  <si>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</si>
  <si>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</si>
  <si>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</si>
  <si>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</si>
  <si>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</si>
  <si>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</si>
  <si>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</si>
  <si>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</si>
  <si>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</si>
  <si>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</si>
  <si>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</si>
  <si>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</si>
  <si>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</si>
  <si>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</si>
  <si>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</si>
  <si>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</si>
  <si>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</si>
  <si>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</si>
  <si>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</si>
  <si>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</si>
  <si>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</si>
  <si>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</si>
  <si>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</si>
  <si>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</si>
  <si>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</si>
  <si>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</si>
  <si>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</si>
  <si>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</si>
  <si>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</si>
  <si>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</si>
  <si>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</si>
  <si>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</si>
  <si>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</si>
  <si>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Language Acquisition</t>
  </si>
  <si>
    <t>Language in Society</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</si>
  <si>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</si>
  <si>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</si>
  <si>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</si>
  <si>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</si>
  <si>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</si>
  <si>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</si>
  <si>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1</t>
  </si>
  <si>
    <t>The Arts Teaching Area Stream (MTch Sec)</t>
  </si>
  <si>
    <t>50</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</si>
  <si>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</si>
  <si>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</si>
  <si>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</si>
  <si>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</si>
  <si>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</si>
  <si>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</si>
  <si>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</si>
  <si>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</si>
  <si>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OUA Code</t>
  </si>
  <si>
    <t>CPs</t>
  </si>
  <si>
    <t>No.</t>
  </si>
  <si>
    <t>Component Type</t>
  </si>
  <si>
    <t>Year Level</t>
  </si>
  <si>
    <t>Study Package Code</t>
  </si>
  <si>
    <t>Effective</t>
  </si>
  <si>
    <t>Discont.</t>
  </si>
  <si>
    <t>Column1</t>
  </si>
  <si>
    <t>Column2</t>
  </si>
  <si>
    <t>Core</t>
  </si>
  <si>
    <t>NA</t>
  </si>
  <si>
    <t/>
  </si>
  <si>
    <t>Majors</t>
  </si>
  <si>
    <t>Option</t>
  </si>
  <si>
    <t>Graduate Certificate in Teaching English to Speakers of Other Languages (TESOL)</t>
  </si>
  <si>
    <t>Master of Education </t>
  </si>
  <si>
    <t>Semester 1</t>
  </si>
  <si>
    <t>OptionMC-EDUC</t>
  </si>
  <si>
    <t>Choose a Specialisation or 100 credits of Options</t>
  </si>
  <si>
    <t>Choose Options to the value of 100CP</t>
  </si>
  <si>
    <t>EDHE5007</t>
  </si>
  <si>
    <t>The Learning Cycle: Design and Curriculum</t>
  </si>
  <si>
    <t>EDHE5008</t>
  </si>
  <si>
    <t>Design Thinking and Educational Innovation</t>
  </si>
  <si>
    <t>EDHE5010</t>
  </si>
  <si>
    <t>Research for the Scholarship of Learning and Teaching</t>
  </si>
  <si>
    <t>EDHE5011</t>
  </si>
  <si>
    <t>Teaching Portfolio</t>
  </si>
  <si>
    <t>Count of Availability Available to Students Flag</t>
  </si>
  <si>
    <t>Downloaded 2024:</t>
  </si>
  <si>
    <t>Row Labels</t>
  </si>
  <si>
    <t>Internal</t>
  </si>
  <si>
    <t>Online</t>
  </si>
  <si>
    <t>Internal2</t>
  </si>
  <si>
    <t>Online3</t>
  </si>
  <si>
    <t>Internal4</t>
  </si>
  <si>
    <t>Online5</t>
  </si>
  <si>
    <t>Internal6</t>
  </si>
  <si>
    <t>Online7</t>
  </si>
  <si>
    <t>EDUC5025*</t>
  </si>
  <si>
    <t>EDUC5023*</t>
  </si>
  <si>
    <t>EDUC5021*</t>
  </si>
  <si>
    <t>LING6000*</t>
  </si>
  <si>
    <t>EDUC6040*</t>
  </si>
  <si>
    <t>Choose a Major</t>
  </si>
  <si>
    <t>MajorGDEDUC</t>
  </si>
  <si>
    <t>Special Study Period 1</t>
  </si>
  <si>
    <t>Special Study Period 2</t>
  </si>
  <si>
    <t>Special Study Period 3</t>
  </si>
  <si>
    <t>Special Study Period 4</t>
  </si>
  <si>
    <t>Teaching Area Options</t>
  </si>
  <si>
    <t>Choose your First Approved Teaching Area (drop-down list)</t>
  </si>
  <si>
    <t>Choose your Second Approved Teaching Area (drop-down lsit)</t>
  </si>
  <si>
    <t>Choose your commencing study period (drop-down list)</t>
  </si>
  <si>
    <t>Choose your MEd Specialisation (drop-down list)</t>
  </si>
  <si>
    <t>Choose your Major (drop-down list)</t>
  </si>
  <si>
    <t>Choose your TESOL/Applied Linguistics Course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</si>
</sst>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sz val="12"/>
      <color rgb="FFFF0000"/>
      <name val="Calibri"/>
      <family val="2"/>
      <scheme val="minor"/>
    </font>
    <font>
      <sz val="10"/>
      <color theme="1"/>
      <name val="Arial"/>
      <family val="2"/>
    </font>
    <font>
      <sz val="10"/>
      <color rgb="FF000000"/>
      <name val="Arial"/>
      <family val="2"/>
    </font>
    <font>
      <sz val="10"/>
      <color theme="1"/>
      <name val="Arial"/>
      <family val="2"/>
    </font>
    <font>
      <sz val="10"/>
      <color rgb="FF000000"/>
      <name val="Arial"/>
      <family val="2"/>
    </font>
    <font>
      <b/>
      <sz val="10"/>
      <color theme="0"/>
      <name val="Segoe UI"/>
      <family val="2"/>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bgColor indexed="64"/>
      </patternFill>
    </fill>
    <fill>
      <patternFill patternType="solid">
        <fgColor rgb="FF00B050"/>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bottom/>
      <diagonal/>
    </border>
    <border>
      <left style="medium">
        <color indexed="64"/>
      </left>
      <right style="thin">
        <color theme="0" tint="-0.24994659260841701"/>
      </right>
      <top/>
      <bottom/>
      <diagonal/>
    </border>
    <border>
      <left style="thin">
        <color theme="0" tint="-0.24994659260841701"/>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indexed="64"/>
      </top>
      <bottom/>
      <diagonal/>
    </border>
    <border>
      <left/>
      <right style="thin">
        <color theme="0" tint="-0.24994659260841701"/>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368">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8" xfId="1" applyFont="1" applyFill="1" applyBorder="1" applyAlignment="1" applyProtection="1">
      <alignment horizontal="center" vertical="center" wrapText="1"/>
      <protection locked="0"/>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1" xfId="1" applyFont="1" applyFill="1" applyBorder="1" applyAlignment="1" applyProtection="1">
      <alignment horizontal="left" vertical="center" wrapText="1"/>
      <protection locked="0"/>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5" fillId="4" borderId="11" xfId="0" applyFont="1" applyFill="1" applyBorder="1" applyAlignment="1">
      <alignment horizontal="left"/>
    </xf>
    <xf numFmtId="0" fontId="10" fillId="7" borderId="7" xfId="0" applyFont="1" applyFill="1" applyBorder="1" applyAlignment="1">
      <alignment horizontal="center"/>
    </xf>
    <xf numFmtId="0" fontId="14" fillId="0" borderId="0" xfId="0" applyFont="1" applyAlignment="1" applyProtection="1">
      <alignment horizontal="left"/>
      <protection locked="0"/>
    </xf>
    <xf numFmtId="0" fontId="12" fillId="0" borderId="0" xfId="0" applyFont="1" applyProtection="1">
      <protection locked="0"/>
    </xf>
    <xf numFmtId="0" fontId="10" fillId="0" borderId="0" xfId="0" applyFont="1" applyProtection="1">
      <protection locked="0"/>
    </xf>
    <xf numFmtId="0" fontId="0" fillId="0" borderId="0" xfId="0" applyProtection="1">
      <protection locked="0"/>
    </xf>
    <xf numFmtId="0" fontId="43"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5"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0" fillId="0" borderId="26" xfId="0" applyBorder="1" applyAlignment="1">
      <alignment horizont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10" fillId="0" borderId="25" xfId="0" applyFont="1" applyBorder="1"/>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30" xfId="0" applyBorder="1" applyAlignment="1">
      <alignment horizontal="center"/>
    </xf>
    <xf numFmtId="0" fontId="10" fillId="8" borderId="0" xfId="0" applyFont="1" applyFill="1"/>
    <xf numFmtId="0" fontId="10" fillId="7" borderId="0" xfId="0" applyFont="1" applyFill="1" applyAlignment="1">
      <alignment horizontal="center"/>
    </xf>
    <xf numFmtId="0" fontId="6" fillId="7" borderId="0" xfId="0" applyFont="1" applyFill="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5"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9" borderId="8" xfId="0" applyFont="1" applyFill="1" applyBorder="1" applyAlignment="1" applyProtection="1">
      <alignment horizontal="center" vertical="center"/>
      <protection locked="0"/>
    </xf>
    <xf numFmtId="0" fontId="10" fillId="7" borderId="31" xfId="0" applyFont="1" applyFill="1" applyBorder="1" applyAlignment="1">
      <alignment horizontal="center"/>
    </xf>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0" fillId="0" borderId="9" xfId="0" applyBorder="1" applyAlignment="1">
      <alignment horizontal="center"/>
    </xf>
    <xf numFmtId="0" fontId="10" fillId="0" borderId="4" xfId="0" applyFont="1" applyBorder="1"/>
    <xf numFmtId="0" fontId="10" fillId="0" borderId="10" xfId="0" applyFont="1" applyBorder="1"/>
    <xf numFmtId="0" fontId="10" fillId="0" borderId="0" xfId="0" quotePrefix="1" applyFont="1"/>
    <xf numFmtId="0" fontId="3" fillId="9" borderId="9" xfId="0" applyFont="1" applyFill="1" applyBorder="1" applyAlignment="1" applyProtection="1">
      <alignment horizontal="center" vertical="center"/>
      <protection locked="0"/>
    </xf>
    <xf numFmtId="0" fontId="22" fillId="12" borderId="18" xfId="1" applyFont="1" applyFill="1" applyBorder="1" applyAlignment="1" applyProtection="1">
      <alignment horizontal="center" vertical="center" wrapText="1"/>
      <protection locked="0"/>
    </xf>
    <xf numFmtId="0" fontId="29" fillId="12" borderId="0" xfId="2" applyFont="1" applyFill="1" applyAlignment="1" applyProtection="1">
      <alignment vertical="center"/>
    </xf>
    <xf numFmtId="0" fontId="28" fillId="12" borderId="0" xfId="2" applyFill="1" applyAlignment="1" applyProtection="1">
      <alignment vertical="center"/>
    </xf>
    <xf numFmtId="0" fontId="5" fillId="4" borderId="1" xfId="0" applyFont="1" applyFill="1" applyBorder="1" applyAlignment="1">
      <alignment horizontal="left" textRotation="90" wrapText="1"/>
    </xf>
    <xf numFmtId="0" fontId="5" fillId="4" borderId="3" xfId="0" applyFont="1" applyFill="1" applyBorder="1" applyAlignment="1">
      <alignment horizontal="left" textRotation="90" wrapText="1"/>
    </xf>
    <xf numFmtId="0" fontId="10" fillId="7" borderId="34" xfId="0" applyFont="1" applyFill="1" applyBorder="1" applyAlignment="1">
      <alignment horizontal="center"/>
    </xf>
    <xf numFmtId="0" fontId="50" fillId="0" borderId="0" xfId="1" applyFont="1" applyAlignment="1">
      <alignment horizontal="center"/>
    </xf>
    <xf numFmtId="0" fontId="10" fillId="0" borderId="7" xfId="0" applyFont="1" applyBorder="1" applyProtection="1">
      <protection locked="0"/>
    </xf>
    <xf numFmtId="0" fontId="10" fillId="0" borderId="8" xfId="0" applyFont="1" applyBorder="1" applyProtection="1">
      <protection locked="0"/>
    </xf>
    <xf numFmtId="0" fontId="10" fillId="0" borderId="10" xfId="0" applyFont="1" applyBorder="1" applyProtection="1">
      <protection locked="0"/>
    </xf>
    <xf numFmtId="0" fontId="10" fillId="0" borderId="9" xfId="0" applyFont="1" applyBorder="1" applyProtection="1">
      <protection locked="0"/>
    </xf>
    <xf numFmtId="0" fontId="51" fillId="0" borderId="0" xfId="0" applyFont="1" applyAlignment="1" applyProtection="1">
      <alignment horizontal="left"/>
      <protection locked="0"/>
    </xf>
    <xf numFmtId="0" fontId="10" fillId="0" borderId="4" xfId="0" applyFont="1" applyBorder="1" applyProtection="1">
      <protection locked="0"/>
    </xf>
    <xf numFmtId="0" fontId="52" fillId="0" borderId="5" xfId="0" applyFont="1" applyBorder="1" applyProtection="1">
      <protection locked="0"/>
    </xf>
    <xf numFmtId="0" fontId="52" fillId="0" borderId="0" xfId="0" applyFont="1" applyProtection="1">
      <protection locked="0"/>
    </xf>
    <xf numFmtId="0" fontId="52" fillId="0" borderId="11" xfId="0" applyFont="1" applyBorder="1" applyProtection="1">
      <protection locked="0"/>
    </xf>
    <xf numFmtId="0" fontId="18" fillId="0" borderId="0" xfId="1" applyFont="1" applyAlignment="1">
      <alignment horizontal="center"/>
    </xf>
    <xf numFmtId="0" fontId="18" fillId="0" borderId="0" xfId="1" applyFont="1"/>
    <xf numFmtId="0" fontId="2" fillId="3" borderId="35" xfId="0" applyFont="1" applyFill="1" applyBorder="1" applyAlignment="1" applyProtection="1">
      <alignment horizontal="right"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53" fillId="0" borderId="36"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3" fillId="13"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3" borderId="6"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5" xfId="0" applyFont="1" applyBorder="1" applyProtection="1">
      <protection locked="0"/>
    </xf>
    <xf numFmtId="0" fontId="10" fillId="0" borderId="6" xfId="0" applyFont="1" applyBorder="1" applyProtection="1">
      <protection locked="0"/>
    </xf>
    <xf numFmtId="14" fontId="56" fillId="0" borderId="0" xfId="0" applyNumberFormat="1" applyFont="1"/>
    <xf numFmtId="0" fontId="51" fillId="0" borderId="0" xfId="0" applyFont="1" applyAlignment="1" applyProtection="1">
      <alignment horizontal="right"/>
      <protection locked="0"/>
    </xf>
    <xf numFmtId="0" fontId="5" fillId="4" borderId="38" xfId="0" applyFont="1" applyFill="1" applyBorder="1" applyAlignment="1">
      <alignment horizontal="left" textRotation="90"/>
    </xf>
    <xf numFmtId="0" fontId="5" fillId="4" borderId="39" xfId="0" applyFont="1" applyFill="1" applyBorder="1" applyAlignment="1">
      <alignment horizontal="left" textRotation="90"/>
    </xf>
    <xf numFmtId="0" fontId="5" fillId="4" borderId="40" xfId="0" applyFont="1" applyFill="1" applyBorder="1" applyAlignment="1">
      <alignment horizontal="left" textRotation="90"/>
    </xf>
    <xf numFmtId="0" fontId="10" fillId="7" borderId="41" xfId="0" applyFont="1" applyFill="1" applyBorder="1" applyAlignment="1">
      <alignment horizontal="center"/>
    </xf>
    <xf numFmtId="0" fontId="10" fillId="7" borderId="42" xfId="0" applyFont="1" applyFill="1" applyBorder="1" applyAlignment="1">
      <alignment horizontal="center"/>
    </xf>
    <xf numFmtId="0" fontId="10" fillId="7" borderId="43" xfId="0" applyFont="1" applyFill="1" applyBorder="1" applyAlignment="1">
      <alignment horizontal="center"/>
    </xf>
    <xf numFmtId="0" fontId="10" fillId="7" borderId="44" xfId="0" applyFont="1" applyFill="1" applyBorder="1" applyAlignment="1">
      <alignment horizontal="center"/>
    </xf>
    <xf numFmtId="0" fontId="56" fillId="11" borderId="0" xfId="0" applyFont="1" applyFill="1" applyAlignment="1">
      <alignment horizontal="right"/>
    </xf>
    <xf numFmtId="14" fontId="0" fillId="11" borderId="0" xfId="0" applyNumberFormat="1" applyFill="1"/>
    <xf numFmtId="0" fontId="10" fillId="0" borderId="36" xfId="0" applyFont="1" applyBorder="1"/>
    <xf numFmtId="0" fontId="10" fillId="0" borderId="37" xfId="0" applyFont="1" applyBorder="1"/>
    <xf numFmtId="0" fontId="10" fillId="0" borderId="35" xfId="0" applyFont="1" applyBorder="1"/>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7" fillId="11" borderId="0" xfId="0" applyFont="1" applyFill="1"/>
    <xf numFmtId="0" fontId="7" fillId="11" borderId="0" xfId="0" applyFont="1" applyFill="1" applyAlignment="1" applyProtection="1">
      <alignment horizontal="left"/>
      <protection locked="0"/>
    </xf>
    <xf numFmtId="0" fontId="10" fillId="0" borderId="0" xfId="0" applyFont="1" applyAlignment="1" applyProtection="1">
      <alignment horizontal="center"/>
      <protection locked="0"/>
    </xf>
    <xf numFmtId="0" fontId="6" fillId="7" borderId="5" xfId="0" applyFont="1" applyFill="1" applyBorder="1" applyAlignment="1">
      <alignment horizontal="center"/>
    </xf>
    <xf numFmtId="0" fontId="0" fillId="0" borderId="0" xfId="0" applyAlignment="1">
      <alignment wrapText="1"/>
    </xf>
    <xf numFmtId="0" fontId="10" fillId="14" borderId="0" xfId="0" applyFont="1" applyFill="1" applyAlignment="1" applyProtection="1">
      <alignment horizontal="center"/>
      <protection locked="0"/>
    </xf>
    <xf numFmtId="0" fontId="44" fillId="14" borderId="0" xfId="0" applyFont="1" applyFill="1"/>
    <xf numFmtId="14" fontId="44" fillId="14" borderId="0" xfId="0" applyNumberFormat="1" applyFont="1" applyFill="1"/>
    <xf numFmtId="0" fontId="7" fillId="11" borderId="0" xfId="0" applyFont="1" applyFill="1" applyProtection="1">
      <protection locked="0"/>
    </xf>
    <xf numFmtId="14" fontId="6" fillId="0" borderId="0" xfId="0" applyNumberFormat="1" applyFont="1" applyProtection="1">
      <protection locked="0"/>
    </xf>
    <xf numFmtId="0" fontId="22" fillId="15" borderId="18" xfId="1" applyFont="1" applyFill="1" applyBorder="1" applyAlignment="1" applyProtection="1">
      <alignment horizontal="center" vertical="center" wrapText="1"/>
      <protection locked="0"/>
    </xf>
    <xf numFmtId="14" fontId="10" fillId="0" borderId="0" xfId="0" applyNumberFormat="1" applyFont="1" applyAlignment="1" applyProtection="1">
      <alignment horizontal="center"/>
      <protection locked="0"/>
    </xf>
    <xf numFmtId="14" fontId="7" fillId="0" borderId="0" xfId="0" applyNumberFormat="1" applyFont="1" applyAlignment="1" applyProtection="1">
      <alignment horizontal="center"/>
      <protection locked="0"/>
    </xf>
    <xf numFmtId="0" fontId="2" fillId="3" borderId="5" xfId="0" applyFont="1" applyFill="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11"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3" borderId="0" xfId="0" applyFont="1" applyFill="1" applyAlignment="1" applyProtection="1">
      <alignment horizontal="center" vertical="center"/>
      <protection locked="0"/>
    </xf>
    <xf numFmtId="0" fontId="3" fillId="13" borderId="11" xfId="0" applyFont="1" applyFill="1" applyBorder="1" applyAlignment="1" applyProtection="1">
      <alignment horizontal="center" vertical="center"/>
      <protection locked="0"/>
    </xf>
    <xf numFmtId="0" fontId="58" fillId="0" borderId="0" xfId="0" applyFont="1"/>
    <xf numFmtId="14" fontId="7" fillId="0" borderId="0" xfId="0" applyNumberFormat="1" applyFont="1" applyProtection="1">
      <protection locked="0"/>
    </xf>
    <xf numFmtId="0" fontId="10" fillId="7" borderId="46" xfId="0" applyFont="1" applyFill="1" applyBorder="1" applyAlignment="1">
      <alignment horizontal="center"/>
    </xf>
    <xf numFmtId="0" fontId="10" fillId="7" borderId="47" xfId="0" applyFont="1" applyFill="1" applyBorder="1" applyAlignment="1">
      <alignment horizontal="center"/>
    </xf>
    <xf numFmtId="0" fontId="5" fillId="4" borderId="45" xfId="0" applyFont="1" applyFill="1" applyBorder="1" applyAlignment="1">
      <alignment horizontal="left"/>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10" fillId="0" borderId="36" xfId="0" applyFont="1" applyBorder="1" applyAlignment="1">
      <alignment horizontal="left" wrapText="1"/>
    </xf>
    <xf numFmtId="0" fontId="59" fillId="0" borderId="36" xfId="0" applyFont="1" applyBorder="1" applyAlignment="1">
      <alignment horizontal="left" wrapText="1"/>
    </xf>
    <xf numFmtId="0" fontId="10" fillId="0" borderId="37" xfId="0" applyFont="1" applyBorder="1" applyAlignment="1">
      <alignment horizontal="left" wrapText="1"/>
    </xf>
    <xf numFmtId="0" fontId="59" fillId="8" borderId="0" xfId="0" applyFont="1" applyFill="1"/>
    <xf numFmtId="0" fontId="59" fillId="0" borderId="0" xfId="0" applyFont="1"/>
    <xf numFmtId="0" fontId="59" fillId="0" borderId="0" xfId="0" applyFont="1" applyAlignment="1">
      <alignment horizontal="center"/>
    </xf>
    <xf numFmtId="0" fontId="59" fillId="7" borderId="7" xfId="0" applyFont="1" applyFill="1" applyBorder="1" applyAlignment="1">
      <alignment horizontal="center"/>
    </xf>
    <xf numFmtId="0" fontId="59" fillId="7" borderId="0" xfId="0" applyFont="1" applyFill="1" applyAlignment="1">
      <alignment horizontal="center"/>
    </xf>
    <xf numFmtId="0" fontId="60" fillId="7" borderId="0" xfId="0" applyFont="1" applyFill="1" applyAlignment="1">
      <alignment horizontal="center"/>
    </xf>
    <xf numFmtId="0" fontId="10" fillId="17" borderId="0" xfId="0" applyFont="1" applyFill="1" applyAlignment="1" applyProtection="1">
      <alignment horizontal="center"/>
      <protection locked="0"/>
    </xf>
    <xf numFmtId="0" fontId="6" fillId="17" borderId="0" xfId="0" applyFont="1" applyFill="1" applyAlignment="1" applyProtection="1">
      <alignment horizontal="center"/>
      <protection locked="0"/>
    </xf>
    <xf numFmtId="0" fontId="10" fillId="0" borderId="45" xfId="0" applyFont="1" applyBorder="1" applyAlignment="1">
      <alignment horizontal="left" wrapText="1"/>
    </xf>
    <xf numFmtId="0" fontId="10" fillId="7" borderId="3" xfId="0" applyFont="1" applyFill="1" applyBorder="1" applyAlignment="1">
      <alignment horizontal="center"/>
    </xf>
    <xf numFmtId="0" fontId="6" fillId="17" borderId="0" xfId="0" applyFont="1" applyFill="1" applyProtection="1">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8" fillId="17" borderId="0" xfId="0" applyFont="1" applyFill="1" applyAlignment="1" applyProtection="1">
      <alignment horizontal="center"/>
      <protection locked="0"/>
    </xf>
    <xf numFmtId="0" fontId="0" fillId="0" borderId="0" xfId="0" applyNumberFormat="1" applyAlignment="1">
      <alignment horizontal="center"/>
    </xf>
    <xf numFmtId="0" fontId="0" fillId="0" borderId="0" xfId="0" applyNumberFormat="1"/>
    <xf numFmtId="14" fontId="44" fillId="17" borderId="0" xfId="0" applyNumberFormat="1" applyFont="1" applyFill="1"/>
    <xf numFmtId="0" fontId="44" fillId="17" borderId="0" xfId="0" applyFont="1" applyFill="1"/>
    <xf numFmtId="0" fontId="61" fillId="7" borderId="7" xfId="0" applyNumberFormat="1" applyFont="1" applyFill="1" applyBorder="1" applyAlignment="1">
      <alignment horizontal="center"/>
    </xf>
    <xf numFmtId="0" fontId="61" fillId="0" borderId="45" xfId="0" applyFont="1" applyBorder="1" applyAlignment="1">
      <alignment horizontal="left" wrapText="1"/>
    </xf>
    <xf numFmtId="0" fontId="61" fillId="7" borderId="3" xfId="0" applyNumberFormat="1" applyFont="1" applyFill="1" applyBorder="1" applyAlignment="1">
      <alignment horizontal="center"/>
    </xf>
    <xf numFmtId="0" fontId="61" fillId="0" borderId="0" xfId="0" applyFont="1" applyBorder="1"/>
    <xf numFmtId="0" fontId="61" fillId="0" borderId="0" xfId="0" applyFont="1" applyBorder="1" applyAlignment="1">
      <alignment horizontal="center"/>
    </xf>
    <xf numFmtId="0" fontId="61" fillId="8" borderId="0" xfId="0" applyFont="1" applyFill="1" applyBorder="1"/>
    <xf numFmtId="0" fontId="61" fillId="7" borderId="0" xfId="0" applyNumberFormat="1" applyFont="1" applyFill="1" applyBorder="1" applyAlignment="1">
      <alignment horizontal="center"/>
    </xf>
    <xf numFmtId="0" fontId="62" fillId="7" borderId="0" xfId="0" applyNumberFormat="1" applyFont="1" applyFill="1" applyBorder="1" applyAlignment="1">
      <alignment horizontal="center"/>
    </xf>
    <xf numFmtId="0" fontId="61" fillId="7" borderId="5" xfId="0" applyNumberFormat="1" applyFont="1" applyFill="1" applyBorder="1" applyAlignment="1">
      <alignment horizontal="center"/>
    </xf>
    <xf numFmtId="0" fontId="61" fillId="11" borderId="0" xfId="0" applyFont="1" applyFill="1" applyBorder="1"/>
    <xf numFmtId="0" fontId="61" fillId="0" borderId="36" xfId="0" applyFont="1" applyBorder="1" applyAlignment="1">
      <alignment horizontal="left" wrapText="1"/>
    </xf>
    <xf numFmtId="0" fontId="61" fillId="7" borderId="47" xfId="0" applyNumberFormat="1" applyFont="1" applyFill="1" applyBorder="1" applyAlignment="1">
      <alignment horizontal="center"/>
    </xf>
    <xf numFmtId="0" fontId="59" fillId="7" borderId="46" xfId="0" applyFont="1" applyFill="1" applyBorder="1" applyAlignment="1">
      <alignment horizontal="center"/>
    </xf>
    <xf numFmtId="0" fontId="61" fillId="7" borderId="34" xfId="0" applyNumberFormat="1" applyFont="1" applyFill="1" applyBorder="1" applyAlignment="1">
      <alignment horizontal="center"/>
    </xf>
    <xf numFmtId="0" fontId="59" fillId="7" borderId="31" xfId="0" applyFont="1" applyFill="1" applyBorder="1" applyAlignment="1">
      <alignment horizontal="center"/>
    </xf>
    <xf numFmtId="0" fontId="61" fillId="7" borderId="42" xfId="0" applyNumberFormat="1" applyFont="1" applyFill="1" applyBorder="1" applyAlignment="1">
      <alignment horizontal="center"/>
    </xf>
    <xf numFmtId="0" fontId="61" fillId="7" borderId="43" xfId="0" applyNumberFormat="1" applyFont="1" applyFill="1" applyBorder="1" applyAlignment="1">
      <alignment horizontal="center"/>
    </xf>
    <xf numFmtId="0" fontId="10" fillId="7" borderId="0" xfId="0" applyFont="1" applyFill="1" applyBorder="1" applyAlignment="1">
      <alignment horizontal="center"/>
    </xf>
    <xf numFmtId="0" fontId="39" fillId="16" borderId="0" xfId="1" applyFont="1" applyFill="1" applyAlignment="1" applyProtection="1">
      <alignment vertical="center" wrapText="1"/>
    </xf>
    <xf numFmtId="0" fontId="1" fillId="0" borderId="0" xfId="1" applyProtection="1"/>
    <xf numFmtId="0" fontId="19" fillId="12" borderId="16" xfId="1" applyFont="1" applyFill="1" applyBorder="1" applyAlignment="1" applyProtection="1">
      <alignment vertical="center"/>
    </xf>
    <xf numFmtId="0" fontId="19" fillId="12" borderId="17" xfId="1" applyFont="1" applyFill="1" applyBorder="1" applyAlignment="1" applyProtection="1">
      <alignment vertical="center"/>
    </xf>
    <xf numFmtId="0" fontId="19" fillId="12" borderId="17" xfId="1" applyFont="1" applyFill="1" applyBorder="1" applyAlignment="1" applyProtection="1">
      <alignment horizontal="right" vertical="center"/>
    </xf>
    <xf numFmtId="0" fontId="49" fillId="12" borderId="17" xfId="1" applyFont="1" applyFill="1" applyBorder="1" applyAlignment="1" applyProtection="1">
      <alignment horizontal="center" vertical="center"/>
    </xf>
    <xf numFmtId="0" fontId="42" fillId="12"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7" fillId="2" borderId="0" xfId="1" applyFont="1" applyFill="1" applyAlignment="1" applyProtection="1">
      <alignment vertical="center"/>
    </xf>
    <xf numFmtId="0" fontId="20" fillId="2" borderId="0" xfId="1" applyFont="1" applyFill="1" applyAlignment="1" applyProtection="1">
      <alignment vertical="center"/>
    </xf>
    <xf numFmtId="0" fontId="54" fillId="2" borderId="0" xfId="1" applyFont="1" applyFill="1" applyAlignment="1" applyProtection="1">
      <alignment vertical="center"/>
    </xf>
    <xf numFmtId="14" fontId="46" fillId="2" borderId="0" xfId="1" applyNumberFormat="1" applyFont="1" applyFill="1" applyAlignment="1" applyProtection="1">
      <alignment vertical="center"/>
    </xf>
    <xf numFmtId="0" fontId="47"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48"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46" fillId="0" borderId="0" xfId="1" applyFont="1" applyAlignment="1" applyProtection="1">
      <alignment vertical="top" wrapText="1"/>
    </xf>
    <xf numFmtId="0" fontId="23" fillId="10" borderId="0" xfId="1" applyFont="1" applyFill="1" applyAlignment="1" applyProtection="1">
      <alignment horizontal="center" vertical="center"/>
    </xf>
    <xf numFmtId="0" fontId="23" fillId="10" borderId="0" xfId="1" applyFont="1" applyFill="1" applyAlignment="1" applyProtection="1">
      <alignment horizontal="left" vertical="center" indent="1"/>
    </xf>
    <xf numFmtId="0" fontId="23" fillId="10" borderId="0" xfId="1" applyFont="1" applyFill="1" applyAlignment="1" applyProtection="1">
      <alignment vertical="center"/>
    </xf>
    <xf numFmtId="0" fontId="23" fillId="10" borderId="22" xfId="1" applyFont="1" applyFill="1" applyBorder="1" applyAlignment="1" applyProtection="1">
      <alignment horizontal="left" vertical="center"/>
    </xf>
    <xf numFmtId="0" fontId="23" fillId="10" borderId="0" xfId="1" applyFont="1" applyFill="1" applyAlignment="1" applyProtection="1">
      <alignment horizontal="left" vertical="center"/>
    </xf>
    <xf numFmtId="0" fontId="23" fillId="10" borderId="18"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0" borderId="0" xfId="1" applyFont="1" applyFill="1" applyAlignment="1" applyProtection="1">
      <alignment horizontal="center" vertical="center" wrapText="1"/>
    </xf>
    <xf numFmtId="0" fontId="23" fillId="10" borderId="32" xfId="1" applyFont="1" applyFill="1" applyBorder="1" applyAlignment="1" applyProtection="1">
      <alignment horizontal="center" vertical="center" wrapText="1"/>
    </xf>
    <xf numFmtId="0" fontId="23" fillId="10" borderId="33"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2" borderId="14"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wrapText="1"/>
    </xf>
    <xf numFmtId="0" fontId="46" fillId="12" borderId="22" xfId="1" applyFont="1" applyFill="1" applyBorder="1" applyAlignment="1" applyProtection="1">
      <alignment horizontal="center" vertical="center" wrapText="1"/>
    </xf>
    <xf numFmtId="0" fontId="46" fillId="12" borderId="18"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wrapText="1"/>
    </xf>
    <xf numFmtId="0" fontId="23" fillId="10" borderId="0" xfId="1" applyFont="1" applyFill="1" applyAlignment="1" applyProtection="1">
      <alignment horizontal="left" vertical="center" wrapText="1"/>
    </xf>
    <xf numFmtId="0" fontId="24" fillId="2" borderId="0" xfId="1" applyFont="1" applyFill="1" applyAlignment="1" applyProtection="1">
      <alignment horizontal="center" vertical="center"/>
    </xf>
    <xf numFmtId="0" fontId="22" fillId="0" borderId="20" xfId="1" applyFont="1" applyBorder="1" applyAlignment="1" applyProtection="1">
      <alignmen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xf numFmtId="0" fontId="48" fillId="2" borderId="0" xfId="1" applyFont="1" applyFill="1" applyAlignment="1" applyProtection="1">
      <alignment vertical="center"/>
      <protection locked="0"/>
    </xf>
    <xf numFmtId="0" fontId="57" fillId="2" borderId="0" xfId="1" applyFont="1" applyFill="1" applyAlignment="1" applyProtection="1">
      <alignment vertical="center"/>
      <protection locked="0"/>
    </xf>
    <xf numFmtId="0" fontId="1" fillId="0" borderId="0" xfId="1" applyAlignment="1" applyProtection="1">
      <alignment horizontal="center" vertical="center"/>
    </xf>
    <xf numFmtId="0" fontId="19" fillId="12" borderId="0" xfId="1" applyFont="1" applyFill="1" applyAlignment="1" applyProtection="1">
      <alignment vertical="center"/>
    </xf>
    <xf numFmtId="0" fontId="19" fillId="12" borderId="0" xfId="1" applyFont="1" applyFill="1" applyAlignment="1" applyProtection="1">
      <alignment horizontal="right" vertical="center"/>
    </xf>
    <xf numFmtId="0" fontId="49" fillId="12" borderId="0" xfId="1" applyFont="1" applyFill="1" applyAlignment="1" applyProtection="1">
      <alignment horizontal="center" vertical="center"/>
    </xf>
    <xf numFmtId="0" fontId="42" fillId="12" borderId="0" xfId="1" applyFont="1" applyFill="1" applyAlignment="1" applyProtection="1">
      <alignment vertical="center"/>
    </xf>
    <xf numFmtId="0" fontId="20" fillId="2" borderId="0" xfId="1" applyFont="1" applyFill="1" applyAlignment="1" applyProtection="1">
      <alignment horizontal="center" vertical="center"/>
    </xf>
    <xf numFmtId="14" fontId="21" fillId="2" borderId="0" xfId="1" applyNumberFormat="1" applyFont="1" applyFill="1" applyAlignment="1" applyProtection="1">
      <alignment vertical="center"/>
    </xf>
    <xf numFmtId="0" fontId="63" fillId="0" borderId="0" xfId="1" applyFont="1" applyAlignment="1" applyProtection="1">
      <alignment horizontal="right" vertical="center"/>
    </xf>
    <xf numFmtId="0" fontId="22" fillId="2" borderId="19" xfId="1" quotePrefix="1" applyFont="1" applyFill="1" applyBorder="1" applyAlignment="1" applyProtection="1">
      <alignment horizontal="center" vertical="center"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46" fillId="15" borderId="22" xfId="1" applyFont="1" applyFill="1" applyBorder="1" applyAlignment="1" applyProtection="1">
      <alignment horizontal="center" vertical="center" wrapText="1"/>
    </xf>
    <xf numFmtId="0" fontId="46" fillId="15" borderId="18" xfId="1" applyFont="1" applyFill="1" applyBorder="1" applyAlignment="1" applyProtection="1">
      <alignment horizontal="center" vertical="center" wrapText="1"/>
    </xf>
    <xf numFmtId="0" fontId="22" fillId="0" borderId="20" xfId="1" applyFont="1" applyBorder="1" applyAlignment="1" applyProtection="1">
      <alignment horizontal="left" vertical="center"/>
    </xf>
    <xf numFmtId="0" fontId="55" fillId="16" borderId="0" xfId="1" applyFont="1" applyFill="1" applyAlignment="1" applyProtection="1">
      <alignment horizontal="left" vertical="center" readingOrder="1"/>
    </xf>
    <xf numFmtId="0" fontId="36" fillId="16" borderId="0" xfId="1" applyFont="1" applyFill="1" applyAlignment="1" applyProtection="1">
      <alignment horizontal="left" vertical="center" readingOrder="1"/>
    </xf>
    <xf numFmtId="0" fontId="21" fillId="16" borderId="0" xfId="1" applyFont="1" applyFill="1" applyAlignment="1" applyProtection="1">
      <alignment horizontal="left" vertical="center" readingOrder="1"/>
    </xf>
    <xf numFmtId="0" fontId="41" fillId="16" borderId="0" xfId="1" applyFont="1" applyFill="1" applyAlignment="1" applyProtection="1">
      <alignment horizontal="center" vertical="center" readingOrder="1"/>
    </xf>
    <xf numFmtId="0" fontId="23" fillId="16" borderId="22" xfId="1" applyFont="1" applyFill="1" applyBorder="1" applyAlignment="1" applyProtection="1">
      <alignment vertical="center" readingOrder="1"/>
    </xf>
    <xf numFmtId="0" fontId="23" fillId="16" borderId="0" xfId="1" applyFont="1" applyFill="1" applyAlignment="1" applyProtection="1">
      <alignment vertical="center" readingOrder="1"/>
    </xf>
    <xf numFmtId="0" fontId="41" fillId="16" borderId="0" xfId="1" applyFont="1" applyFill="1" applyAlignment="1" applyProtection="1">
      <alignment vertical="center" readingOrder="1"/>
    </xf>
    <xf numFmtId="0" fontId="41" fillId="16" borderId="18" xfId="1" applyFont="1" applyFill="1" applyBorder="1" applyAlignment="1" applyProtection="1">
      <alignment vertical="center" readingOrder="1"/>
    </xf>
    <xf numFmtId="0" fontId="38" fillId="16" borderId="0" xfId="1" applyFont="1" applyFill="1" applyProtection="1"/>
    <xf numFmtId="0" fontId="35" fillId="0" borderId="19" xfId="1" applyFont="1" applyBorder="1" applyAlignment="1" applyProtection="1">
      <alignment horizontal="center"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vertical="center"/>
    </xf>
    <xf numFmtId="0" fontId="35" fillId="0" borderId="20" xfId="1" applyFont="1" applyBorder="1" applyAlignment="1" applyProtection="1">
      <alignment vertical="center" wrapText="1"/>
    </xf>
    <xf numFmtId="0" fontId="35" fillId="0" borderId="20" xfId="1" applyFont="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1" fillId="0" borderId="0" xfId="1" applyAlignment="1" applyProtection="1">
      <alignment horizontal="center" vertical="top"/>
    </xf>
    <xf numFmtId="0" fontId="47" fillId="2" borderId="0" xfId="1" applyFont="1" applyFill="1" applyAlignment="1" applyProtection="1">
      <alignment vertical="center"/>
      <protection locked="0"/>
    </xf>
    <xf numFmtId="14" fontId="22" fillId="2" borderId="0" xfId="1" applyNumberFormat="1" applyFont="1" applyFill="1" applyAlignment="1" applyProtection="1">
      <alignment vertical="center"/>
    </xf>
    <xf numFmtId="0" fontId="47" fillId="13" borderId="0" xfId="1" applyFont="1" applyFill="1" applyAlignment="1" applyProtection="1">
      <alignment vertical="center"/>
      <protection locked="0"/>
    </xf>
    <xf numFmtId="0" fontId="22" fillId="5" borderId="14" xfId="1" applyFont="1" applyFill="1" applyBorder="1" applyAlignment="1" applyProtection="1">
      <alignment horizontal="center" vertical="center" wrapText="1"/>
    </xf>
    <xf numFmtId="0" fontId="22" fillId="5" borderId="0" xfId="1" applyFont="1" applyFill="1" applyAlignment="1" applyProtection="1">
      <alignment horizontal="center" vertical="center" wrapText="1"/>
    </xf>
    <xf numFmtId="0" fontId="22" fillId="5" borderId="0" xfId="1" applyFont="1" applyFill="1" applyAlignment="1" applyProtection="1">
      <alignment vertical="center" wrapText="1"/>
    </xf>
    <xf numFmtId="0" fontId="25" fillId="5" borderId="0" xfId="1" applyFont="1" applyFill="1" applyAlignment="1" applyProtection="1">
      <alignment horizontal="left" vertical="center" wrapText="1"/>
    </xf>
    <xf numFmtId="0" fontId="46" fillId="5" borderId="22" xfId="1" applyFont="1" applyFill="1" applyBorder="1" applyAlignment="1" applyProtection="1">
      <alignment horizontal="center" vertical="center" wrapText="1"/>
    </xf>
    <xf numFmtId="0" fontId="46" fillId="5" borderId="18" xfId="1" applyFont="1" applyFill="1" applyBorder="1" applyAlignment="1" applyProtection="1">
      <alignment horizontal="center" vertical="center" wrapText="1"/>
    </xf>
    <xf numFmtId="0" fontId="35" fillId="13" borderId="19" xfId="1" applyFont="1" applyFill="1" applyBorder="1" applyAlignment="1" applyProtection="1">
      <alignment horizontal="center" vertical="center"/>
    </xf>
    <xf numFmtId="0" fontId="35" fillId="13" borderId="20" xfId="1" applyFont="1" applyFill="1" applyBorder="1" applyAlignment="1" applyProtection="1">
      <alignment horizontal="center" vertical="center"/>
    </xf>
    <xf numFmtId="0" fontId="35" fillId="13" borderId="20" xfId="1" applyFont="1" applyFill="1" applyBorder="1" applyAlignment="1" applyProtection="1">
      <alignment vertical="center"/>
    </xf>
    <xf numFmtId="0" fontId="35" fillId="13" borderId="20" xfId="1" applyFont="1" applyFill="1" applyBorder="1" applyAlignment="1" applyProtection="1">
      <alignment vertical="center" wrapText="1"/>
    </xf>
    <xf numFmtId="0" fontId="35" fillId="13" borderId="20" xfId="1" applyFont="1" applyFill="1" applyBorder="1" applyAlignment="1" applyProtection="1">
      <alignment horizontal="center" vertical="center" wrapText="1"/>
    </xf>
    <xf numFmtId="0" fontId="22" fillId="13" borderId="23" xfId="1" applyFont="1" applyFill="1" applyBorder="1" applyAlignment="1" applyProtection="1">
      <alignment horizontal="center" vertical="center" wrapText="1"/>
    </xf>
    <xf numFmtId="0" fontId="22" fillId="13" borderId="24" xfId="1" applyFont="1" applyFill="1" applyBorder="1" applyAlignment="1" applyProtection="1">
      <alignment horizontal="center" vertical="center" wrapText="1"/>
    </xf>
    <xf numFmtId="0" fontId="22" fillId="13" borderId="20" xfId="1" applyFont="1" applyFill="1" applyBorder="1" applyAlignment="1" applyProtection="1">
      <alignment horizontal="center" vertical="center" wrapText="1"/>
    </xf>
    <xf numFmtId="0" fontId="26" fillId="13" borderId="0" xfId="1" applyFont="1" applyFill="1" applyAlignment="1" applyProtection="1">
      <alignment horizontal="center" vertical="center" wrapText="1"/>
    </xf>
    <xf numFmtId="0" fontId="35" fillId="7" borderId="19" xfId="1" applyFont="1" applyFill="1" applyBorder="1" applyAlignment="1" applyProtection="1">
      <alignment horizontal="center" vertical="center"/>
    </xf>
    <xf numFmtId="0" fontId="35" fillId="7" borderId="20" xfId="1" applyFont="1" applyFill="1" applyBorder="1" applyAlignment="1" applyProtection="1">
      <alignment horizontal="center" vertical="center"/>
    </xf>
    <xf numFmtId="0" fontId="35" fillId="7" borderId="20" xfId="1" applyFont="1" applyFill="1" applyBorder="1" applyAlignment="1" applyProtection="1">
      <alignment vertical="center"/>
    </xf>
    <xf numFmtId="0" fontId="35" fillId="7" borderId="20" xfId="1" applyFont="1" applyFill="1" applyBorder="1" applyAlignment="1" applyProtection="1">
      <alignment vertical="center" wrapText="1"/>
    </xf>
    <xf numFmtId="0" fontId="35" fillId="7" borderId="20" xfId="1" applyFont="1" applyFill="1" applyBorder="1" applyAlignment="1" applyProtection="1">
      <alignment horizontal="center" vertical="center" wrapText="1"/>
    </xf>
    <xf numFmtId="0" fontId="22" fillId="7" borderId="23" xfId="1" applyFont="1" applyFill="1" applyBorder="1" applyAlignment="1" applyProtection="1">
      <alignment horizontal="center" vertical="center" wrapText="1"/>
    </xf>
    <xf numFmtId="0" fontId="22" fillId="7" borderId="24" xfId="1" applyFont="1" applyFill="1" applyBorder="1" applyAlignment="1" applyProtection="1">
      <alignment horizontal="center" vertical="center" wrapText="1"/>
    </xf>
    <xf numFmtId="0" fontId="22" fillId="7" borderId="20" xfId="1" applyFont="1" applyFill="1" applyBorder="1" applyAlignment="1" applyProtection="1">
      <alignment horizontal="center" vertical="center" wrapText="1"/>
    </xf>
    <xf numFmtId="0" fontId="26" fillId="7" borderId="0" xfId="1" applyFont="1" applyFill="1" applyAlignment="1" applyProtection="1">
      <alignment horizontal="center" vertical="center" wrapText="1"/>
    </xf>
    <xf numFmtId="0" fontId="47" fillId="7" borderId="0" xfId="1" applyFont="1" applyFill="1" applyAlignment="1" applyProtection="1">
      <alignment vertical="center"/>
      <protection locked="0"/>
    </xf>
    <xf numFmtId="0" fontId="22" fillId="13" borderId="21" xfId="1" applyFont="1" applyFill="1" applyBorder="1" applyAlignment="1" applyProtection="1">
      <alignment horizontal="center" vertical="center" wrapText="1"/>
      <protection locked="0"/>
    </xf>
    <xf numFmtId="0" fontId="22" fillId="7" borderId="21" xfId="1" applyFont="1" applyFill="1" applyBorder="1" applyAlignment="1" applyProtection="1">
      <alignment horizontal="center" vertical="center" wrapText="1"/>
      <protection locked="0"/>
    </xf>
    <xf numFmtId="0" fontId="39" fillId="16" borderId="15"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xf numFmtId="0" fontId="39" fillId="16" borderId="0" xfId="1" applyFont="1" applyFill="1" applyAlignment="1" applyProtection="1">
      <alignment horizontal="left" vertical="center" wrapText="1"/>
    </xf>
  </cellXfs>
  <cellStyles count="3">
    <cellStyle name="Hyperlink" xfId="2" builtinId="8"/>
    <cellStyle name="Normal" xfId="0" builtinId="0"/>
    <cellStyle name="Normal 2" xfId="1"/>
  </cellStyles>
  <dxfs count="445">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FF0000"/>
        <name val="Arial"/>
        <scheme val="none"/>
      </font>
      <numFmt numFmtId="19" formatCode="d/mm/yyyy"/>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FF0000"/>
        <name val="Arial"/>
        <scheme val="none"/>
      </font>
      <protection locked="0" hidden="0"/>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fill>
        <patternFill patternType="solid">
          <fgColor indexed="64"/>
          <bgColor rgb="FF00B050"/>
        </patternFill>
      </fil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0" formatCode="Genera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i/>
        <color rgb="FFFF0000"/>
      </font>
    </dxf>
    <dxf>
      <font>
        <b val="0"/>
        <i/>
      </font>
      <fill>
        <patternFill>
          <bgColor theme="9" tint="0.79998168889431442"/>
        </patternFill>
      </fill>
    </dxf>
    <dxf>
      <font>
        <b val="0"/>
        <i/>
      </font>
      <fill>
        <patternFill>
          <bgColor theme="4" tint="0.79998168889431442"/>
        </patternFill>
      </fill>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ill>
        <patternFill patternType="solid">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91441</xdr:colOff>
      <xdr:row>7</xdr:row>
      <xdr:rowOff>38101</xdr:rowOff>
    </xdr:from>
    <xdr:to>
      <xdr:col>25</xdr:col>
      <xdr:colOff>247651</xdr:colOff>
      <xdr:row>33</xdr:row>
      <xdr:rowOff>219075</xdr:rowOff>
    </xdr:to>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0949941" y="1619251"/>
          <a:ext cx="5642610" cy="62769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SSP2</a:t>
          </a:r>
          <a:r>
            <a:rPr lang="en-AU" sz="1100" b="0">
              <a:solidFill>
                <a:schemeClr val="dk1"/>
              </a:solidFill>
              <a:effectLst/>
              <a:latin typeface="+mn-lt"/>
              <a:ea typeface="+mn-ea"/>
              <a:cs typeface="+mn-cs"/>
            </a:rPr>
            <a:t>.</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97156</xdr:colOff>
      <xdr:row>25</xdr:row>
      <xdr:rowOff>198121</xdr:rowOff>
    </xdr:from>
    <xdr:to>
      <xdr:col>25</xdr:col>
      <xdr:colOff>243842</xdr:colOff>
      <xdr:row>27</xdr:row>
      <xdr:rowOff>177561</xdr:rowOff>
    </xdr:to>
    <xdr:sp macro="" textlink="">
      <xdr:nvSpPr>
        <xdr:cNvPr id="2" name="TextBox 1">
          <a:hlinkClick xmlns:r="http://schemas.openxmlformats.org/officeDocument/2006/relationships" r:id="rId2"/>
          <a:extLst>
            <a:ext uri="{FF2B5EF4-FFF2-40B4-BE49-F238E27FC236}">
              <a16:creationId xmlns:a16="http://schemas.microsoft.com/office/drawing/2014/main" id="{DB321484-BE3B-4A31-86CF-789B405F38F8}"/>
            </a:ext>
          </a:extLst>
        </xdr:cNvPr>
        <xdr:cNvSpPr txBox="1"/>
      </xdr:nvSpPr>
      <xdr:spPr>
        <a:xfrm>
          <a:off x="13698856" y="5989321"/>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512446</xdr:colOff>
      <xdr:row>31</xdr:row>
      <xdr:rowOff>0</xdr:rowOff>
    </xdr:from>
    <xdr:to>
      <xdr:col>25</xdr:col>
      <xdr:colOff>245746</xdr:colOff>
      <xdr:row>32</xdr:row>
      <xdr:rowOff>28575</xdr:rowOff>
    </xdr:to>
    <xdr:sp macro="" textlink="">
      <xdr:nvSpPr>
        <xdr:cNvPr id="5" name="TextBox 4">
          <a:hlinkClick xmlns:r="http://schemas.openxmlformats.org/officeDocument/2006/relationships" r:id="rId3"/>
          <a:extLst>
            <a:ext uri="{FF2B5EF4-FFF2-40B4-BE49-F238E27FC236}">
              <a16:creationId xmlns:a16="http://schemas.microsoft.com/office/drawing/2014/main" id="{6535BD2C-8D46-4AE8-AE5F-DA455249D85E}"/>
            </a:ext>
          </a:extLst>
        </xdr:cNvPr>
        <xdr:cNvSpPr txBox="1"/>
      </xdr:nvSpPr>
      <xdr:spPr>
        <a:xfrm>
          <a:off x="14114146" y="7010400"/>
          <a:ext cx="2476500"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7</xdr:row>
      <xdr:rowOff>1</xdr:rowOff>
    </xdr:from>
    <xdr:to>
      <xdr:col>25</xdr:col>
      <xdr:colOff>356235</xdr:colOff>
      <xdr:row>33</xdr:row>
      <xdr:rowOff>152401</xdr:rowOff>
    </xdr:to>
    <xdr:sp macro="" textlink="">
      <xdr:nvSpPr>
        <xdr:cNvPr id="6" name="TextBox 5">
          <a:extLst>
            <a:ext uri="{FF2B5EF4-FFF2-40B4-BE49-F238E27FC236}">
              <a16:creationId xmlns:a16="http://schemas.microsoft.com/office/drawing/2014/main" id="{00000000-0008-0000-0000-00000B000000}"/>
            </a:ext>
          </a:extLst>
        </xdr:cNvPr>
        <xdr:cNvSpPr txBox="1"/>
      </xdr:nvSpPr>
      <xdr:spPr>
        <a:xfrm>
          <a:off x="10944225" y="1581151"/>
          <a:ext cx="5156835" cy="60388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211456</xdr:colOff>
      <xdr:row>25</xdr:row>
      <xdr:rowOff>112396</xdr:rowOff>
    </xdr:from>
    <xdr:to>
      <xdr:col>25</xdr:col>
      <xdr:colOff>358142</xdr:colOff>
      <xdr:row>27</xdr:row>
      <xdr:rowOff>91836</xdr:rowOff>
    </xdr:to>
    <xdr:sp macro="" textlink="">
      <xdr:nvSpPr>
        <xdr:cNvPr id="4" name="TextBox 3">
          <a:hlinkClick xmlns:r="http://schemas.openxmlformats.org/officeDocument/2006/relationships" r:id="rId2"/>
          <a:extLst>
            <a:ext uri="{FF2B5EF4-FFF2-40B4-BE49-F238E27FC236}">
              <a16:creationId xmlns:a16="http://schemas.microsoft.com/office/drawing/2014/main" id="{DB321484-BE3B-4A31-86CF-789B405F38F8}"/>
            </a:ext>
          </a:extLst>
        </xdr:cNvPr>
        <xdr:cNvSpPr txBox="1"/>
      </xdr:nvSpPr>
      <xdr:spPr>
        <a:xfrm>
          <a:off x="13213081" y="5903596"/>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617221</xdr:colOff>
      <xdr:row>30</xdr:row>
      <xdr:rowOff>190500</xdr:rowOff>
    </xdr:from>
    <xdr:to>
      <xdr:col>25</xdr:col>
      <xdr:colOff>350521</xdr:colOff>
      <xdr:row>31</xdr:row>
      <xdr:rowOff>190500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6535BD2C-8D46-4AE8-AE5F-DA455249D85E}"/>
            </a:ext>
          </a:extLst>
        </xdr:cNvPr>
        <xdr:cNvSpPr txBox="1"/>
      </xdr:nvSpPr>
      <xdr:spPr>
        <a:xfrm>
          <a:off x="13618846" y="6934200"/>
          <a:ext cx="2476500" cy="2667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95251</xdr:colOff>
      <xdr:row>6</xdr:row>
      <xdr:rowOff>38102</xdr:rowOff>
    </xdr:from>
    <xdr:to>
      <xdr:col>25</xdr:col>
      <xdr:colOff>243841</xdr:colOff>
      <xdr:row>28</xdr:row>
      <xdr:rowOff>9525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982451" y="1752602"/>
          <a:ext cx="5634990" cy="50577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Enrolment Guidelines</a:t>
          </a: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100" b="0" baseline="0">
            <a:solidFill>
              <a:schemeClr val="dk1"/>
            </a:solidFill>
            <a:effectLst/>
            <a:latin typeface="+mn-lt"/>
            <a:ea typeface="+mn-ea"/>
            <a:cs typeface="+mn-cs"/>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only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solidFill>
              <a:srgbClr val="FF0000"/>
            </a:solidFill>
          </a:endParaRPr>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24</xdr:row>
      <xdr:rowOff>1906</xdr:rowOff>
    </xdr:from>
    <xdr:to>
      <xdr:col>25</xdr:col>
      <xdr:colOff>243841</xdr:colOff>
      <xdr:row>26</xdr:row>
      <xdr:rowOff>2301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5180946" y="5926456"/>
          <a:ext cx="2436495"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91441</xdr:colOff>
      <xdr:row>7</xdr:row>
      <xdr:rowOff>38100</xdr:rowOff>
    </xdr:from>
    <xdr:to>
      <xdr:col>25</xdr:col>
      <xdr:colOff>247651</xdr:colOff>
      <xdr:row>26</xdr:row>
      <xdr:rowOff>121920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7081" y="2004060"/>
          <a:ext cx="5642610" cy="44958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sz="1000">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000">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a:p>
          <a:pPr rtl="0" fontAlgn="base"/>
          <a:r>
            <a:rPr lang="en-AU" sz="900" b="0" i="0" baseline="0">
              <a:solidFill>
                <a:schemeClr val="dk1"/>
              </a:solidFill>
              <a:effectLst/>
              <a:latin typeface="+mn-lt"/>
              <a:ea typeface="+mn-ea"/>
              <a:cs typeface="+mn-cs"/>
            </a:rPr>
            <a:t>.</a:t>
          </a:r>
          <a:endParaRPr lang="en-AU" sz="900">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22</xdr:row>
      <xdr:rowOff>236221</xdr:rowOff>
    </xdr:from>
    <xdr:to>
      <xdr:col>25</xdr:col>
      <xdr:colOff>249556</xdr:colOff>
      <xdr:row>24</xdr:row>
      <xdr:rowOff>46116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933171" y="5284471"/>
          <a:ext cx="2442210"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3</xdr:row>
      <xdr:rowOff>0</xdr:rowOff>
    </xdr:from>
    <xdr:to>
      <xdr:col>26</xdr:col>
      <xdr:colOff>142875</xdr:colOff>
      <xdr:row>26</xdr:row>
      <xdr:rowOff>161925</xdr:rowOff>
    </xdr:to>
    <xdr:sp macro="" textlink="">
      <xdr:nvSpPr>
        <xdr:cNvPr id="3" name="TextBox 2">
          <a:extLst>
            <a:ext uri="{FF2B5EF4-FFF2-40B4-BE49-F238E27FC236}">
              <a16:creationId xmlns:a16="http://schemas.microsoft.com/office/drawing/2014/main" id="{5459B5C8-243E-4D1D-9726-F58F4C3E168F}"/>
            </a:ext>
          </a:extLst>
        </xdr:cNvPr>
        <xdr:cNvSpPr txBox="1"/>
      </xdr:nvSpPr>
      <xdr:spPr>
        <a:xfrm>
          <a:off x="11753850" y="504825"/>
          <a:ext cx="5629275" cy="540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409575</xdr:colOff>
      <xdr:row>22</xdr:row>
      <xdr:rowOff>66675</xdr:rowOff>
    </xdr:from>
    <xdr:to>
      <xdr:col>26</xdr:col>
      <xdr:colOff>142875</xdr:colOff>
      <xdr:row>23</xdr:row>
      <xdr:rowOff>185180</xdr:rowOff>
    </xdr:to>
    <xdr:sp macro="" textlink="">
      <xdr:nvSpPr>
        <xdr:cNvPr id="4" name="TextBox 3">
          <a:hlinkClick xmlns:r="http://schemas.openxmlformats.org/officeDocument/2006/relationships" r:id="rId2"/>
          <a:extLst>
            <a:ext uri="{FF2B5EF4-FFF2-40B4-BE49-F238E27FC236}">
              <a16:creationId xmlns:a16="http://schemas.microsoft.com/office/drawing/2014/main" id="{7D5F6DD1-12C6-496F-91E4-3EBBAE0AE0ED}"/>
            </a:ext>
          </a:extLst>
        </xdr:cNvPr>
        <xdr:cNvSpPr txBox="1"/>
      </xdr:nvSpPr>
      <xdr:spPr>
        <a:xfrm>
          <a:off x="14906625" y="501967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28575</xdr:colOff>
      <xdr:row>18</xdr:row>
      <xdr:rowOff>9525</xdr:rowOff>
    </xdr:from>
    <xdr:to>
      <xdr:col>26</xdr:col>
      <xdr:colOff>142876</xdr:colOff>
      <xdr:row>19</xdr:row>
      <xdr:rowOff>86120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5004FDBB-3A5A-47C4-9071-782BA15BFDA2}"/>
            </a:ext>
          </a:extLst>
        </xdr:cNvPr>
        <xdr:cNvSpPr txBox="1"/>
      </xdr:nvSpPr>
      <xdr:spPr>
        <a:xfrm>
          <a:off x="14525625" y="39909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8</xdr:row>
      <xdr:rowOff>0</xdr:rowOff>
    </xdr:from>
    <xdr:to>
      <xdr:col>26</xdr:col>
      <xdr:colOff>142875</xdr:colOff>
      <xdr:row>31</xdr:row>
      <xdr:rowOff>38100</xdr:rowOff>
    </xdr:to>
    <xdr:sp macro="" textlink="">
      <xdr:nvSpPr>
        <xdr:cNvPr id="5" name="TextBox 4">
          <a:extLst>
            <a:ext uri="{FF2B5EF4-FFF2-40B4-BE49-F238E27FC236}">
              <a16:creationId xmlns:a16="http://schemas.microsoft.com/office/drawing/2014/main" id="{5459B5C8-243E-4D1D-9726-F58F4C3E168F}"/>
            </a:ext>
          </a:extLst>
        </xdr:cNvPr>
        <xdr:cNvSpPr txBox="1"/>
      </xdr:nvSpPr>
      <xdr:spPr>
        <a:xfrm>
          <a:off x="11753850" y="1828800"/>
          <a:ext cx="5629275" cy="540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28575</xdr:colOff>
      <xdr:row>23</xdr:row>
      <xdr:rowOff>28575</xdr:rowOff>
    </xdr:from>
    <xdr:to>
      <xdr:col>26</xdr:col>
      <xdr:colOff>142876</xdr:colOff>
      <xdr:row>24</xdr:row>
      <xdr:rowOff>105170</xdr:rowOff>
    </xdr:to>
    <xdr:sp macro="" textlink="">
      <xdr:nvSpPr>
        <xdr:cNvPr id="6" name="TextBox 5">
          <a:hlinkClick xmlns:r="http://schemas.openxmlformats.org/officeDocument/2006/relationships" r:id="rId2"/>
          <a:extLst>
            <a:ext uri="{FF2B5EF4-FFF2-40B4-BE49-F238E27FC236}">
              <a16:creationId xmlns:a16="http://schemas.microsoft.com/office/drawing/2014/main" id="{5004FDBB-3A5A-47C4-9071-782BA15BFDA2}"/>
            </a:ext>
          </a:extLst>
        </xdr:cNvPr>
        <xdr:cNvSpPr txBox="1"/>
      </xdr:nvSpPr>
      <xdr:spPr>
        <a:xfrm>
          <a:off x="14525625" y="53244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22</xdr:col>
      <xdr:colOff>409575</xdr:colOff>
      <xdr:row>27</xdr:row>
      <xdr:rowOff>19050</xdr:rowOff>
    </xdr:from>
    <xdr:to>
      <xdr:col>26</xdr:col>
      <xdr:colOff>142875</xdr:colOff>
      <xdr:row>28</xdr:row>
      <xdr:rowOff>166130</xdr:rowOff>
    </xdr:to>
    <xdr:sp macro="" textlink="">
      <xdr:nvSpPr>
        <xdr:cNvPr id="7" name="TextBox 6">
          <a:hlinkClick xmlns:r="http://schemas.openxmlformats.org/officeDocument/2006/relationships" r:id="rId3"/>
          <a:extLst>
            <a:ext uri="{FF2B5EF4-FFF2-40B4-BE49-F238E27FC236}">
              <a16:creationId xmlns:a16="http://schemas.microsoft.com/office/drawing/2014/main" id="{7D5F6DD1-12C6-496F-91E4-3EBBAE0AE0ED}"/>
            </a:ext>
          </a:extLst>
        </xdr:cNvPr>
        <xdr:cNvSpPr txBox="1"/>
      </xdr:nvSpPr>
      <xdr:spPr>
        <a:xfrm>
          <a:off x="14906625" y="6381750"/>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400-000002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121920</xdr:colOff>
      <xdr:row>9</xdr:row>
      <xdr:rowOff>0</xdr:rowOff>
    </xdr:from>
    <xdr:to>
      <xdr:col>25</xdr:col>
      <xdr:colOff>264795</xdr:colOff>
      <xdr:row>35</xdr:row>
      <xdr:rowOff>133349</xdr:rowOff>
    </xdr:to>
    <xdr:sp macro="" textlink="">
      <xdr:nvSpPr>
        <xdr:cNvPr id="2" name="TextBox 1">
          <a:extLst>
            <a:ext uri="{FF2B5EF4-FFF2-40B4-BE49-F238E27FC236}">
              <a16:creationId xmlns:a16="http://schemas.microsoft.com/office/drawing/2014/main" id="{5459B5C8-243E-4D1D-9726-F58F4C3E168F}"/>
            </a:ext>
          </a:extLst>
        </xdr:cNvPr>
        <xdr:cNvSpPr txBox="1"/>
      </xdr:nvSpPr>
      <xdr:spPr>
        <a:xfrm>
          <a:off x="11866245" y="2457450"/>
          <a:ext cx="5629275" cy="60388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21</xdr:col>
      <xdr:colOff>150495</xdr:colOff>
      <xdr:row>26</xdr:row>
      <xdr:rowOff>68580</xdr:rowOff>
    </xdr:from>
    <xdr:to>
      <xdr:col>25</xdr:col>
      <xdr:colOff>264796</xdr:colOff>
      <xdr:row>27</xdr:row>
      <xdr:rowOff>145175</xdr:rowOff>
    </xdr:to>
    <xdr:sp macro="" textlink="">
      <xdr:nvSpPr>
        <xdr:cNvPr id="5" name="TextBox 4">
          <a:hlinkClick xmlns:r="http://schemas.openxmlformats.org/officeDocument/2006/relationships" r:id="rId2"/>
          <a:extLst>
            <a:ext uri="{FF2B5EF4-FFF2-40B4-BE49-F238E27FC236}">
              <a16:creationId xmlns:a16="http://schemas.microsoft.com/office/drawing/2014/main" id="{5004FDBB-3A5A-47C4-9071-782BA15BFDA2}"/>
            </a:ext>
          </a:extLst>
        </xdr:cNvPr>
        <xdr:cNvSpPr txBox="1"/>
      </xdr:nvSpPr>
      <xdr:spPr>
        <a:xfrm>
          <a:off x="14638020" y="6469380"/>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525780</xdr:colOff>
      <xdr:row>30</xdr:row>
      <xdr:rowOff>230505</xdr:rowOff>
    </xdr:from>
    <xdr:to>
      <xdr:col>25</xdr:col>
      <xdr:colOff>259080</xdr:colOff>
      <xdr:row>32</xdr:row>
      <xdr:rowOff>225185</xdr:rowOff>
    </xdr:to>
    <xdr:sp macro="" textlink="">
      <xdr:nvSpPr>
        <xdr:cNvPr id="7" name="TextBox 6">
          <a:hlinkClick xmlns:r="http://schemas.openxmlformats.org/officeDocument/2006/relationships" r:id="rId3"/>
          <a:extLst>
            <a:ext uri="{FF2B5EF4-FFF2-40B4-BE49-F238E27FC236}">
              <a16:creationId xmlns:a16="http://schemas.microsoft.com/office/drawing/2014/main" id="{7D5F6DD1-12C6-496F-91E4-3EBBAE0AE0ED}"/>
            </a:ext>
          </a:extLst>
        </xdr:cNvPr>
        <xdr:cNvSpPr txBox="1"/>
      </xdr:nvSpPr>
      <xdr:spPr>
        <a:xfrm>
          <a:off x="15013305" y="750760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7:G15" totalsRowShown="0" headerRowDxfId="438" dataDxfId="437">
  <autoFilter ref="A7:G15"/>
  <sortState ref="A8:F14">
    <sortCondition ref="A7:A14"/>
  </sortState>
  <tableColumns count="7">
    <tableColumn id="3" name="Choose your Course" dataDxfId="436"/>
    <tableColumn id="1" name="UDC" dataDxfId="435"/>
    <tableColumn id="2" name="Version" dataDxfId="434"/>
    <tableColumn id="5" name="Credit Points" dataDxfId="433"/>
    <tableColumn id="4" name="Effective Date" dataDxfId="432"/>
    <tableColumn id="7" name="Akari Update" dataDxfId="431"/>
    <tableColumn id="6" name="Availabilities" dataDxfId="430"/>
  </tableColumns>
  <tableStyleInfo name="TableStyleLight8" showFirstColumn="0" showLastColumn="0" showRowStripes="1" showColumnStripes="0"/>
</table>
</file>

<file path=xl/tables/table10.xml><?xml version="1.0" encoding="utf-8"?>
<table xmlns="http://schemas.openxmlformats.org/spreadsheetml/2006/main" id="8" name="TableMJRPTCHEC" displayName="TableMJRPTCHEC" ref="A9:O25" totalsRowShown="0">
  <autoFilter ref="A9:O25"/>
  <sortState ref="A11:M42">
    <sortCondition ref="F10:F42"/>
  </sortState>
  <tableColumns count="15">
    <tableColumn id="9" name="UDC" dataDxfId="245">
      <calculatedColumnFormula>TableMJRPTCHEC[[#This Row],[Study Package Code]]</calculatedColumnFormula>
    </tableColumn>
    <tableColumn id="10" name="Version" dataDxfId="244">
      <calculatedColumnFormula>TableMJRPTCHEC[[#This Row],[Ver]]</calculatedColumnFormula>
    </tableColumn>
    <tableColumn id="11" name="OUA Code"/>
    <tableColumn id="12" name="Unit Title" dataDxfId="243">
      <calculatedColumnFormula>TableMJRPTCHEC[[#This Row],[Structure Line]]</calculatedColumnFormula>
    </tableColumn>
    <tableColumn id="13" name="CPs" dataDxfId="242">
      <calculatedColumnFormula>TableMJRPTCHEC[[#This Row],[Credit Points]]</calculatedColumnFormula>
    </tableColumn>
    <tableColumn id="1" name="No." dataDxfId="241"/>
    <tableColumn id="2" name="Component Type" dataDxfId="240"/>
    <tableColumn id="3" name="Year Level" dataDxfId="239"/>
    <tableColumn id="4" name="Study Period" dataDxfId="238"/>
    <tableColumn id="5" name="Study Package Code" dataDxfId="237"/>
    <tableColumn id="6" name="Ver" dataDxfId="236"/>
    <tableColumn id="7" name="Structure Line" dataDxfId="235"/>
    <tableColumn id="8" name="Credit Points" dataDxfId="234"/>
    <tableColumn id="14" name="Effective" dataDxfId="233"/>
    <tableColumn id="15" name="Discont." dataDxfId="232"/>
  </tableColumns>
  <tableStyleInfo name="TableStyleLight1" showFirstColumn="0" showLastColumn="0" showRowStripes="1" showColumnStripes="0"/>
</table>
</file>

<file path=xl/tables/table11.xml><?xml version="1.0" encoding="utf-8"?>
<table xmlns="http://schemas.openxmlformats.org/spreadsheetml/2006/main" id="9" name="TableMJRPTCHPR" displayName="TableMJRPTCHPR" ref="A27:O43" totalsRowShown="0">
  <autoFilter ref="A27:O43"/>
  <sortState ref="AF43:AW53">
    <sortCondition ref="AR42:AR53"/>
  </sortState>
  <tableColumns count="15">
    <tableColumn id="9" name="UDC" dataDxfId="231">
      <calculatedColumnFormula>TableMJRPTCHPR[[#This Row],[Study Package Code]]</calculatedColumnFormula>
    </tableColumn>
    <tableColumn id="10" name="Version" dataDxfId="230">
      <calculatedColumnFormula>TableMJRPTCHPR[[#This Row],[Ver]]</calculatedColumnFormula>
    </tableColumn>
    <tableColumn id="11" name="OUA Code"/>
    <tableColumn id="12" name="Unit Title" dataDxfId="229">
      <calculatedColumnFormula>TableMJRPTCHPR[[#This Row],[Structure Line]]</calculatedColumnFormula>
    </tableColumn>
    <tableColumn id="13" name="CPs" dataDxfId="228">
      <calculatedColumnFormula>TableMJRPTCHPR[[#This Row],[Credit Points]]</calculatedColumnFormula>
    </tableColumn>
    <tableColumn id="1" name="No."/>
    <tableColumn id="2" name="Component Type"/>
    <tableColumn id="3" name="Year Level"/>
    <tableColumn id="4" name="Study Period"/>
    <tableColumn id="5" name="Study Package Code"/>
    <tableColumn id="6" name="Ver" dataDxfId="227"/>
    <tableColumn id="7" name="Structure Line"/>
    <tableColumn id="8" name="Credit Points"/>
    <tableColumn id="14" name="Effective" dataDxfId="226"/>
    <tableColumn id="15" name="Discont." dataDxfId="225"/>
  </tableColumns>
  <tableStyleInfo name="TableStyleLight1" showFirstColumn="0" showLastColumn="0" showRowStripes="1" showColumnStripes="0"/>
</table>
</file>

<file path=xl/tables/table12.xml><?xml version="1.0" encoding="utf-8"?>
<table xmlns="http://schemas.openxmlformats.org/spreadsheetml/2006/main" id="1" name="TableMJRPTCHSC" displayName="TableMJRPTCHSC" ref="A45:O72" totalsRowShown="0">
  <autoFilter ref="A45:O72"/>
  <sortState ref="A37:R47">
    <sortCondition ref="M28:M39"/>
  </sortState>
  <tableColumns count="15">
    <tableColumn id="9" name="UDC" dataDxfId="224">
      <calculatedColumnFormula>TableMJRPTCHSC[[#This Row],[Study Package Code]]</calculatedColumnFormula>
    </tableColumn>
    <tableColumn id="10" name="Version" dataDxfId="223">
      <calculatedColumnFormula>TableMJRPTCHSC[[#This Row],[Ver]]</calculatedColumnFormula>
    </tableColumn>
    <tableColumn id="11" name="OUA Code"/>
    <tableColumn id="12" name="Unit Title" dataDxfId="222">
      <calculatedColumnFormula>TableMJRPTCHSC[[#This Row],[Structure Line]]</calculatedColumnFormula>
    </tableColumn>
    <tableColumn id="13" name="CPs" dataDxfId="221">
      <calculatedColumnFormula>TableMJRPTCHSC[[#This Row],[Credit Points]]</calculatedColumnFormula>
    </tableColumn>
    <tableColumn id="1" name="No."/>
    <tableColumn id="2" name="Component Type"/>
    <tableColumn id="3" name="Year Level"/>
    <tableColumn id="4" name="Study Period"/>
    <tableColumn id="5" name="Study Package Code"/>
    <tableColumn id="6" name="Ver" dataDxfId="220"/>
    <tableColumn id="7" name="Structure Line"/>
    <tableColumn id="8" name="Credit Points"/>
    <tableColumn id="14" name="Effective" dataDxfId="219"/>
    <tableColumn id="15" name="Discont." dataDxfId="218"/>
  </tableColumns>
  <tableStyleInfo name="TableStyleLight1" showFirstColumn="0" showLastColumn="0" showRowStripes="1" showColumnStripes="0"/>
</table>
</file>

<file path=xl/tables/table13.xml><?xml version="1.0" encoding="utf-8"?>
<table xmlns="http://schemas.openxmlformats.org/spreadsheetml/2006/main" id="12" name="TableSTRPSCART" displayName="TableSTRPSCART" ref="A74:O76" totalsRowShown="0">
  <autoFilter ref="A74:O76"/>
  <sortState ref="A77:R87">
    <sortCondition ref="M28:M39"/>
  </sortState>
  <tableColumns count="15">
    <tableColumn id="9" name="UDC" dataDxfId="217">
      <calculatedColumnFormula>TableSTRPSCART[[#This Row],[Study Package Code]]</calculatedColumnFormula>
    </tableColumn>
    <tableColumn id="10" name="Version" dataDxfId="216">
      <calculatedColumnFormula>TableSTRPSCART[[#This Row],[Ver]]</calculatedColumnFormula>
    </tableColumn>
    <tableColumn id="11" name="OUA Code"/>
    <tableColumn id="12" name="Unit Title" dataDxfId="215">
      <calculatedColumnFormula>TableSTRPSCART[[#This Row],[Structure Line]]</calculatedColumnFormula>
    </tableColumn>
    <tableColumn id="13" name="CPs" dataDxfId="214">
      <calculatedColumnFormula>TableSTRPSCART[[#This Row],[Credit Points]]</calculatedColumnFormula>
    </tableColumn>
    <tableColumn id="1" name="No."/>
    <tableColumn id="2" name="Component Type" dataDxfId="213"/>
    <tableColumn id="3" name="Year Level"/>
    <tableColumn id="4" name="Study Period"/>
    <tableColumn id="5" name="Study Package Code"/>
    <tableColumn id="6" name="Ver" dataDxfId="212"/>
    <tableColumn id="7" name="Structure Line"/>
    <tableColumn id="8" name="Credit Points"/>
    <tableColumn id="14" name="Effective" dataDxfId="211"/>
    <tableColumn id="15" name="Discont." dataDxfId="210"/>
  </tableColumns>
  <tableStyleInfo name="TableStyleLight1" showFirstColumn="0" showLastColumn="0" showRowStripes="1" showColumnStripes="0"/>
</table>
</file>

<file path=xl/tables/table14.xml><?xml version="1.0" encoding="utf-8"?>
<table xmlns="http://schemas.openxmlformats.org/spreadsheetml/2006/main" id="14" name="TableSTRPSCENG" displayName="TableSTRPSCENG" ref="A78:O80" totalsRowShown="0">
  <autoFilter ref="A78:O80"/>
  <sortState ref="A82:R92">
    <sortCondition ref="M28:M39"/>
  </sortState>
  <tableColumns count="15">
    <tableColumn id="9" name="UDC" dataDxfId="209">
      <calculatedColumnFormula>TableSTRPSCENG[[#This Row],[Study Package Code]]</calculatedColumnFormula>
    </tableColumn>
    <tableColumn id="10" name="Version" dataDxfId="208">
      <calculatedColumnFormula>TableSTRPSCENG[[#This Row],[Ver]]</calculatedColumnFormula>
    </tableColumn>
    <tableColumn id="11" name="OUA Code"/>
    <tableColumn id="12" name="Unit Title" dataDxfId="207">
      <calculatedColumnFormula>TableSTRPSCENG[[#This Row],[Structure Line]]</calculatedColumnFormula>
    </tableColumn>
    <tableColumn id="13" name="CPs" dataDxfId="206">
      <calculatedColumnFormula>TableSTRPSCENG[[#This Row],[Credit Points]]</calculatedColumnFormula>
    </tableColumn>
    <tableColumn id="1" name="No."/>
    <tableColumn id="2" name="Component Type"/>
    <tableColumn id="3" name="Year Level"/>
    <tableColumn id="4" name="Study Period"/>
    <tableColumn id="5" name="Study Package Code"/>
    <tableColumn id="6" name="Ver" dataDxfId="205"/>
    <tableColumn id="7" name="Structure Line"/>
    <tableColumn id="8" name="Credit Points"/>
    <tableColumn id="14" name="Effective" dataDxfId="204"/>
    <tableColumn id="15" name="Discont." dataDxfId="203"/>
  </tableColumns>
  <tableStyleInfo name="TableStyleLight1" showFirstColumn="0" showLastColumn="0" showRowStripes="1" showColumnStripes="0"/>
</table>
</file>

<file path=xl/tables/table15.xml><?xml version="1.0" encoding="utf-8"?>
<table xmlns="http://schemas.openxmlformats.org/spreadsheetml/2006/main" id="15" name="TableSTRPSCHLP" displayName="TableSTRPSCHLP" ref="A82:O84" totalsRowShown="0">
  <autoFilter ref="A82:O84"/>
  <sortState ref="A87:R97">
    <sortCondition ref="M28:M39"/>
  </sortState>
  <tableColumns count="15">
    <tableColumn id="9" name="UDC" dataDxfId="202">
      <calculatedColumnFormula>TableSTRPSCHLP[[#This Row],[Study Package Code]]</calculatedColumnFormula>
    </tableColumn>
    <tableColumn id="10" name="Version" dataDxfId="201">
      <calculatedColumnFormula>TableSTRPSCHLP[[#This Row],[Ver]]</calculatedColumnFormula>
    </tableColumn>
    <tableColumn id="11" name="OUA Code"/>
    <tableColumn id="12" name="Unit Title" dataDxfId="200">
      <calculatedColumnFormula>TableSTRPSCHLP[[#This Row],[Structure Line]]</calculatedColumnFormula>
    </tableColumn>
    <tableColumn id="13" name="CPs" dataDxfId="199">
      <calculatedColumnFormula>TableSTRPSCHLP[[#This Row],[Credit Points]]</calculatedColumnFormula>
    </tableColumn>
    <tableColumn id="1" name="No."/>
    <tableColumn id="2" name="Component Type"/>
    <tableColumn id="3" name="Year Level"/>
    <tableColumn id="4" name="Study Period"/>
    <tableColumn id="5" name="Study Package Code"/>
    <tableColumn id="6" name="Ver" dataDxfId="198"/>
    <tableColumn id="7" name="Structure Line"/>
    <tableColumn id="8" name="Credit Points"/>
    <tableColumn id="14" name="Effective" dataDxfId="197"/>
    <tableColumn id="15" name="Discont." dataDxfId="196"/>
  </tableColumns>
  <tableStyleInfo name="TableStyleLight1" showFirstColumn="0" showLastColumn="0" showRowStripes="1" showColumnStripes="0"/>
</table>
</file>

<file path=xl/tables/table16.xml><?xml version="1.0" encoding="utf-8"?>
<table xmlns="http://schemas.openxmlformats.org/spreadsheetml/2006/main" id="16" name="TableSTRPSCHUS" displayName="TableSTRPSCHUS" ref="A86:O88" totalsRowShown="0">
  <autoFilter ref="A86:O88"/>
  <sortState ref="A92:R102">
    <sortCondition ref="M28:M39"/>
  </sortState>
  <tableColumns count="15">
    <tableColumn id="9" name="UDC" dataDxfId="195">
      <calculatedColumnFormula>TableSTRPSCHUS[[#This Row],[Study Package Code]]</calculatedColumnFormula>
    </tableColumn>
    <tableColumn id="10" name="Version" dataDxfId="194">
      <calculatedColumnFormula>TableSTRPSCHUS[[#This Row],[Ver]]</calculatedColumnFormula>
    </tableColumn>
    <tableColumn id="11" name="OUA Code"/>
    <tableColumn id="12" name="Unit Title" dataDxfId="193">
      <calculatedColumnFormula>TableSTRPSCHUS[[#This Row],[Structure Line]]</calculatedColumnFormula>
    </tableColumn>
    <tableColumn id="13" name="CPs" dataDxfId="192">
      <calculatedColumnFormula>TableSTRPSCHUS[[#This Row],[Credit Points]]</calculatedColumnFormula>
    </tableColumn>
    <tableColumn id="1" name="No."/>
    <tableColumn id="2" name="Component Type"/>
    <tableColumn id="3" name="Year Level"/>
    <tableColumn id="4" name="Study Period"/>
    <tableColumn id="5" name="Study Package Code"/>
    <tableColumn id="6" name="Ver" dataDxfId="191"/>
    <tableColumn id="7" name="Structure Line"/>
    <tableColumn id="8" name="Credit Points"/>
    <tableColumn id="14" name="Effective" dataDxfId="190"/>
    <tableColumn id="15" name="Discont." dataDxfId="189"/>
  </tableColumns>
  <tableStyleInfo name="TableStyleLight1" showFirstColumn="0" showLastColumn="0" showRowStripes="1" showColumnStripes="0"/>
</table>
</file>

<file path=xl/tables/table17.xml><?xml version="1.0" encoding="utf-8"?>
<table xmlns="http://schemas.openxmlformats.org/spreadsheetml/2006/main" id="17" name="TableSTRPSCMAT" displayName="TableSTRPSCMAT" ref="A90:O92" totalsRowShown="0">
  <autoFilter ref="A90:O92"/>
  <sortState ref="A97:R107">
    <sortCondition ref="M28:M39"/>
  </sortState>
  <tableColumns count="15">
    <tableColumn id="9" name="UDC" dataDxfId="188">
      <calculatedColumnFormula>TableSTRPSCMAT[[#This Row],[Study Package Code]]</calculatedColumnFormula>
    </tableColumn>
    <tableColumn id="10" name="Version" dataDxfId="187">
      <calculatedColumnFormula>TableSTRPSCMAT[[#This Row],[Ver]]</calculatedColumnFormula>
    </tableColumn>
    <tableColumn id="11" name="OUA Code"/>
    <tableColumn id="12" name="Unit Title" dataDxfId="186">
      <calculatedColumnFormula>TableSTRPSCMAT[[#This Row],[Structure Line]]</calculatedColumnFormula>
    </tableColumn>
    <tableColumn id="13" name="CPs" dataDxfId="185">
      <calculatedColumnFormula>TableSTRPSCMAT[[#This Row],[Credit Points]]</calculatedColumnFormula>
    </tableColumn>
    <tableColumn id="1" name="No."/>
    <tableColumn id="2" name="Component Type"/>
    <tableColumn id="3" name="Year Level"/>
    <tableColumn id="4" name="Study Period"/>
    <tableColumn id="5" name="Study Package Code"/>
    <tableColumn id="6" name="Ver" dataDxfId="184"/>
    <tableColumn id="7" name="Structure Line"/>
    <tableColumn id="8" name="Credit Points"/>
    <tableColumn id="14" name="Effective" dataDxfId="183"/>
    <tableColumn id="15" name="Discont." dataDxfId="182"/>
  </tableColumns>
  <tableStyleInfo name="TableStyleLight1" showFirstColumn="0" showLastColumn="0" showRowStripes="1" showColumnStripes="0"/>
</table>
</file>

<file path=xl/tables/table18.xml><?xml version="1.0" encoding="utf-8"?>
<table xmlns="http://schemas.openxmlformats.org/spreadsheetml/2006/main" id="18" name="TableSTRPSCSCI" displayName="TableSTRPSCSCI" ref="A94:O96" totalsRowShown="0">
  <autoFilter ref="A94:O96"/>
  <sortState ref="A102:R112">
    <sortCondition ref="M28:M39"/>
  </sortState>
  <tableColumns count="15">
    <tableColumn id="9" name="UDC" dataDxfId="181">
      <calculatedColumnFormula>TableSTRPSCSCI[[#This Row],[Study Package Code]]</calculatedColumnFormula>
    </tableColumn>
    <tableColumn id="10" name="Version" dataDxfId="180">
      <calculatedColumnFormula>TableSTRPSCSCI[[#This Row],[Ver]]</calculatedColumnFormula>
    </tableColumn>
    <tableColumn id="11" name="OUA Code"/>
    <tableColumn id="12" name="Unit Title" dataDxfId="179">
      <calculatedColumnFormula>TableSTRPSCSCI[[#This Row],[Structure Line]]</calculatedColumnFormula>
    </tableColumn>
    <tableColumn id="13" name="CPs" dataDxfId="178">
      <calculatedColumnFormula>TableSTRPSCSCI[[#This Row],[Credit Points]]</calculatedColumnFormula>
    </tableColumn>
    <tableColumn id="1" name="No."/>
    <tableColumn id="2" name="Component Type"/>
    <tableColumn id="3" name="Year Level"/>
    <tableColumn id="4" name="Study Period"/>
    <tableColumn id="5" name="Study Package Code"/>
    <tableColumn id="6" name="Ver" dataDxfId="177"/>
    <tableColumn id="7" name="Structure Line"/>
    <tableColumn id="8" name="Credit Points"/>
    <tableColumn id="14" name="Effective" dataDxfId="176"/>
    <tableColumn id="15" name="Discont." dataDxfId="175"/>
  </tableColumns>
  <tableStyleInfo name="TableStyleLight1" showFirstColumn="0" showLastColumn="0" showRowStripes="1" showColumnStripes="0"/>
</table>
</file>

<file path=xl/tables/table19.xml><?xml version="1.0" encoding="utf-8"?>
<table xmlns="http://schemas.openxmlformats.org/spreadsheetml/2006/main" id="19" name="TableSTRPSCFON" displayName="TableSTRPSCFON" ref="A98:O100" totalsRowShown="0">
  <autoFilter ref="A98:O100"/>
  <sortState ref="A100:R110">
    <sortCondition ref="M28:M39"/>
  </sortState>
  <tableColumns count="15">
    <tableColumn id="9" name="UDC" dataDxfId="174">
      <calculatedColumnFormula>TableSTRPSCFON[[#This Row],[Study Package Code]]</calculatedColumnFormula>
    </tableColumn>
    <tableColumn id="10" name="Version" dataDxfId="173">
      <calculatedColumnFormula>TableSTRPSCFON[[#This Row],[Ver]]</calculatedColumnFormula>
    </tableColumn>
    <tableColumn id="11" name="OUA Code"/>
    <tableColumn id="12" name="Unit Title" dataDxfId="172">
      <calculatedColumnFormula>TableSTRPSCFON[[#This Row],[Structure Line]]</calculatedColumnFormula>
    </tableColumn>
    <tableColumn id="13" name="CPs" dataDxfId="171">
      <calculatedColumnFormula>TableSTRPSCFON[[#This Row],[Credit Points]]</calculatedColumnFormula>
    </tableColumn>
    <tableColumn id="1" name="No."/>
    <tableColumn id="2" name="Component Type"/>
    <tableColumn id="3" name="Year Level"/>
    <tableColumn id="4" name="Study Period"/>
    <tableColumn id="5" name="Study Package Code"/>
    <tableColumn id="6" name="Ver" dataDxfId="170"/>
    <tableColumn id="7" name="Structure Line"/>
    <tableColumn id="8" name="Credit Points"/>
    <tableColumn id="14" name="Effective" dataDxfId="169"/>
    <tableColumn id="15" name="Discont." dataDxfId="168"/>
  </tableColumns>
  <tableStyleInfo name="TableStyleLight1" showFirstColumn="0" showLastColumn="0" showRowStripes="1" showColumnStripes="0"/>
</table>
</file>

<file path=xl/tables/table2.xml><?xml version="1.0" encoding="utf-8"?>
<table xmlns="http://schemas.openxmlformats.org/spreadsheetml/2006/main" id="5" name="TableMajors" displayName="TableMajors" ref="A25:F28" totalsRowShown="0" headerRowDxfId="429" dataDxfId="428">
  <autoFilter ref="A25:F28"/>
  <tableColumns count="6">
    <tableColumn id="1" name="Choose your Major (drop-down list)" dataDxfId="427"/>
    <tableColumn id="2" name="UDC" dataDxfId="426"/>
    <tableColumn id="3" name="Version" dataDxfId="425"/>
    <tableColumn id="4" name="Credit Points" dataDxfId="424"/>
    <tableColumn id="5" name="Effective Date" dataDxfId="423"/>
    <tableColumn id="6" name="Akari Update" dataDxfId="422"/>
  </tableColumns>
  <tableStyleInfo name="TableStyleLight8" showFirstColumn="0" showLastColumn="0" showRowStripes="1" showColumnStripes="0"/>
</table>
</file>

<file path=xl/tables/table20.xml><?xml version="1.0" encoding="utf-8"?>
<table xmlns="http://schemas.openxmlformats.org/spreadsheetml/2006/main" id="10" name="TableMCTESOL" displayName="TableMCTESOL" ref="A103:O118" totalsRowShown="0">
  <autoFilter ref="A103:O118"/>
  <sortState ref="A104:M135">
    <sortCondition ref="F10:F42"/>
  </sortState>
  <tableColumns count="15">
    <tableColumn id="9" name="UDC" dataDxfId="167">
      <calculatedColumnFormula>TableMCTESOL[[#This Row],[Study Package Code]]</calculatedColumnFormula>
    </tableColumn>
    <tableColumn id="10" name="Version" dataDxfId="166">
      <calculatedColumnFormula>TableMCTESOL[[#This Row],[Ver]]</calculatedColumnFormula>
    </tableColumn>
    <tableColumn id="11" name="OUA Code"/>
    <tableColumn id="12" name="Unit Title" dataDxfId="165">
      <calculatedColumnFormula>TableMCTESOL[[#This Row],[Structure Line]]</calculatedColumnFormula>
    </tableColumn>
    <tableColumn id="13" name="CPs" dataDxfId="164">
      <calculatedColumnFormula>TableMCTESOL[[#This Row],[Credit Points]]</calculatedColumnFormula>
    </tableColumn>
    <tableColumn id="1" name="No." dataDxfId="163"/>
    <tableColumn id="2" name="Component Type" dataDxfId="162"/>
    <tableColumn id="3" name="Year Level" dataDxfId="161"/>
    <tableColumn id="4" name="Study Period" dataDxfId="160"/>
    <tableColumn id="5" name="Study Package Code" dataDxfId="159"/>
    <tableColumn id="6" name="Ver" dataDxfId="158"/>
    <tableColumn id="7" name="Structure Line" dataDxfId="157"/>
    <tableColumn id="8" name="Credit Points" dataDxfId="156"/>
    <tableColumn id="14" name="Effective" dataDxfId="155"/>
    <tableColumn id="15" name="Discont." dataDxfId="154"/>
  </tableColumns>
  <tableStyleInfo name="TableStyleLight1" showFirstColumn="0" showLastColumn="0" showRowStripes="1" showColumnStripes="0"/>
</table>
</file>

<file path=xl/tables/table21.xml><?xml version="1.0" encoding="utf-8"?>
<table xmlns="http://schemas.openxmlformats.org/spreadsheetml/2006/main" id="11" name="TableMCAPLING" displayName="TableMCAPLING" ref="A120:O127" totalsRowShown="0">
  <autoFilter ref="A120:O127"/>
  <sortState ref="A121:M152">
    <sortCondition ref="F10:F42"/>
  </sortState>
  <tableColumns count="15">
    <tableColumn id="9" name="UDC" dataDxfId="153">
      <calculatedColumnFormula>TableMCAPLING[[#This Row],[Study Package Code]]</calculatedColumnFormula>
    </tableColumn>
    <tableColumn id="10" name="Version" dataDxfId="152">
      <calculatedColumnFormula>TableMCAPLING[[#This Row],[Ver]]</calculatedColumnFormula>
    </tableColumn>
    <tableColumn id="11" name="OUA Code"/>
    <tableColumn id="12" name="Unit Title" dataDxfId="151">
      <calculatedColumnFormula>TableMCAPLING[[#This Row],[Structure Line]]</calculatedColumnFormula>
    </tableColumn>
    <tableColumn id="13" name="CPs" dataDxfId="150">
      <calculatedColumnFormula>TableMCAPLING[[#This Row],[Credit Points]]</calculatedColumnFormula>
    </tableColumn>
    <tableColumn id="1" name="No." dataDxfId="149"/>
    <tableColumn id="2" name="Component Type" dataDxfId="148"/>
    <tableColumn id="3" name="Year Level" dataDxfId="147"/>
    <tableColumn id="4" name="Study Period" dataDxfId="146"/>
    <tableColumn id="5" name="Study Package Code" dataDxfId="145"/>
    <tableColumn id="6" name="Ver" dataDxfId="144"/>
    <tableColumn id="7" name="Structure Line" dataDxfId="143"/>
    <tableColumn id="8" name="Credit Points" dataDxfId="142"/>
    <tableColumn id="14" name="Effective" dataDxfId="141"/>
    <tableColumn id="15" name="Discont." dataDxfId="140"/>
  </tableColumns>
  <tableStyleInfo name="TableStyleLight1" showFirstColumn="0" showLastColumn="0" showRowStripes="1" showColumnStripes="0"/>
</table>
</file>

<file path=xl/tables/table22.xml><?xml version="1.0" encoding="utf-8"?>
<table xmlns="http://schemas.openxmlformats.org/spreadsheetml/2006/main" id="22" name="TableGCTESOL" displayName="TableGCTESOL" ref="A129:O133" totalsRowShown="0">
  <autoFilter ref="A129:O133"/>
  <sortState ref="A130:M161">
    <sortCondition ref="F10:F42"/>
  </sortState>
  <tableColumns count="15">
    <tableColumn id="9" name="UDC" dataDxfId="139">
      <calculatedColumnFormula>TableGCTESOL[[#This Row],[Study Package Code]]</calculatedColumnFormula>
    </tableColumn>
    <tableColumn id="10" name="Version" dataDxfId="138">
      <calculatedColumnFormula>TableGCTESOL[[#This Row],[Ver]]</calculatedColumnFormula>
    </tableColumn>
    <tableColumn id="11" name="OUA Code"/>
    <tableColumn id="12" name="Unit Title" dataDxfId="137">
      <calculatedColumnFormula>TableGCTESOL[[#This Row],[Structure Line]]</calculatedColumnFormula>
    </tableColumn>
    <tableColumn id="13" name="CPs" dataDxfId="136">
      <calculatedColumnFormula>TableGCTESOL[[#This Row],[Credit Points]]</calculatedColumnFormula>
    </tableColumn>
    <tableColumn id="1" name="No." dataDxfId="135"/>
    <tableColumn id="2" name="Component Type" dataDxfId="134"/>
    <tableColumn id="3" name="Year Level" dataDxfId="133"/>
    <tableColumn id="4" name="Study Period" dataDxfId="132"/>
    <tableColumn id="5" name="Study Package Code" dataDxfId="131"/>
    <tableColumn id="6" name="Ver" dataDxfId="130"/>
    <tableColumn id="7" name="Structure Line" dataDxfId="129"/>
    <tableColumn id="8" name="Credit Points" dataDxfId="128"/>
    <tableColumn id="14" name="Effective" dataDxfId="127"/>
    <tableColumn id="15" name="Discont." dataDxfId="126"/>
  </tableColumns>
  <tableStyleInfo name="TableStyleLight1" showFirstColumn="0" showLastColumn="0" showRowStripes="1" showColumnStripes="0"/>
</table>
</file>

<file path=xl/tables/table23.xml><?xml version="1.0" encoding="utf-8"?>
<table xmlns="http://schemas.openxmlformats.org/spreadsheetml/2006/main" id="23" name="TableMCEDUC" displayName="TableMCEDUC" ref="A136:O152" totalsRowShown="0">
  <autoFilter ref="A136:O152"/>
  <sortState ref="A137:M168">
    <sortCondition ref="F10:F42"/>
  </sortState>
  <tableColumns count="15">
    <tableColumn id="9" name="UDC" dataDxfId="125">
      <calculatedColumnFormula>TableMCEDUC[[#This Row],[Study Package Code]]</calculatedColumnFormula>
    </tableColumn>
    <tableColumn id="10" name="Version" dataDxfId="124">
      <calculatedColumnFormula>TableMCEDUC[[#This Row],[Ver]]</calculatedColumnFormula>
    </tableColumn>
    <tableColumn id="11" name="OUA Code"/>
    <tableColumn id="12" name="Unit Title" dataDxfId="123">
      <calculatedColumnFormula>TableMCEDUC[[#This Row],[Structure Line]]</calculatedColumnFormula>
    </tableColumn>
    <tableColumn id="13" name="CPs" dataDxfId="122">
      <calculatedColumnFormula>TableMCEDUC[[#This Row],[Credit Points]]</calculatedColumnFormula>
    </tableColumn>
    <tableColumn id="1" name="No." dataDxfId="121"/>
    <tableColumn id="2" name="Component Type" dataDxfId="120"/>
    <tableColumn id="3" name="Year Level" dataDxfId="119"/>
    <tableColumn id="4" name="Study Period" dataDxfId="118"/>
    <tableColumn id="5" name="Study Package Code" dataDxfId="117"/>
    <tableColumn id="6" name="Ver" dataDxfId="116"/>
    <tableColumn id="7" name="Structure Line" dataDxfId="115"/>
    <tableColumn id="8" name="Credit Points" dataDxfId="114"/>
    <tableColumn id="14" name="Effective" dataDxfId="113"/>
    <tableColumn id="15" name="Discont." dataDxfId="112"/>
  </tableColumns>
  <tableStyleInfo name="TableStyleLight1" showFirstColumn="0" showLastColumn="0" showRowStripes="1" showColumnStripes="0"/>
</table>
</file>

<file path=xl/tables/table24.xml><?xml version="1.0" encoding="utf-8"?>
<table xmlns="http://schemas.openxmlformats.org/spreadsheetml/2006/main" id="24" name="TableSPPECULIN" displayName="TableSPPECULIN" ref="A154:O158" totalsRowShown="0">
  <autoFilter ref="A154:O158"/>
  <sortState ref="A155:M186">
    <sortCondition ref="F10:F42"/>
  </sortState>
  <tableColumns count="15">
    <tableColumn id="9" name="UDC" dataDxfId="111">
      <calculatedColumnFormula>TableSPPECULIN[[#This Row],[Study Package Code]]</calculatedColumnFormula>
    </tableColumn>
    <tableColumn id="10" name="Version" dataDxfId="110">
      <calculatedColumnFormula>TableSPPECULIN[[#This Row],[Ver]]</calculatedColumnFormula>
    </tableColumn>
    <tableColumn id="11" name="OUA Code"/>
    <tableColumn id="12" name="Unit Title" dataDxfId="109">
      <calculatedColumnFormula>TableSPPECULIN[[#This Row],[Structure Line]]</calculatedColumnFormula>
    </tableColumn>
    <tableColumn id="13" name="CPs" dataDxfId="108">
      <calculatedColumnFormula>TableSPPECULIN[[#This Row],[Credit Points]]</calculatedColumnFormula>
    </tableColumn>
    <tableColumn id="1" name="No." dataDxfId="107"/>
    <tableColumn id="2" name="Component Type" dataDxfId="106"/>
    <tableColumn id="3" name="Year Level" dataDxfId="105"/>
    <tableColumn id="4" name="Study Period" dataDxfId="104"/>
    <tableColumn id="5" name="Study Package Code" dataDxfId="103"/>
    <tableColumn id="6" name="Ver" dataDxfId="102"/>
    <tableColumn id="7" name="Structure Line" dataDxfId="101"/>
    <tableColumn id="8" name="Credit Points" dataDxfId="100"/>
    <tableColumn id="14" name="Effective" dataDxfId="99"/>
    <tableColumn id="15" name="Discont." dataDxfId="98"/>
  </tableColumns>
  <tableStyleInfo name="TableStyleLight1" showFirstColumn="0" showLastColumn="0" showRowStripes="1" showColumnStripes="0"/>
</table>
</file>

<file path=xl/tables/table25.xml><?xml version="1.0" encoding="utf-8"?>
<table xmlns="http://schemas.openxmlformats.org/spreadsheetml/2006/main" id="25" name="TableSPPELNTCH" displayName="TableSPPELNTCH" ref="A160:O164" totalsRowShown="0">
  <autoFilter ref="A160:O164"/>
  <sortState ref="A161:M192">
    <sortCondition ref="F10:F42"/>
  </sortState>
  <tableColumns count="15">
    <tableColumn id="9" name="UDC" dataDxfId="97">
      <calculatedColumnFormula>TableSPPELNTCH[[#This Row],[Study Package Code]]</calculatedColumnFormula>
    </tableColumn>
    <tableColumn id="10" name="Version" dataDxfId="96">
      <calculatedColumnFormula>TableSPPELNTCH[[#This Row],[Ver]]</calculatedColumnFormula>
    </tableColumn>
    <tableColumn id="11" name="OUA Code"/>
    <tableColumn id="12" name="Unit Title" dataDxfId="95">
      <calculatedColumnFormula>TableSPPELNTCH[[#This Row],[Structure Line]]</calculatedColumnFormula>
    </tableColumn>
    <tableColumn id="13" name="CPs" dataDxfId="94">
      <calculatedColumnFormula>TableSPPELNTCH[[#This Row],[Credit Points]]</calculatedColumnFormula>
    </tableColumn>
    <tableColumn id="1" name="No." dataDxfId="93"/>
    <tableColumn id="2" name="Component Type" dataDxfId="92"/>
    <tableColumn id="3" name="Year Level" dataDxfId="91"/>
    <tableColumn id="4" name="Study Period" dataDxfId="90"/>
    <tableColumn id="5" name="Study Package Code" dataDxfId="89"/>
    <tableColumn id="6" name="Ver" dataDxfId="88"/>
    <tableColumn id="7" name="Structure Line" dataDxfId="87"/>
    <tableColumn id="8" name="Credit Points" dataDxfId="86"/>
    <tableColumn id="14" name="Effective" dataDxfId="85"/>
    <tableColumn id="15" name="Discont." dataDxfId="84"/>
  </tableColumns>
  <tableStyleInfo name="TableStyleLight1" showFirstColumn="0" showLastColumn="0" showRowStripes="1" showColumnStripes="0"/>
</table>
</file>

<file path=xl/tables/table26.xml><?xml version="1.0" encoding="utf-8"?>
<table xmlns="http://schemas.openxmlformats.org/spreadsheetml/2006/main" id="26" name="TableSPPESTEME" displayName="TableSPPESTEME" ref="A166:O170" totalsRowShown="0">
  <autoFilter ref="A166:O170"/>
  <sortState ref="A167:M198">
    <sortCondition ref="F10:F42"/>
  </sortState>
  <tableColumns count="15">
    <tableColumn id="9" name="UDC" dataDxfId="83">
      <calculatedColumnFormula>TableSPPESTEME[[#This Row],[Study Package Code]]</calculatedColumnFormula>
    </tableColumn>
    <tableColumn id="10" name="Version" dataDxfId="82">
      <calculatedColumnFormula>TableSPPESTEME[[#This Row],[Ver]]</calculatedColumnFormula>
    </tableColumn>
    <tableColumn id="11" name="OUA Code"/>
    <tableColumn id="12" name="Unit Title" dataDxfId="81">
      <calculatedColumnFormula>TableSPPESTEME[[#This Row],[Structure Line]]</calculatedColumnFormula>
    </tableColumn>
    <tableColumn id="13" name="CPs" dataDxfId="80">
      <calculatedColumnFormula>TableSPPESTEME[[#This Row],[Credit Points]]</calculatedColumnFormula>
    </tableColumn>
    <tableColumn id="1" name="No." dataDxfId="79"/>
    <tableColumn id="2" name="Component Type" dataDxfId="78"/>
    <tableColumn id="3" name="Year Level" dataDxfId="77"/>
    <tableColumn id="4" name="Study Period" dataDxfId="76"/>
    <tableColumn id="5" name="Study Package Code" dataDxfId="75"/>
    <tableColumn id="6" name="Ver" dataDxfId="74"/>
    <tableColumn id="7" name="Structure Line" dataDxfId="73"/>
    <tableColumn id="8" name="Credit Points" dataDxfId="72"/>
    <tableColumn id="14" name="Effective" dataDxfId="71"/>
    <tableColumn id="15" name="Discont." dataDxfId="70"/>
  </tableColumns>
  <tableStyleInfo name="TableStyleLight1" showFirstColumn="0" showLastColumn="0" showRowStripes="1" showColumnStripes="0"/>
</table>
</file>

<file path=xl/tables/table27.xml><?xml version="1.0" encoding="utf-8"?>
<table xmlns="http://schemas.openxmlformats.org/spreadsheetml/2006/main" id="33" name="TableGCEDUC" displayName="TableGCEDUC" ref="A172:O186" totalsRowShown="0">
  <autoFilter ref="A172:O186"/>
  <sortState ref="A186:M217">
    <sortCondition ref="F10:F42"/>
  </sortState>
  <tableColumns count="15">
    <tableColumn id="9" name="UDC" dataDxfId="69">
      <calculatedColumnFormula>TableGCEDUC[[#This Row],[Study Package Code]]</calculatedColumnFormula>
    </tableColumn>
    <tableColumn id="10" name="Version" dataDxfId="68">
      <calculatedColumnFormula>TableGCEDUC[[#This Row],[Ver]]</calculatedColumnFormula>
    </tableColumn>
    <tableColumn id="11" name="OUA Code"/>
    <tableColumn id="12" name="Unit Title" dataDxfId="67">
      <calculatedColumnFormula>TableGCEDUC[[#This Row],[Structure Line]]</calculatedColumnFormula>
    </tableColumn>
    <tableColumn id="13" name="CPs" dataDxfId="66">
      <calculatedColumnFormula>TableGCEDUC[[#This Row],[Credit Points]]</calculatedColumnFormula>
    </tableColumn>
    <tableColumn id="1" name="No." dataDxfId="65"/>
    <tableColumn id="2" name="Component Type" dataDxfId="64"/>
    <tableColumn id="3" name="Year Level" dataDxfId="63"/>
    <tableColumn id="4" name="Study Period" dataDxfId="62"/>
    <tableColumn id="5" name="Study Package Code" dataDxfId="61"/>
    <tableColumn id="6" name="Ver" dataDxfId="60"/>
    <tableColumn id="7" name="Structure Line" dataDxfId="59"/>
    <tableColumn id="8" name="Credit Points" dataDxfId="58"/>
    <tableColumn id="14" name="Effective" dataDxfId="57"/>
    <tableColumn id="15" name="Discont." dataDxfId="56"/>
  </tableColumns>
  <tableStyleInfo name="TableStyleLight1" showFirstColumn="0" showLastColumn="0" showRowStripes="1" showColumnStripes="0"/>
</table>
</file>

<file path=xl/tables/table28.xml><?xml version="1.0" encoding="utf-8"?>
<table xmlns="http://schemas.openxmlformats.org/spreadsheetml/2006/main" id="36" name="TableGCEDHE" displayName="TableGCEDHE" ref="A189:O193" totalsRowShown="0">
  <autoFilter ref="A189:O193"/>
  <sortState ref="A191:M222">
    <sortCondition ref="F10:F42"/>
  </sortState>
  <tableColumns count="15">
    <tableColumn id="9" name="UDC" dataDxfId="55">
      <calculatedColumnFormula>TableGCEDHE[[#This Row],[Study Package Code]]</calculatedColumnFormula>
    </tableColumn>
    <tableColumn id="10" name="Version" dataDxfId="54">
      <calculatedColumnFormula>TableGCEDHE[[#This Row],[Ver]]</calculatedColumnFormula>
    </tableColumn>
    <tableColumn id="11" name="OUA Code"/>
    <tableColumn id="12" name="Unit Title" dataDxfId="53">
      <calculatedColumnFormula>TableGCEDHE[[#This Row],[Structure Line]]</calculatedColumnFormula>
    </tableColumn>
    <tableColumn id="13" name="CPs" dataDxfId="52">
      <calculatedColumnFormula>TableGCEDHE[[#This Row],[Credit Points]]</calculatedColumnFormula>
    </tableColumn>
    <tableColumn id="1" name="No." dataDxfId="51"/>
    <tableColumn id="2" name="Component Type" dataDxfId="50"/>
    <tableColumn id="3" name="Year Level" dataDxfId="49"/>
    <tableColumn id="4" name="Study Period" dataDxfId="48"/>
    <tableColumn id="5" name="Study Package Code" dataDxfId="47"/>
    <tableColumn id="6" name="Ver" dataDxfId="46"/>
    <tableColumn id="7" name="Structure Line" dataDxfId="45"/>
    <tableColumn id="8" name="Credit Points" dataDxfId="44"/>
    <tableColumn id="14" name="Effective" dataDxfId="43"/>
    <tableColumn id="15" name="Discont." dataDxfId="42"/>
  </tableColumns>
  <tableStyleInfo name="TableStyleLight1" showFirstColumn="0" showLastColumn="0" showRowStripes="1" showColumnStripes="0"/>
</table>
</file>

<file path=xl/tables/table29.xml><?xml version="1.0" encoding="utf-8"?>
<table xmlns="http://schemas.openxmlformats.org/spreadsheetml/2006/main" id="6" name="Table53565754" displayName="Table53565754" ref="Q3:R7" totalsRowShown="0">
  <autoFilter ref="Q3:R7"/>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4" name="TableStudyPeriods" displayName="TableStudyPeriods" ref="A18:E22" totalsRowShown="0" headerRowDxfId="421" dataDxfId="420">
  <autoFilter ref="A18:E22"/>
  <tableColumns count="5">
    <tableColumn id="1" name="Choose your commencing study period (drop-down list)" dataDxfId="419"/>
    <tableColumn id="2" name="START" dataDxfId="418"/>
    <tableColumn id="3" name="Next" dataDxfId="417"/>
    <tableColumn id="4" name="Next2" dataDxfId="416"/>
    <tableColumn id="5" name="Next3" dataDxfId="415"/>
  </tableColumns>
  <tableStyleInfo name="TableStyleLight8" showFirstColumn="0" showLastColumn="0" showRowStripes="1" showColumnStripes="0"/>
</table>
</file>

<file path=xl/tables/table30.xml><?xml version="1.0" encoding="utf-8"?>
<table xmlns="http://schemas.openxmlformats.org/spreadsheetml/2006/main" id="27" name="Table5356575428" displayName="Table5356575428" ref="Q9:R25" totalsRowShown="0">
  <autoFilter ref="Q9:R25"/>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28" name="Table5356575429" displayName="Table5356575429" ref="Q27:R43" totalsRowShown="0">
  <autoFilter ref="Q27:R43"/>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29" name="Table5356575430" displayName="Table5356575430" ref="Q45:R72" totalsRowShown="0">
  <autoFilter ref="Q45:R72"/>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30" name="Table5356575431" displayName="Table5356575431" ref="Q74:R76" totalsRowShown="0">
  <autoFilter ref="Q74:R76"/>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1" name="Table535657543132" displayName="Table535657543132" ref="Q78:R80" totalsRowShown="0">
  <autoFilter ref="Q78:R80"/>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2" name="Table535657543133" displayName="Table535657543133" ref="Q82:R84" totalsRowShown="0">
  <autoFilter ref="Q82:R84"/>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5" name="Table535657543136" displayName="Table535657543136" ref="Q86:R88" totalsRowShown="0">
  <autoFilter ref="Q86:R88"/>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7" name="Table535657543138" displayName="Table535657543138" ref="Q90:R92" totalsRowShown="0">
  <autoFilter ref="Q90:R92"/>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38" name="Table535657543139" displayName="Table535657543139" ref="Q94:R96" totalsRowShown="0">
  <autoFilter ref="Q94:R96"/>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39" name="Table535657543140" displayName="Table535657543140" ref="Q98:R100" totalsRowShown="0">
  <autoFilter ref="Q98:R100"/>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34" name="TableSpecialisationsMCEDUC" displayName="TableSpecialisationsMCEDUC" ref="A31:F35" totalsRowShown="0" headerRowDxfId="414" dataDxfId="413">
  <autoFilter ref="A31:F35"/>
  <tableColumns count="6">
    <tableColumn id="1" name="Choose your MEd Specialisation (drop-down list)" dataDxfId="412"/>
    <tableColumn id="2" name="UDC" dataDxfId="411"/>
    <tableColumn id="3" name="Version" dataDxfId="410"/>
    <tableColumn id="4" name="Credit Points" dataDxfId="409"/>
    <tableColumn id="5" name="Effective Date" dataDxfId="408"/>
    <tableColumn id="6" name="Akari Update" dataDxfId="407"/>
  </tableColumns>
  <tableStyleInfo name="TableStyleLight8" showFirstColumn="0" showLastColumn="0" showRowStripes="1" showColumnStripes="0"/>
</table>
</file>

<file path=xl/tables/table40.xml><?xml version="1.0" encoding="utf-8"?>
<table xmlns="http://schemas.openxmlformats.org/spreadsheetml/2006/main" id="40" name="Table535657543141" displayName="Table535657543141" ref="Q103:R118" totalsRowShown="0">
  <autoFilter ref="Q103:R118"/>
  <tableColumns count="2">
    <tableColumn id="1" name="Column1"/>
    <tableColumn id="2" name="Column2"/>
  </tableColumns>
  <tableStyleInfo name="TableStyleLight4" showFirstColumn="0" showLastColumn="0" showRowStripes="1" showColumnStripes="0"/>
</table>
</file>

<file path=xl/tables/table41.xml><?xml version="1.0" encoding="utf-8"?>
<table xmlns="http://schemas.openxmlformats.org/spreadsheetml/2006/main" id="41" name="Table535657543142" displayName="Table535657543142" ref="Q120:R127" totalsRowShown="0">
  <autoFilter ref="Q120:R127"/>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2" name="Table535657543143" displayName="Table535657543143" ref="Q129:R133" totalsRowShown="0">
  <autoFilter ref="Q129:R133"/>
  <tableColumns count="2">
    <tableColumn id="1" name="Column1"/>
    <tableColumn id="2" name="Column2"/>
  </tableColumns>
  <tableStyleInfo name="TableStyleLight4" showFirstColumn="0" showLastColumn="0" showRowStripes="1" showColumnStripes="0"/>
</table>
</file>

<file path=xl/tables/table43.xml><?xml version="1.0" encoding="utf-8"?>
<table xmlns="http://schemas.openxmlformats.org/spreadsheetml/2006/main" id="43" name="Table535657543144" displayName="Table535657543144" ref="Q136:R152" totalsRowShown="0">
  <autoFilter ref="Q136:R152"/>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4" name="Table535657543145" displayName="Table535657543145" ref="Q154:R158" totalsRowShown="0">
  <autoFilter ref="Q154:R158"/>
  <tableColumns count="2">
    <tableColumn id="1" name="Column1"/>
    <tableColumn id="2" name="Column2"/>
  </tableColumns>
  <tableStyleInfo name="TableStyleLight4" showFirstColumn="0" showLastColumn="0" showRowStripes="1" showColumnStripes="0"/>
</table>
</file>

<file path=xl/tables/table45.xml><?xml version="1.0" encoding="utf-8"?>
<table xmlns="http://schemas.openxmlformats.org/spreadsheetml/2006/main" id="45" name="Table535657543146" displayName="Table535657543146" ref="Q160:R164" totalsRowShown="0">
  <autoFilter ref="Q160:R164"/>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46" name="Table535657543147" displayName="Table535657543147" ref="Q166:R170" totalsRowShown="0">
  <autoFilter ref="Q166:R170"/>
  <tableColumns count="2">
    <tableColumn id="1" name="Column1"/>
    <tableColumn id="2" name="Column2"/>
  </tableColumns>
  <tableStyleInfo name="TableStyleLight4" showFirstColumn="0" showLastColumn="0" showRowStripes="1" showColumnStripes="0"/>
</table>
</file>

<file path=xl/tables/table47.xml><?xml version="1.0" encoding="utf-8"?>
<table xmlns="http://schemas.openxmlformats.org/spreadsheetml/2006/main" id="47" name="Table535657543148" displayName="Table535657543148" ref="Q172:R186" totalsRowShown="0">
  <autoFilter ref="Q172:R186"/>
  <tableColumns count="2">
    <tableColumn id="1" name="Column1"/>
    <tableColumn id="2" name="Column2"/>
  </tableColumns>
  <tableStyleInfo name="TableStyleLight4" showFirstColumn="0" showLastColumn="0" showRowStripes="1" showColumnStripes="0"/>
</table>
</file>

<file path=xl/tables/table48.xml><?xml version="1.0" encoding="utf-8"?>
<table xmlns="http://schemas.openxmlformats.org/spreadsheetml/2006/main" id="48" name="Table535657543149" displayName="Table535657543149" ref="Q189:R193" totalsRowShown="0">
  <autoFilter ref="Q189:R193"/>
  <tableColumns count="2">
    <tableColumn id="1" name="Column1"/>
    <tableColumn id="2" name="Column2"/>
  </tableColumns>
  <tableStyleInfo name="TableStyleLight4" showFirstColumn="0" showLastColumn="0" showRowStripes="1" showColumnStripes="0"/>
</table>
</file>

<file path=xl/tables/table49.xml><?xml version="1.0" encoding="utf-8"?>
<table xmlns="http://schemas.openxmlformats.org/spreadsheetml/2006/main" id="49" name="TableGDEDUC" displayName="TableGDEDUC" ref="A196:O199" totalsRowShown="0">
  <autoFilter ref="A196:O199"/>
  <sortState ref="A197:M228">
    <sortCondition ref="F10:F42"/>
  </sortState>
  <tableColumns count="15">
    <tableColumn id="9" name="UDC" dataDxfId="41">
      <calculatedColumnFormula>TableGDEDUC[[#This Row],[Study Package Code]]</calculatedColumnFormula>
    </tableColumn>
    <tableColumn id="10" name="Version" dataDxfId="40">
      <calculatedColumnFormula>TableGDEDUC[[#This Row],[Ver]]</calculatedColumnFormula>
    </tableColumn>
    <tableColumn id="11" name="OUA Code"/>
    <tableColumn id="12" name="Unit Title" dataDxfId="39">
      <calculatedColumnFormula>TableGDEDUC[[#This Row],[Structure Line]]</calculatedColumnFormula>
    </tableColumn>
    <tableColumn id="13" name="CPs" dataDxfId="38">
      <calculatedColumnFormula>TableGDEDUC[[#This Row],[Credit Points]]</calculatedColumnFormula>
    </tableColumn>
    <tableColumn id="1" name="No." dataDxfId="37"/>
    <tableColumn id="2" name="Component Type" dataDxfId="36"/>
    <tableColumn id="3" name="Year Level" dataDxfId="35"/>
    <tableColumn id="4" name="Study Period" dataDxfId="34"/>
    <tableColumn id="5" name="Study Package Code" dataDxfId="33"/>
    <tableColumn id="6" name="Ver" dataDxfId="32"/>
    <tableColumn id="7" name="Structure Line" dataDxfId="31"/>
    <tableColumn id="8" name="Credit Points" dataDxfId="30"/>
    <tableColumn id="14" name="Effective" dataDxfId="29"/>
    <tableColumn id="15" name="Discont." dataDxfId="28"/>
  </tableColumns>
  <tableStyleInfo name="TableStyleLight1" showFirstColumn="0" showLastColumn="0" showRowStripes="1" showColumnStripes="0"/>
</table>
</file>

<file path=xl/tables/table5.xml><?xml version="1.0" encoding="utf-8"?>
<table xmlns="http://schemas.openxmlformats.org/spreadsheetml/2006/main" id="20" name="TableTeachingArea1" displayName="TableTeachingArea1" ref="A6:G12" totalsRowShown="0" headerRowDxfId="397" dataDxfId="396">
  <autoFilter ref="A6:G12"/>
  <tableColumns count="7">
    <tableColumn id="1" name="Choose your First Approved Teaching Area (drop-down list)" dataDxfId="395"/>
    <tableColumn id="2" name="UDC" dataDxfId="394"/>
    <tableColumn id="6" name="Version" dataDxfId="393"/>
    <tableColumn id="3" name="Credit Points" dataDxfId="392"/>
    <tableColumn id="4" name="Effective Date" dataDxfId="391"/>
    <tableColumn id="5" name="Akari Update" dataDxfId="390"/>
    <tableColumn id="7" name="Availabilities" dataDxfId="389"/>
  </tableColumns>
  <tableStyleInfo name="TableStyleLight8" showFirstColumn="0" showLastColumn="0" showRowStripes="1" showColumnStripes="0"/>
</table>
</file>

<file path=xl/tables/table50.xml><?xml version="1.0" encoding="utf-8"?>
<table xmlns="http://schemas.openxmlformats.org/spreadsheetml/2006/main" id="50" name="Table53565754314451" displayName="Table53565754314451" ref="Q196:R199" totalsRowShown="0">
  <autoFilter ref="Q196:R199"/>
  <tableColumns count="2">
    <tableColumn id="1" name="Column1"/>
    <tableColumn id="2" name="Column2"/>
  </tableColumns>
  <tableStyleInfo name="TableStyleLight4" showFirstColumn="0" showLastColumn="0" showRowStripes="1" showColumnStripes="0"/>
</table>
</file>

<file path=xl/tables/table51.xml><?xml version="1.0" encoding="utf-8"?>
<table xmlns="http://schemas.openxmlformats.org/spreadsheetml/2006/main" id="52" name="TableMJRPEDUPR" displayName="TableMJRPEDUPR" ref="A201:O209" totalsRowShown="0">
  <autoFilter ref="A201:O209"/>
  <sortState ref="A215:M246">
    <sortCondition ref="F10:F42"/>
  </sortState>
  <tableColumns count="15">
    <tableColumn id="9" name="UDC" dataDxfId="27">
      <calculatedColumnFormula>TableMJRPEDUPR[[#This Row],[Study Package Code]]</calculatedColumnFormula>
    </tableColumn>
    <tableColumn id="10" name="Version" dataDxfId="26">
      <calculatedColumnFormula>TableMJRPEDUPR[[#This Row],[Ver]]</calculatedColumnFormula>
    </tableColumn>
    <tableColumn id="11" name="OUA Code"/>
    <tableColumn id="12" name="Unit Title" dataDxfId="25">
      <calculatedColumnFormula>TableMJRPEDUPR[[#This Row],[Structure Line]]</calculatedColumnFormula>
    </tableColumn>
    <tableColumn id="13" name="CPs" dataDxfId="24">
      <calculatedColumnFormula>TableMJRPEDUPR[[#This Row],[Credit Points]]</calculatedColumnFormula>
    </tableColumn>
    <tableColumn id="1" name="No." dataDxfId="23"/>
    <tableColumn id="2" name="Component Type" dataDxfId="22"/>
    <tableColumn id="3" name="Year Level" dataDxfId="21"/>
    <tableColumn id="4" name="Study Period" dataDxfId="20"/>
    <tableColumn id="5" name="Study Package Code" dataDxfId="19"/>
    <tableColumn id="6" name="Ver" dataDxfId="18"/>
    <tableColumn id="7" name="Structure Line" dataDxfId="17"/>
    <tableColumn id="8" name="Credit Points" dataDxfId="16"/>
    <tableColumn id="14" name="Effective" dataDxfId="15"/>
    <tableColumn id="15" name="Discont." dataDxfId="14"/>
  </tableColumns>
  <tableStyleInfo name="TableStyleLight1" showFirstColumn="0" showLastColumn="0" showRowStripes="1" showColumnStripes="0"/>
</table>
</file>

<file path=xl/tables/table52.xml><?xml version="1.0" encoding="utf-8"?>
<table xmlns="http://schemas.openxmlformats.org/spreadsheetml/2006/main" id="53" name="Table5356575431445154" displayName="Table5356575431445154" ref="Q201:R209" totalsRowShown="0">
  <autoFilter ref="Q201:R209"/>
  <tableColumns count="2">
    <tableColumn id="1" name="Column1"/>
    <tableColumn id="2" name="Column2"/>
  </tableColumns>
  <tableStyleInfo name="TableStyleLight4" showFirstColumn="0" showLastColumn="0" showRowStripes="1" showColumnStripes="0"/>
</table>
</file>

<file path=xl/tables/table53.xml><?xml version="1.0" encoding="utf-8"?>
<table xmlns="http://schemas.openxmlformats.org/spreadsheetml/2006/main" id="54" name="TableMJRPEDUSC" displayName="TableMJRPEDUSC" ref="A211:O224" totalsRowShown="0">
  <autoFilter ref="A211:O224"/>
  <sortState ref="A233:M264">
    <sortCondition ref="F10:F42"/>
  </sortState>
  <tableColumns count="15">
    <tableColumn id="9" name="UDC" dataDxfId="13">
      <calculatedColumnFormula>TableMJRPEDUSC[[#This Row],[Study Package Code]]</calculatedColumnFormula>
    </tableColumn>
    <tableColumn id="10" name="Version" dataDxfId="12">
      <calculatedColumnFormula>TableMJRPEDUSC[[#This Row],[Ver]]</calculatedColumnFormula>
    </tableColumn>
    <tableColumn id="11" name="OUA Code"/>
    <tableColumn id="12" name="Unit Title" dataDxfId="11">
      <calculatedColumnFormula>TableMJRPEDUSC[[#This Row],[Structure Line]]</calculatedColumnFormula>
    </tableColumn>
    <tableColumn id="13" name="CPs" dataDxfId="10">
      <calculatedColumnFormula>TableMJRPEDUSC[[#This Row],[Credit Points]]</calculatedColumnFormula>
    </tableColumn>
    <tableColumn id="1"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54.xml><?xml version="1.0" encoding="utf-8"?>
<table xmlns="http://schemas.openxmlformats.org/spreadsheetml/2006/main" id="55" name="Table535657543144515456" displayName="Table535657543144515456" ref="Q211:R224" totalsRowShown="0">
  <autoFilter ref="Q211:R224"/>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13" name="TableAvailabilities" displayName="TableAvailabilities" ref="A4:I70" totalsRowShown="0">
  <autoFilter ref="A4:I70"/>
  <sortState ref="A5:I30">
    <sortCondition ref="A4:A30"/>
  </sortState>
  <tableColumns count="9">
    <tableColumn id="1" name="Row Labels"/>
    <tableColumn id="2" name="Internal"/>
    <tableColumn id="3" name="Online"/>
    <tableColumn id="6" name="Internal2"/>
    <tableColumn id="7" name="Online3"/>
    <tableColumn id="8" name="Internal4"/>
    <tableColumn id="9" name="Online5"/>
    <tableColumn id="4" name="Internal6"/>
    <tableColumn id="5" name="Online7"/>
  </tableColumns>
  <tableStyleInfo name="TableStyleLight7" showFirstColumn="0" showLastColumn="0" showRowStripes="1" showColumnStripes="0"/>
</table>
</file>

<file path=xl/tables/table6.xml><?xml version="1.0" encoding="utf-8"?>
<table xmlns="http://schemas.openxmlformats.org/spreadsheetml/2006/main" id="21" name="TableTeachingArea2" displayName="TableTeachingArea2" ref="A15:G22" totalsRowShown="0" headerRowDxfId="388" dataDxfId="387">
  <autoFilter ref="A15:G22"/>
  <tableColumns count="7">
    <tableColumn id="1" name="Choose your Second Approved Teaching Area" dataDxfId="386"/>
    <tableColumn id="2" name="UDC" dataDxfId="385"/>
    <tableColumn id="3" name="Version" dataDxfId="384"/>
    <tableColumn id="4" name="Credit Points" dataDxfId="383"/>
    <tableColumn id="5" name="Effective Date" dataDxfId="382"/>
    <tableColumn id="6" name="Akari Update" dataDxfId="381"/>
    <tableColumn id="7" name="Availabilities" dataDxfId="380"/>
  </tableColumns>
  <tableStyleInfo name="TableStyleLight8" showFirstColumn="0" showLastColumn="0" showRowStripes="1" showColumnStripes="0"/>
</table>
</file>

<file path=xl/tables/table7.xml><?xml version="1.0" encoding="utf-8"?>
<table xmlns="http://schemas.openxmlformats.org/spreadsheetml/2006/main" id="51" name="TableMajorsGDEDUC" displayName="TableMajorsGDEDUC" ref="A25:G27" totalsRowShown="0" headerRowDxfId="379" dataDxfId="378">
  <autoFilter ref="A25:G27"/>
  <tableColumns count="7">
    <tableColumn id="1" name="Choose your Major" dataDxfId="377"/>
    <tableColumn id="2" name="UDC" dataDxfId="376"/>
    <tableColumn id="3" name="Version" dataDxfId="375"/>
    <tableColumn id="4" name="Credit Points" dataDxfId="374"/>
    <tableColumn id="5" name="Effective Date" dataDxfId="373"/>
    <tableColumn id="6" name="Akari Update" dataDxfId="372"/>
    <tableColumn id="7" name="Availabilities" dataDxfId="371"/>
  </tableColumns>
  <tableStyleInfo name="TableStyleLight8" showFirstColumn="0" showLastColumn="0" showRowStripes="1" showColumnStripes="0"/>
</table>
</file>

<file path=xl/tables/table8.xml><?xml version="1.0" encoding="utf-8"?>
<table xmlns="http://schemas.openxmlformats.org/spreadsheetml/2006/main" id="2" name="TableHandbook" displayName="TableHandbook" ref="A3:AL102" totalsRowShown="0" headerRowDxfId="367" dataDxfId="365" headerRowBorderDxfId="366" tableBorderDxfId="364">
  <autoFilter ref="A3:AL102"/>
  <sortState ref="A4:AI126">
    <sortCondition ref="A3:A126"/>
  </sortState>
  <tableColumns count="38">
    <tableColumn id="1" name="UDC" dataDxfId="363"/>
    <tableColumn id="2" name="Ver" dataDxfId="362"/>
    <tableColumn id="3" name="OUA Cd" dataDxfId="361"/>
    <tableColumn id="4" name="Title" dataDxfId="360"/>
    <tableColumn id="5" name="Credits" dataDxfId="359"/>
    <tableColumn id="6" name="Pre-reqs" dataDxfId="358"/>
    <tableColumn id="12" name="SSP1 BEN" dataDxfId="357">
      <calculatedColumnFormula>IFERROR(IF(VLOOKUP(TableHandbook[[#This Row],[UDC]],TableAvailabilities[],2,FALSE)&gt;0,"Y",""),"")</calculatedColumnFormula>
    </tableColumn>
    <tableColumn id="17" name="SSP1 FO" dataDxfId="356">
      <calculatedColumnFormula>IFERROR(IF(VLOOKUP(TableHandbook[[#This Row],[UDC]],TableAvailabilities[],3,FALSE)&gt;0,"Y",""),"")</calculatedColumnFormula>
    </tableColumn>
    <tableColumn id="18" name="SSP2 BEN" dataDxfId="355">
      <calculatedColumnFormula>IFERROR(IF(VLOOKUP(TableHandbook[[#This Row],[UDC]],TableAvailabilities[],4,FALSE)&gt;0,"Y",""),"")</calculatedColumnFormula>
    </tableColumn>
    <tableColumn id="7" name="SSP2 FO" dataDxfId="354">
      <calculatedColumnFormula>IFERROR(IF(VLOOKUP(TableHandbook[[#This Row],[UDC]],TableAvailabilities[],5,FALSE)&gt;0,"Y",""),"")</calculatedColumnFormula>
    </tableColumn>
    <tableColumn id="11" name="SSP3 BEN" dataDxfId="353">
      <calculatedColumnFormula>IFERROR(IF(VLOOKUP(TableHandbook[[#This Row],[UDC]],TableAvailabilities[],6,FALSE)&gt;0,"Y",""),"")</calculatedColumnFormula>
    </tableColumn>
    <tableColumn id="13" name="SSP3 FO" dataDxfId="352">
      <calculatedColumnFormula>IFERROR(IF(VLOOKUP(TableHandbook[[#This Row],[UDC]],TableAvailabilities[],7,FALSE)&gt;0,"Y",""),"")</calculatedColumnFormula>
    </tableColumn>
    <tableColumn id="14" name="SSP4 BEN" dataDxfId="351">
      <calculatedColumnFormula>IFERROR(IF(VLOOKUP(TableHandbook[[#This Row],[UDC]],TableAvailabilities[],8,FALSE)&gt;0,"Y",""),"")</calculatedColumnFormula>
    </tableColumn>
    <tableColumn id="15" name="SSP4 FO" dataDxfId="350">
      <calculatedColumnFormula>IFERROR(IF(VLOOKUP(TableHandbook[[#This Row],[UDC]],TableAvailabilities[],9,FALSE)&gt;0,"Y",""),"")</calculatedColumnFormula>
    </tableColumn>
    <tableColumn id="16" name="Notes" dataDxfId="349"/>
    <tableColumn id="8" name="MC-TEACH" dataDxfId="348">
      <calculatedColumnFormula>IFERROR(VLOOKUP(TableHandbook[[#This Row],[UDC]],TableMCTEACH[],7,FALSE),"")</calculatedColumnFormula>
    </tableColumn>
    <tableColumn id="9" name="MJRP-TCHEC" dataDxfId="347">
      <calculatedColumnFormula>IFERROR(VLOOKUP(TableHandbook[[#This Row],[UDC]],TableMJRPTCHEC[],7,FALSE),"")</calculatedColumnFormula>
    </tableColumn>
    <tableColumn id="10" name="MJRP-TCHPR" dataDxfId="346">
      <calculatedColumnFormula>IFERROR(VLOOKUP(TableHandbook[[#This Row],[UDC]],TableMJRPTCHPR[],7,FALSE),"")</calculatedColumnFormula>
    </tableColumn>
    <tableColumn id="20" name="MJRP-TCHSC" dataDxfId="345">
      <calculatedColumnFormula>IFERROR(VLOOKUP(TableHandbook[[#This Row],[UDC]],TableMJRPTCHSC[],7,FALSE),"")</calculatedColumnFormula>
    </tableColumn>
    <tableColumn id="19" name="STRP-SCART" dataDxfId="344">
      <calculatedColumnFormula>IFERROR(VLOOKUP(TableHandbook[[#This Row],[UDC]],TableSTRPSCART[],7,FALSE),"")</calculatedColumnFormula>
    </tableColumn>
    <tableColumn id="21" name="STRP-SCENG" dataDxfId="343">
      <calculatedColumnFormula>IFERROR(VLOOKUP(TableHandbook[[#This Row],[UDC]],TableSTRPSCENG[],7,FALSE),"")</calculatedColumnFormula>
    </tableColumn>
    <tableColumn id="22" name="STRP-SCHLP" dataDxfId="342">
      <calculatedColumnFormula>IFERROR(VLOOKUP(TableHandbook[[#This Row],[UDC]],TableSTRPSCHLP[],7,FALSE),"")</calculatedColumnFormula>
    </tableColumn>
    <tableColumn id="23" name="STRP-SCHUS" dataDxfId="341">
      <calculatedColumnFormula>IFERROR(VLOOKUP(TableHandbook[[#This Row],[UDC]],TableSTRPSCHUS[],7,FALSE),"")</calculatedColumnFormula>
    </tableColumn>
    <tableColumn id="24" name="STRP-SCMAT" dataDxfId="340">
      <calculatedColumnFormula>IFERROR(VLOOKUP(TableHandbook[[#This Row],[UDC]],TableSTRPSCMAT[],7,FALSE),"")</calculatedColumnFormula>
    </tableColumn>
    <tableColumn id="25" name="STRP-SCSCI" dataDxfId="339">
      <calculatedColumnFormula>IFERROR(VLOOKUP(TableHandbook[[#This Row],[UDC]],TableSTRPSCSCI[],7,FALSE),"")</calculatedColumnFormula>
    </tableColumn>
    <tableColumn id="26" name="STRP-SCFON" dataDxfId="338">
      <calculatedColumnFormula>IFERROR(VLOOKUP(TableHandbook[[#This Row],[UDC]],TableSTRPSCFON[],7,FALSE),"")</calculatedColumnFormula>
    </tableColumn>
    <tableColumn id="29" name="GC-TESOL" dataDxfId="337">
      <calculatedColumnFormula>IFERROR(VLOOKUP(TableHandbook[[#This Row],[UDC]],TableGCTESOL[],7,FALSE),"")</calculatedColumnFormula>
    </tableColumn>
    <tableColumn id="27" name="MC-TESOL" dataDxfId="336">
      <calculatedColumnFormula>IFERROR(VLOOKUP(TableHandbook[[#This Row],[UDC]],TableMCTESOL[],7,FALSE),"")</calculatedColumnFormula>
    </tableColumn>
    <tableColumn id="28" name="MC-APLING" dataDxfId="335">
      <calculatedColumnFormula>IFERROR(VLOOKUP(TableHandbook[[#This Row],[UDC]],TableMCAPLING[],7,FALSE),"")</calculatedColumnFormula>
    </tableColumn>
    <tableColumn id="35" name="GC-EDHE" dataDxfId="334">
      <calculatedColumnFormula>IFERROR(VLOOKUP(TableHandbook[[#This Row],[UDC]],TableGCEDHE[],7,FALSE),"")</calculatedColumnFormula>
    </tableColumn>
    <tableColumn id="34" name="GC-EDUC" dataDxfId="333">
      <calculatedColumnFormula>IFERROR(VLOOKUP(TableHandbook[[#This Row],[UDC]],TableGCEDUC[],7,FALSE),"")</calculatedColumnFormula>
    </tableColumn>
    <tableColumn id="36" name="GD-EDUC" dataDxfId="332">
      <calculatedColumnFormula>IFERROR(VLOOKUP(TableHandbook[[#This Row],[UDC]],TableGDEDUC[],7,FALSE),"")</calculatedColumnFormula>
    </tableColumn>
    <tableColumn id="37" name="MJRP-EDUPR" dataDxfId="331">
      <calculatedColumnFormula>IFERROR(VLOOKUP(TableHandbook[[#This Row],[UDC]],TableMJRPEDUPR[],7,FALSE),"")</calculatedColumnFormula>
    </tableColumn>
    <tableColumn id="38" name="MJRP-EDUSC" dataDxfId="330">
      <calculatedColumnFormula>IFERROR(VLOOKUP(TableHandbook[[#This Row],[UDC]],TableMJRPEDUSC[],7,FALSE),"")</calculatedColumnFormula>
    </tableColumn>
    <tableColumn id="30" name="MC-EDUC" dataDxfId="329">
      <calculatedColumnFormula>IFERROR(VLOOKUP(TableHandbook[[#This Row],[UDC]],TableMCEDUC[],7,FALSE),"")</calculatedColumnFormula>
    </tableColumn>
    <tableColumn id="31" name="SPPE-CULIN" dataDxfId="328">
      <calculatedColumnFormula>IFERROR(VLOOKUP(TableHandbook[[#This Row],[UDC]],TableSPPECULIN[],7,FALSE),"")</calculatedColumnFormula>
    </tableColumn>
    <tableColumn id="32" name="SPPE-LNTCH" dataDxfId="327">
      <calculatedColumnFormula>IFERROR(VLOOKUP(TableHandbook[[#This Row],[UDC]],TableSPPELNTCH[],7,FALSE),"")</calculatedColumnFormula>
    </tableColumn>
    <tableColumn id="33" name="SPPE-STEME" dataDxfId="326">
      <calculatedColumnFormula>IFERROR(VLOOKUP(TableHandbook[[#This Row],[UDC]],TableSPPESTEME[],7,FALSE),"")</calculatedColumnFormula>
    </tableColumn>
  </tableColumns>
  <tableStyleInfo name="TableStyleLight8" showFirstColumn="0" showLastColumn="0" showRowStripes="1" showColumnStripes="0"/>
</table>
</file>

<file path=xl/tables/table9.xml><?xml version="1.0" encoding="utf-8"?>
<table xmlns="http://schemas.openxmlformats.org/spreadsheetml/2006/main" id="7" name="TableMCTEACH" displayName="TableMCTEACH" ref="A3:O7" totalsRowShown="0">
  <autoFilter ref="A3:O7"/>
  <sortState ref="AF24:AW31">
    <sortCondition ref="AS11:AS19"/>
  </sortState>
  <tableColumns count="15">
    <tableColumn id="15" name="UDC" dataDxfId="252">
      <calculatedColumnFormula>TableMCTEACH[[#This Row],[Study Package Code]]</calculatedColumnFormula>
    </tableColumn>
    <tableColumn id="16" name="Version" dataDxfId="251">
      <calculatedColumnFormula>TableMCTEACH[[#This Row],[Ver]]</calculatedColumnFormula>
    </tableColumn>
    <tableColumn id="17" name="OUA Code"/>
    <tableColumn id="18" name="Unit Title" dataDxfId="250">
      <calculatedColumnFormula>TableMCTEACH[[#This Row],[Structure Line]]</calculatedColumnFormula>
    </tableColumn>
    <tableColumn id="19" name="CPs" dataDxfId="249">
      <calculatedColumnFormula>TableMCTEACH[[#This Row],[Credit Points]]</calculatedColumnFormula>
    </tableColumn>
    <tableColumn id="1" name="No."/>
    <tableColumn id="2" name="Component Type"/>
    <tableColumn id="3" name="Year Level"/>
    <tableColumn id="4" name="Study Period"/>
    <tableColumn id="5" name="Study Package Code"/>
    <tableColumn id="6" name="Ver" dataDxfId="248"/>
    <tableColumn id="7" name="Structure Line"/>
    <tableColumn id="8" name="Credit Points"/>
    <tableColumn id="9" name="Effective" dataDxfId="247"/>
    <tableColumn id="10" name="Discont." dataDxfId="24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26" Type="http://schemas.openxmlformats.org/officeDocument/2006/relationships/table" Target="../tables/table33.xml"/><Relationship Id="rId39" Type="http://schemas.openxmlformats.org/officeDocument/2006/relationships/table" Target="../tables/table46.xml"/><Relationship Id="rId3" Type="http://schemas.openxmlformats.org/officeDocument/2006/relationships/table" Target="../tables/table10.xml"/><Relationship Id="rId21" Type="http://schemas.openxmlformats.org/officeDocument/2006/relationships/table" Target="../tables/table28.xml"/><Relationship Id="rId34" Type="http://schemas.openxmlformats.org/officeDocument/2006/relationships/table" Target="../tables/table41.xml"/><Relationship Id="rId42" Type="http://schemas.openxmlformats.org/officeDocument/2006/relationships/table" Target="../tables/table49.xml"/><Relationship Id="rId47" Type="http://schemas.openxmlformats.org/officeDocument/2006/relationships/table" Target="../tables/table54.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33" Type="http://schemas.openxmlformats.org/officeDocument/2006/relationships/table" Target="../tables/table40.xml"/><Relationship Id="rId38" Type="http://schemas.openxmlformats.org/officeDocument/2006/relationships/table" Target="../tables/table45.xml"/><Relationship Id="rId46" Type="http://schemas.openxmlformats.org/officeDocument/2006/relationships/table" Target="../tables/table53.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29" Type="http://schemas.openxmlformats.org/officeDocument/2006/relationships/table" Target="../tables/table36.xml"/><Relationship Id="rId41" Type="http://schemas.openxmlformats.org/officeDocument/2006/relationships/table" Target="../tables/table48.xml"/><Relationship Id="rId1" Type="http://schemas.openxmlformats.org/officeDocument/2006/relationships/printerSettings" Target="../printerSettings/printerSettings11.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32" Type="http://schemas.openxmlformats.org/officeDocument/2006/relationships/table" Target="../tables/table39.xml"/><Relationship Id="rId37" Type="http://schemas.openxmlformats.org/officeDocument/2006/relationships/table" Target="../tables/table44.xml"/><Relationship Id="rId40" Type="http://schemas.openxmlformats.org/officeDocument/2006/relationships/table" Target="../tables/table47.xml"/><Relationship Id="rId45" Type="http://schemas.openxmlformats.org/officeDocument/2006/relationships/table" Target="../tables/table52.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28" Type="http://schemas.openxmlformats.org/officeDocument/2006/relationships/table" Target="../tables/table35.xml"/><Relationship Id="rId36" Type="http://schemas.openxmlformats.org/officeDocument/2006/relationships/table" Target="../tables/table43.xml"/><Relationship Id="rId10" Type="http://schemas.openxmlformats.org/officeDocument/2006/relationships/table" Target="../tables/table17.xml"/><Relationship Id="rId19" Type="http://schemas.openxmlformats.org/officeDocument/2006/relationships/table" Target="../tables/table26.xml"/><Relationship Id="rId31" Type="http://schemas.openxmlformats.org/officeDocument/2006/relationships/table" Target="../tables/table38.xml"/><Relationship Id="rId44" Type="http://schemas.openxmlformats.org/officeDocument/2006/relationships/table" Target="../tables/table51.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 Id="rId27" Type="http://schemas.openxmlformats.org/officeDocument/2006/relationships/table" Target="../tables/table34.xml"/><Relationship Id="rId30" Type="http://schemas.openxmlformats.org/officeDocument/2006/relationships/table" Target="../tables/table37.xml"/><Relationship Id="rId35" Type="http://schemas.openxmlformats.org/officeDocument/2006/relationships/table" Target="../tables/table42.xml"/><Relationship Id="rId43" Type="http://schemas.openxmlformats.org/officeDocument/2006/relationships/table" Target="../tables/table5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9.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8"/>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375" style="15" customWidth="1"/>
    <col min="4" max="4" width="62.2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40" t="s">
        <v>11</v>
      </c>
      <c r="E5" s="241"/>
      <c r="F5" s="239" t="s">
        <v>12</v>
      </c>
      <c r="G5" s="241" t="str">
        <f>IFERROR(CONCATENATE(VLOOKUP(D5,TableCourses[],2,FALSE)," ",VLOOKUP(D5,TableCourses[],3,FALSE)),"")</f>
        <v>MC-TEACH v.2</v>
      </c>
      <c r="H5" s="241"/>
      <c r="I5" s="241"/>
      <c r="J5" s="241"/>
      <c r="K5" s="242"/>
      <c r="L5" s="242"/>
      <c r="M5" s="242"/>
      <c r="N5" s="242"/>
      <c r="O5" s="242"/>
      <c r="P5" s="243"/>
      <c r="Q5" s="231"/>
      <c r="R5" s="231"/>
      <c r="S5" s="231"/>
      <c r="T5" s="231"/>
      <c r="U5" s="231"/>
      <c r="V5" s="231"/>
      <c r="W5" s="231"/>
      <c r="X5" s="231"/>
      <c r="Y5" s="231"/>
      <c r="Z5" s="231"/>
    </row>
    <row r="6" spans="1:27" ht="20.100000000000001" customHeight="1" x14ac:dyDescent="0.25">
      <c r="A6" s="237"/>
      <c r="B6" s="238"/>
      <c r="C6" s="239" t="s">
        <v>13</v>
      </c>
      <c r="D6" s="244" t="s">
        <v>14</v>
      </c>
      <c r="E6" s="241"/>
      <c r="F6" s="239" t="s">
        <v>15</v>
      </c>
      <c r="G6" s="241" t="str">
        <f>IFERROR(CONCATENATE(VLOOKUP(D6,TableMajors[],2,FALSE)," ",VLOOKUP(D6,TableMajors[],3,FALSE)),"")</f>
        <v>MJRP-TCHEC v.2</v>
      </c>
      <c r="H6" s="241"/>
      <c r="I6" s="241"/>
      <c r="J6" s="241"/>
      <c r="K6" s="242"/>
      <c r="L6" s="242"/>
      <c r="M6" s="242"/>
      <c r="N6" s="242"/>
      <c r="O6" s="242"/>
      <c r="P6" s="245" t="e">
        <f>CONCATENATE(VLOOKUP(D6,TableMajors[],2,FALSE),VLOOKUP(D7,TableStudyPeriods[],2,FALSE))</f>
        <v>#N/A</v>
      </c>
      <c r="Q6" s="231"/>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400 credit points required</v>
      </c>
      <c r="H7" s="250"/>
      <c r="I7" s="250"/>
      <c r="J7" s="250"/>
      <c r="K7" s="251"/>
      <c r="L7" s="251"/>
      <c r="M7" s="251"/>
      <c r="N7" s="251"/>
      <c r="O7" s="251"/>
      <c r="P7" s="251"/>
      <c r="Q7" s="231"/>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58"/>
      <c r="R8" s="258"/>
      <c r="S8" s="258"/>
      <c r="T8" s="259"/>
      <c r="U8" s="259"/>
      <c r="V8" s="259"/>
      <c r="W8" s="259"/>
      <c r="X8" s="259"/>
      <c r="Y8" s="259"/>
      <c r="Z8" s="259"/>
      <c r="AA8" s="17"/>
    </row>
    <row r="9" spans="1:27" s="18" customFormat="1" ht="31.5" x14ac:dyDescent="0.25">
      <c r="A9" s="252" t="s">
        <v>20</v>
      </c>
      <c r="B9" s="252"/>
      <c r="C9" s="252"/>
      <c r="D9" s="253" t="s">
        <v>3</v>
      </c>
      <c r="E9" s="260" t="s">
        <v>21</v>
      </c>
      <c r="F9" s="252" t="s">
        <v>22</v>
      </c>
      <c r="G9" s="252" t="s">
        <v>23</v>
      </c>
      <c r="H9" s="261" t="s">
        <v>24</v>
      </c>
      <c r="I9" s="262" t="s">
        <v>25</v>
      </c>
      <c r="J9" s="261" t="s">
        <v>26</v>
      </c>
      <c r="K9" s="262" t="s">
        <v>27</v>
      </c>
      <c r="L9" s="261" t="s">
        <v>28</v>
      </c>
      <c r="M9" s="262" t="s">
        <v>29</v>
      </c>
      <c r="N9" s="261" t="s">
        <v>30</v>
      </c>
      <c r="O9" s="262" t="s">
        <v>31</v>
      </c>
      <c r="P9" s="252" t="s">
        <v>32</v>
      </c>
      <c r="Q9" s="258"/>
      <c r="R9" s="258"/>
      <c r="S9" s="258"/>
      <c r="T9" s="259"/>
      <c r="U9" s="259"/>
      <c r="V9" s="259"/>
      <c r="W9" s="259"/>
      <c r="X9" s="259"/>
      <c r="Y9" s="259"/>
      <c r="Z9" s="259"/>
      <c r="AA9" s="17"/>
    </row>
    <row r="10" spans="1:27" s="20" customFormat="1" ht="21" customHeight="1" x14ac:dyDescent="0.15">
      <c r="A10" s="263" t="str">
        <f>IFERROR(IF(HLOOKUP($P$6,RangeUnitsetsECEPR,Q10,FALSE)=0,"",HLOOKUP($P$6,RangeUnitsetsECEPR,Q10,FALSE)),"")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263" t="str">
        <f>IFERROR(IF(HLOOKUP($P$6,RangeUnitsetsECEPR,Q11,FALSE)=0,"",HLOOKUP($P$6,RangeUnitsetsECEPR,Q11,FALSE)),"")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19"/>
    </row>
    <row r="13" spans="1:27" s="20" customFormat="1" ht="21" customHeight="1" x14ac:dyDescent="0.15">
      <c r="A13" s="263" t="str">
        <f>IFERROR(IF(HLOOKUP($P$6,RangeUnitsetsECEPR,Q13,FALSE)=0,"",HLOOKUP($P$6,RangeUnitsetsECEPR,Q13,FALSE)),"")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IFERROR(IF(HLOOKUP($P$6,RangeUnitsetsECEPR,Q14,FALSE)=0,"",HLOOKUP($P$6,RangeUnitsetsECEPR,Q14,FALSE)),"")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19"/>
    </row>
    <row r="16" spans="1:27" s="20" customFormat="1" ht="21" customHeight="1" x14ac:dyDescent="0.15">
      <c r="A16" s="263" t="str">
        <f>IFERROR(IF(HLOOKUP($P$6,RangeUnitsetsECEPR,Q16,FALSE)=0,"",HLOOKUP($P$6,RangeUnitsetsECEPR,Q16,FALSE)),"")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IFERROR(IF(HLOOKUP($P$6,RangeUnitsetsECEPR,Q17,FALSE)=0,"",HLOOKUP($P$6,RangeUnitsetsECEPR,Q17,FALSE)),"")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19"/>
    </row>
    <row r="19" spans="1:27" s="23" customFormat="1" ht="21" customHeight="1" x14ac:dyDescent="0.15">
      <c r="A19" s="263" t="str">
        <f>IFERROR(IF(HLOOKUP($P$6,RangeUnitsetsECEPR,Q19,FALSE)=0,"",HLOOKUP($P$6,RangeUnitsetsECEPR,Q19,FALSE)),"")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IFERROR(IF(HLOOKUP($P$6,RangeUnitsetsECEPR,Q20,FALSE)=0,"",HLOOKUP($P$6,RangeUnitsetsECEPR,Q20,FALSE)),"")</f>
        <v/>
      </c>
      <c r="B20" s="278" t="str">
        <f>IFERROR(IF(VLOOKUP($A20,TableHandbook[],2,FALSE)=0,"",VLOOKUP($A20,TableHandbook[],2,FALSE)),"")</f>
        <v/>
      </c>
      <c r="C20" s="278" t="str">
        <f>IFERROR(IF(VLOOKUP($A20,TableHandbook[],3,FALSE)=0,"",VLOOKUP($A20,TableHandbook[],3,FALSE)),"")</f>
        <v/>
      </c>
      <c r="D20" s="283"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s="18" customFormat="1" ht="31.5" x14ac:dyDescent="0.25">
      <c r="A21" s="252" t="s">
        <v>33</v>
      </c>
      <c r="B21" s="252"/>
      <c r="C21" s="252"/>
      <c r="D21" s="284" t="s">
        <v>3</v>
      </c>
      <c r="E21" s="260" t="s">
        <v>21</v>
      </c>
      <c r="F21" s="252" t="s">
        <v>22</v>
      </c>
      <c r="G21" s="252" t="s">
        <v>23</v>
      </c>
      <c r="H21" s="261" t="s">
        <v>24</v>
      </c>
      <c r="I21" s="262" t="s">
        <v>25</v>
      </c>
      <c r="J21" s="261" t="s">
        <v>26</v>
      </c>
      <c r="K21" s="262" t="s">
        <v>27</v>
      </c>
      <c r="L21" s="261" t="s">
        <v>28</v>
      </c>
      <c r="M21" s="262" t="s">
        <v>29</v>
      </c>
      <c r="N21" s="261" t="s">
        <v>30</v>
      </c>
      <c r="O21" s="262" t="s">
        <v>31</v>
      </c>
      <c r="P21" s="252" t="s">
        <v>32</v>
      </c>
      <c r="Q21" s="285"/>
      <c r="R21" s="258"/>
      <c r="S21" s="258"/>
      <c r="T21" s="259"/>
      <c r="U21" s="259"/>
      <c r="V21" s="259"/>
      <c r="W21" s="259"/>
      <c r="X21" s="259"/>
      <c r="Y21" s="259"/>
      <c r="Z21" s="259"/>
      <c r="AA21" s="17"/>
    </row>
    <row r="22" spans="1:27" s="20" customFormat="1" ht="21" customHeight="1" x14ac:dyDescent="0.15">
      <c r="A22" s="263" t="str">
        <f>IFERROR(IF(HLOOKUP($P$6,RangeUnitsetsECEPR,Q22,FALSE)=0,"",HLOOKUP($P$6,RangeUnitsetsECEPR,Q22,FALSE)),"")</f>
        <v/>
      </c>
      <c r="B22" s="278" t="str">
        <f>IFERROR(IF(VLOOKUP($A22,TableHandbook[],2,FALSE)=0,"",VLOOKUP($A22,TableHandbook[],2,FALSE)),"")</f>
        <v/>
      </c>
      <c r="C22" s="278" t="str">
        <f>IFERROR(IF(VLOOKUP($A22,TableHandbook[],3,FALSE)=0,"",VLOOKUP($A22,TableHandbook[],3,FALSE)),"")</f>
        <v/>
      </c>
      <c r="D22" s="286" t="str">
        <f>IFERROR(IF(VLOOKUP($A22,TableHandbook[],4,FALSE)=0,"",VLOOKUP($A22,TableHandbook[],4,FALSE)),"")</f>
        <v/>
      </c>
      <c r="E22" s="278" t="str">
        <f>IF(A22="","",VLOOKUP($D$7,TableStudyPeriods[],2,FALSE))</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10</v>
      </c>
      <c r="R22" s="270"/>
      <c r="S22" s="270"/>
      <c r="T22" s="271"/>
      <c r="U22" s="271"/>
      <c r="V22" s="271"/>
      <c r="W22" s="271"/>
      <c r="X22" s="271"/>
      <c r="Y22" s="271"/>
      <c r="Z22" s="271"/>
      <c r="AA22" s="19"/>
    </row>
    <row r="23" spans="1:27" s="20" customFormat="1" ht="21" customHeight="1" x14ac:dyDescent="0.15">
      <c r="A23" s="263" t="str">
        <f>IFERROR(IF(HLOOKUP($P$6,RangeUnitsetsECEPR,Q23,FALSE)=0,"",HLOOKUP($P$6,RangeUnitsetsECEPR,Q23,FALSE)),"")</f>
        <v/>
      </c>
      <c r="B23" s="278" t="str">
        <f>IFERROR(IF(VLOOKUP($A23,TableHandbook[],2,FALSE)=0,"",VLOOKUP($A23,TableHandbook[],2,FALSE)),"")</f>
        <v/>
      </c>
      <c r="C23" s="278" t="str">
        <f>IFERROR(IF(VLOOKUP($A23,TableHandbook[],3,FALSE)=0,"",VLOOKUP($A23,TableHandbook[],3,FALSE)),"")</f>
        <v/>
      </c>
      <c r="D23" s="283" t="str">
        <f>IFERROR(IF(VLOOKUP($A23,TableHandbook[],4,FALSE)=0,"",VLOOKUP($A23,TableHandbook[],4,FALSE)),"")</f>
        <v/>
      </c>
      <c r="E23" s="278" t="str">
        <f>IF(A23="","",E22)</f>
        <v/>
      </c>
      <c r="F23" s="266" t="str">
        <f>IFERROR(IF(VLOOKUP($A23,TableHandbook[],6,FALSE)=0,"",VLOOKUP($A23,TableHandbook[],6,FALSE)),"")</f>
        <v/>
      </c>
      <c r="G23" s="264" t="str">
        <f>IFERROR(IF(VLOOKUP($A23,TableHandbook[],5,FALSE)=0,"",VLOOKUP($A23,TableHandbook[],5,FALSE)),"")</f>
        <v/>
      </c>
      <c r="H23" s="267" t="str">
        <f>IFERROR(VLOOKUP($A23,TableHandbook[],H$2,FALSE),"")</f>
        <v/>
      </c>
      <c r="I23" s="268" t="str">
        <f>IFERROR(VLOOKUP($A23,TableHandbook[],I$2,FALSE),"")</f>
        <v/>
      </c>
      <c r="J23" s="267" t="str">
        <f>IFERROR(VLOOKUP($A23,TableHandbook[],J$2,FALSE),"")</f>
        <v/>
      </c>
      <c r="K23" s="268" t="str">
        <f>IFERROR(VLOOKUP($A23,TableHandbook[],K$2,FALSE),"")</f>
        <v/>
      </c>
      <c r="L23" s="267" t="str">
        <f>IFERROR(VLOOKUP($A23,TableHandbook[],L$2,FALSE),"")</f>
        <v/>
      </c>
      <c r="M23" s="268" t="str">
        <f>IFERROR(VLOOKUP($A23,TableHandbook[],M$2,FALSE),"")</f>
        <v/>
      </c>
      <c r="N23" s="267" t="str">
        <f>IFERROR(VLOOKUP($A23,TableHandbook[],N$2,FALSE),"")</f>
        <v/>
      </c>
      <c r="O23" s="268" t="str">
        <f>IFERROR(VLOOKUP($A23,TableHandbook[],O$2,FALSE),"")</f>
        <v/>
      </c>
      <c r="P23" s="29"/>
      <c r="Q23" s="269">
        <v>11</v>
      </c>
      <c r="R23" s="270"/>
      <c r="S23" s="270"/>
      <c r="T23" s="271"/>
      <c r="U23" s="271"/>
      <c r="V23" s="271"/>
      <c r="W23" s="271"/>
      <c r="X23" s="271"/>
      <c r="Y23" s="271"/>
      <c r="Z23" s="271"/>
      <c r="AA23" s="19"/>
    </row>
    <row r="24" spans="1:27" s="20" customFormat="1" ht="6" customHeight="1" x14ac:dyDescent="0.15">
      <c r="A24" s="272"/>
      <c r="B24" s="273"/>
      <c r="C24" s="273"/>
      <c r="D24" s="274"/>
      <c r="E24" s="273"/>
      <c r="F24" s="275"/>
      <c r="G24" s="273"/>
      <c r="H24" s="276"/>
      <c r="I24" s="277"/>
      <c r="J24" s="276"/>
      <c r="K24" s="277"/>
      <c r="L24" s="276"/>
      <c r="M24" s="277"/>
      <c r="N24" s="276"/>
      <c r="O24" s="277"/>
      <c r="P24" s="116"/>
      <c r="Q24" s="269"/>
      <c r="R24" s="270"/>
      <c r="S24" s="270"/>
      <c r="T24" s="270"/>
      <c r="U24" s="271"/>
      <c r="V24" s="271"/>
      <c r="W24" s="271"/>
      <c r="X24" s="271"/>
      <c r="Y24" s="271"/>
      <c r="Z24" s="271"/>
      <c r="AA24" s="19"/>
    </row>
    <row r="25" spans="1:27" s="20" customFormat="1" ht="21" customHeight="1" x14ac:dyDescent="0.15">
      <c r="A25" s="263" t="str">
        <f>IFERROR(IF(HLOOKUP($P$6,RangeUnitsetsECEPR,Q25,FALSE)=0,"",HLOOKUP($P$6,RangeUnitsetsECEPR,Q25,FALSE)),"")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IF(A25="","",VLOOKUP($D$7,TableStudyPeriods[],3,FALSE))</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12</v>
      </c>
      <c r="R25" s="270"/>
      <c r="S25" s="270"/>
      <c r="T25" s="271"/>
      <c r="U25" s="271"/>
      <c r="V25" s="271"/>
      <c r="W25" s="271"/>
      <c r="X25" s="271"/>
      <c r="Y25" s="271"/>
      <c r="Z25" s="271"/>
      <c r="AA25" s="19"/>
    </row>
    <row r="26" spans="1:27" s="20" customFormat="1" ht="21" customHeight="1" x14ac:dyDescent="0.15">
      <c r="A26" s="263" t="str">
        <f>IFERROR(IF(HLOOKUP($P$6,RangeUnitsetsECEPR,Q26,FALSE)=0,"",HLOOKUP($P$6,RangeUnitsetsECEPR,Q26,FALSE)),"")</f>
        <v/>
      </c>
      <c r="B26" s="278" t="str">
        <f>IFERROR(IF(VLOOKUP($A26,TableHandbook[],2,FALSE)=0,"",VLOOKUP($A26,TableHandbook[],2,FALSE)),"")</f>
        <v/>
      </c>
      <c r="C26" s="278" t="str">
        <f>IFERROR(IF(VLOOKUP($A26,TableHandbook[],3,FALSE)=0,"",VLOOKUP($A26,TableHandbook[],3,FALSE)),"")</f>
        <v/>
      </c>
      <c r="D26" s="283" t="str">
        <f>IFERROR(IF(VLOOKUP($A26,TableHandbook[],4,FALSE)=0,"",VLOOKUP($A26,TableHandbook[],4,FALSE)),"")</f>
        <v/>
      </c>
      <c r="E26" s="278" t="str">
        <f>IF(A26="","",E25)</f>
        <v/>
      </c>
      <c r="F26" s="266" t="str">
        <f>IFERROR(IF(VLOOKUP($A26,TableHandbook[],6,FALSE)=0,"",VLOOKUP($A26,TableHandbook[],6,FALSE)),"")</f>
        <v/>
      </c>
      <c r="G26" s="264" t="str">
        <f>IFERROR(IF(VLOOKUP($A26,TableHandbook[],5,FALSE)=0,"",VLOOKUP($A26,TableHandbook[],5,FALSE)),"")</f>
        <v/>
      </c>
      <c r="H26" s="267" t="str">
        <f>IFERROR(VLOOKUP($A26,TableHandbook[],H$2,FALSE),"")</f>
        <v/>
      </c>
      <c r="I26" s="268" t="str">
        <f>IFERROR(VLOOKUP($A26,TableHandbook[],I$2,FALSE),"")</f>
        <v/>
      </c>
      <c r="J26" s="267" t="str">
        <f>IFERROR(VLOOKUP($A26,TableHandbook[],J$2,FALSE),"")</f>
        <v/>
      </c>
      <c r="K26" s="268" t="str">
        <f>IFERROR(VLOOKUP($A26,TableHandbook[],K$2,FALSE),"")</f>
        <v/>
      </c>
      <c r="L26" s="267" t="str">
        <f>IFERROR(VLOOKUP($A26,TableHandbook[],L$2,FALSE),"")</f>
        <v/>
      </c>
      <c r="M26" s="268" t="str">
        <f>IFERROR(VLOOKUP($A26,TableHandbook[],M$2,FALSE),"")</f>
        <v/>
      </c>
      <c r="N26" s="267" t="str">
        <f>IFERROR(VLOOKUP($A26,TableHandbook[],N$2,FALSE),"")</f>
        <v/>
      </c>
      <c r="O26" s="268" t="str">
        <f>IFERROR(VLOOKUP($A26,TableHandbook[],O$2,FALSE),"")</f>
        <v/>
      </c>
      <c r="P26" s="29"/>
      <c r="Q26" s="269">
        <v>13</v>
      </c>
      <c r="R26" s="270"/>
      <c r="S26" s="270"/>
      <c r="T26" s="271"/>
      <c r="U26" s="271"/>
      <c r="V26" s="271"/>
      <c r="W26" s="271"/>
      <c r="X26" s="271"/>
      <c r="Y26" s="271"/>
      <c r="Z26" s="271"/>
      <c r="AA26" s="19"/>
    </row>
    <row r="27" spans="1:27" s="20" customFormat="1" ht="6" customHeight="1" x14ac:dyDescent="0.15">
      <c r="A27" s="272"/>
      <c r="B27" s="273"/>
      <c r="C27" s="273"/>
      <c r="D27" s="274"/>
      <c r="E27" s="273"/>
      <c r="F27" s="275"/>
      <c r="G27" s="273"/>
      <c r="H27" s="276"/>
      <c r="I27" s="277"/>
      <c r="J27" s="276"/>
      <c r="K27" s="277"/>
      <c r="L27" s="276"/>
      <c r="M27" s="277"/>
      <c r="N27" s="276"/>
      <c r="O27" s="277"/>
      <c r="P27" s="116"/>
      <c r="Q27" s="269"/>
      <c r="R27" s="270"/>
      <c r="S27" s="270"/>
      <c r="T27" s="270"/>
      <c r="U27" s="271"/>
      <c r="V27" s="271"/>
      <c r="W27" s="271"/>
      <c r="X27" s="271"/>
      <c r="Y27" s="271"/>
      <c r="Z27" s="271"/>
      <c r="AA27" s="19"/>
    </row>
    <row r="28" spans="1:27" s="20" customFormat="1" ht="21" customHeight="1" x14ac:dyDescent="0.15">
      <c r="A28" s="263" t="str">
        <f>IFERROR(IF(HLOOKUP($P$6,RangeUnitsetsECEPR,Q28,FALSE)=0,"",HLOOKUP($P$6,RangeUnitsetsECEPR,Q28,FALSE)),"")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IF(A28="","",VLOOKUP($D$7,TableStudyPeriods[],4,FALSE))</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14</v>
      </c>
      <c r="R28" s="270"/>
      <c r="S28" s="270"/>
      <c r="T28" s="271"/>
      <c r="U28" s="271"/>
      <c r="V28" s="271"/>
      <c r="W28" s="271"/>
      <c r="X28" s="271"/>
      <c r="Y28" s="271"/>
      <c r="Z28" s="271"/>
      <c r="AA28" s="19"/>
    </row>
    <row r="29" spans="1:27" s="20" customFormat="1" ht="21" customHeight="1" x14ac:dyDescent="0.15">
      <c r="A29" s="263" t="str">
        <f>IFERROR(IF(HLOOKUP($P$6,RangeUnitsetsECEPR,Q29,FALSE)=0,"",HLOOKUP($P$6,RangeUnitsetsECEPR,Q29,FALSE)),"")</f>
        <v/>
      </c>
      <c r="B29" s="278" t="str">
        <f>IFERROR(IF(VLOOKUP($A29,TableHandbook[],2,FALSE)=0,"",VLOOKUP($A29,TableHandbook[],2,FALSE)),"")</f>
        <v/>
      </c>
      <c r="C29" s="278" t="str">
        <f>IFERROR(IF(VLOOKUP($A29,TableHandbook[],3,FALSE)=0,"",VLOOKUP($A29,TableHandbook[],3,FALSE)),"")</f>
        <v/>
      </c>
      <c r="D29" s="283" t="str">
        <f>IFERROR(IF(VLOOKUP($A29,TableHandbook[],4,FALSE)=0,"",VLOOKUP($A29,TableHandbook[],4,FALSE)),"")</f>
        <v/>
      </c>
      <c r="E29" s="278" t="str">
        <f>IF(A29="","",E28)</f>
        <v/>
      </c>
      <c r="F29" s="266" t="str">
        <f>IFERROR(IF(VLOOKUP($A29,TableHandbook[],6,FALSE)=0,"",VLOOKUP($A29,TableHandbook[],6,FALSE)),"")</f>
        <v/>
      </c>
      <c r="G29" s="264" t="str">
        <f>IFERROR(IF(VLOOKUP($A29,TableHandbook[],5,FALSE)=0,"",VLOOKUP($A29,TableHandbook[],5,FALSE)),"")</f>
        <v/>
      </c>
      <c r="H29" s="279" t="str">
        <f>IFERROR(VLOOKUP($A29,TableHandbook[],H$2,FALSE),"")</f>
        <v/>
      </c>
      <c r="I29" s="280" t="str">
        <f>IFERROR(VLOOKUP($A29,TableHandbook[],I$2,FALSE),"")</f>
        <v/>
      </c>
      <c r="J29" s="279" t="str">
        <f>IFERROR(VLOOKUP($A29,TableHandbook[],J$2,FALSE),"")</f>
        <v/>
      </c>
      <c r="K29" s="280" t="str">
        <f>IFERROR(VLOOKUP($A29,TableHandbook[],K$2,FALSE),"")</f>
        <v/>
      </c>
      <c r="L29" s="279" t="str">
        <f>IFERROR(VLOOKUP($A29,TableHandbook[],L$2,FALSE),"")</f>
        <v/>
      </c>
      <c r="M29" s="280" t="str">
        <f>IFERROR(VLOOKUP($A29,TableHandbook[],M$2,FALSE),"")</f>
        <v/>
      </c>
      <c r="N29" s="279" t="str">
        <f>IFERROR(VLOOKUP($A29,TableHandbook[],N$2,FALSE),"")</f>
        <v/>
      </c>
      <c r="O29" s="280" t="str">
        <f>IFERROR(VLOOKUP($A29,TableHandbook[],O$2,FALSE),"")</f>
        <v/>
      </c>
      <c r="P29" s="29"/>
      <c r="Q29" s="269">
        <v>15</v>
      </c>
      <c r="R29" s="270"/>
      <c r="S29" s="270"/>
      <c r="T29" s="271"/>
      <c r="U29" s="271"/>
      <c r="V29" s="271"/>
      <c r="W29" s="271"/>
      <c r="X29" s="271"/>
      <c r="Y29" s="271"/>
      <c r="Z29" s="271"/>
      <c r="AA29" s="19"/>
    </row>
    <row r="30" spans="1:27" s="23" customFormat="1" ht="6" customHeight="1" x14ac:dyDescent="0.15">
      <c r="A30" s="272"/>
      <c r="B30" s="273"/>
      <c r="C30" s="273"/>
      <c r="D30" s="274"/>
      <c r="E30" s="273"/>
      <c r="F30" s="275"/>
      <c r="G30" s="273"/>
      <c r="H30" s="276"/>
      <c r="I30" s="277"/>
      <c r="J30" s="276"/>
      <c r="K30" s="277"/>
      <c r="L30" s="276"/>
      <c r="M30" s="277"/>
      <c r="N30" s="276"/>
      <c r="O30" s="277"/>
      <c r="P30" s="116"/>
      <c r="Q30" s="269"/>
      <c r="R30" s="281"/>
      <c r="S30" s="281"/>
      <c r="T30" s="282"/>
      <c r="U30" s="282"/>
      <c r="V30" s="282"/>
      <c r="W30" s="282"/>
      <c r="X30" s="282"/>
      <c r="Y30" s="282"/>
      <c r="Z30" s="282"/>
      <c r="AA30" s="22"/>
    </row>
    <row r="31" spans="1:27" s="23" customFormat="1" ht="21" customHeight="1" x14ac:dyDescent="0.15">
      <c r="A31" s="263" t="str">
        <f>IFERROR(IF(HLOOKUP($P$6,RangeUnitsetsECEPR,Q31,FALSE)=0,"",HLOOKUP($P$6,RangeUnitsetsECEPR,Q31,FALSE)),"")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78" t="str">
        <f>IF(A31="","",VLOOKUP($D$7,TableStudyPeriods[],5,FALSE))</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16</v>
      </c>
      <c r="R31" s="281"/>
      <c r="S31" s="281"/>
      <c r="T31" s="282"/>
      <c r="U31" s="282"/>
      <c r="V31" s="282"/>
      <c r="W31" s="282"/>
      <c r="X31" s="282"/>
      <c r="Y31" s="282"/>
      <c r="Z31" s="282"/>
      <c r="AA31" s="22"/>
    </row>
    <row r="32" spans="1:27" s="23" customFormat="1" ht="21" customHeight="1" x14ac:dyDescent="0.15">
      <c r="A32" s="263" t="str">
        <f>IFERROR(IF(HLOOKUP($P$6,RangeUnitsetsECEPR,Q32,FALSE)=0,"",HLOOKUP($P$6,RangeUnitsetsECEPR,Q32,FALSE)),"")</f>
        <v/>
      </c>
      <c r="B32" s="278" t="str">
        <f>IFERROR(IF(VLOOKUP($A32,TableHandbook[],2,FALSE)=0,"",VLOOKUP($A32,TableHandbook[],2,FALSE)),"")</f>
        <v/>
      </c>
      <c r="C32" s="278" t="str">
        <f>IFERROR(IF(VLOOKUP($A32,TableHandbook[],3,FALSE)=0,"",VLOOKUP($A32,TableHandbook[],3,FALSE)),"")</f>
        <v/>
      </c>
      <c r="D32" s="283" t="str">
        <f>IFERROR(IF(VLOOKUP($A32,TableHandbook[],4,FALSE)=0,"",VLOOKUP($A32,TableHandbook[],4,FALSE)),"")</f>
        <v/>
      </c>
      <c r="E32" s="264" t="str">
        <f>IF(A32="","",E31)</f>
        <v/>
      </c>
      <c r="F32" s="266" t="str">
        <f>IFERROR(IF(VLOOKUP($A32,TableHandbook[],6,FALSE)=0,"",VLOOKUP($A32,TableHandbook[],6,FALSE)),"")</f>
        <v/>
      </c>
      <c r="G32" s="264" t="str">
        <f>IFERROR(IF(VLOOKUP($A32,TableHandbook[],5,FALSE)=0,"",VLOOKUP($A32,TableHandbook[],5,FALSE)),"")</f>
        <v/>
      </c>
      <c r="H32" s="279" t="str">
        <f>IFERROR(VLOOKUP($A32,TableHandbook[],H$2,FALSE),"")</f>
        <v/>
      </c>
      <c r="I32" s="280" t="str">
        <f>IFERROR(VLOOKUP($A32,TableHandbook[],I$2,FALSE),"")</f>
        <v/>
      </c>
      <c r="J32" s="279" t="str">
        <f>IFERROR(VLOOKUP($A32,TableHandbook[],J$2,FALSE),"")</f>
        <v/>
      </c>
      <c r="K32" s="280" t="str">
        <f>IFERROR(VLOOKUP($A32,TableHandbook[],K$2,FALSE),"")</f>
        <v/>
      </c>
      <c r="L32" s="279" t="str">
        <f>IFERROR(VLOOKUP($A32,TableHandbook[],L$2,FALSE),"")</f>
        <v/>
      </c>
      <c r="M32" s="280" t="str">
        <f>IFERROR(VLOOKUP($A32,TableHandbook[],M$2,FALSE),"")</f>
        <v/>
      </c>
      <c r="N32" s="279" t="str">
        <f>IFERROR(VLOOKUP($A32,TableHandbook[],N$2,FALSE),"")</f>
        <v/>
      </c>
      <c r="O32" s="280" t="str">
        <f>IFERROR(VLOOKUP($A32,TableHandbook[],O$2,FALSE),"")</f>
        <v/>
      </c>
      <c r="P32" s="29"/>
      <c r="Q32" s="269">
        <v>17</v>
      </c>
      <c r="R32" s="281"/>
      <c r="S32" s="281"/>
      <c r="T32" s="282"/>
      <c r="U32" s="282"/>
      <c r="V32" s="282"/>
      <c r="W32" s="282"/>
      <c r="X32" s="282"/>
      <c r="Y32" s="282"/>
      <c r="Z32" s="282"/>
      <c r="AA32" s="22"/>
    </row>
    <row r="33" spans="1:27" s="18" customFormat="1" ht="31.5" x14ac:dyDescent="0.25">
      <c r="A33" s="252" t="s">
        <v>34</v>
      </c>
      <c r="B33" s="252"/>
      <c r="C33" s="252"/>
      <c r="D33" s="284" t="s">
        <v>3</v>
      </c>
      <c r="E33" s="260" t="s">
        <v>21</v>
      </c>
      <c r="F33" s="252" t="s">
        <v>22</v>
      </c>
      <c r="G33" s="252" t="s">
        <v>23</v>
      </c>
      <c r="H33" s="261" t="s">
        <v>24</v>
      </c>
      <c r="I33" s="262" t="s">
        <v>25</v>
      </c>
      <c r="J33" s="261" t="s">
        <v>26</v>
      </c>
      <c r="K33" s="262" t="s">
        <v>27</v>
      </c>
      <c r="L33" s="261" t="s">
        <v>28</v>
      </c>
      <c r="M33" s="262" t="s">
        <v>29</v>
      </c>
      <c r="N33" s="261" t="s">
        <v>30</v>
      </c>
      <c r="O33" s="262" t="s">
        <v>31</v>
      </c>
      <c r="P33" s="252" t="s">
        <v>32</v>
      </c>
      <c r="Q33" s="285"/>
      <c r="R33" s="258"/>
      <c r="S33" s="258"/>
      <c r="T33" s="259"/>
      <c r="U33" s="259"/>
      <c r="V33" s="259"/>
      <c r="W33" s="259"/>
      <c r="X33" s="259"/>
      <c r="Y33" s="259"/>
      <c r="Z33" s="259"/>
      <c r="AA33" s="17"/>
    </row>
    <row r="34" spans="1:27" s="23" customFormat="1" ht="21" customHeight="1" x14ac:dyDescent="0.15">
      <c r="A34" s="263" t="str">
        <f>IFERROR(IF(HLOOKUP($P$6,RangeUnitsetsECEPR,Q34,FALSE)=0,"",HLOOKUP($P$6,RangeUnitsetsECEPR,Q34,FALSE)),"")</f>
        <v/>
      </c>
      <c r="B34" s="278" t="str">
        <f>IFERROR(IF(VLOOKUP($A34,TableHandbook[],2,FALSE)=0,"",VLOOKUP($A34,TableHandbook[],2,FALSE)),"")</f>
        <v/>
      </c>
      <c r="C34" s="278" t="str">
        <f>IFERROR(IF(VLOOKUP($A34,TableHandbook[],3,FALSE)=0,"",VLOOKUP($A34,TableHandbook[],3,FALSE)),"")</f>
        <v/>
      </c>
      <c r="D34" s="283" t="str">
        <f>IFERROR(IF(VLOOKUP($A34,TableHandbook[],4,FALSE)=0,"",VLOOKUP($A34,TableHandbook[],4,FALSE)),"")</f>
        <v/>
      </c>
      <c r="E34" s="278" t="str">
        <f>IF(A34="","",VLOOKUP($D$7,TableStudyPeriods[],2,FALSE))</f>
        <v/>
      </c>
      <c r="F34" s="266" t="str">
        <f>IFERROR(IF(VLOOKUP($A34,TableHandbook[],6,FALSE)=0,"",VLOOKUP($A34,TableHandbook[],6,FALSE)),"")</f>
        <v/>
      </c>
      <c r="G34" s="264" t="str">
        <f>IFERROR(IF(VLOOKUP($A34,TableHandbook[],5,FALSE)=0,"",VLOOKUP($A34,TableHandbook[],5,FALSE)),"")</f>
        <v/>
      </c>
      <c r="H34" s="267" t="str">
        <f>IFERROR(VLOOKUP($A34,TableHandbook[],H$2,FALSE),"")</f>
        <v/>
      </c>
      <c r="I34" s="268" t="str">
        <f>IFERROR(VLOOKUP($A34,TableHandbook[],I$2,FALSE),"")</f>
        <v/>
      </c>
      <c r="J34" s="267" t="str">
        <f>IFERROR(VLOOKUP($A34,TableHandbook[],J$2,FALSE),"")</f>
        <v/>
      </c>
      <c r="K34" s="268" t="str">
        <f>IFERROR(VLOOKUP($A34,TableHandbook[],K$2,FALSE),"")</f>
        <v/>
      </c>
      <c r="L34" s="267" t="str">
        <f>IFERROR(VLOOKUP($A34,TableHandbook[],L$2,FALSE),"")</f>
        <v/>
      </c>
      <c r="M34" s="268" t="str">
        <f>IFERROR(VLOOKUP($A34,TableHandbook[],M$2,FALSE),"")</f>
        <v/>
      </c>
      <c r="N34" s="267" t="str">
        <f>IFERROR(VLOOKUP($A34,TableHandbook[],N$2,FALSE),"")</f>
        <v/>
      </c>
      <c r="O34" s="268" t="str">
        <f>IFERROR(VLOOKUP($A34,TableHandbook[],O$2,FALSE),"")</f>
        <v/>
      </c>
      <c r="P34" s="29"/>
      <c r="Q34" s="269">
        <v>18</v>
      </c>
      <c r="R34" s="281"/>
      <c r="S34" s="281"/>
      <c r="T34" s="282"/>
      <c r="U34" s="282"/>
      <c r="V34" s="282"/>
      <c r="W34" s="282"/>
      <c r="X34" s="282"/>
      <c r="Y34" s="282"/>
      <c r="Z34" s="282"/>
      <c r="AA34" s="22"/>
    </row>
    <row r="35" spans="1:27" ht="15" customHeight="1" x14ac:dyDescent="0.25">
      <c r="A35" s="287"/>
      <c r="B35" s="287"/>
      <c r="C35" s="287"/>
      <c r="D35" s="288"/>
      <c r="E35" s="288"/>
      <c r="F35" s="289"/>
      <c r="G35" s="289"/>
      <c r="H35" s="289"/>
      <c r="I35" s="289"/>
      <c r="J35" s="289"/>
      <c r="K35" s="289"/>
      <c r="L35" s="289"/>
      <c r="M35" s="289"/>
      <c r="N35" s="289"/>
      <c r="O35" s="289"/>
      <c r="P35" s="289"/>
      <c r="Q35" s="231"/>
      <c r="R35" s="231"/>
      <c r="S35" s="231"/>
      <c r="T35" s="231"/>
      <c r="U35" s="231"/>
      <c r="V35" s="231"/>
      <c r="W35" s="231"/>
      <c r="X35" s="231"/>
      <c r="Y35" s="231"/>
      <c r="Z35" s="231"/>
      <c r="AA35" s="16"/>
    </row>
    <row r="36" spans="1:27" s="16" customFormat="1" ht="35.25" customHeight="1" x14ac:dyDescent="0.25">
      <c r="A36" s="366" t="s">
        <v>35</v>
      </c>
      <c r="B36" s="366"/>
      <c r="C36" s="366"/>
      <c r="D36" s="366"/>
      <c r="E36" s="366"/>
      <c r="F36" s="366"/>
      <c r="G36" s="366"/>
      <c r="H36" s="366"/>
      <c r="I36" s="366"/>
      <c r="J36" s="366"/>
      <c r="K36" s="366"/>
      <c r="L36" s="366"/>
      <c r="M36" s="366"/>
      <c r="N36" s="366"/>
      <c r="O36" s="366"/>
      <c r="P36" s="366"/>
      <c r="Q36" s="231"/>
      <c r="R36" s="231"/>
      <c r="S36" s="231"/>
      <c r="T36" s="231"/>
      <c r="U36" s="231"/>
      <c r="V36" s="231"/>
      <c r="W36" s="231"/>
      <c r="X36" s="231"/>
      <c r="Y36" s="231"/>
      <c r="Z36" s="231"/>
    </row>
    <row r="37" spans="1:27" s="25" customFormat="1" ht="17.25" x14ac:dyDescent="0.2">
      <c r="A37" s="117" t="s">
        <v>36</v>
      </c>
      <c r="B37" s="117"/>
      <c r="C37" s="117"/>
      <c r="D37" s="118"/>
      <c r="E37" s="118"/>
      <c r="F37" s="118"/>
      <c r="G37" s="118"/>
      <c r="H37" s="118"/>
      <c r="I37" s="118"/>
      <c r="J37" s="118"/>
      <c r="K37" s="118"/>
      <c r="L37" s="118"/>
      <c r="M37" s="118"/>
      <c r="N37" s="118"/>
      <c r="O37" s="118"/>
      <c r="P37" s="118"/>
      <c r="Q37" s="290"/>
      <c r="R37" s="290"/>
      <c r="S37" s="290"/>
      <c r="T37" s="291"/>
      <c r="U37" s="291"/>
      <c r="V37" s="291"/>
      <c r="W37" s="291"/>
      <c r="X37" s="291"/>
      <c r="Y37" s="291"/>
      <c r="Z37" s="291"/>
      <c r="AA37" s="24"/>
    </row>
    <row r="38" spans="1:27" x14ac:dyDescent="0.25">
      <c r="A38" s="292" t="s">
        <v>37</v>
      </c>
      <c r="B38" s="292"/>
      <c r="C38" s="292"/>
      <c r="D38" s="292"/>
      <c r="E38" s="293"/>
      <c r="F38" s="289"/>
      <c r="G38" s="294"/>
      <c r="H38" s="294"/>
      <c r="I38" s="294"/>
      <c r="J38" s="294"/>
      <c r="K38" s="294"/>
      <c r="L38" s="294"/>
      <c r="M38" s="294"/>
      <c r="N38" s="294"/>
      <c r="O38" s="294"/>
      <c r="P38" s="294" t="s">
        <v>38</v>
      </c>
      <c r="Q38" s="231"/>
      <c r="R38" s="231"/>
      <c r="S38" s="231"/>
      <c r="T38" s="231"/>
      <c r="U38" s="231"/>
      <c r="V38" s="231"/>
      <c r="W38" s="231"/>
      <c r="X38" s="231"/>
      <c r="Y38" s="231"/>
      <c r="Z38" s="231"/>
    </row>
  </sheetData>
  <sheetProtection formatCells="0"/>
  <mergeCells count="2">
    <mergeCell ref="A3:D3"/>
    <mergeCell ref="A36:P36"/>
  </mergeCells>
  <conditionalFormatting sqref="D5:D7">
    <cfRule type="containsText" dxfId="444" priority="6" operator="containsText" text="Choose">
      <formula>NOT(ISERROR(SEARCH("Choose",D5)))</formula>
    </cfRule>
  </conditionalFormatting>
  <dataValidations count="1">
    <dataValidation type="list" allowBlank="1" showInputMessage="1" showErrorMessage="1" sqref="P27 P15 P12 P18 P24 P30"/>
  </dataValidations>
  <hyperlinks>
    <hyperlink ref="A37:P3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76"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Unitsets!$A$18:$A$22</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85" zoomScaleNormal="85" workbookViewId="0">
      <pane xSplit="5" ySplit="3" topLeftCell="F4" activePane="bottomRight" state="frozen"/>
      <selection activeCell="J6" sqref="J6"/>
      <selection pane="topRight" activeCell="J6" sqref="J6"/>
      <selection pane="bottomLeft" activeCell="J6" sqref="J6"/>
      <selection pane="bottomRight" activeCell="J6" sqref="J6"/>
    </sheetView>
  </sheetViews>
  <sheetFormatPr defaultRowHeight="15.75" x14ac:dyDescent="0.25"/>
  <cols>
    <col min="1" max="1" width="14" bestFit="1" customWidth="1"/>
    <col min="2" max="2" width="6" style="1" bestFit="1" customWidth="1"/>
    <col min="3" max="3" width="9.125" bestFit="1" customWidth="1"/>
    <col min="4" max="4" width="73.125" bestFit="1" customWidth="1"/>
    <col min="5" max="5" width="8.625" style="1" bestFit="1" customWidth="1"/>
    <col min="6" max="6" width="36.625" bestFit="1" customWidth="1"/>
    <col min="7" max="10" width="5.125" bestFit="1" customWidth="1"/>
    <col min="11" max="14" width="5.125" style="1" bestFit="1" customWidth="1"/>
    <col min="15" max="15" width="34.875" style="1" bestFit="1" customWidth="1"/>
    <col min="16" max="18" width="5.375" style="1" bestFit="1" customWidth="1"/>
    <col min="19" max="19" width="6" bestFit="1" customWidth="1"/>
    <col min="20" max="23" width="5.375" customWidth="1"/>
    <col min="24" max="29" width="5.375" bestFit="1" customWidth="1"/>
    <col min="30" max="30" width="5.375" customWidth="1"/>
    <col min="31" max="31" width="6" bestFit="1" customWidth="1"/>
    <col min="32" max="34" width="6" customWidth="1"/>
    <col min="35" max="35" width="5.375" customWidth="1"/>
    <col min="36" max="36" width="6" bestFit="1" customWidth="1"/>
    <col min="37" max="39" width="5.375" bestFit="1" customWidth="1"/>
  </cols>
  <sheetData>
    <row r="1" spans="1:38" x14ac:dyDescent="0.25">
      <c r="A1" s="28">
        <v>1</v>
      </c>
      <c r="B1" s="28">
        <v>2</v>
      </c>
      <c r="C1" s="28">
        <v>3</v>
      </c>
      <c r="D1" s="28">
        <v>4</v>
      </c>
      <c r="E1" s="28">
        <v>5</v>
      </c>
      <c r="F1" s="28">
        <v>6</v>
      </c>
      <c r="G1" s="28">
        <v>7</v>
      </c>
      <c r="H1" s="28">
        <v>8</v>
      </c>
      <c r="I1" s="28">
        <v>9</v>
      </c>
      <c r="J1" s="28">
        <v>10</v>
      </c>
      <c r="K1" s="28">
        <v>11</v>
      </c>
      <c r="L1" s="28">
        <v>12</v>
      </c>
      <c r="M1" s="28">
        <v>13</v>
      </c>
      <c r="N1" s="28">
        <v>14</v>
      </c>
      <c r="O1" s="28">
        <v>15</v>
      </c>
      <c r="P1" s="28">
        <v>16</v>
      </c>
      <c r="Q1" s="28">
        <v>17</v>
      </c>
      <c r="R1" s="28">
        <v>18</v>
      </c>
      <c r="S1" s="28">
        <v>19</v>
      </c>
      <c r="T1" s="28">
        <v>20</v>
      </c>
      <c r="U1" s="28">
        <v>21</v>
      </c>
      <c r="V1" s="28">
        <v>22</v>
      </c>
      <c r="W1" s="28">
        <v>23</v>
      </c>
      <c r="X1" s="28">
        <v>24</v>
      </c>
      <c r="Y1" s="28">
        <v>25</v>
      </c>
      <c r="Z1" s="28">
        <v>26</v>
      </c>
      <c r="AA1" s="28">
        <v>27</v>
      </c>
      <c r="AB1" s="28">
        <v>28</v>
      </c>
      <c r="AC1" s="28">
        <v>29</v>
      </c>
      <c r="AD1" s="28"/>
      <c r="AE1" s="28">
        <v>30</v>
      </c>
      <c r="AF1" s="28"/>
      <c r="AG1" s="28"/>
      <c r="AH1" s="28"/>
      <c r="AI1" s="28">
        <v>31</v>
      </c>
      <c r="AJ1" s="28">
        <v>32</v>
      </c>
      <c r="AK1" s="28">
        <v>33</v>
      </c>
      <c r="AL1" s="28">
        <v>34</v>
      </c>
    </row>
    <row r="2" spans="1:38" ht="16.5" thickBot="1" x14ac:dyDescent="0.3">
      <c r="A2" s="5"/>
      <c r="B2" s="6"/>
      <c r="C2" s="6"/>
      <c r="D2" s="5"/>
      <c r="E2" s="6"/>
      <c r="F2" s="5"/>
      <c r="G2" s="9"/>
      <c r="H2" s="7"/>
      <c r="I2" s="7"/>
      <c r="J2" s="7"/>
      <c r="K2" s="7"/>
      <c r="L2" s="6"/>
      <c r="M2" s="7"/>
      <c r="N2" s="8"/>
      <c r="O2" s="2"/>
      <c r="P2" s="5"/>
      <c r="Q2" s="5"/>
      <c r="R2" s="5"/>
      <c r="S2" s="5"/>
      <c r="T2" s="2"/>
    </row>
    <row r="3" spans="1:38" ht="69.75" x14ac:dyDescent="0.25">
      <c r="A3" s="32" t="s">
        <v>0</v>
      </c>
      <c r="B3" s="32" t="s">
        <v>1</v>
      </c>
      <c r="C3" s="32" t="s">
        <v>2</v>
      </c>
      <c r="D3" s="32" t="s">
        <v>306</v>
      </c>
      <c r="E3" s="32" t="s">
        <v>5</v>
      </c>
      <c r="F3" s="32" t="s">
        <v>4</v>
      </c>
      <c r="G3" s="119" t="s">
        <v>24</v>
      </c>
      <c r="H3" s="120" t="s">
        <v>25</v>
      </c>
      <c r="I3" s="120" t="s">
        <v>26</v>
      </c>
      <c r="J3" s="120" t="s">
        <v>27</v>
      </c>
      <c r="K3" s="120" t="s">
        <v>28</v>
      </c>
      <c r="L3" s="120" t="s">
        <v>29</v>
      </c>
      <c r="M3" s="120" t="s">
        <v>30</v>
      </c>
      <c r="N3" s="120" t="s">
        <v>31</v>
      </c>
      <c r="O3" s="187" t="s">
        <v>307</v>
      </c>
      <c r="P3" s="150" t="s">
        <v>103</v>
      </c>
      <c r="Q3" s="150" t="s">
        <v>155</v>
      </c>
      <c r="R3" s="150" t="s">
        <v>161</v>
      </c>
      <c r="S3" s="150" t="s">
        <v>168</v>
      </c>
      <c r="T3" s="150" t="s">
        <v>46</v>
      </c>
      <c r="U3" s="150" t="s">
        <v>252</v>
      </c>
      <c r="V3" s="150" t="s">
        <v>254</v>
      </c>
      <c r="W3" s="150" t="s">
        <v>257</v>
      </c>
      <c r="X3" s="150" t="s">
        <v>259</v>
      </c>
      <c r="Y3" s="150" t="s">
        <v>261</v>
      </c>
      <c r="Z3" s="151" t="s">
        <v>250</v>
      </c>
      <c r="AA3" s="149" t="s">
        <v>90</v>
      </c>
      <c r="AB3" s="150" t="s">
        <v>112</v>
      </c>
      <c r="AC3" s="151" t="s">
        <v>96</v>
      </c>
      <c r="AD3" s="150" t="s">
        <v>85</v>
      </c>
      <c r="AE3" s="149" t="s">
        <v>78</v>
      </c>
      <c r="AF3" s="150" t="s">
        <v>119</v>
      </c>
      <c r="AG3" s="150" t="s">
        <v>285</v>
      </c>
      <c r="AH3" s="150" t="s">
        <v>287</v>
      </c>
      <c r="AI3" s="150" t="s">
        <v>99</v>
      </c>
      <c r="AJ3" s="150" t="s">
        <v>177</v>
      </c>
      <c r="AK3" s="150" t="s">
        <v>179</v>
      </c>
      <c r="AL3" s="151" t="s">
        <v>181</v>
      </c>
    </row>
    <row r="4" spans="1:38" x14ac:dyDescent="0.25">
      <c r="A4" s="114" t="s">
        <v>174</v>
      </c>
      <c r="B4" s="4"/>
      <c r="C4" s="3"/>
      <c r="D4" s="3" t="s">
        <v>308</v>
      </c>
      <c r="E4" s="4"/>
      <c r="F4" s="81"/>
      <c r="G4" s="84" t="str">
        <f>IFERROR(IF(VLOOKUP(TableHandbook[[#This Row],[UDC]],TableAvailabilities[],2,FALSE)&gt;0,"Y",""),"")</f>
        <v/>
      </c>
      <c r="H4" s="85" t="str">
        <f>IFERROR(IF(VLOOKUP(TableHandbook[[#This Row],[UDC]],TableAvailabilities[],3,FALSE)&gt;0,"Y",""),"")</f>
        <v/>
      </c>
      <c r="I4" s="85" t="str">
        <f>IFERROR(IF(VLOOKUP(TableHandbook[[#This Row],[UDC]],TableAvailabilities[],4,FALSE)&gt;0,"Y",""),"")</f>
        <v/>
      </c>
      <c r="J4" s="85" t="str">
        <f>IFERROR(IF(VLOOKUP(TableHandbook[[#This Row],[UDC]],TableAvailabilities[],5,FALSE)&gt;0,"Y",""),"")</f>
        <v/>
      </c>
      <c r="K4" s="85" t="str">
        <f>IFERROR(IF(VLOOKUP(TableHandbook[[#This Row],[UDC]],TableAvailabilities[],6,FALSE)&gt;0,"Y",""),"")</f>
        <v/>
      </c>
      <c r="L4" s="85" t="str">
        <f>IFERROR(IF(VLOOKUP(TableHandbook[[#This Row],[UDC]],TableAvailabilities[],7,FALSE)&gt;0,"Y",""),"")</f>
        <v/>
      </c>
      <c r="M4" s="167" t="str">
        <f>IFERROR(IF(VLOOKUP(TableHandbook[[#This Row],[UDC]],TableAvailabilities[],8,FALSE)&gt;0,"Y",""),"")</f>
        <v/>
      </c>
      <c r="N4" s="85" t="str">
        <f>IFERROR(IF(VLOOKUP(TableHandbook[[#This Row],[UDC]],TableAvailabilities[],9,FALSE)&gt;0,"Y",""),"")</f>
        <v/>
      </c>
      <c r="O4" s="190"/>
      <c r="P4" s="185" t="str">
        <f>IFERROR(VLOOKUP(TableHandbook[[#This Row],[UDC]],TableMCTEACH[],7,FALSE),"")</f>
        <v/>
      </c>
      <c r="Q4" s="95" t="str">
        <f>IFERROR(VLOOKUP(TableHandbook[[#This Row],[UDC]],TableMJRPTCHEC[],7,FALSE),"")</f>
        <v/>
      </c>
      <c r="R4" s="95" t="str">
        <f>IFERROR(VLOOKUP(TableHandbook[[#This Row],[UDC]],TableMJRPTCHPR[],7,FALSE),"")</f>
        <v/>
      </c>
      <c r="S4" s="95" t="str">
        <f>IFERROR(VLOOKUP(TableHandbook[[#This Row],[UDC]],TableMJRPTCHSC[],7,FALSE),"")</f>
        <v/>
      </c>
      <c r="T4" s="121" t="str">
        <f>IFERROR(VLOOKUP(TableHandbook[[#This Row],[UDC]],TableSTRPSCART[],7,FALSE),"")</f>
        <v/>
      </c>
      <c r="U4" s="121" t="str">
        <f>IFERROR(VLOOKUP(TableHandbook[[#This Row],[UDC]],TableSTRPSCENG[],7,FALSE),"")</f>
        <v/>
      </c>
      <c r="V4" s="121" t="str">
        <f>IFERROR(VLOOKUP(TableHandbook[[#This Row],[UDC]],TableSTRPSCHLP[],7,FALSE),"")</f>
        <v/>
      </c>
      <c r="W4" s="121" t="str">
        <f>IFERROR(VLOOKUP(TableHandbook[[#This Row],[UDC]],TableSTRPSCHUS[],7,FALSE),"")</f>
        <v/>
      </c>
      <c r="X4" s="121" t="str">
        <f>IFERROR(VLOOKUP(TableHandbook[[#This Row],[UDC]],TableSTRPSCMAT[],7,FALSE),"")</f>
        <v/>
      </c>
      <c r="Y4" s="121" t="str">
        <f>IFERROR(VLOOKUP(TableHandbook[[#This Row],[UDC]],TableSTRPSCSCI[],7,FALSE),"")</f>
        <v/>
      </c>
      <c r="Z4" s="153" t="str">
        <f>IFERROR(VLOOKUP(TableHandbook[[#This Row],[UDC]],TableSTRPSCFON[],7,FALSE),"")</f>
        <v/>
      </c>
      <c r="AA4" s="154" t="str">
        <f>IFERROR(VLOOKUP(TableHandbook[[#This Row],[UDC]],TableGCTESOL[],7,FALSE),"")</f>
        <v/>
      </c>
      <c r="AB4" s="121" t="str">
        <f>IFERROR(VLOOKUP(TableHandbook[[#This Row],[UDC]],TableMCTESOL[],7,FALSE),"")</f>
        <v/>
      </c>
      <c r="AC4" s="153" t="str">
        <f>IFERROR(VLOOKUP(TableHandbook[[#This Row],[UDC]],TableMCAPLING[],7,FALSE),"")</f>
        <v/>
      </c>
      <c r="AD4" s="82" t="str">
        <f>IFERROR(VLOOKUP(TableHandbook[[#This Row],[UDC]],TableGCEDHE[],7,FALSE),"")</f>
        <v/>
      </c>
      <c r="AE4" s="154" t="str">
        <f>IFERROR(VLOOKUP(TableHandbook[[#This Row],[UDC]],TableGCEDUC[],7,FALSE),"")</f>
        <v/>
      </c>
      <c r="AF4" s="186" t="str">
        <f>IFERROR(VLOOKUP(TableHandbook[[#This Row],[UDC]],TableGDEDUC[],7,FALSE),"")</f>
        <v/>
      </c>
      <c r="AG4" s="186" t="str">
        <f>IFERROR(VLOOKUP(TableHandbook[[#This Row],[UDC]],TableMJRPEDUPR[],7,FALSE),"")</f>
        <v/>
      </c>
      <c r="AH4" s="186" t="str">
        <f>IFERROR(VLOOKUP(TableHandbook[[#This Row],[UDC]],TableMJRPEDUSC[],7,FALSE),"")</f>
        <v/>
      </c>
      <c r="AI4" s="121" t="str">
        <f>IFERROR(VLOOKUP(TableHandbook[[#This Row],[UDC]],TableMCEDUC[],7,FALSE),"")</f>
        <v/>
      </c>
      <c r="AJ4" s="121" t="str">
        <f>IFERROR(VLOOKUP(TableHandbook[[#This Row],[UDC]],TableSPPECULIN[],7,FALSE),"")</f>
        <v/>
      </c>
      <c r="AK4" s="121" t="str">
        <f>IFERROR(VLOOKUP(TableHandbook[[#This Row],[UDC]],TableSPPELNTCH[],7,FALSE),"")</f>
        <v/>
      </c>
      <c r="AL4" s="153" t="str">
        <f>IFERROR(VLOOKUP(TableHandbook[[#This Row],[UDC]],TableSPPESTEME[],7,FALSE),"")</f>
        <v/>
      </c>
    </row>
    <row r="5" spans="1:38" x14ac:dyDescent="0.25">
      <c r="A5" s="114" t="s">
        <v>135</v>
      </c>
      <c r="B5" s="4"/>
      <c r="C5" s="3"/>
      <c r="D5" s="3" t="s">
        <v>309</v>
      </c>
      <c r="E5" s="4"/>
      <c r="F5" s="81"/>
      <c r="G5" s="33" t="str">
        <f>IFERROR(IF(VLOOKUP(TableHandbook[[#This Row],[UDC]],TableAvailabilities[],2,FALSE)&gt;0,"Y",""),"")</f>
        <v/>
      </c>
      <c r="H5" s="82" t="str">
        <f>IFERROR(IF(VLOOKUP(TableHandbook[[#This Row],[UDC]],TableAvailabilities[],3,FALSE)&gt;0,"Y",""),"")</f>
        <v/>
      </c>
      <c r="I5" s="82" t="str">
        <f>IFERROR(IF(VLOOKUP(TableHandbook[[#This Row],[UDC]],TableAvailabilities[],4,FALSE)&gt;0,"Y",""),"")</f>
        <v/>
      </c>
      <c r="J5" s="82" t="str">
        <f>IFERROR(IF(VLOOKUP(TableHandbook[[#This Row],[UDC]],TableAvailabilities[],5,FALSE)&gt;0,"Y",""),"")</f>
        <v/>
      </c>
      <c r="K5" s="82" t="str">
        <f>IFERROR(IF(VLOOKUP(TableHandbook[[#This Row],[UDC]],TableAvailabilities[],6,FALSE)&gt;0,"Y",""),"")</f>
        <v/>
      </c>
      <c r="L5" s="82" t="str">
        <f>IFERROR(IF(VLOOKUP(TableHandbook[[#This Row],[UDC]],TableAvailabilities[],7,FALSE)&gt;0,"Y",""),"")</f>
        <v/>
      </c>
      <c r="M5" s="83" t="str">
        <f>IFERROR(IF(VLOOKUP(TableHandbook[[#This Row],[UDC]],TableAvailabilities[],8,FALSE)&gt;0,"Y",""),"")</f>
        <v/>
      </c>
      <c r="N5" s="82" t="str">
        <f>IFERROR(IF(VLOOKUP(TableHandbook[[#This Row],[UDC]],TableAvailabilities[],9,FALSE)&gt;0,"Y",""),"")</f>
        <v/>
      </c>
      <c r="O5" s="190"/>
      <c r="P5" s="185" t="str">
        <f>IFERROR(VLOOKUP(TableHandbook[[#This Row],[UDC]],TableMCTEACH[],7,FALSE),"")</f>
        <v/>
      </c>
      <c r="Q5" s="95" t="str">
        <f>IFERROR(VLOOKUP(TableHandbook[[#This Row],[UDC]],TableMJRPTCHEC[],7,FALSE),"")</f>
        <v/>
      </c>
      <c r="R5" s="95" t="str">
        <f>IFERROR(VLOOKUP(TableHandbook[[#This Row],[UDC]],TableMJRPTCHPR[],7,FALSE),"")</f>
        <v/>
      </c>
      <c r="S5" s="95" t="str">
        <f>IFERROR(VLOOKUP(TableHandbook[[#This Row],[UDC]],TableMJRPTCHSC[],7,FALSE),"")</f>
        <v/>
      </c>
      <c r="T5" s="121" t="str">
        <f>IFERROR(VLOOKUP(TableHandbook[[#This Row],[UDC]],TableSTRPSCART[],7,FALSE),"")</f>
        <v/>
      </c>
      <c r="U5" s="121" t="str">
        <f>IFERROR(VLOOKUP(TableHandbook[[#This Row],[UDC]],TableSTRPSCENG[],7,FALSE),"")</f>
        <v/>
      </c>
      <c r="V5" s="121" t="str">
        <f>IFERROR(VLOOKUP(TableHandbook[[#This Row],[UDC]],TableSTRPSCHLP[],7,FALSE),"")</f>
        <v/>
      </c>
      <c r="W5" s="121" t="str">
        <f>IFERROR(VLOOKUP(TableHandbook[[#This Row],[UDC]],TableSTRPSCHUS[],7,FALSE),"")</f>
        <v/>
      </c>
      <c r="X5" s="121" t="str">
        <f>IFERROR(VLOOKUP(TableHandbook[[#This Row],[UDC]],TableSTRPSCMAT[],7,FALSE),"")</f>
        <v/>
      </c>
      <c r="Y5" s="121" t="str">
        <f>IFERROR(VLOOKUP(TableHandbook[[#This Row],[UDC]],TableSTRPSCSCI[],7,FALSE),"")</f>
        <v/>
      </c>
      <c r="Z5" s="153" t="str">
        <f>IFERROR(VLOOKUP(TableHandbook[[#This Row],[UDC]],TableSTRPSCFON[],7,FALSE),"")</f>
        <v/>
      </c>
      <c r="AA5" s="154" t="str">
        <f>IFERROR(VLOOKUP(TableHandbook[[#This Row],[UDC]],TableGCTESOL[],7,FALSE),"")</f>
        <v/>
      </c>
      <c r="AB5" s="121" t="str">
        <f>IFERROR(VLOOKUP(TableHandbook[[#This Row],[UDC]],TableMCTESOL[],7,FALSE),"")</f>
        <v/>
      </c>
      <c r="AC5" s="153" t="str">
        <f>IFERROR(VLOOKUP(TableHandbook[[#This Row],[UDC]],TableMCAPLING[],7,FALSE),"")</f>
        <v/>
      </c>
      <c r="AD5" s="82" t="str">
        <f>IFERROR(VLOOKUP(TableHandbook[[#This Row],[UDC]],TableGCEDHE[],7,FALSE),"")</f>
        <v/>
      </c>
      <c r="AE5" s="154" t="str">
        <f>IFERROR(VLOOKUP(TableHandbook[[#This Row],[UDC]],TableGCEDUC[],7,FALSE),"")</f>
        <v/>
      </c>
      <c r="AF5" s="186" t="str">
        <f>IFERROR(VLOOKUP(TableHandbook[[#This Row],[UDC]],TableGDEDUC[],7,FALSE),"")</f>
        <v/>
      </c>
      <c r="AG5" s="186" t="str">
        <f>IFERROR(VLOOKUP(TableHandbook[[#This Row],[UDC]],TableMJRPEDUPR[],7,FALSE),"")</f>
        <v/>
      </c>
      <c r="AH5" s="186" t="str">
        <f>IFERROR(VLOOKUP(TableHandbook[[#This Row],[UDC]],TableMJRPEDUSC[],7,FALSE),"")</f>
        <v/>
      </c>
      <c r="AI5" s="121" t="str">
        <f>IFERROR(VLOOKUP(TableHandbook[[#This Row],[UDC]],TableMCEDUC[],7,FALSE),"")</f>
        <v/>
      </c>
      <c r="AJ5" s="121" t="str">
        <f>IFERROR(VLOOKUP(TableHandbook[[#This Row],[UDC]],TableSPPECULIN[],7,FALSE),"")</f>
        <v/>
      </c>
      <c r="AK5" s="121" t="str">
        <f>IFERROR(VLOOKUP(TableHandbook[[#This Row],[UDC]],TableSPPELNTCH[],7,FALSE),"")</f>
        <v/>
      </c>
      <c r="AL5" s="153" t="str">
        <f>IFERROR(VLOOKUP(TableHandbook[[#This Row],[UDC]],TableSPPESTEME[],7,FALSE),"")</f>
        <v/>
      </c>
    </row>
    <row r="6" spans="1:38" x14ac:dyDescent="0.25">
      <c r="A6" s="114" t="s">
        <v>132</v>
      </c>
      <c r="B6" s="4"/>
      <c r="C6" s="3"/>
      <c r="D6" s="3" t="s">
        <v>310</v>
      </c>
      <c r="E6" s="4"/>
      <c r="F6" s="81"/>
      <c r="G6" s="33" t="str">
        <f>IFERROR(IF(VLOOKUP(TableHandbook[[#This Row],[UDC]],TableAvailabilities[],2,FALSE)&gt;0,"Y",""),"")</f>
        <v/>
      </c>
      <c r="H6" s="82" t="str">
        <f>IFERROR(IF(VLOOKUP(TableHandbook[[#This Row],[UDC]],TableAvailabilities[],3,FALSE)&gt;0,"Y",""),"")</f>
        <v/>
      </c>
      <c r="I6" s="82" t="str">
        <f>IFERROR(IF(VLOOKUP(TableHandbook[[#This Row],[UDC]],TableAvailabilities[],4,FALSE)&gt;0,"Y",""),"")</f>
        <v/>
      </c>
      <c r="J6" s="82" t="str">
        <f>IFERROR(IF(VLOOKUP(TableHandbook[[#This Row],[UDC]],TableAvailabilities[],5,FALSE)&gt;0,"Y",""),"")</f>
        <v/>
      </c>
      <c r="K6" s="82" t="str">
        <f>IFERROR(IF(VLOOKUP(TableHandbook[[#This Row],[UDC]],TableAvailabilities[],6,FALSE)&gt;0,"Y",""),"")</f>
        <v/>
      </c>
      <c r="L6" s="82" t="str">
        <f>IFERROR(IF(VLOOKUP(TableHandbook[[#This Row],[UDC]],TableAvailabilities[],7,FALSE)&gt;0,"Y",""),"")</f>
        <v/>
      </c>
      <c r="M6" s="83" t="str">
        <f>IFERROR(IF(VLOOKUP(TableHandbook[[#This Row],[UDC]],TableAvailabilities[],8,FALSE)&gt;0,"Y",""),"")</f>
        <v/>
      </c>
      <c r="N6" s="82" t="str">
        <f>IFERROR(IF(VLOOKUP(TableHandbook[[#This Row],[UDC]],TableAvailabilities[],9,FALSE)&gt;0,"Y",""),"")</f>
        <v/>
      </c>
      <c r="O6" s="190"/>
      <c r="P6" s="185" t="str">
        <f>IFERROR(VLOOKUP(TableHandbook[[#This Row],[UDC]],TableMCTEACH[],7,FALSE),"")</f>
        <v/>
      </c>
      <c r="Q6" s="95" t="str">
        <f>IFERROR(VLOOKUP(TableHandbook[[#This Row],[UDC]],TableMJRPTCHEC[],7,FALSE),"")</f>
        <v/>
      </c>
      <c r="R6" s="95" t="str">
        <f>IFERROR(VLOOKUP(TableHandbook[[#This Row],[UDC]],TableMJRPTCHPR[],7,FALSE),"")</f>
        <v/>
      </c>
      <c r="S6" s="95" t="str">
        <f>IFERROR(VLOOKUP(TableHandbook[[#This Row],[UDC]],TableMJRPTCHSC[],7,FALSE),"")</f>
        <v/>
      </c>
      <c r="T6" s="121" t="str">
        <f>IFERROR(VLOOKUP(TableHandbook[[#This Row],[UDC]],TableSTRPSCART[],7,FALSE),"")</f>
        <v/>
      </c>
      <c r="U6" s="121" t="str">
        <f>IFERROR(VLOOKUP(TableHandbook[[#This Row],[UDC]],TableSTRPSCENG[],7,FALSE),"")</f>
        <v/>
      </c>
      <c r="V6" s="121" t="str">
        <f>IFERROR(VLOOKUP(TableHandbook[[#This Row],[UDC]],TableSTRPSCHLP[],7,FALSE),"")</f>
        <v/>
      </c>
      <c r="W6" s="121" t="str">
        <f>IFERROR(VLOOKUP(TableHandbook[[#This Row],[UDC]],TableSTRPSCHUS[],7,FALSE),"")</f>
        <v/>
      </c>
      <c r="X6" s="121" t="str">
        <f>IFERROR(VLOOKUP(TableHandbook[[#This Row],[UDC]],TableSTRPSCMAT[],7,FALSE),"")</f>
        <v/>
      </c>
      <c r="Y6" s="121" t="str">
        <f>IFERROR(VLOOKUP(TableHandbook[[#This Row],[UDC]],TableSTRPSCSCI[],7,FALSE),"")</f>
        <v/>
      </c>
      <c r="Z6" s="153" t="str">
        <f>IFERROR(VLOOKUP(TableHandbook[[#This Row],[UDC]],TableSTRPSCFON[],7,FALSE),"")</f>
        <v/>
      </c>
      <c r="AA6" s="154" t="str">
        <f>IFERROR(VLOOKUP(TableHandbook[[#This Row],[UDC]],TableGCTESOL[],7,FALSE),"")</f>
        <v/>
      </c>
      <c r="AB6" s="121" t="str">
        <f>IFERROR(VLOOKUP(TableHandbook[[#This Row],[UDC]],TableMCTESOL[],7,FALSE),"")</f>
        <v/>
      </c>
      <c r="AC6" s="153" t="str">
        <f>IFERROR(VLOOKUP(TableHandbook[[#This Row],[UDC]],TableMCAPLING[],7,FALSE),"")</f>
        <v/>
      </c>
      <c r="AD6" s="82" t="str">
        <f>IFERROR(VLOOKUP(TableHandbook[[#This Row],[UDC]],TableGCEDHE[],7,FALSE),"")</f>
        <v/>
      </c>
      <c r="AE6" s="154" t="str">
        <f>IFERROR(VLOOKUP(TableHandbook[[#This Row],[UDC]],TableGCEDUC[],7,FALSE),"")</f>
        <v/>
      </c>
      <c r="AF6" s="186" t="str">
        <f>IFERROR(VLOOKUP(TableHandbook[[#This Row],[UDC]],TableGDEDUC[],7,FALSE),"")</f>
        <v/>
      </c>
      <c r="AG6" s="186" t="str">
        <f>IFERROR(VLOOKUP(TableHandbook[[#This Row],[UDC]],TableMJRPEDUPR[],7,FALSE),"")</f>
        <v/>
      </c>
      <c r="AH6" s="186" t="str">
        <f>IFERROR(VLOOKUP(TableHandbook[[#This Row],[UDC]],TableMJRPEDUSC[],7,FALSE),"")</f>
        <v/>
      </c>
      <c r="AI6" s="121" t="str">
        <f>IFERROR(VLOOKUP(TableHandbook[[#This Row],[UDC]],TableMCEDUC[],7,FALSE),"")</f>
        <v/>
      </c>
      <c r="AJ6" s="121" t="str">
        <f>IFERROR(VLOOKUP(TableHandbook[[#This Row],[UDC]],TableSPPECULIN[],7,FALSE),"")</f>
        <v/>
      </c>
      <c r="AK6" s="121" t="str">
        <f>IFERROR(VLOOKUP(TableHandbook[[#This Row],[UDC]],TableSPPELNTCH[],7,FALSE),"")</f>
        <v/>
      </c>
      <c r="AL6" s="153" t="str">
        <f>IFERROR(VLOOKUP(TableHandbook[[#This Row],[UDC]],TableSPPESTEME[],7,FALSE),"")</f>
        <v/>
      </c>
    </row>
    <row r="7" spans="1:38" x14ac:dyDescent="0.25">
      <c r="A7" s="3" t="s">
        <v>82</v>
      </c>
      <c r="B7" s="4">
        <v>1</v>
      </c>
      <c r="C7" s="3"/>
      <c r="D7" s="3" t="s">
        <v>311</v>
      </c>
      <c r="E7" s="4">
        <v>25</v>
      </c>
      <c r="F7" s="81" t="s">
        <v>59</v>
      </c>
      <c r="G7" s="33" t="str">
        <f>IFERROR(IF(VLOOKUP(TableHandbook[[#This Row],[UDC]],TableAvailabilities[],2,FALSE)&gt;0,"Y",""),"")</f>
        <v/>
      </c>
      <c r="H7" s="82" t="str">
        <f>IFERROR(IF(VLOOKUP(TableHandbook[[#This Row],[UDC]],TableAvailabilities[],3,FALSE)&gt;0,"Y",""),"")</f>
        <v/>
      </c>
      <c r="I7" s="82" t="str">
        <f>IFERROR(IF(VLOOKUP(TableHandbook[[#This Row],[UDC]],TableAvailabilities[],4,FALSE)&gt;0,"Y",""),"")</f>
        <v>Y</v>
      </c>
      <c r="J7" s="82" t="str">
        <f>IFERROR(IF(VLOOKUP(TableHandbook[[#This Row],[UDC]],TableAvailabilities[],5,FALSE)&gt;0,"Y",""),"")</f>
        <v>Y</v>
      </c>
      <c r="K7" s="82" t="str">
        <f>IFERROR(IF(VLOOKUP(TableHandbook[[#This Row],[UDC]],TableAvailabilities[],6,FALSE)&gt;0,"Y",""),"")</f>
        <v/>
      </c>
      <c r="L7" s="82" t="str">
        <f>IFERROR(IF(VLOOKUP(TableHandbook[[#This Row],[UDC]],TableAvailabilities[],7,FALSE)&gt;0,"Y",""),"")</f>
        <v/>
      </c>
      <c r="M7" s="83" t="str">
        <f>IFERROR(IF(VLOOKUP(TableHandbook[[#This Row],[UDC]],TableAvailabilities[],8,FALSE)&gt;0,"Y",""),"")</f>
        <v/>
      </c>
      <c r="N7" s="82" t="str">
        <f>IFERROR(IF(VLOOKUP(TableHandbook[[#This Row],[UDC]],TableAvailabilities[],9,FALSE)&gt;0,"Y",""),"")</f>
        <v/>
      </c>
      <c r="O7" s="190"/>
      <c r="P7" s="185" t="str">
        <f>IFERROR(VLOOKUP(TableHandbook[[#This Row],[UDC]],TableMCTEACH[],7,FALSE),"")</f>
        <v/>
      </c>
      <c r="Q7" s="95" t="str">
        <f>IFERROR(VLOOKUP(TableHandbook[[#This Row],[UDC]],TableMJRPTCHEC[],7,FALSE),"")</f>
        <v>Core</v>
      </c>
      <c r="R7" s="95" t="str">
        <f>IFERROR(VLOOKUP(TableHandbook[[#This Row],[UDC]],TableMJRPTCHPR[],7,FALSE),"")</f>
        <v/>
      </c>
      <c r="S7" s="95" t="str">
        <f>IFERROR(VLOOKUP(TableHandbook[[#This Row],[UDC]],TableMJRPTCHSC[],7,FALSE),"")</f>
        <v/>
      </c>
      <c r="T7" s="121" t="str">
        <f>IFERROR(VLOOKUP(TableHandbook[[#This Row],[UDC]],TableSTRPSCART[],7,FALSE),"")</f>
        <v/>
      </c>
      <c r="U7" s="121" t="str">
        <f>IFERROR(VLOOKUP(TableHandbook[[#This Row],[UDC]],TableSTRPSCENG[],7,FALSE),"")</f>
        <v/>
      </c>
      <c r="V7" s="121" t="str">
        <f>IFERROR(VLOOKUP(TableHandbook[[#This Row],[UDC]],TableSTRPSCHLP[],7,FALSE),"")</f>
        <v/>
      </c>
      <c r="W7" s="121" t="str">
        <f>IFERROR(VLOOKUP(TableHandbook[[#This Row],[UDC]],TableSTRPSCHUS[],7,FALSE),"")</f>
        <v/>
      </c>
      <c r="X7" s="121" t="str">
        <f>IFERROR(VLOOKUP(TableHandbook[[#This Row],[UDC]],TableSTRPSCMAT[],7,FALSE),"")</f>
        <v/>
      </c>
      <c r="Y7" s="121" t="str">
        <f>IFERROR(VLOOKUP(TableHandbook[[#This Row],[UDC]],TableSTRPSCSCI[],7,FALSE),"")</f>
        <v/>
      </c>
      <c r="Z7" s="153" t="str">
        <f>IFERROR(VLOOKUP(TableHandbook[[#This Row],[UDC]],TableSTRPSCFON[],7,FALSE),"")</f>
        <v/>
      </c>
      <c r="AA7" s="154" t="str">
        <f>IFERROR(VLOOKUP(TableHandbook[[#This Row],[UDC]],TableGCTESOL[],7,FALSE),"")</f>
        <v/>
      </c>
      <c r="AB7" s="121" t="str">
        <f>IFERROR(VLOOKUP(TableHandbook[[#This Row],[UDC]],TableMCTESOL[],7,FALSE),"")</f>
        <v/>
      </c>
      <c r="AC7" s="153" t="str">
        <f>IFERROR(VLOOKUP(TableHandbook[[#This Row],[UDC]],TableMCAPLING[],7,FALSE),"")</f>
        <v/>
      </c>
      <c r="AD7" s="82" t="str">
        <f>IFERROR(VLOOKUP(TableHandbook[[#This Row],[UDC]],TableGCEDHE[],7,FALSE),"")</f>
        <v/>
      </c>
      <c r="AE7" s="154" t="str">
        <f>IFERROR(VLOOKUP(TableHandbook[[#This Row],[UDC]],TableGCEDUC[],7,FALSE),"")</f>
        <v/>
      </c>
      <c r="AF7" s="186" t="str">
        <f>IFERROR(VLOOKUP(TableHandbook[[#This Row],[UDC]],TableGDEDUC[],7,FALSE),"")</f>
        <v/>
      </c>
      <c r="AG7" s="186" t="str">
        <f>IFERROR(VLOOKUP(TableHandbook[[#This Row],[UDC]],TableMJRPEDUPR[],7,FALSE),"")</f>
        <v/>
      </c>
      <c r="AH7" s="186" t="str">
        <f>IFERROR(VLOOKUP(TableHandbook[[#This Row],[UDC]],TableMJRPEDUSC[],7,FALSE),"")</f>
        <v/>
      </c>
      <c r="AI7" s="121" t="str">
        <f>IFERROR(VLOOKUP(TableHandbook[[#This Row],[UDC]],TableMCEDUC[],7,FALSE),"")</f>
        <v/>
      </c>
      <c r="AJ7" s="121" t="str">
        <f>IFERROR(VLOOKUP(TableHandbook[[#This Row],[UDC]],TableSPPECULIN[],7,FALSE),"")</f>
        <v/>
      </c>
      <c r="AK7" s="121" t="str">
        <f>IFERROR(VLOOKUP(TableHandbook[[#This Row],[UDC]],TableSPPELNTCH[],7,FALSE),"")</f>
        <v/>
      </c>
      <c r="AL7" s="153" t="str">
        <f>IFERROR(VLOOKUP(TableHandbook[[#This Row],[UDC]],TableSPPESTEME[],7,FALSE),"")</f>
        <v/>
      </c>
    </row>
    <row r="8" spans="1:38" x14ac:dyDescent="0.25">
      <c r="A8" s="3" t="s">
        <v>93</v>
      </c>
      <c r="B8" s="4">
        <v>2</v>
      </c>
      <c r="C8" s="3"/>
      <c r="D8" s="3" t="s">
        <v>312</v>
      </c>
      <c r="E8" s="4">
        <v>25</v>
      </c>
      <c r="F8" s="81" t="s">
        <v>313</v>
      </c>
      <c r="G8" s="33" t="str">
        <f>IFERROR(IF(VLOOKUP(TableHandbook[[#This Row],[UDC]],TableAvailabilities[],2,FALSE)&gt;0,"Y",""),"")</f>
        <v/>
      </c>
      <c r="H8" s="82" t="str">
        <f>IFERROR(IF(VLOOKUP(TableHandbook[[#This Row],[UDC]],TableAvailabilities[],3,FALSE)&gt;0,"Y",""),"")</f>
        <v/>
      </c>
      <c r="I8" s="82" t="str">
        <f>IFERROR(IF(VLOOKUP(TableHandbook[[#This Row],[UDC]],TableAvailabilities[],4,FALSE)&gt;0,"Y",""),"")</f>
        <v/>
      </c>
      <c r="J8" s="82" t="str">
        <f>IFERROR(IF(VLOOKUP(TableHandbook[[#This Row],[UDC]],TableAvailabilities[],5,FALSE)&gt;0,"Y",""),"")</f>
        <v/>
      </c>
      <c r="K8" s="82" t="str">
        <f>IFERROR(IF(VLOOKUP(TableHandbook[[#This Row],[UDC]],TableAvailabilities[],6,FALSE)&gt;0,"Y",""),"")</f>
        <v>Y</v>
      </c>
      <c r="L8" s="82" t="str">
        <f>IFERROR(IF(VLOOKUP(TableHandbook[[#This Row],[UDC]],TableAvailabilities[],7,FALSE)&gt;0,"Y",""),"")</f>
        <v>Y</v>
      </c>
      <c r="M8" s="83" t="str">
        <f>IFERROR(IF(VLOOKUP(TableHandbook[[#This Row],[UDC]],TableAvailabilities[],8,FALSE)&gt;0,"Y",""),"")</f>
        <v/>
      </c>
      <c r="N8" s="82" t="str">
        <f>IFERROR(IF(VLOOKUP(TableHandbook[[#This Row],[UDC]],TableAvailabilities[],9,FALSE)&gt;0,"Y",""),"")</f>
        <v/>
      </c>
      <c r="O8" s="190"/>
      <c r="P8" s="185" t="str">
        <f>IFERROR(VLOOKUP(TableHandbook[[#This Row],[UDC]],TableMCTEACH[],7,FALSE),"")</f>
        <v/>
      </c>
      <c r="Q8" s="95" t="str">
        <f>IFERROR(VLOOKUP(TableHandbook[[#This Row],[UDC]],TableMJRPTCHEC[],7,FALSE),"")</f>
        <v>Core</v>
      </c>
      <c r="R8" s="95" t="str">
        <f>IFERROR(VLOOKUP(TableHandbook[[#This Row],[UDC]],TableMJRPTCHPR[],7,FALSE),"")</f>
        <v/>
      </c>
      <c r="S8" s="95" t="str">
        <f>IFERROR(VLOOKUP(TableHandbook[[#This Row],[UDC]],TableMJRPTCHSC[],7,FALSE),"")</f>
        <v/>
      </c>
      <c r="T8" s="121" t="str">
        <f>IFERROR(VLOOKUP(TableHandbook[[#This Row],[UDC]],TableSTRPSCART[],7,FALSE),"")</f>
        <v/>
      </c>
      <c r="U8" s="121" t="str">
        <f>IFERROR(VLOOKUP(TableHandbook[[#This Row],[UDC]],TableSTRPSCENG[],7,FALSE),"")</f>
        <v/>
      </c>
      <c r="V8" s="121" t="str">
        <f>IFERROR(VLOOKUP(TableHandbook[[#This Row],[UDC]],TableSTRPSCHLP[],7,FALSE),"")</f>
        <v/>
      </c>
      <c r="W8" s="121" t="str">
        <f>IFERROR(VLOOKUP(TableHandbook[[#This Row],[UDC]],TableSTRPSCHUS[],7,FALSE),"")</f>
        <v/>
      </c>
      <c r="X8" s="121" t="str">
        <f>IFERROR(VLOOKUP(TableHandbook[[#This Row],[UDC]],TableSTRPSCMAT[],7,FALSE),"")</f>
        <v/>
      </c>
      <c r="Y8" s="121" t="str">
        <f>IFERROR(VLOOKUP(TableHandbook[[#This Row],[UDC]],TableSTRPSCSCI[],7,FALSE),"")</f>
        <v/>
      </c>
      <c r="Z8" s="153" t="str">
        <f>IFERROR(VLOOKUP(TableHandbook[[#This Row],[UDC]],TableSTRPSCFON[],7,FALSE),"")</f>
        <v/>
      </c>
      <c r="AA8" s="154" t="str">
        <f>IFERROR(VLOOKUP(TableHandbook[[#This Row],[UDC]],TableGCTESOL[],7,FALSE),"")</f>
        <v/>
      </c>
      <c r="AB8" s="121" t="str">
        <f>IFERROR(VLOOKUP(TableHandbook[[#This Row],[UDC]],TableMCTESOL[],7,FALSE),"")</f>
        <v/>
      </c>
      <c r="AC8" s="153" t="str">
        <f>IFERROR(VLOOKUP(TableHandbook[[#This Row],[UDC]],TableMCAPLING[],7,FALSE),"")</f>
        <v/>
      </c>
      <c r="AD8" s="82" t="str">
        <f>IFERROR(VLOOKUP(TableHandbook[[#This Row],[UDC]],TableGCEDHE[],7,FALSE),"")</f>
        <v/>
      </c>
      <c r="AE8" s="154" t="str">
        <f>IFERROR(VLOOKUP(TableHandbook[[#This Row],[UDC]],TableGCEDUC[],7,FALSE),"")</f>
        <v/>
      </c>
      <c r="AF8" s="186" t="str">
        <f>IFERROR(VLOOKUP(TableHandbook[[#This Row],[UDC]],TableGDEDUC[],7,FALSE),"")</f>
        <v/>
      </c>
      <c r="AG8" s="186" t="str">
        <f>IFERROR(VLOOKUP(TableHandbook[[#This Row],[UDC]],TableMJRPEDUPR[],7,FALSE),"")</f>
        <v/>
      </c>
      <c r="AH8" s="186" t="str">
        <f>IFERROR(VLOOKUP(TableHandbook[[#This Row],[UDC]],TableMJRPEDUSC[],7,FALSE),"")</f>
        <v/>
      </c>
      <c r="AI8" s="121" t="str">
        <f>IFERROR(VLOOKUP(TableHandbook[[#This Row],[UDC]],TableMCEDUC[],7,FALSE),"")</f>
        <v/>
      </c>
      <c r="AJ8" s="121" t="str">
        <f>IFERROR(VLOOKUP(TableHandbook[[#This Row],[UDC]],TableSPPECULIN[],7,FALSE),"")</f>
        <v/>
      </c>
      <c r="AK8" s="121" t="str">
        <f>IFERROR(VLOOKUP(TableHandbook[[#This Row],[UDC]],TableSPPELNTCH[],7,FALSE),"")</f>
        <v/>
      </c>
      <c r="AL8" s="153" t="str">
        <f>IFERROR(VLOOKUP(TableHandbook[[#This Row],[UDC]],TableSPPESTEME[],7,FALSE),"")</f>
        <v/>
      </c>
    </row>
    <row r="9" spans="1:38" x14ac:dyDescent="0.25">
      <c r="A9" s="3" t="s">
        <v>68</v>
      </c>
      <c r="B9" s="4">
        <v>1</v>
      </c>
      <c r="C9" s="3"/>
      <c r="D9" s="3" t="s">
        <v>314</v>
      </c>
      <c r="E9" s="4">
        <v>25</v>
      </c>
      <c r="F9" s="81" t="s">
        <v>315</v>
      </c>
      <c r="G9" s="33" t="str">
        <f>IFERROR(IF(VLOOKUP(TableHandbook[[#This Row],[UDC]],TableAvailabilities[],2,FALSE)&gt;0,"Y",""),"")</f>
        <v/>
      </c>
      <c r="H9" s="82" t="str">
        <f>IFERROR(IF(VLOOKUP(TableHandbook[[#This Row],[UDC]],TableAvailabilities[],3,FALSE)&gt;0,"Y",""),"")</f>
        <v/>
      </c>
      <c r="I9" s="82" t="str">
        <f>IFERROR(IF(VLOOKUP(TableHandbook[[#This Row],[UDC]],TableAvailabilities[],4,FALSE)&gt;0,"Y",""),"")</f>
        <v/>
      </c>
      <c r="J9" s="82" t="str">
        <f>IFERROR(IF(VLOOKUP(TableHandbook[[#This Row],[UDC]],TableAvailabilities[],5,FALSE)&gt;0,"Y",""),"")</f>
        <v/>
      </c>
      <c r="K9" s="82" t="str">
        <f>IFERROR(IF(VLOOKUP(TableHandbook[[#This Row],[UDC]],TableAvailabilities[],6,FALSE)&gt;0,"Y",""),"")</f>
        <v>Y</v>
      </c>
      <c r="L9" s="82" t="str">
        <f>IFERROR(IF(VLOOKUP(TableHandbook[[#This Row],[UDC]],TableAvailabilities[],7,FALSE)&gt;0,"Y",""),"")</f>
        <v>Y</v>
      </c>
      <c r="M9" s="83" t="str">
        <f>IFERROR(IF(VLOOKUP(TableHandbook[[#This Row],[UDC]],TableAvailabilities[],8,FALSE)&gt;0,"Y",""),"")</f>
        <v/>
      </c>
      <c r="N9" s="82" t="str">
        <f>IFERROR(IF(VLOOKUP(TableHandbook[[#This Row],[UDC]],TableAvailabilities[],9,FALSE)&gt;0,"Y",""),"")</f>
        <v/>
      </c>
      <c r="O9" s="190"/>
      <c r="P9" s="185" t="str">
        <f>IFERROR(VLOOKUP(TableHandbook[[#This Row],[UDC]],TableMCTEACH[],7,FALSE),"")</f>
        <v/>
      </c>
      <c r="Q9" s="95" t="str">
        <f>IFERROR(VLOOKUP(TableHandbook[[#This Row],[UDC]],TableMJRPTCHEC[],7,FALSE),"")</f>
        <v>Core</v>
      </c>
      <c r="R9" s="95" t="str">
        <f>IFERROR(VLOOKUP(TableHandbook[[#This Row],[UDC]],TableMJRPTCHPR[],7,FALSE),"")</f>
        <v/>
      </c>
      <c r="S9" s="95" t="str">
        <f>IFERROR(VLOOKUP(TableHandbook[[#This Row],[UDC]],TableMJRPTCHSC[],7,FALSE),"")</f>
        <v/>
      </c>
      <c r="T9" s="121" t="str">
        <f>IFERROR(VLOOKUP(TableHandbook[[#This Row],[UDC]],TableSTRPSCART[],7,FALSE),"")</f>
        <v/>
      </c>
      <c r="U9" s="121" t="str">
        <f>IFERROR(VLOOKUP(TableHandbook[[#This Row],[UDC]],TableSTRPSCENG[],7,FALSE),"")</f>
        <v/>
      </c>
      <c r="V9" s="121" t="str">
        <f>IFERROR(VLOOKUP(TableHandbook[[#This Row],[UDC]],TableSTRPSCHLP[],7,FALSE),"")</f>
        <v/>
      </c>
      <c r="W9" s="121" t="str">
        <f>IFERROR(VLOOKUP(TableHandbook[[#This Row],[UDC]],TableSTRPSCHUS[],7,FALSE),"")</f>
        <v/>
      </c>
      <c r="X9" s="121" t="str">
        <f>IFERROR(VLOOKUP(TableHandbook[[#This Row],[UDC]],TableSTRPSCMAT[],7,FALSE),"")</f>
        <v/>
      </c>
      <c r="Y9" s="121" t="str">
        <f>IFERROR(VLOOKUP(TableHandbook[[#This Row],[UDC]],TableSTRPSCSCI[],7,FALSE),"")</f>
        <v/>
      </c>
      <c r="Z9" s="153" t="str">
        <f>IFERROR(VLOOKUP(TableHandbook[[#This Row],[UDC]],TableSTRPSCFON[],7,FALSE),"")</f>
        <v/>
      </c>
      <c r="AA9" s="154" t="str">
        <f>IFERROR(VLOOKUP(TableHandbook[[#This Row],[UDC]],TableGCTESOL[],7,FALSE),"")</f>
        <v/>
      </c>
      <c r="AB9" s="121" t="str">
        <f>IFERROR(VLOOKUP(TableHandbook[[#This Row],[UDC]],TableMCTESOL[],7,FALSE),"")</f>
        <v/>
      </c>
      <c r="AC9" s="153" t="str">
        <f>IFERROR(VLOOKUP(TableHandbook[[#This Row],[UDC]],TableMCAPLING[],7,FALSE),"")</f>
        <v/>
      </c>
      <c r="AD9" s="82" t="str">
        <f>IFERROR(VLOOKUP(TableHandbook[[#This Row],[UDC]],TableGCEDHE[],7,FALSE),"")</f>
        <v/>
      </c>
      <c r="AE9" s="154" t="str">
        <f>IFERROR(VLOOKUP(TableHandbook[[#This Row],[UDC]],TableGCEDUC[],7,FALSE),"")</f>
        <v>Option</v>
      </c>
      <c r="AF9" s="186" t="str">
        <f>IFERROR(VLOOKUP(TableHandbook[[#This Row],[UDC]],TableGDEDUC[],7,FALSE),"")</f>
        <v/>
      </c>
      <c r="AG9" s="186" t="str">
        <f>IFERROR(VLOOKUP(TableHandbook[[#This Row],[UDC]],TableMJRPEDUPR[],7,FALSE),"")</f>
        <v/>
      </c>
      <c r="AH9" s="186" t="str">
        <f>IFERROR(VLOOKUP(TableHandbook[[#This Row],[UDC]],TableMJRPEDUSC[],7,FALSE),"")</f>
        <v/>
      </c>
      <c r="AI9" s="121" t="str">
        <f>IFERROR(VLOOKUP(TableHandbook[[#This Row],[UDC]],TableMCEDUC[],7,FALSE),"")</f>
        <v/>
      </c>
      <c r="AJ9" s="121" t="str">
        <f>IFERROR(VLOOKUP(TableHandbook[[#This Row],[UDC]],TableSPPECULIN[],7,FALSE),"")</f>
        <v/>
      </c>
      <c r="AK9" s="121" t="str">
        <f>IFERROR(VLOOKUP(TableHandbook[[#This Row],[UDC]],TableSPPELNTCH[],7,FALSE),"")</f>
        <v/>
      </c>
      <c r="AL9" s="153" t="str">
        <f>IFERROR(VLOOKUP(TableHandbook[[#This Row],[UDC]],TableSPPESTEME[],7,FALSE),"")</f>
        <v/>
      </c>
    </row>
    <row r="10" spans="1:38" x14ac:dyDescent="0.25">
      <c r="A10" s="3" t="s">
        <v>67</v>
      </c>
      <c r="B10" s="4">
        <v>1</v>
      </c>
      <c r="C10" s="3"/>
      <c r="D10" s="3" t="s">
        <v>316</v>
      </c>
      <c r="E10" s="4">
        <v>25</v>
      </c>
      <c r="F10" s="81" t="s">
        <v>315</v>
      </c>
      <c r="G10" s="33" t="str">
        <f>IFERROR(IF(VLOOKUP(TableHandbook[[#This Row],[UDC]],TableAvailabilities[],2,FALSE)&gt;0,"Y",""),"")</f>
        <v/>
      </c>
      <c r="H10" s="82" t="str">
        <f>IFERROR(IF(VLOOKUP(TableHandbook[[#This Row],[UDC]],TableAvailabilities[],3,FALSE)&gt;0,"Y",""),"")</f>
        <v/>
      </c>
      <c r="I10" s="82" t="str">
        <f>IFERROR(IF(VLOOKUP(TableHandbook[[#This Row],[UDC]],TableAvailabilities[],4,FALSE)&gt;0,"Y",""),"")</f>
        <v>Y</v>
      </c>
      <c r="J10" s="82" t="str">
        <f>IFERROR(IF(VLOOKUP(TableHandbook[[#This Row],[UDC]],TableAvailabilities[],5,FALSE)&gt;0,"Y",""),"")</f>
        <v>Y</v>
      </c>
      <c r="K10" s="82" t="str">
        <f>IFERROR(IF(VLOOKUP(TableHandbook[[#This Row],[UDC]],TableAvailabilities[],6,FALSE)&gt;0,"Y",""),"")</f>
        <v/>
      </c>
      <c r="L10" s="82" t="str">
        <f>IFERROR(IF(VLOOKUP(TableHandbook[[#This Row],[UDC]],TableAvailabilities[],7,FALSE)&gt;0,"Y",""),"")</f>
        <v/>
      </c>
      <c r="M10" s="83" t="str">
        <f>IFERROR(IF(VLOOKUP(TableHandbook[[#This Row],[UDC]],TableAvailabilities[],8,FALSE)&gt;0,"Y",""),"")</f>
        <v/>
      </c>
      <c r="N10" s="82" t="str">
        <f>IFERROR(IF(VLOOKUP(TableHandbook[[#This Row],[UDC]],TableAvailabilities[],9,FALSE)&gt;0,"Y",""),"")</f>
        <v/>
      </c>
      <c r="O10" s="190"/>
      <c r="P10" s="185" t="str">
        <f>IFERROR(VLOOKUP(TableHandbook[[#This Row],[UDC]],TableMCTEACH[],7,FALSE),"")</f>
        <v/>
      </c>
      <c r="Q10" s="95" t="str">
        <f>IFERROR(VLOOKUP(TableHandbook[[#This Row],[UDC]],TableMJRPTCHEC[],7,FALSE),"")</f>
        <v>Core</v>
      </c>
      <c r="R10" s="95" t="str">
        <f>IFERROR(VLOOKUP(TableHandbook[[#This Row],[UDC]],TableMJRPTCHPR[],7,FALSE),"")</f>
        <v/>
      </c>
      <c r="S10" s="95" t="str">
        <f>IFERROR(VLOOKUP(TableHandbook[[#This Row],[UDC]],TableMJRPTCHSC[],7,FALSE),"")</f>
        <v/>
      </c>
      <c r="T10" s="121" t="str">
        <f>IFERROR(VLOOKUP(TableHandbook[[#This Row],[UDC]],TableSTRPSCART[],7,FALSE),"")</f>
        <v/>
      </c>
      <c r="U10" s="121" t="str">
        <f>IFERROR(VLOOKUP(TableHandbook[[#This Row],[UDC]],TableSTRPSCENG[],7,FALSE),"")</f>
        <v/>
      </c>
      <c r="V10" s="121" t="str">
        <f>IFERROR(VLOOKUP(TableHandbook[[#This Row],[UDC]],TableSTRPSCHLP[],7,FALSE),"")</f>
        <v/>
      </c>
      <c r="W10" s="121" t="str">
        <f>IFERROR(VLOOKUP(TableHandbook[[#This Row],[UDC]],TableSTRPSCHUS[],7,FALSE),"")</f>
        <v/>
      </c>
      <c r="X10" s="121" t="str">
        <f>IFERROR(VLOOKUP(TableHandbook[[#This Row],[UDC]],TableSTRPSCMAT[],7,FALSE),"")</f>
        <v/>
      </c>
      <c r="Y10" s="121" t="str">
        <f>IFERROR(VLOOKUP(TableHandbook[[#This Row],[UDC]],TableSTRPSCSCI[],7,FALSE),"")</f>
        <v/>
      </c>
      <c r="Z10" s="153" t="str">
        <f>IFERROR(VLOOKUP(TableHandbook[[#This Row],[UDC]],TableSTRPSCFON[],7,FALSE),"")</f>
        <v/>
      </c>
      <c r="AA10" s="154" t="str">
        <f>IFERROR(VLOOKUP(TableHandbook[[#This Row],[UDC]],TableGCTESOL[],7,FALSE),"")</f>
        <v/>
      </c>
      <c r="AB10" s="121" t="str">
        <f>IFERROR(VLOOKUP(TableHandbook[[#This Row],[UDC]],TableMCTESOL[],7,FALSE),"")</f>
        <v/>
      </c>
      <c r="AC10" s="153" t="str">
        <f>IFERROR(VLOOKUP(TableHandbook[[#This Row],[UDC]],TableMCAPLING[],7,FALSE),"")</f>
        <v/>
      </c>
      <c r="AD10" s="82" t="str">
        <f>IFERROR(VLOOKUP(TableHandbook[[#This Row],[UDC]],TableGCEDHE[],7,FALSE),"")</f>
        <v/>
      </c>
      <c r="AE10" s="154" t="str">
        <f>IFERROR(VLOOKUP(TableHandbook[[#This Row],[UDC]],TableGCEDUC[],7,FALSE),"")</f>
        <v>Option</v>
      </c>
      <c r="AF10" s="186" t="str">
        <f>IFERROR(VLOOKUP(TableHandbook[[#This Row],[UDC]],TableGDEDUC[],7,FALSE),"")</f>
        <v/>
      </c>
      <c r="AG10" s="186" t="str">
        <f>IFERROR(VLOOKUP(TableHandbook[[#This Row],[UDC]],TableMJRPEDUPR[],7,FALSE),"")</f>
        <v/>
      </c>
      <c r="AH10" s="186" t="str">
        <f>IFERROR(VLOOKUP(TableHandbook[[#This Row],[UDC]],TableMJRPEDUSC[],7,FALSE),"")</f>
        <v/>
      </c>
      <c r="AI10" s="121" t="str">
        <f>IFERROR(VLOOKUP(TableHandbook[[#This Row],[UDC]],TableMCEDUC[],7,FALSE),"")</f>
        <v/>
      </c>
      <c r="AJ10" s="121" t="str">
        <f>IFERROR(VLOOKUP(TableHandbook[[#This Row],[UDC]],TableSPPECULIN[],7,FALSE),"")</f>
        <v/>
      </c>
      <c r="AK10" s="121" t="str">
        <f>IFERROR(VLOOKUP(TableHandbook[[#This Row],[UDC]],TableSPPELNTCH[],7,FALSE),"")</f>
        <v/>
      </c>
      <c r="AL10" s="153" t="str">
        <f>IFERROR(VLOOKUP(TableHandbook[[#This Row],[UDC]],TableSPPESTEME[],7,FALSE),"")</f>
        <v/>
      </c>
    </row>
    <row r="11" spans="1:38" x14ac:dyDescent="0.25">
      <c r="A11" s="3" t="s">
        <v>101</v>
      </c>
      <c r="B11" s="4">
        <v>1</v>
      </c>
      <c r="C11" s="3"/>
      <c r="D11" s="3" t="s">
        <v>317</v>
      </c>
      <c r="E11" s="4">
        <v>25</v>
      </c>
      <c r="F11" s="81" t="s">
        <v>315</v>
      </c>
      <c r="G11" s="33" t="str">
        <f>IFERROR(IF(VLOOKUP(TableHandbook[[#This Row],[UDC]],TableAvailabilities[],2,FALSE)&gt;0,"Y",""),"")</f>
        <v>Y</v>
      </c>
      <c r="H11" s="82" t="str">
        <f>IFERROR(IF(VLOOKUP(TableHandbook[[#This Row],[UDC]],TableAvailabilities[],3,FALSE)&gt;0,"Y",""),"")</f>
        <v>Y</v>
      </c>
      <c r="I11" s="82" t="str">
        <f>IFERROR(IF(VLOOKUP(TableHandbook[[#This Row],[UDC]],TableAvailabilities[],4,FALSE)&gt;0,"Y",""),"")</f>
        <v/>
      </c>
      <c r="J11" s="82" t="str">
        <f>IFERROR(IF(VLOOKUP(TableHandbook[[#This Row],[UDC]],TableAvailabilities[],5,FALSE)&gt;0,"Y",""),"")</f>
        <v/>
      </c>
      <c r="K11" s="82" t="str">
        <f>IFERROR(IF(VLOOKUP(TableHandbook[[#This Row],[UDC]],TableAvailabilities[],6,FALSE)&gt;0,"Y",""),"")</f>
        <v/>
      </c>
      <c r="L11" s="82" t="str">
        <f>IFERROR(IF(VLOOKUP(TableHandbook[[#This Row],[UDC]],TableAvailabilities[],7,FALSE)&gt;0,"Y",""),"")</f>
        <v/>
      </c>
      <c r="M11" s="83" t="str">
        <f>IFERROR(IF(VLOOKUP(TableHandbook[[#This Row],[UDC]],TableAvailabilities[],8,FALSE)&gt;0,"Y",""),"")</f>
        <v/>
      </c>
      <c r="N11" s="82" t="str">
        <f>IFERROR(IF(VLOOKUP(TableHandbook[[#This Row],[UDC]],TableAvailabilities[],9,FALSE)&gt;0,"Y",""),"")</f>
        <v/>
      </c>
      <c r="O11" s="190"/>
      <c r="P11" s="185" t="str">
        <f>IFERROR(VLOOKUP(TableHandbook[[#This Row],[UDC]],TableMCTEACH[],7,FALSE),"")</f>
        <v/>
      </c>
      <c r="Q11" s="95" t="str">
        <f>IFERROR(VLOOKUP(TableHandbook[[#This Row],[UDC]],TableMJRPTCHEC[],7,FALSE),"")</f>
        <v>Core</v>
      </c>
      <c r="R11" s="95" t="str">
        <f>IFERROR(VLOOKUP(TableHandbook[[#This Row],[UDC]],TableMJRPTCHPR[],7,FALSE),"")</f>
        <v/>
      </c>
      <c r="S11" s="95" t="str">
        <f>IFERROR(VLOOKUP(TableHandbook[[#This Row],[UDC]],TableMJRPTCHSC[],7,FALSE),"")</f>
        <v/>
      </c>
      <c r="T11" s="121" t="str">
        <f>IFERROR(VLOOKUP(TableHandbook[[#This Row],[UDC]],TableSTRPSCART[],7,FALSE),"")</f>
        <v/>
      </c>
      <c r="U11" s="121" t="str">
        <f>IFERROR(VLOOKUP(TableHandbook[[#This Row],[UDC]],TableSTRPSCENG[],7,FALSE),"")</f>
        <v/>
      </c>
      <c r="V11" s="121" t="str">
        <f>IFERROR(VLOOKUP(TableHandbook[[#This Row],[UDC]],TableSTRPSCHLP[],7,FALSE),"")</f>
        <v/>
      </c>
      <c r="W11" s="121" t="str">
        <f>IFERROR(VLOOKUP(TableHandbook[[#This Row],[UDC]],TableSTRPSCHUS[],7,FALSE),"")</f>
        <v/>
      </c>
      <c r="X11" s="121" t="str">
        <f>IFERROR(VLOOKUP(TableHandbook[[#This Row],[UDC]],TableSTRPSCMAT[],7,FALSE),"")</f>
        <v/>
      </c>
      <c r="Y11" s="121" t="str">
        <f>IFERROR(VLOOKUP(TableHandbook[[#This Row],[UDC]],TableSTRPSCSCI[],7,FALSE),"")</f>
        <v/>
      </c>
      <c r="Z11" s="153" t="str">
        <f>IFERROR(VLOOKUP(TableHandbook[[#This Row],[UDC]],TableSTRPSCFON[],7,FALSE),"")</f>
        <v/>
      </c>
      <c r="AA11" s="154" t="str">
        <f>IFERROR(VLOOKUP(TableHandbook[[#This Row],[UDC]],TableGCTESOL[],7,FALSE),"")</f>
        <v/>
      </c>
      <c r="AB11" s="121" t="str">
        <f>IFERROR(VLOOKUP(TableHandbook[[#This Row],[UDC]],TableMCTESOL[],7,FALSE),"")</f>
        <v/>
      </c>
      <c r="AC11" s="153" t="str">
        <f>IFERROR(VLOOKUP(TableHandbook[[#This Row],[UDC]],TableMCAPLING[],7,FALSE),"")</f>
        <v/>
      </c>
      <c r="AD11" s="82" t="str">
        <f>IFERROR(VLOOKUP(TableHandbook[[#This Row],[UDC]],TableGCEDHE[],7,FALSE),"")</f>
        <v/>
      </c>
      <c r="AE11" s="154" t="str">
        <f>IFERROR(VLOOKUP(TableHandbook[[#This Row],[UDC]],TableGCEDUC[],7,FALSE),"")</f>
        <v>Option</v>
      </c>
      <c r="AF11" s="186" t="str">
        <f>IFERROR(VLOOKUP(TableHandbook[[#This Row],[UDC]],TableGDEDUC[],7,FALSE),"")</f>
        <v/>
      </c>
      <c r="AG11" s="186" t="str">
        <f>IFERROR(VLOOKUP(TableHandbook[[#This Row],[UDC]],TableMJRPEDUPR[],7,FALSE),"")</f>
        <v/>
      </c>
      <c r="AH11" s="186" t="str">
        <f>IFERROR(VLOOKUP(TableHandbook[[#This Row],[UDC]],TableMJRPEDUSC[],7,FALSE),"")</f>
        <v/>
      </c>
      <c r="AI11" s="121" t="str">
        <f>IFERROR(VLOOKUP(TableHandbook[[#This Row],[UDC]],TableMCEDUC[],7,FALSE),"")</f>
        <v/>
      </c>
      <c r="AJ11" s="121" t="str">
        <f>IFERROR(VLOOKUP(TableHandbook[[#This Row],[UDC]],TableSPPECULIN[],7,FALSE),"")</f>
        <v/>
      </c>
      <c r="AK11" s="121" t="str">
        <f>IFERROR(VLOOKUP(TableHandbook[[#This Row],[UDC]],TableSPPELNTCH[],7,FALSE),"")</f>
        <v/>
      </c>
      <c r="AL11" s="153" t="str">
        <f>IFERROR(VLOOKUP(TableHandbook[[#This Row],[UDC]],TableSPPESTEME[],7,FALSE),"")</f>
        <v/>
      </c>
    </row>
    <row r="12" spans="1:38" x14ac:dyDescent="0.25">
      <c r="A12" s="3" t="s">
        <v>113</v>
      </c>
      <c r="B12" s="4">
        <v>1</v>
      </c>
      <c r="C12" s="3"/>
      <c r="D12" s="3" t="s">
        <v>318</v>
      </c>
      <c r="E12" s="4">
        <v>25</v>
      </c>
      <c r="F12" s="81" t="s">
        <v>315</v>
      </c>
      <c r="G12" s="33" t="str">
        <f>IFERROR(IF(VLOOKUP(TableHandbook[[#This Row],[UDC]],TableAvailabilities[],2,FALSE)&gt;0,"Y",""),"")</f>
        <v/>
      </c>
      <c r="H12" s="82" t="str">
        <f>IFERROR(IF(VLOOKUP(TableHandbook[[#This Row],[UDC]],TableAvailabilities[],3,FALSE)&gt;0,"Y",""),"")</f>
        <v/>
      </c>
      <c r="I12" s="82" t="str">
        <f>IFERROR(IF(VLOOKUP(TableHandbook[[#This Row],[UDC]],TableAvailabilities[],4,FALSE)&gt;0,"Y",""),"")</f>
        <v>Y</v>
      </c>
      <c r="J12" s="82" t="str">
        <f>IFERROR(IF(VLOOKUP(TableHandbook[[#This Row],[UDC]],TableAvailabilities[],5,FALSE)&gt;0,"Y",""),"")</f>
        <v>Y</v>
      </c>
      <c r="K12" s="82" t="str">
        <f>IFERROR(IF(VLOOKUP(TableHandbook[[#This Row],[UDC]],TableAvailabilities[],6,FALSE)&gt;0,"Y",""),"")</f>
        <v/>
      </c>
      <c r="L12" s="82" t="str">
        <f>IFERROR(IF(VLOOKUP(TableHandbook[[#This Row],[UDC]],TableAvailabilities[],7,FALSE)&gt;0,"Y",""),"")</f>
        <v/>
      </c>
      <c r="M12" s="83" t="str">
        <f>IFERROR(IF(VLOOKUP(TableHandbook[[#This Row],[UDC]],TableAvailabilities[],8,FALSE)&gt;0,"Y",""),"")</f>
        <v/>
      </c>
      <c r="N12" s="82" t="str">
        <f>IFERROR(IF(VLOOKUP(TableHandbook[[#This Row],[UDC]],TableAvailabilities[],9,FALSE)&gt;0,"Y",""),"")</f>
        <v/>
      </c>
      <c r="O12" s="190"/>
      <c r="P12" s="185" t="str">
        <f>IFERROR(VLOOKUP(TableHandbook[[#This Row],[UDC]],TableMCTEACH[],7,FALSE),"")</f>
        <v/>
      </c>
      <c r="Q12" s="95" t="str">
        <f>IFERROR(VLOOKUP(TableHandbook[[#This Row],[UDC]],TableMJRPTCHEC[],7,FALSE),"")</f>
        <v>Core</v>
      </c>
      <c r="R12" s="95" t="str">
        <f>IFERROR(VLOOKUP(TableHandbook[[#This Row],[UDC]],TableMJRPTCHPR[],7,FALSE),"")</f>
        <v/>
      </c>
      <c r="S12" s="95" t="str">
        <f>IFERROR(VLOOKUP(TableHandbook[[#This Row],[UDC]],TableMJRPTCHSC[],7,FALSE),"")</f>
        <v/>
      </c>
      <c r="T12" s="121" t="str">
        <f>IFERROR(VLOOKUP(TableHandbook[[#This Row],[UDC]],TableSTRPSCART[],7,FALSE),"")</f>
        <v/>
      </c>
      <c r="U12" s="121" t="str">
        <f>IFERROR(VLOOKUP(TableHandbook[[#This Row],[UDC]],TableSTRPSCENG[],7,FALSE),"")</f>
        <v/>
      </c>
      <c r="V12" s="121" t="str">
        <f>IFERROR(VLOOKUP(TableHandbook[[#This Row],[UDC]],TableSTRPSCHLP[],7,FALSE),"")</f>
        <v/>
      </c>
      <c r="W12" s="121" t="str">
        <f>IFERROR(VLOOKUP(TableHandbook[[#This Row],[UDC]],TableSTRPSCHUS[],7,FALSE),"")</f>
        <v/>
      </c>
      <c r="X12" s="121" t="str">
        <f>IFERROR(VLOOKUP(TableHandbook[[#This Row],[UDC]],TableSTRPSCMAT[],7,FALSE),"")</f>
        <v/>
      </c>
      <c r="Y12" s="121" t="str">
        <f>IFERROR(VLOOKUP(TableHandbook[[#This Row],[UDC]],TableSTRPSCSCI[],7,FALSE),"")</f>
        <v/>
      </c>
      <c r="Z12" s="153" t="str">
        <f>IFERROR(VLOOKUP(TableHandbook[[#This Row],[UDC]],TableSTRPSCFON[],7,FALSE),"")</f>
        <v/>
      </c>
      <c r="AA12" s="154" t="str">
        <f>IFERROR(VLOOKUP(TableHandbook[[#This Row],[UDC]],TableGCTESOL[],7,FALSE),"")</f>
        <v/>
      </c>
      <c r="AB12" s="121" t="str">
        <f>IFERROR(VLOOKUP(TableHandbook[[#This Row],[UDC]],TableMCTESOL[],7,FALSE),"")</f>
        <v/>
      </c>
      <c r="AC12" s="153" t="str">
        <f>IFERROR(VLOOKUP(TableHandbook[[#This Row],[UDC]],TableMCAPLING[],7,FALSE),"")</f>
        <v/>
      </c>
      <c r="AD12" s="82" t="str">
        <f>IFERROR(VLOOKUP(TableHandbook[[#This Row],[UDC]],TableGCEDHE[],7,FALSE),"")</f>
        <v/>
      </c>
      <c r="AE12" s="154" t="str">
        <f>IFERROR(VLOOKUP(TableHandbook[[#This Row],[UDC]],TableGCEDUC[],7,FALSE),"")</f>
        <v/>
      </c>
      <c r="AF12" s="186" t="str">
        <f>IFERROR(VLOOKUP(TableHandbook[[#This Row],[UDC]],TableGDEDUC[],7,FALSE),"")</f>
        <v/>
      </c>
      <c r="AG12" s="186" t="str">
        <f>IFERROR(VLOOKUP(TableHandbook[[#This Row],[UDC]],TableMJRPEDUPR[],7,FALSE),"")</f>
        <v/>
      </c>
      <c r="AH12" s="186" t="str">
        <f>IFERROR(VLOOKUP(TableHandbook[[#This Row],[UDC]],TableMJRPEDUSC[],7,FALSE),"")</f>
        <v/>
      </c>
      <c r="AI12" s="121" t="str">
        <f>IFERROR(VLOOKUP(TableHandbook[[#This Row],[UDC]],TableMCEDUC[],7,FALSE),"")</f>
        <v/>
      </c>
      <c r="AJ12" s="121" t="str">
        <f>IFERROR(VLOOKUP(TableHandbook[[#This Row],[UDC]],TableSPPECULIN[],7,FALSE),"")</f>
        <v/>
      </c>
      <c r="AK12" s="121" t="str">
        <f>IFERROR(VLOOKUP(TableHandbook[[#This Row],[UDC]],TableSPPELNTCH[],7,FALSE),"")</f>
        <v/>
      </c>
      <c r="AL12" s="153" t="str">
        <f>IFERROR(VLOOKUP(TableHandbook[[#This Row],[UDC]],TableSPPESTEME[],7,FALSE),"")</f>
        <v/>
      </c>
    </row>
    <row r="13" spans="1:38" x14ac:dyDescent="0.25">
      <c r="A13" s="3" t="s">
        <v>69</v>
      </c>
      <c r="B13" s="4">
        <v>1</v>
      </c>
      <c r="C13" s="3"/>
      <c r="D13" s="3" t="s">
        <v>319</v>
      </c>
      <c r="E13" s="4">
        <v>25</v>
      </c>
      <c r="F13" s="81" t="s">
        <v>315</v>
      </c>
      <c r="G13" s="33" t="str">
        <f>IFERROR(IF(VLOOKUP(TableHandbook[[#This Row],[UDC]],TableAvailabilities[],2,FALSE)&gt;0,"Y",""),"")</f>
        <v/>
      </c>
      <c r="H13" s="82" t="str">
        <f>IFERROR(IF(VLOOKUP(TableHandbook[[#This Row],[UDC]],TableAvailabilities[],3,FALSE)&gt;0,"Y",""),"")</f>
        <v/>
      </c>
      <c r="I13" s="82" t="str">
        <f>IFERROR(IF(VLOOKUP(TableHandbook[[#This Row],[UDC]],TableAvailabilities[],4,FALSE)&gt;0,"Y",""),"")</f>
        <v/>
      </c>
      <c r="J13" s="82" t="str">
        <f>IFERROR(IF(VLOOKUP(TableHandbook[[#This Row],[UDC]],TableAvailabilities[],5,FALSE)&gt;0,"Y",""),"")</f>
        <v/>
      </c>
      <c r="K13" s="82" t="str">
        <f>IFERROR(IF(VLOOKUP(TableHandbook[[#This Row],[UDC]],TableAvailabilities[],6,FALSE)&gt;0,"Y",""),"")</f>
        <v/>
      </c>
      <c r="L13" s="82" t="str">
        <f>IFERROR(IF(VLOOKUP(TableHandbook[[#This Row],[UDC]],TableAvailabilities[],7,FALSE)&gt;0,"Y",""),"")</f>
        <v/>
      </c>
      <c r="M13" s="83" t="str">
        <f>IFERROR(IF(VLOOKUP(TableHandbook[[#This Row],[UDC]],TableAvailabilities[],8,FALSE)&gt;0,"Y",""),"")</f>
        <v>Y</v>
      </c>
      <c r="N13" s="82" t="str">
        <f>IFERROR(IF(VLOOKUP(TableHandbook[[#This Row],[UDC]],TableAvailabilities[],9,FALSE)&gt;0,"Y",""),"")</f>
        <v>Y</v>
      </c>
      <c r="O13" s="190"/>
      <c r="P13" s="185" t="str">
        <f>IFERROR(VLOOKUP(TableHandbook[[#This Row],[UDC]],TableMCTEACH[],7,FALSE),"")</f>
        <v/>
      </c>
      <c r="Q13" s="95" t="str">
        <f>IFERROR(VLOOKUP(TableHandbook[[#This Row],[UDC]],TableMJRPTCHEC[],7,FALSE),"")</f>
        <v>Core</v>
      </c>
      <c r="R13" s="95" t="str">
        <f>IFERROR(VLOOKUP(TableHandbook[[#This Row],[UDC]],TableMJRPTCHPR[],7,FALSE),"")</f>
        <v/>
      </c>
      <c r="S13" s="95" t="str">
        <f>IFERROR(VLOOKUP(TableHandbook[[#This Row],[UDC]],TableMJRPTCHSC[],7,FALSE),"")</f>
        <v/>
      </c>
      <c r="T13" s="121" t="str">
        <f>IFERROR(VLOOKUP(TableHandbook[[#This Row],[UDC]],TableSTRPSCART[],7,FALSE),"")</f>
        <v/>
      </c>
      <c r="U13" s="121" t="str">
        <f>IFERROR(VLOOKUP(TableHandbook[[#This Row],[UDC]],TableSTRPSCENG[],7,FALSE),"")</f>
        <v/>
      </c>
      <c r="V13" s="121" t="str">
        <f>IFERROR(VLOOKUP(TableHandbook[[#This Row],[UDC]],TableSTRPSCHLP[],7,FALSE),"")</f>
        <v/>
      </c>
      <c r="W13" s="121" t="str">
        <f>IFERROR(VLOOKUP(TableHandbook[[#This Row],[UDC]],TableSTRPSCHUS[],7,FALSE),"")</f>
        <v/>
      </c>
      <c r="X13" s="121" t="str">
        <f>IFERROR(VLOOKUP(TableHandbook[[#This Row],[UDC]],TableSTRPSCMAT[],7,FALSE),"")</f>
        <v/>
      </c>
      <c r="Y13" s="121" t="str">
        <f>IFERROR(VLOOKUP(TableHandbook[[#This Row],[UDC]],TableSTRPSCSCI[],7,FALSE),"")</f>
        <v/>
      </c>
      <c r="Z13" s="153" t="str">
        <f>IFERROR(VLOOKUP(TableHandbook[[#This Row],[UDC]],TableSTRPSCFON[],7,FALSE),"")</f>
        <v/>
      </c>
      <c r="AA13" s="154" t="str">
        <f>IFERROR(VLOOKUP(TableHandbook[[#This Row],[UDC]],TableGCTESOL[],7,FALSE),"")</f>
        <v/>
      </c>
      <c r="AB13" s="121" t="str">
        <f>IFERROR(VLOOKUP(TableHandbook[[#This Row],[UDC]],TableMCTESOL[],7,FALSE),"")</f>
        <v/>
      </c>
      <c r="AC13" s="153" t="str">
        <f>IFERROR(VLOOKUP(TableHandbook[[#This Row],[UDC]],TableMCAPLING[],7,FALSE),"")</f>
        <v/>
      </c>
      <c r="AD13" s="82" t="str">
        <f>IFERROR(VLOOKUP(TableHandbook[[#This Row],[UDC]],TableGCEDHE[],7,FALSE),"")</f>
        <v/>
      </c>
      <c r="AE13" s="154" t="str">
        <f>IFERROR(VLOOKUP(TableHandbook[[#This Row],[UDC]],TableGCEDUC[],7,FALSE),"")</f>
        <v/>
      </c>
      <c r="AF13" s="186" t="str">
        <f>IFERROR(VLOOKUP(TableHandbook[[#This Row],[UDC]],TableGDEDUC[],7,FALSE),"")</f>
        <v/>
      </c>
      <c r="AG13" s="186" t="str">
        <f>IFERROR(VLOOKUP(TableHandbook[[#This Row],[UDC]],TableMJRPEDUPR[],7,FALSE),"")</f>
        <v/>
      </c>
      <c r="AH13" s="186" t="str">
        <f>IFERROR(VLOOKUP(TableHandbook[[#This Row],[UDC]],TableMJRPEDUSC[],7,FALSE),"")</f>
        <v/>
      </c>
      <c r="AI13" s="121" t="str">
        <f>IFERROR(VLOOKUP(TableHandbook[[#This Row],[UDC]],TableMCEDUC[],7,FALSE),"")</f>
        <v/>
      </c>
      <c r="AJ13" s="121" t="str">
        <f>IFERROR(VLOOKUP(TableHandbook[[#This Row],[UDC]],TableSPPECULIN[],7,FALSE),"")</f>
        <v/>
      </c>
      <c r="AK13" s="121" t="str">
        <f>IFERROR(VLOOKUP(TableHandbook[[#This Row],[UDC]],TableSPPELNTCH[],7,FALSE),"")</f>
        <v/>
      </c>
      <c r="AL13" s="153" t="str">
        <f>IFERROR(VLOOKUP(TableHandbook[[#This Row],[UDC]],TableSPPESTEME[],7,FALSE),"")</f>
        <v/>
      </c>
    </row>
    <row r="14" spans="1:38" x14ac:dyDescent="0.25">
      <c r="A14" s="3" t="s">
        <v>61</v>
      </c>
      <c r="B14" s="4">
        <v>1</v>
      </c>
      <c r="C14" s="3"/>
      <c r="D14" s="3" t="s">
        <v>320</v>
      </c>
      <c r="E14" s="4">
        <v>25</v>
      </c>
      <c r="F14" s="81" t="s">
        <v>315</v>
      </c>
      <c r="G14" s="33" t="str">
        <f>IFERROR(IF(VLOOKUP(TableHandbook[[#This Row],[UDC]],TableAvailabilities[],2,FALSE)&gt;0,"Y",""),"")</f>
        <v>Y</v>
      </c>
      <c r="H14" s="82" t="str">
        <f>IFERROR(IF(VLOOKUP(TableHandbook[[#This Row],[UDC]],TableAvailabilities[],3,FALSE)&gt;0,"Y",""),"")</f>
        <v>Y</v>
      </c>
      <c r="I14" s="82" t="str">
        <f>IFERROR(IF(VLOOKUP(TableHandbook[[#This Row],[UDC]],TableAvailabilities[],4,FALSE)&gt;0,"Y",""),"")</f>
        <v>Y</v>
      </c>
      <c r="J14" s="82" t="str">
        <f>IFERROR(IF(VLOOKUP(TableHandbook[[#This Row],[UDC]],TableAvailabilities[],5,FALSE)&gt;0,"Y",""),"")</f>
        <v>Y</v>
      </c>
      <c r="K14" s="82" t="str">
        <f>IFERROR(IF(VLOOKUP(TableHandbook[[#This Row],[UDC]],TableAvailabilities[],6,FALSE)&gt;0,"Y",""),"")</f>
        <v/>
      </c>
      <c r="L14" s="82" t="str">
        <f>IFERROR(IF(VLOOKUP(TableHandbook[[#This Row],[UDC]],TableAvailabilities[],7,FALSE)&gt;0,"Y",""),"")</f>
        <v/>
      </c>
      <c r="M14" s="83" t="str">
        <f>IFERROR(IF(VLOOKUP(TableHandbook[[#This Row],[UDC]],TableAvailabilities[],8,FALSE)&gt;0,"Y",""),"")</f>
        <v/>
      </c>
      <c r="N14" s="82" t="str">
        <f>IFERROR(IF(VLOOKUP(TableHandbook[[#This Row],[UDC]],TableAvailabilities[],9,FALSE)&gt;0,"Y",""),"")</f>
        <v/>
      </c>
      <c r="O14" s="190"/>
      <c r="P14" s="185" t="str">
        <f>IFERROR(VLOOKUP(TableHandbook[[#This Row],[UDC]],TableMCTEACH[],7,FALSE),"")</f>
        <v/>
      </c>
      <c r="Q14" s="95" t="str">
        <f>IFERROR(VLOOKUP(TableHandbook[[#This Row],[UDC]],TableMJRPTCHEC[],7,FALSE),"")</f>
        <v>Core</v>
      </c>
      <c r="R14" s="95" t="str">
        <f>IFERROR(VLOOKUP(TableHandbook[[#This Row],[UDC]],TableMJRPTCHPR[],7,FALSE),"")</f>
        <v/>
      </c>
      <c r="S14" s="95" t="str">
        <f>IFERROR(VLOOKUP(TableHandbook[[#This Row],[UDC]],TableMJRPTCHSC[],7,FALSE),"")</f>
        <v/>
      </c>
      <c r="T14" s="121" t="str">
        <f>IFERROR(VLOOKUP(TableHandbook[[#This Row],[UDC]],TableSTRPSCART[],7,FALSE),"")</f>
        <v/>
      </c>
      <c r="U14" s="121" t="str">
        <f>IFERROR(VLOOKUP(TableHandbook[[#This Row],[UDC]],TableSTRPSCENG[],7,FALSE),"")</f>
        <v/>
      </c>
      <c r="V14" s="121" t="str">
        <f>IFERROR(VLOOKUP(TableHandbook[[#This Row],[UDC]],TableSTRPSCHLP[],7,FALSE),"")</f>
        <v/>
      </c>
      <c r="W14" s="121" t="str">
        <f>IFERROR(VLOOKUP(TableHandbook[[#This Row],[UDC]],TableSTRPSCHUS[],7,FALSE),"")</f>
        <v/>
      </c>
      <c r="X14" s="121" t="str">
        <f>IFERROR(VLOOKUP(TableHandbook[[#This Row],[UDC]],TableSTRPSCMAT[],7,FALSE),"")</f>
        <v/>
      </c>
      <c r="Y14" s="121" t="str">
        <f>IFERROR(VLOOKUP(TableHandbook[[#This Row],[UDC]],TableSTRPSCSCI[],7,FALSE),"")</f>
        <v/>
      </c>
      <c r="Z14" s="153" t="str">
        <f>IFERROR(VLOOKUP(TableHandbook[[#This Row],[UDC]],TableSTRPSCFON[],7,FALSE),"")</f>
        <v/>
      </c>
      <c r="AA14" s="154" t="str">
        <f>IFERROR(VLOOKUP(TableHandbook[[#This Row],[UDC]],TableGCTESOL[],7,FALSE),"")</f>
        <v/>
      </c>
      <c r="AB14" s="121" t="str">
        <f>IFERROR(VLOOKUP(TableHandbook[[#This Row],[UDC]],TableMCTESOL[],7,FALSE),"")</f>
        <v/>
      </c>
      <c r="AC14" s="153" t="str">
        <f>IFERROR(VLOOKUP(TableHandbook[[#This Row],[UDC]],TableMCAPLING[],7,FALSE),"")</f>
        <v/>
      </c>
      <c r="AD14" s="82" t="str">
        <f>IFERROR(VLOOKUP(TableHandbook[[#This Row],[UDC]],TableGCEDHE[],7,FALSE),"")</f>
        <v/>
      </c>
      <c r="AE14" s="154" t="str">
        <f>IFERROR(VLOOKUP(TableHandbook[[#This Row],[UDC]],TableGCEDUC[],7,FALSE),"")</f>
        <v/>
      </c>
      <c r="AF14" s="186" t="str">
        <f>IFERROR(VLOOKUP(TableHandbook[[#This Row],[UDC]],TableGDEDUC[],7,FALSE),"")</f>
        <v/>
      </c>
      <c r="AG14" s="186" t="str">
        <f>IFERROR(VLOOKUP(TableHandbook[[#This Row],[UDC]],TableMJRPEDUPR[],7,FALSE),"")</f>
        <v/>
      </c>
      <c r="AH14" s="186" t="str">
        <f>IFERROR(VLOOKUP(TableHandbook[[#This Row],[UDC]],TableMJRPEDUSC[],7,FALSE),"")</f>
        <v/>
      </c>
      <c r="AI14" s="121" t="str">
        <f>IFERROR(VLOOKUP(TableHandbook[[#This Row],[UDC]],TableMCEDUC[],7,FALSE),"")</f>
        <v/>
      </c>
      <c r="AJ14" s="121" t="str">
        <f>IFERROR(VLOOKUP(TableHandbook[[#This Row],[UDC]],TableSPPECULIN[],7,FALSE),"")</f>
        <v/>
      </c>
      <c r="AK14" s="121" t="str">
        <f>IFERROR(VLOOKUP(TableHandbook[[#This Row],[UDC]],TableSPPELNTCH[],7,FALSE),"")</f>
        <v/>
      </c>
      <c r="AL14" s="153" t="str">
        <f>IFERROR(VLOOKUP(TableHandbook[[#This Row],[UDC]],TableSPPESTEME[],7,FALSE),"")</f>
        <v/>
      </c>
    </row>
    <row r="15" spans="1:38" x14ac:dyDescent="0.25">
      <c r="A15" s="3" t="s">
        <v>109</v>
      </c>
      <c r="B15" s="4">
        <v>1</v>
      </c>
      <c r="C15" s="3"/>
      <c r="D15" s="3" t="s">
        <v>321</v>
      </c>
      <c r="E15" s="4">
        <v>25</v>
      </c>
      <c r="F15" s="81" t="s">
        <v>315</v>
      </c>
      <c r="G15" s="33" t="str">
        <f>IFERROR(IF(VLOOKUP(TableHandbook[[#This Row],[UDC]],TableAvailabilities[],2,FALSE)&gt;0,"Y",""),"")</f>
        <v/>
      </c>
      <c r="H15" s="82" t="str">
        <f>IFERROR(IF(VLOOKUP(TableHandbook[[#This Row],[UDC]],TableAvailabilities[],3,FALSE)&gt;0,"Y",""),"")</f>
        <v/>
      </c>
      <c r="I15" s="82" t="str">
        <f>IFERROR(IF(VLOOKUP(TableHandbook[[#This Row],[UDC]],TableAvailabilities[],4,FALSE)&gt;0,"Y",""),"")</f>
        <v/>
      </c>
      <c r="J15" s="82" t="str">
        <f>IFERROR(IF(VLOOKUP(TableHandbook[[#This Row],[UDC]],TableAvailabilities[],5,FALSE)&gt;0,"Y",""),"")</f>
        <v/>
      </c>
      <c r="K15" s="82" t="str">
        <f>IFERROR(IF(VLOOKUP(TableHandbook[[#This Row],[UDC]],TableAvailabilities[],6,FALSE)&gt;0,"Y",""),"")</f>
        <v/>
      </c>
      <c r="L15" s="82" t="str">
        <f>IFERROR(IF(VLOOKUP(TableHandbook[[#This Row],[UDC]],TableAvailabilities[],7,FALSE)&gt;0,"Y",""),"")</f>
        <v/>
      </c>
      <c r="M15" s="83" t="str">
        <f>IFERROR(IF(VLOOKUP(TableHandbook[[#This Row],[UDC]],TableAvailabilities[],8,FALSE)&gt;0,"Y",""),"")</f>
        <v>Y</v>
      </c>
      <c r="N15" s="82" t="str">
        <f>IFERROR(IF(VLOOKUP(TableHandbook[[#This Row],[UDC]],TableAvailabilities[],9,FALSE)&gt;0,"Y",""),"")</f>
        <v>Y</v>
      </c>
      <c r="O15" s="190"/>
      <c r="P15" s="185" t="str">
        <f>IFERROR(VLOOKUP(TableHandbook[[#This Row],[UDC]],TableMCTEACH[],7,FALSE),"")</f>
        <v/>
      </c>
      <c r="Q15" s="95" t="str">
        <f>IFERROR(VLOOKUP(TableHandbook[[#This Row],[UDC]],TableMJRPTCHEC[],7,FALSE),"")</f>
        <v>Core</v>
      </c>
      <c r="R15" s="95" t="str">
        <f>IFERROR(VLOOKUP(TableHandbook[[#This Row],[UDC]],TableMJRPTCHPR[],7,FALSE),"")</f>
        <v/>
      </c>
      <c r="S15" s="95" t="str">
        <f>IFERROR(VLOOKUP(TableHandbook[[#This Row],[UDC]],TableMJRPTCHSC[],7,FALSE),"")</f>
        <v/>
      </c>
      <c r="T15" s="121" t="str">
        <f>IFERROR(VLOOKUP(TableHandbook[[#This Row],[UDC]],TableSTRPSCART[],7,FALSE),"")</f>
        <v/>
      </c>
      <c r="U15" s="121" t="str">
        <f>IFERROR(VLOOKUP(TableHandbook[[#This Row],[UDC]],TableSTRPSCENG[],7,FALSE),"")</f>
        <v/>
      </c>
      <c r="V15" s="121" t="str">
        <f>IFERROR(VLOOKUP(TableHandbook[[#This Row],[UDC]],TableSTRPSCHLP[],7,FALSE),"")</f>
        <v/>
      </c>
      <c r="W15" s="121" t="str">
        <f>IFERROR(VLOOKUP(TableHandbook[[#This Row],[UDC]],TableSTRPSCHUS[],7,FALSE),"")</f>
        <v/>
      </c>
      <c r="X15" s="121" t="str">
        <f>IFERROR(VLOOKUP(TableHandbook[[#This Row],[UDC]],TableSTRPSCMAT[],7,FALSE),"")</f>
        <v/>
      </c>
      <c r="Y15" s="121" t="str">
        <f>IFERROR(VLOOKUP(TableHandbook[[#This Row],[UDC]],TableSTRPSCSCI[],7,FALSE),"")</f>
        <v/>
      </c>
      <c r="Z15" s="153" t="str">
        <f>IFERROR(VLOOKUP(TableHandbook[[#This Row],[UDC]],TableSTRPSCFON[],7,FALSE),"")</f>
        <v/>
      </c>
      <c r="AA15" s="154" t="str">
        <f>IFERROR(VLOOKUP(TableHandbook[[#This Row],[UDC]],TableGCTESOL[],7,FALSE),"")</f>
        <v/>
      </c>
      <c r="AB15" s="121" t="str">
        <f>IFERROR(VLOOKUP(TableHandbook[[#This Row],[UDC]],TableMCTESOL[],7,FALSE),"")</f>
        <v/>
      </c>
      <c r="AC15" s="153" t="str">
        <f>IFERROR(VLOOKUP(TableHandbook[[#This Row],[UDC]],TableMCAPLING[],7,FALSE),"")</f>
        <v/>
      </c>
      <c r="AD15" s="82" t="str">
        <f>IFERROR(VLOOKUP(TableHandbook[[#This Row],[UDC]],TableGCEDHE[],7,FALSE),"")</f>
        <v/>
      </c>
      <c r="AE15" s="154" t="str">
        <f>IFERROR(VLOOKUP(TableHandbook[[#This Row],[UDC]],TableGCEDUC[],7,FALSE),"")</f>
        <v/>
      </c>
      <c r="AF15" s="186" t="str">
        <f>IFERROR(VLOOKUP(TableHandbook[[#This Row],[UDC]],TableGDEDUC[],7,FALSE),"")</f>
        <v/>
      </c>
      <c r="AG15" s="186" t="str">
        <f>IFERROR(VLOOKUP(TableHandbook[[#This Row],[UDC]],TableMJRPEDUPR[],7,FALSE),"")</f>
        <v/>
      </c>
      <c r="AH15" s="186" t="str">
        <f>IFERROR(VLOOKUP(TableHandbook[[#This Row],[UDC]],TableMJRPEDUSC[],7,FALSE),"")</f>
        <v/>
      </c>
      <c r="AI15" s="121" t="str">
        <f>IFERROR(VLOOKUP(TableHandbook[[#This Row],[UDC]],TableMCEDUC[],7,FALSE),"")</f>
        <v/>
      </c>
      <c r="AJ15" s="121" t="str">
        <f>IFERROR(VLOOKUP(TableHandbook[[#This Row],[UDC]],TableSPPECULIN[],7,FALSE),"")</f>
        <v/>
      </c>
      <c r="AK15" s="121" t="str">
        <f>IFERROR(VLOOKUP(TableHandbook[[#This Row],[UDC]],TableSPPELNTCH[],7,FALSE),"")</f>
        <v/>
      </c>
      <c r="AL15" s="153" t="str">
        <f>IFERROR(VLOOKUP(TableHandbook[[#This Row],[UDC]],TableSPPESTEME[],7,FALSE),"")</f>
        <v/>
      </c>
    </row>
    <row r="16" spans="1:38" x14ac:dyDescent="0.25">
      <c r="A16" s="3" t="s">
        <v>114</v>
      </c>
      <c r="B16" s="4">
        <v>1</v>
      </c>
      <c r="C16" s="3"/>
      <c r="D16" s="3" t="s">
        <v>322</v>
      </c>
      <c r="E16" s="4">
        <v>25</v>
      </c>
      <c r="F16" s="81" t="s">
        <v>315</v>
      </c>
      <c r="G16" s="33" t="str">
        <f>IFERROR(IF(VLOOKUP(TableHandbook[[#This Row],[UDC]],TableAvailabilities[],2,FALSE)&gt;0,"Y",""),"")</f>
        <v/>
      </c>
      <c r="H16" s="82" t="str">
        <f>IFERROR(IF(VLOOKUP(TableHandbook[[#This Row],[UDC]],TableAvailabilities[],3,FALSE)&gt;0,"Y",""),"")</f>
        <v/>
      </c>
      <c r="I16" s="82" t="str">
        <f>IFERROR(IF(VLOOKUP(TableHandbook[[#This Row],[UDC]],TableAvailabilities[],4,FALSE)&gt;0,"Y",""),"")</f>
        <v/>
      </c>
      <c r="J16" s="82" t="str">
        <f>IFERROR(IF(VLOOKUP(TableHandbook[[#This Row],[UDC]],TableAvailabilities[],5,FALSE)&gt;0,"Y",""),"")</f>
        <v/>
      </c>
      <c r="K16" s="82" t="str">
        <f>IFERROR(IF(VLOOKUP(TableHandbook[[#This Row],[UDC]],TableAvailabilities[],6,FALSE)&gt;0,"Y",""),"")</f>
        <v>Y</v>
      </c>
      <c r="L16" s="82" t="str">
        <f>IFERROR(IF(VLOOKUP(TableHandbook[[#This Row],[UDC]],TableAvailabilities[],7,FALSE)&gt;0,"Y",""),"")</f>
        <v>Y</v>
      </c>
      <c r="M16" s="83" t="str">
        <f>IFERROR(IF(VLOOKUP(TableHandbook[[#This Row],[UDC]],TableAvailabilities[],8,FALSE)&gt;0,"Y",""),"")</f>
        <v/>
      </c>
      <c r="N16" s="82" t="str">
        <f>IFERROR(IF(VLOOKUP(TableHandbook[[#This Row],[UDC]],TableAvailabilities[],9,FALSE)&gt;0,"Y",""),"")</f>
        <v/>
      </c>
      <c r="O16" s="190"/>
      <c r="P16" s="185" t="str">
        <f>IFERROR(VLOOKUP(TableHandbook[[#This Row],[UDC]],TableMCTEACH[],7,FALSE),"")</f>
        <v/>
      </c>
      <c r="Q16" s="95" t="str">
        <f>IFERROR(VLOOKUP(TableHandbook[[#This Row],[UDC]],TableMJRPTCHEC[],7,FALSE),"")</f>
        <v>Core</v>
      </c>
      <c r="R16" s="95" t="str">
        <f>IFERROR(VLOOKUP(TableHandbook[[#This Row],[UDC]],TableMJRPTCHPR[],7,FALSE),"")</f>
        <v/>
      </c>
      <c r="S16" s="95" t="str">
        <f>IFERROR(VLOOKUP(TableHandbook[[#This Row],[UDC]],TableMJRPTCHSC[],7,FALSE),"")</f>
        <v/>
      </c>
      <c r="T16" s="121" t="str">
        <f>IFERROR(VLOOKUP(TableHandbook[[#This Row],[UDC]],TableSTRPSCART[],7,FALSE),"")</f>
        <v/>
      </c>
      <c r="U16" s="121" t="str">
        <f>IFERROR(VLOOKUP(TableHandbook[[#This Row],[UDC]],TableSTRPSCENG[],7,FALSE),"")</f>
        <v/>
      </c>
      <c r="V16" s="121" t="str">
        <f>IFERROR(VLOOKUP(TableHandbook[[#This Row],[UDC]],TableSTRPSCHLP[],7,FALSE),"")</f>
        <v/>
      </c>
      <c r="W16" s="121" t="str">
        <f>IFERROR(VLOOKUP(TableHandbook[[#This Row],[UDC]],TableSTRPSCHUS[],7,FALSE),"")</f>
        <v/>
      </c>
      <c r="X16" s="121" t="str">
        <f>IFERROR(VLOOKUP(TableHandbook[[#This Row],[UDC]],TableSTRPSCMAT[],7,FALSE),"")</f>
        <v/>
      </c>
      <c r="Y16" s="121" t="str">
        <f>IFERROR(VLOOKUP(TableHandbook[[#This Row],[UDC]],TableSTRPSCSCI[],7,FALSE),"")</f>
        <v/>
      </c>
      <c r="Z16" s="153" t="str">
        <f>IFERROR(VLOOKUP(TableHandbook[[#This Row],[UDC]],TableSTRPSCFON[],7,FALSE),"")</f>
        <v/>
      </c>
      <c r="AA16" s="154" t="str">
        <f>IFERROR(VLOOKUP(TableHandbook[[#This Row],[UDC]],TableGCTESOL[],7,FALSE),"")</f>
        <v/>
      </c>
      <c r="AB16" s="121" t="str">
        <f>IFERROR(VLOOKUP(TableHandbook[[#This Row],[UDC]],TableMCTESOL[],7,FALSE),"")</f>
        <v/>
      </c>
      <c r="AC16" s="153" t="str">
        <f>IFERROR(VLOOKUP(TableHandbook[[#This Row],[UDC]],TableMCAPLING[],7,FALSE),"")</f>
        <v/>
      </c>
      <c r="AD16" s="82" t="str">
        <f>IFERROR(VLOOKUP(TableHandbook[[#This Row],[UDC]],TableGCEDHE[],7,FALSE),"")</f>
        <v/>
      </c>
      <c r="AE16" s="154" t="str">
        <f>IFERROR(VLOOKUP(TableHandbook[[#This Row],[UDC]],TableGCEDUC[],7,FALSE),"")</f>
        <v/>
      </c>
      <c r="AF16" s="186" t="str">
        <f>IFERROR(VLOOKUP(TableHandbook[[#This Row],[UDC]],TableGDEDUC[],7,FALSE),"")</f>
        <v/>
      </c>
      <c r="AG16" s="186" t="str">
        <f>IFERROR(VLOOKUP(TableHandbook[[#This Row],[UDC]],TableMJRPEDUPR[],7,FALSE),"")</f>
        <v/>
      </c>
      <c r="AH16" s="186" t="str">
        <f>IFERROR(VLOOKUP(TableHandbook[[#This Row],[UDC]],TableMJRPEDUSC[],7,FALSE),"")</f>
        <v/>
      </c>
      <c r="AI16" s="121" t="str">
        <f>IFERROR(VLOOKUP(TableHandbook[[#This Row],[UDC]],TableMCEDUC[],7,FALSE),"")</f>
        <v/>
      </c>
      <c r="AJ16" s="121" t="str">
        <f>IFERROR(VLOOKUP(TableHandbook[[#This Row],[UDC]],TableSPPECULIN[],7,FALSE),"")</f>
        <v/>
      </c>
      <c r="AK16" s="121" t="str">
        <f>IFERROR(VLOOKUP(TableHandbook[[#This Row],[UDC]],TableSPPELNTCH[],7,FALSE),"")</f>
        <v/>
      </c>
      <c r="AL16" s="153" t="str">
        <f>IFERROR(VLOOKUP(TableHandbook[[#This Row],[UDC]],TableSPPESTEME[],7,FALSE),"")</f>
        <v/>
      </c>
    </row>
    <row r="17" spans="1:38" ht="26.25" x14ac:dyDescent="0.25">
      <c r="A17" s="3" t="s">
        <v>83</v>
      </c>
      <c r="B17" s="4">
        <v>2</v>
      </c>
      <c r="C17" s="3"/>
      <c r="D17" s="3" t="s">
        <v>323</v>
      </c>
      <c r="E17" s="4">
        <v>25</v>
      </c>
      <c r="F17" s="193" t="s">
        <v>315</v>
      </c>
      <c r="G17" s="33" t="str">
        <f>IFERROR(IF(VLOOKUP(TableHandbook[[#This Row],[UDC]],TableAvailabilities[],2,FALSE)&gt;0,"Y",""),"")</f>
        <v>Y</v>
      </c>
      <c r="H17" s="82" t="str">
        <f>IFERROR(IF(VLOOKUP(TableHandbook[[#This Row],[UDC]],TableAvailabilities[],3,FALSE)&gt;0,"Y",""),"")</f>
        <v>Y</v>
      </c>
      <c r="I17" s="82" t="str">
        <f>IFERROR(IF(VLOOKUP(TableHandbook[[#This Row],[UDC]],TableAvailabilities[],4,FALSE)&gt;0,"Y",""),"")</f>
        <v>Y</v>
      </c>
      <c r="J17" s="82" t="str">
        <f>IFERROR(IF(VLOOKUP(TableHandbook[[#This Row],[UDC]],TableAvailabilities[],5,FALSE)&gt;0,"Y",""),"")</f>
        <v>Y</v>
      </c>
      <c r="K17" s="82" t="str">
        <f>IFERROR(IF(VLOOKUP(TableHandbook[[#This Row],[UDC]],TableAvailabilities[],6,FALSE)&gt;0,"Y",""),"")</f>
        <v/>
      </c>
      <c r="L17" s="82" t="str">
        <f>IFERROR(IF(VLOOKUP(TableHandbook[[#This Row],[UDC]],TableAvailabilities[],7,FALSE)&gt;0,"Y",""),"")</f>
        <v/>
      </c>
      <c r="M17" s="83" t="str">
        <f>IFERROR(IF(VLOOKUP(TableHandbook[[#This Row],[UDC]],TableAvailabilities[],8,FALSE)&gt;0,"Y",""),"")</f>
        <v/>
      </c>
      <c r="N17" s="82" t="str">
        <f>IFERROR(IF(VLOOKUP(TableHandbook[[#This Row],[UDC]],TableAvailabilities[],9,FALSE)&gt;0,"Y",""),"")</f>
        <v/>
      </c>
      <c r="O17" s="191" t="s">
        <v>324</v>
      </c>
      <c r="P17" s="185" t="str">
        <f>IFERROR(VLOOKUP(TableHandbook[[#This Row],[UDC]],TableMCTEACH[],7,FALSE),"")</f>
        <v/>
      </c>
      <c r="Q17" s="95" t="str">
        <f>IFERROR(VLOOKUP(TableHandbook[[#This Row],[UDC]],TableMJRPTCHEC[],7,FALSE),"")</f>
        <v/>
      </c>
      <c r="R17" s="95" t="str">
        <f>IFERROR(VLOOKUP(TableHandbook[[#This Row],[UDC]],TableMJRPTCHPR[],7,FALSE),"")</f>
        <v>Core</v>
      </c>
      <c r="S17" s="95" t="str">
        <f>IFERROR(VLOOKUP(TableHandbook[[#This Row],[UDC]],TableMJRPTCHSC[],7,FALSE),"")</f>
        <v/>
      </c>
      <c r="T17" s="121" t="str">
        <f>IFERROR(VLOOKUP(TableHandbook[[#This Row],[UDC]],TableSTRPSCART[],7,FALSE),"")</f>
        <v/>
      </c>
      <c r="U17" s="121" t="str">
        <f>IFERROR(VLOOKUP(TableHandbook[[#This Row],[UDC]],TableSTRPSCENG[],7,FALSE),"")</f>
        <v/>
      </c>
      <c r="V17" s="121" t="str">
        <f>IFERROR(VLOOKUP(TableHandbook[[#This Row],[UDC]],TableSTRPSCHLP[],7,FALSE),"")</f>
        <v/>
      </c>
      <c r="W17" s="121" t="str">
        <f>IFERROR(VLOOKUP(TableHandbook[[#This Row],[UDC]],TableSTRPSCHUS[],7,FALSE),"")</f>
        <v/>
      </c>
      <c r="X17" s="121" t="str">
        <f>IFERROR(VLOOKUP(TableHandbook[[#This Row],[UDC]],TableSTRPSCMAT[],7,FALSE),"")</f>
        <v/>
      </c>
      <c r="Y17" s="121" t="str">
        <f>IFERROR(VLOOKUP(TableHandbook[[#This Row],[UDC]],TableSTRPSCSCI[],7,FALSE),"")</f>
        <v/>
      </c>
      <c r="Z17" s="153" t="str">
        <f>IFERROR(VLOOKUP(TableHandbook[[#This Row],[UDC]],TableSTRPSCFON[],7,FALSE),"")</f>
        <v/>
      </c>
      <c r="AA17" s="154" t="str">
        <f>IFERROR(VLOOKUP(TableHandbook[[#This Row],[UDC]],TableGCTESOL[],7,FALSE),"")</f>
        <v/>
      </c>
      <c r="AB17" s="121" t="str">
        <f>IFERROR(VLOOKUP(TableHandbook[[#This Row],[UDC]],TableMCTESOL[],7,FALSE),"")</f>
        <v/>
      </c>
      <c r="AC17" s="153" t="str">
        <f>IFERROR(VLOOKUP(TableHandbook[[#This Row],[UDC]],TableMCAPLING[],7,FALSE),"")</f>
        <v/>
      </c>
      <c r="AD17" s="82" t="str">
        <f>IFERROR(VLOOKUP(TableHandbook[[#This Row],[UDC]],TableGCEDHE[],7,FALSE),"")</f>
        <v/>
      </c>
      <c r="AE17" s="154" t="str">
        <f>IFERROR(VLOOKUP(TableHandbook[[#This Row],[UDC]],TableGCEDUC[],7,FALSE),"")</f>
        <v/>
      </c>
      <c r="AF17" s="186" t="str">
        <f>IFERROR(VLOOKUP(TableHandbook[[#This Row],[UDC]],TableGDEDUC[],7,FALSE),"")</f>
        <v/>
      </c>
      <c r="AG17" s="186" t="str">
        <f>IFERROR(VLOOKUP(TableHandbook[[#This Row],[UDC]],TableMJRPEDUPR[],7,FALSE),"")</f>
        <v>Core</v>
      </c>
      <c r="AH17" s="186" t="str">
        <f>IFERROR(VLOOKUP(TableHandbook[[#This Row],[UDC]],TableMJRPEDUSC[],7,FALSE),"")</f>
        <v/>
      </c>
      <c r="AI17" s="121" t="str">
        <f>IFERROR(VLOOKUP(TableHandbook[[#This Row],[UDC]],TableMCEDUC[],7,FALSE),"")</f>
        <v/>
      </c>
      <c r="AJ17" s="121" t="str">
        <f>IFERROR(VLOOKUP(TableHandbook[[#This Row],[UDC]],TableSPPECULIN[],7,FALSE),"")</f>
        <v/>
      </c>
      <c r="AK17" s="121" t="str">
        <f>IFERROR(VLOOKUP(TableHandbook[[#This Row],[UDC]],TableSPPELNTCH[],7,FALSE),"")</f>
        <v/>
      </c>
      <c r="AL17" s="153" t="str">
        <f>IFERROR(VLOOKUP(TableHandbook[[#This Row],[UDC]],TableSPPESTEME[],7,FALSE),"")</f>
        <v/>
      </c>
    </row>
    <row r="18" spans="1:38" x14ac:dyDescent="0.25">
      <c r="A18" s="3" t="s">
        <v>94</v>
      </c>
      <c r="B18" s="4">
        <v>1</v>
      </c>
      <c r="C18" s="3"/>
      <c r="D18" s="3" t="s">
        <v>325</v>
      </c>
      <c r="E18" s="4">
        <v>25</v>
      </c>
      <c r="F18" s="81" t="s">
        <v>83</v>
      </c>
      <c r="G18" s="33" t="str">
        <f>IFERROR(IF(VLOOKUP(TableHandbook[[#This Row],[UDC]],TableAvailabilities[],2,FALSE)&gt;0,"Y",""),"")</f>
        <v/>
      </c>
      <c r="H18" s="82" t="str">
        <f>IFERROR(IF(VLOOKUP(TableHandbook[[#This Row],[UDC]],TableAvailabilities[],3,FALSE)&gt;0,"Y",""),"")</f>
        <v/>
      </c>
      <c r="I18" s="82" t="str">
        <f>IFERROR(IF(VLOOKUP(TableHandbook[[#This Row],[UDC]],TableAvailabilities[],4,FALSE)&gt;0,"Y",""),"")</f>
        <v>Y</v>
      </c>
      <c r="J18" s="82" t="str">
        <f>IFERROR(IF(VLOOKUP(TableHandbook[[#This Row],[UDC]],TableAvailabilities[],5,FALSE)&gt;0,"Y",""),"")</f>
        <v>Y</v>
      </c>
      <c r="K18" s="82" t="str">
        <f>IFERROR(IF(VLOOKUP(TableHandbook[[#This Row],[UDC]],TableAvailabilities[],6,FALSE)&gt;0,"Y",""),"")</f>
        <v>Y</v>
      </c>
      <c r="L18" s="82" t="str">
        <f>IFERROR(IF(VLOOKUP(TableHandbook[[#This Row],[UDC]],TableAvailabilities[],7,FALSE)&gt;0,"Y",""),"")</f>
        <v>Y</v>
      </c>
      <c r="M18" s="83" t="str">
        <f>IFERROR(IF(VLOOKUP(TableHandbook[[#This Row],[UDC]],TableAvailabilities[],8,FALSE)&gt;0,"Y",""),"")</f>
        <v/>
      </c>
      <c r="N18" s="82" t="str">
        <f>IFERROR(IF(VLOOKUP(TableHandbook[[#This Row],[UDC]],TableAvailabilities[],9,FALSE)&gt;0,"Y",""),"")</f>
        <v/>
      </c>
      <c r="O18" s="190"/>
      <c r="P18" s="185" t="str">
        <f>IFERROR(VLOOKUP(TableHandbook[[#This Row],[UDC]],TableMCTEACH[],7,FALSE),"")</f>
        <v/>
      </c>
      <c r="Q18" s="95" t="str">
        <f>IFERROR(VLOOKUP(TableHandbook[[#This Row],[UDC]],TableMJRPTCHEC[],7,FALSE),"")</f>
        <v/>
      </c>
      <c r="R18" s="95" t="str">
        <f>IFERROR(VLOOKUP(TableHandbook[[#This Row],[UDC]],TableMJRPTCHPR[],7,FALSE),"")</f>
        <v>Core</v>
      </c>
      <c r="S18" s="95" t="str">
        <f>IFERROR(VLOOKUP(TableHandbook[[#This Row],[UDC]],TableMJRPTCHSC[],7,FALSE),"")</f>
        <v/>
      </c>
      <c r="T18" s="121" t="str">
        <f>IFERROR(VLOOKUP(TableHandbook[[#This Row],[UDC]],TableSTRPSCART[],7,FALSE),"")</f>
        <v/>
      </c>
      <c r="U18" s="121" t="str">
        <f>IFERROR(VLOOKUP(TableHandbook[[#This Row],[UDC]],TableSTRPSCENG[],7,FALSE),"")</f>
        <v/>
      </c>
      <c r="V18" s="121" t="str">
        <f>IFERROR(VLOOKUP(TableHandbook[[#This Row],[UDC]],TableSTRPSCHLP[],7,FALSE),"")</f>
        <v/>
      </c>
      <c r="W18" s="121" t="str">
        <f>IFERROR(VLOOKUP(TableHandbook[[#This Row],[UDC]],TableSTRPSCHUS[],7,FALSE),"")</f>
        <v/>
      </c>
      <c r="X18" s="121" t="str">
        <f>IFERROR(VLOOKUP(TableHandbook[[#This Row],[UDC]],TableSTRPSCMAT[],7,FALSE),"")</f>
        <v/>
      </c>
      <c r="Y18" s="121" t="str">
        <f>IFERROR(VLOOKUP(TableHandbook[[#This Row],[UDC]],TableSTRPSCSCI[],7,FALSE),"")</f>
        <v/>
      </c>
      <c r="Z18" s="153" t="str">
        <f>IFERROR(VLOOKUP(TableHandbook[[#This Row],[UDC]],TableSTRPSCFON[],7,FALSE),"")</f>
        <v/>
      </c>
      <c r="AA18" s="154" t="str">
        <f>IFERROR(VLOOKUP(TableHandbook[[#This Row],[UDC]],TableGCTESOL[],7,FALSE),"")</f>
        <v/>
      </c>
      <c r="AB18" s="121" t="str">
        <f>IFERROR(VLOOKUP(TableHandbook[[#This Row],[UDC]],TableMCTESOL[],7,FALSE),"")</f>
        <v/>
      </c>
      <c r="AC18" s="153" t="str">
        <f>IFERROR(VLOOKUP(TableHandbook[[#This Row],[UDC]],TableMCAPLING[],7,FALSE),"")</f>
        <v/>
      </c>
      <c r="AD18" s="82" t="str">
        <f>IFERROR(VLOOKUP(TableHandbook[[#This Row],[UDC]],TableGCEDHE[],7,FALSE),"")</f>
        <v/>
      </c>
      <c r="AE18" s="154" t="str">
        <f>IFERROR(VLOOKUP(TableHandbook[[#This Row],[UDC]],TableGCEDUC[],7,FALSE),"")</f>
        <v/>
      </c>
      <c r="AF18" s="186" t="str">
        <f>IFERROR(VLOOKUP(TableHandbook[[#This Row],[UDC]],TableGDEDUC[],7,FALSE),"")</f>
        <v/>
      </c>
      <c r="AG18" s="186" t="str">
        <f>IFERROR(VLOOKUP(TableHandbook[[#This Row],[UDC]],TableMJRPEDUPR[],7,FALSE),"")</f>
        <v>Core</v>
      </c>
      <c r="AH18" s="186" t="str">
        <f>IFERROR(VLOOKUP(TableHandbook[[#This Row],[UDC]],TableMJRPEDUSC[],7,FALSE),"")</f>
        <v/>
      </c>
      <c r="AI18" s="121" t="str">
        <f>IFERROR(VLOOKUP(TableHandbook[[#This Row],[UDC]],TableMCEDUC[],7,FALSE),"")</f>
        <v/>
      </c>
      <c r="AJ18" s="121" t="str">
        <f>IFERROR(VLOOKUP(TableHandbook[[#This Row],[UDC]],TableSPPECULIN[],7,FALSE),"")</f>
        <v/>
      </c>
      <c r="AK18" s="121" t="str">
        <f>IFERROR(VLOOKUP(TableHandbook[[#This Row],[UDC]],TableSPPELNTCH[],7,FALSE),"")</f>
        <v/>
      </c>
      <c r="AL18" s="153" t="str">
        <f>IFERROR(VLOOKUP(TableHandbook[[#This Row],[UDC]],TableSPPESTEME[],7,FALSE),"")</f>
        <v/>
      </c>
    </row>
    <row r="19" spans="1:38" x14ac:dyDescent="0.25">
      <c r="A19" s="3" t="s">
        <v>71</v>
      </c>
      <c r="B19" s="4">
        <v>1</v>
      </c>
      <c r="C19" s="3"/>
      <c r="D19" s="3" t="s">
        <v>326</v>
      </c>
      <c r="E19" s="4">
        <v>25</v>
      </c>
      <c r="F19" s="81" t="s">
        <v>315</v>
      </c>
      <c r="G19" s="33" t="str">
        <f>IFERROR(IF(VLOOKUP(TableHandbook[[#This Row],[UDC]],TableAvailabilities[],2,FALSE)&gt;0,"Y",""),"")</f>
        <v/>
      </c>
      <c r="H19" s="82" t="str">
        <f>IFERROR(IF(VLOOKUP(TableHandbook[[#This Row],[UDC]],TableAvailabilities[],3,FALSE)&gt;0,"Y",""),"")</f>
        <v/>
      </c>
      <c r="I19" s="82" t="str">
        <f>IFERROR(IF(VLOOKUP(TableHandbook[[#This Row],[UDC]],TableAvailabilities[],4,FALSE)&gt;0,"Y",""),"")</f>
        <v/>
      </c>
      <c r="J19" s="82" t="str">
        <f>IFERROR(IF(VLOOKUP(TableHandbook[[#This Row],[UDC]],TableAvailabilities[],5,FALSE)&gt;0,"Y",""),"")</f>
        <v/>
      </c>
      <c r="K19" s="82" t="str">
        <f>IFERROR(IF(VLOOKUP(TableHandbook[[#This Row],[UDC]],TableAvailabilities[],6,FALSE)&gt;0,"Y",""),"")</f>
        <v/>
      </c>
      <c r="L19" s="82" t="str">
        <f>IFERROR(IF(VLOOKUP(TableHandbook[[#This Row],[UDC]],TableAvailabilities[],7,FALSE)&gt;0,"Y",""),"")</f>
        <v/>
      </c>
      <c r="M19" s="83" t="str">
        <f>IFERROR(IF(VLOOKUP(TableHandbook[[#This Row],[UDC]],TableAvailabilities[],8,FALSE)&gt;0,"Y",""),"")</f>
        <v>Y</v>
      </c>
      <c r="N19" s="82" t="str">
        <f>IFERROR(IF(VLOOKUP(TableHandbook[[#This Row],[UDC]],TableAvailabilities[],9,FALSE)&gt;0,"Y",""),"")</f>
        <v>Y</v>
      </c>
      <c r="O19" s="190"/>
      <c r="P19" s="185" t="str">
        <f>IFERROR(VLOOKUP(TableHandbook[[#This Row],[UDC]],TableMCTEACH[],7,FALSE),"")</f>
        <v/>
      </c>
      <c r="Q19" s="95" t="str">
        <f>IFERROR(VLOOKUP(TableHandbook[[#This Row],[UDC]],TableMJRPTCHEC[],7,FALSE),"")</f>
        <v/>
      </c>
      <c r="R19" s="95" t="str">
        <f>IFERROR(VLOOKUP(TableHandbook[[#This Row],[UDC]],TableMJRPTCHPR[],7,FALSE),"")</f>
        <v>Core</v>
      </c>
      <c r="S19" s="95" t="str">
        <f>IFERROR(VLOOKUP(TableHandbook[[#This Row],[UDC]],TableMJRPTCHSC[],7,FALSE),"")</f>
        <v/>
      </c>
      <c r="T19" s="121" t="str">
        <f>IFERROR(VLOOKUP(TableHandbook[[#This Row],[UDC]],TableSTRPSCART[],7,FALSE),"")</f>
        <v/>
      </c>
      <c r="U19" s="121" t="str">
        <f>IFERROR(VLOOKUP(TableHandbook[[#This Row],[UDC]],TableSTRPSCENG[],7,FALSE),"")</f>
        <v/>
      </c>
      <c r="V19" s="121" t="str">
        <f>IFERROR(VLOOKUP(TableHandbook[[#This Row],[UDC]],TableSTRPSCHLP[],7,FALSE),"")</f>
        <v/>
      </c>
      <c r="W19" s="121" t="str">
        <f>IFERROR(VLOOKUP(TableHandbook[[#This Row],[UDC]],TableSTRPSCHUS[],7,FALSE),"")</f>
        <v/>
      </c>
      <c r="X19" s="121" t="str">
        <f>IFERROR(VLOOKUP(TableHandbook[[#This Row],[UDC]],TableSTRPSCMAT[],7,FALSE),"")</f>
        <v/>
      </c>
      <c r="Y19" s="121" t="str">
        <f>IFERROR(VLOOKUP(TableHandbook[[#This Row],[UDC]],TableSTRPSCSCI[],7,FALSE),"")</f>
        <v/>
      </c>
      <c r="Z19" s="153" t="str">
        <f>IFERROR(VLOOKUP(TableHandbook[[#This Row],[UDC]],TableSTRPSCFON[],7,FALSE),"")</f>
        <v/>
      </c>
      <c r="AA19" s="154" t="str">
        <f>IFERROR(VLOOKUP(TableHandbook[[#This Row],[UDC]],TableGCTESOL[],7,FALSE),"")</f>
        <v/>
      </c>
      <c r="AB19" s="121" t="str">
        <f>IFERROR(VLOOKUP(TableHandbook[[#This Row],[UDC]],TableMCTESOL[],7,FALSE),"")</f>
        <v/>
      </c>
      <c r="AC19" s="153" t="str">
        <f>IFERROR(VLOOKUP(TableHandbook[[#This Row],[UDC]],TableMCAPLING[],7,FALSE),"")</f>
        <v/>
      </c>
      <c r="AD19" s="82" t="str">
        <f>IFERROR(VLOOKUP(TableHandbook[[#This Row],[UDC]],TableGCEDHE[],7,FALSE),"")</f>
        <v/>
      </c>
      <c r="AE19" s="154" t="str">
        <f>IFERROR(VLOOKUP(TableHandbook[[#This Row],[UDC]],TableGCEDUC[],7,FALSE),"")</f>
        <v>Option</v>
      </c>
      <c r="AF19" s="186" t="str">
        <f>IFERROR(VLOOKUP(TableHandbook[[#This Row],[UDC]],TableGDEDUC[],7,FALSE),"")</f>
        <v/>
      </c>
      <c r="AG19" s="186" t="str">
        <f>IFERROR(VLOOKUP(TableHandbook[[#This Row],[UDC]],TableMJRPEDUPR[],7,FALSE),"")</f>
        <v>Core</v>
      </c>
      <c r="AH19" s="186" t="str">
        <f>IFERROR(VLOOKUP(TableHandbook[[#This Row],[UDC]],TableMJRPEDUSC[],7,FALSE),"")</f>
        <v/>
      </c>
      <c r="AI19" s="121" t="str">
        <f>IFERROR(VLOOKUP(TableHandbook[[#This Row],[UDC]],TableMCEDUC[],7,FALSE),"")</f>
        <v/>
      </c>
      <c r="AJ19" s="121" t="str">
        <f>IFERROR(VLOOKUP(TableHandbook[[#This Row],[UDC]],TableSPPECULIN[],7,FALSE),"")</f>
        <v/>
      </c>
      <c r="AK19" s="121" t="str">
        <f>IFERROR(VLOOKUP(TableHandbook[[#This Row],[UDC]],TableSPPELNTCH[],7,FALSE),"")</f>
        <v/>
      </c>
      <c r="AL19" s="153" t="str">
        <f>IFERROR(VLOOKUP(TableHandbook[[#This Row],[UDC]],TableSPPESTEME[],7,FALSE),"")</f>
        <v/>
      </c>
    </row>
    <row r="20" spans="1:38" x14ac:dyDescent="0.25">
      <c r="A20" s="3" t="s">
        <v>102</v>
      </c>
      <c r="B20" s="4">
        <v>1</v>
      </c>
      <c r="C20" s="3"/>
      <c r="D20" s="3" t="s">
        <v>327</v>
      </c>
      <c r="E20" s="4">
        <v>25</v>
      </c>
      <c r="F20" s="81" t="s">
        <v>315</v>
      </c>
      <c r="G20" s="33" t="str">
        <f>IFERROR(IF(VLOOKUP(TableHandbook[[#This Row],[UDC]],TableAvailabilities[],2,FALSE)&gt;0,"Y",""),"")</f>
        <v/>
      </c>
      <c r="H20" s="82" t="str">
        <f>IFERROR(IF(VLOOKUP(TableHandbook[[#This Row],[UDC]],TableAvailabilities[],3,FALSE)&gt;0,"Y",""),"")</f>
        <v/>
      </c>
      <c r="I20" s="82" t="str">
        <f>IFERROR(IF(VLOOKUP(TableHandbook[[#This Row],[UDC]],TableAvailabilities[],4,FALSE)&gt;0,"Y",""),"")</f>
        <v/>
      </c>
      <c r="J20" s="82" t="str">
        <f>IFERROR(IF(VLOOKUP(TableHandbook[[#This Row],[UDC]],TableAvailabilities[],5,FALSE)&gt;0,"Y",""),"")</f>
        <v/>
      </c>
      <c r="K20" s="82" t="str">
        <f>IFERROR(IF(VLOOKUP(TableHandbook[[#This Row],[UDC]],TableAvailabilities[],6,FALSE)&gt;0,"Y",""),"")</f>
        <v/>
      </c>
      <c r="L20" s="82" t="str">
        <f>IFERROR(IF(VLOOKUP(TableHandbook[[#This Row],[UDC]],TableAvailabilities[],7,FALSE)&gt;0,"Y",""),"")</f>
        <v/>
      </c>
      <c r="M20" s="83" t="str">
        <f>IFERROR(IF(VLOOKUP(TableHandbook[[#This Row],[UDC]],TableAvailabilities[],8,FALSE)&gt;0,"Y",""),"")</f>
        <v>Y</v>
      </c>
      <c r="N20" s="82" t="str">
        <f>IFERROR(IF(VLOOKUP(TableHandbook[[#This Row],[UDC]],TableAvailabilities[],9,FALSE)&gt;0,"Y",""),"")</f>
        <v>Y</v>
      </c>
      <c r="O20" s="201"/>
      <c r="P20" s="202" t="str">
        <f>IFERROR(VLOOKUP(TableHandbook[[#This Row],[UDC]],TableMCTEACH[],7,FALSE),"")</f>
        <v/>
      </c>
      <c r="Q20" s="202" t="str">
        <f>IFERROR(VLOOKUP(TableHandbook[[#This Row],[UDC]],TableMJRPTCHEC[],7,FALSE),"")</f>
        <v/>
      </c>
      <c r="R20" s="95" t="str">
        <f>IFERROR(VLOOKUP(TableHandbook[[#This Row],[UDC]],TableMJRPTCHPR[],7,FALSE),"")</f>
        <v>Core</v>
      </c>
      <c r="S20" s="95" t="str">
        <f>IFERROR(VLOOKUP(TableHandbook[[#This Row],[UDC]],TableMJRPTCHSC[],7,FALSE),"")</f>
        <v/>
      </c>
      <c r="T20" s="121" t="str">
        <f>IFERROR(VLOOKUP(TableHandbook[[#This Row],[UDC]],TableSTRPSCART[],7,FALSE),"")</f>
        <v/>
      </c>
      <c r="U20" s="121" t="str">
        <f>IFERROR(VLOOKUP(TableHandbook[[#This Row],[UDC]],TableSTRPSCENG[],7,FALSE),"")</f>
        <v/>
      </c>
      <c r="V20" s="121" t="str">
        <f>IFERROR(VLOOKUP(TableHandbook[[#This Row],[UDC]],TableSTRPSCHLP[],7,FALSE),"")</f>
        <v/>
      </c>
      <c r="W20" s="121" t="str">
        <f>IFERROR(VLOOKUP(TableHandbook[[#This Row],[UDC]],TableSTRPSCHUS[],7,FALSE),"")</f>
        <v/>
      </c>
      <c r="X20" s="121" t="str">
        <f>IFERROR(VLOOKUP(TableHandbook[[#This Row],[UDC]],TableSTRPSCMAT[],7,FALSE),"")</f>
        <v/>
      </c>
      <c r="Y20" s="121" t="str">
        <f>IFERROR(VLOOKUP(TableHandbook[[#This Row],[UDC]],TableSTRPSCSCI[],7,FALSE),"")</f>
        <v/>
      </c>
      <c r="Z20" s="153" t="str">
        <f>IFERROR(VLOOKUP(TableHandbook[[#This Row],[UDC]],TableSTRPSCFON[],7,FALSE),"")</f>
        <v/>
      </c>
      <c r="AA20" s="154" t="str">
        <f>IFERROR(VLOOKUP(TableHandbook[[#This Row],[UDC]],TableGCTESOL[],7,FALSE),"")</f>
        <v/>
      </c>
      <c r="AB20" s="121" t="str">
        <f>IFERROR(VLOOKUP(TableHandbook[[#This Row],[UDC]],TableMCTESOL[],7,FALSE),"")</f>
        <v/>
      </c>
      <c r="AC20" s="153" t="str">
        <f>IFERROR(VLOOKUP(TableHandbook[[#This Row],[UDC]],TableMCAPLING[],7,FALSE),"")</f>
        <v/>
      </c>
      <c r="AD20" s="82" t="str">
        <f>IFERROR(VLOOKUP(TableHandbook[[#This Row],[UDC]],TableGCEDHE[],7,FALSE),"")</f>
        <v/>
      </c>
      <c r="AE20" s="154" t="str">
        <f>IFERROR(VLOOKUP(TableHandbook[[#This Row],[UDC]],TableGCEDUC[],7,FALSE),"")</f>
        <v>Option</v>
      </c>
      <c r="AF20" s="186" t="str">
        <f>IFERROR(VLOOKUP(TableHandbook[[#This Row],[UDC]],TableGDEDUC[],7,FALSE),"")</f>
        <v/>
      </c>
      <c r="AG20" s="186" t="str">
        <f>IFERROR(VLOOKUP(TableHandbook[[#This Row],[UDC]],TableMJRPEDUPR[],7,FALSE),"")</f>
        <v/>
      </c>
      <c r="AH20" s="186" t="str">
        <f>IFERROR(VLOOKUP(TableHandbook[[#This Row],[UDC]],TableMJRPEDUSC[],7,FALSE),"")</f>
        <v/>
      </c>
      <c r="AI20" s="121" t="str">
        <f>IFERROR(VLOOKUP(TableHandbook[[#This Row],[UDC]],TableMCEDUC[],7,FALSE),"")</f>
        <v/>
      </c>
      <c r="AJ20" s="121" t="str">
        <f>IFERROR(VLOOKUP(TableHandbook[[#This Row],[UDC]],TableSPPECULIN[],7,FALSE),"")</f>
        <v/>
      </c>
      <c r="AK20" s="121" t="str">
        <f>IFERROR(VLOOKUP(TableHandbook[[#This Row],[UDC]],TableSPPELNTCH[],7,FALSE),"")</f>
        <v/>
      </c>
      <c r="AL20" s="153" t="str">
        <f>IFERROR(VLOOKUP(TableHandbook[[#This Row],[UDC]],TableSPPESTEME[],7,FALSE),"")</f>
        <v/>
      </c>
    </row>
    <row r="21" spans="1:38" x14ac:dyDescent="0.25">
      <c r="A21" s="3" t="s">
        <v>70</v>
      </c>
      <c r="B21" s="4">
        <v>1</v>
      </c>
      <c r="C21" s="3"/>
      <c r="D21" s="3" t="s">
        <v>328</v>
      </c>
      <c r="E21" s="4">
        <v>25</v>
      </c>
      <c r="F21" s="81" t="s">
        <v>315</v>
      </c>
      <c r="G21" s="33" t="str">
        <f>IFERROR(IF(VLOOKUP(TableHandbook[[#This Row],[UDC]],TableAvailabilities[],2,FALSE)&gt;0,"Y",""),"")</f>
        <v/>
      </c>
      <c r="H21" s="82" t="str">
        <f>IFERROR(IF(VLOOKUP(TableHandbook[[#This Row],[UDC]],TableAvailabilities[],3,FALSE)&gt;0,"Y",""),"")</f>
        <v/>
      </c>
      <c r="I21" s="82" t="str">
        <f>IFERROR(IF(VLOOKUP(TableHandbook[[#This Row],[UDC]],TableAvailabilities[],4,FALSE)&gt;0,"Y",""),"")</f>
        <v>Y</v>
      </c>
      <c r="J21" s="82" t="str">
        <f>IFERROR(IF(VLOOKUP(TableHandbook[[#This Row],[UDC]],TableAvailabilities[],5,FALSE)&gt;0,"Y",""),"")</f>
        <v>Y</v>
      </c>
      <c r="K21" s="82" t="str">
        <f>IFERROR(IF(VLOOKUP(TableHandbook[[#This Row],[UDC]],TableAvailabilities[],6,FALSE)&gt;0,"Y",""),"")</f>
        <v/>
      </c>
      <c r="L21" s="82" t="str">
        <f>IFERROR(IF(VLOOKUP(TableHandbook[[#This Row],[UDC]],TableAvailabilities[],7,FALSE)&gt;0,"Y",""),"")</f>
        <v/>
      </c>
      <c r="M21" s="83" t="str">
        <f>IFERROR(IF(VLOOKUP(TableHandbook[[#This Row],[UDC]],TableAvailabilities[],8,FALSE)&gt;0,"Y",""),"")</f>
        <v/>
      </c>
      <c r="N21" s="82" t="str">
        <f>IFERROR(IF(VLOOKUP(TableHandbook[[#This Row],[UDC]],TableAvailabilities[],9,FALSE)&gt;0,"Y",""),"")</f>
        <v/>
      </c>
      <c r="O21" s="190"/>
      <c r="P21" s="185" t="str">
        <f>IFERROR(VLOOKUP(TableHandbook[[#This Row],[UDC]],TableMCTEACH[],7,FALSE),"")</f>
        <v/>
      </c>
      <c r="Q21" s="95" t="str">
        <f>IFERROR(VLOOKUP(TableHandbook[[#This Row],[UDC]],TableMJRPTCHEC[],7,FALSE),"")</f>
        <v/>
      </c>
      <c r="R21" s="95" t="str">
        <f>IFERROR(VLOOKUP(TableHandbook[[#This Row],[UDC]],TableMJRPTCHPR[],7,FALSE),"")</f>
        <v>Core</v>
      </c>
      <c r="S21" s="95" t="str">
        <f>IFERROR(VLOOKUP(TableHandbook[[#This Row],[UDC]],TableMJRPTCHSC[],7,FALSE),"")</f>
        <v/>
      </c>
      <c r="T21" s="121" t="str">
        <f>IFERROR(VLOOKUP(TableHandbook[[#This Row],[UDC]],TableSTRPSCART[],7,FALSE),"")</f>
        <v/>
      </c>
      <c r="U21" s="121" t="str">
        <f>IFERROR(VLOOKUP(TableHandbook[[#This Row],[UDC]],TableSTRPSCENG[],7,FALSE),"")</f>
        <v/>
      </c>
      <c r="V21" s="121" t="str">
        <f>IFERROR(VLOOKUP(TableHandbook[[#This Row],[UDC]],TableSTRPSCHLP[],7,FALSE),"")</f>
        <v/>
      </c>
      <c r="W21" s="121" t="str">
        <f>IFERROR(VLOOKUP(TableHandbook[[#This Row],[UDC]],TableSTRPSCHUS[],7,FALSE),"")</f>
        <v/>
      </c>
      <c r="X21" s="121" t="str">
        <f>IFERROR(VLOOKUP(TableHandbook[[#This Row],[UDC]],TableSTRPSCMAT[],7,FALSE),"")</f>
        <v/>
      </c>
      <c r="Y21" s="121" t="str">
        <f>IFERROR(VLOOKUP(TableHandbook[[#This Row],[UDC]],TableSTRPSCSCI[],7,FALSE),"")</f>
        <v/>
      </c>
      <c r="Z21" s="153" t="str">
        <f>IFERROR(VLOOKUP(TableHandbook[[#This Row],[UDC]],TableSTRPSCFON[],7,FALSE),"")</f>
        <v/>
      </c>
      <c r="AA21" s="154" t="str">
        <f>IFERROR(VLOOKUP(TableHandbook[[#This Row],[UDC]],TableGCTESOL[],7,FALSE),"")</f>
        <v/>
      </c>
      <c r="AB21" s="121" t="str">
        <f>IFERROR(VLOOKUP(TableHandbook[[#This Row],[UDC]],TableMCTESOL[],7,FALSE),"")</f>
        <v/>
      </c>
      <c r="AC21" s="153" t="str">
        <f>IFERROR(VLOOKUP(TableHandbook[[#This Row],[UDC]],TableMCAPLING[],7,FALSE),"")</f>
        <v/>
      </c>
      <c r="AD21" s="82" t="str">
        <f>IFERROR(VLOOKUP(TableHandbook[[#This Row],[UDC]],TableGCEDHE[],7,FALSE),"")</f>
        <v/>
      </c>
      <c r="AE21" s="154" t="str">
        <f>IFERROR(VLOOKUP(TableHandbook[[#This Row],[UDC]],TableGCEDUC[],7,FALSE),"")</f>
        <v>Option</v>
      </c>
      <c r="AF21" s="186" t="str">
        <f>IFERROR(VLOOKUP(TableHandbook[[#This Row],[UDC]],TableGDEDUC[],7,FALSE),"")</f>
        <v/>
      </c>
      <c r="AG21" s="186" t="str">
        <f>IFERROR(VLOOKUP(TableHandbook[[#This Row],[UDC]],TableMJRPEDUPR[],7,FALSE),"")</f>
        <v>Core</v>
      </c>
      <c r="AH21" s="186" t="str">
        <f>IFERROR(VLOOKUP(TableHandbook[[#This Row],[UDC]],TableMJRPEDUSC[],7,FALSE),"")</f>
        <v/>
      </c>
      <c r="AI21" s="121" t="str">
        <f>IFERROR(VLOOKUP(TableHandbook[[#This Row],[UDC]],TableMCEDUC[],7,FALSE),"")</f>
        <v/>
      </c>
      <c r="AJ21" s="121" t="str">
        <f>IFERROR(VLOOKUP(TableHandbook[[#This Row],[UDC]],TableSPPECULIN[],7,FALSE),"")</f>
        <v/>
      </c>
      <c r="AK21" s="121" t="str">
        <f>IFERROR(VLOOKUP(TableHandbook[[#This Row],[UDC]],TableSPPELNTCH[],7,FALSE),"")</f>
        <v/>
      </c>
      <c r="AL21" s="153" t="str">
        <f>IFERROR(VLOOKUP(TableHandbook[[#This Row],[UDC]],TableSPPESTEME[],7,FALSE),"")</f>
        <v/>
      </c>
    </row>
    <row r="22" spans="1:38" x14ac:dyDescent="0.25">
      <c r="A22" s="194" t="s">
        <v>111</v>
      </c>
      <c r="B22" s="195">
        <v>2</v>
      </c>
      <c r="C22" s="194"/>
      <c r="D22" s="194" t="s">
        <v>331</v>
      </c>
      <c r="E22" s="195">
        <v>25</v>
      </c>
      <c r="F22" s="193" t="s">
        <v>315</v>
      </c>
      <c r="G22" s="196" t="str">
        <f>IFERROR(IF(VLOOKUP(TableHandbook[[#This Row],[UDC]],TableAvailabilities[],2,FALSE)&gt;0,"Y",""),"")</f>
        <v/>
      </c>
      <c r="H22" s="197" t="str">
        <f>IFERROR(IF(VLOOKUP(TableHandbook[[#This Row],[UDC]],TableAvailabilities[],3,FALSE)&gt;0,"Y",""),"")</f>
        <v/>
      </c>
      <c r="I22" s="197" t="str">
        <f>IFERROR(IF(VLOOKUP(TableHandbook[[#This Row],[UDC]],TableAvailabilities[],4,FALSE)&gt;0,"Y",""),"")</f>
        <v>Y</v>
      </c>
      <c r="J22" s="197" t="str">
        <f>IFERROR(IF(VLOOKUP(TableHandbook[[#This Row],[UDC]],TableAvailabilities[],5,FALSE)&gt;0,"Y",""),"")</f>
        <v>Y</v>
      </c>
      <c r="K22" s="197" t="str">
        <f>IFERROR(IF(VLOOKUP(TableHandbook[[#This Row],[UDC]],TableAvailabilities[],6,FALSE)&gt;0,"Y",""),"")</f>
        <v/>
      </c>
      <c r="L22" s="197" t="str">
        <f>IFERROR(IF(VLOOKUP(TableHandbook[[#This Row],[UDC]],TableAvailabilities[],7,FALSE)&gt;0,"Y",""),"")</f>
        <v/>
      </c>
      <c r="M22" s="198" t="str">
        <f>IFERROR(IF(VLOOKUP(TableHandbook[[#This Row],[UDC]],TableAvailabilities[],8,FALSE)&gt;0,"Y",""),"")</f>
        <v/>
      </c>
      <c r="N22" s="197" t="str">
        <f>IFERROR(IF(VLOOKUP(TableHandbook[[#This Row],[UDC]],TableAvailabilities[],9,FALSE)&gt;0,"Y",""),"")</f>
        <v/>
      </c>
      <c r="O22" s="191" t="s">
        <v>332</v>
      </c>
      <c r="P22" s="224" t="str">
        <f>IFERROR(VLOOKUP(TableHandbook[[#This Row],[UDC]],TableMCTEACH[],7,FALSE),"")</f>
        <v/>
      </c>
      <c r="Q22" s="226" t="str">
        <f>IFERROR(VLOOKUP(TableHandbook[[#This Row],[UDC]],TableMJRPTCHEC[],7,FALSE),"")</f>
        <v/>
      </c>
      <c r="R22" s="95" t="str">
        <f>IFERROR(VLOOKUP(TableHandbook[[#This Row],[UDC]],TableMJRPTCHPR[],7,FALSE),"")</f>
        <v>Core</v>
      </c>
      <c r="S22" s="95" t="str">
        <f>IFERROR(VLOOKUP(TableHandbook[[#This Row],[UDC]],TableMJRPTCHSC[],7,FALSE),"")</f>
        <v/>
      </c>
      <c r="T22" s="121" t="str">
        <f>IFERROR(VLOOKUP(TableHandbook[[#This Row],[UDC]],TableSTRPSCART[],7,FALSE),"")</f>
        <v/>
      </c>
      <c r="U22" s="121" t="str">
        <f>IFERROR(VLOOKUP(TableHandbook[[#This Row],[UDC]],TableSTRPSCENG[],7,FALSE),"")</f>
        <v/>
      </c>
      <c r="V22" s="121" t="str">
        <f>IFERROR(VLOOKUP(TableHandbook[[#This Row],[UDC]],TableSTRPSCHLP[],7,FALSE),"")</f>
        <v/>
      </c>
      <c r="W22" s="121" t="str">
        <f>IFERROR(VLOOKUP(TableHandbook[[#This Row],[UDC]],TableSTRPSCHUS[],7,FALSE),"")</f>
        <v/>
      </c>
      <c r="X22" s="121" t="str">
        <f>IFERROR(VLOOKUP(TableHandbook[[#This Row],[UDC]],TableSTRPSCMAT[],7,FALSE),"")</f>
        <v/>
      </c>
      <c r="Y22" s="121" t="str">
        <f>IFERROR(VLOOKUP(TableHandbook[[#This Row],[UDC]],TableSTRPSCSCI[],7,FALSE),"")</f>
        <v/>
      </c>
      <c r="Z22" s="153" t="str">
        <f>IFERROR(VLOOKUP(TableHandbook[[#This Row],[UDC]],TableSTRPSCFON[],7,FALSE),"")</f>
        <v/>
      </c>
      <c r="AA22" s="154" t="str">
        <f>IFERROR(VLOOKUP(TableHandbook[[#This Row],[UDC]],TableGCTESOL[],7,FALSE),"")</f>
        <v/>
      </c>
      <c r="AB22" s="121" t="str">
        <f>IFERROR(VLOOKUP(TableHandbook[[#This Row],[UDC]],TableMCTESOL[],7,FALSE),"")</f>
        <v/>
      </c>
      <c r="AC22" s="153" t="str">
        <f>IFERROR(VLOOKUP(TableHandbook[[#This Row],[UDC]],TableMCAPLING[],7,FALSE),"")</f>
        <v/>
      </c>
      <c r="AD22" s="82" t="str">
        <f>IFERROR(VLOOKUP(TableHandbook[[#This Row],[UDC]],TableGCEDHE[],7,FALSE),"")</f>
        <v/>
      </c>
      <c r="AE22" s="154" t="str">
        <f>IFERROR(VLOOKUP(TableHandbook[[#This Row],[UDC]],TableGCEDUC[],7,FALSE),"")</f>
        <v/>
      </c>
      <c r="AF22" s="186" t="str">
        <f>IFERROR(VLOOKUP(TableHandbook[[#This Row],[UDC]],TableGDEDUC[],7,FALSE),"")</f>
        <v/>
      </c>
      <c r="AG22" s="186" t="str">
        <f>IFERROR(VLOOKUP(TableHandbook[[#This Row],[UDC]],TableMJRPEDUPR[],7,FALSE),"")</f>
        <v/>
      </c>
      <c r="AH22" s="186" t="str">
        <f>IFERROR(VLOOKUP(TableHandbook[[#This Row],[UDC]],TableMJRPEDUSC[],7,FALSE),"")</f>
        <v/>
      </c>
      <c r="AI22" s="121" t="str">
        <f>IFERROR(VLOOKUP(TableHandbook[[#This Row],[UDC]],TableMCEDUC[],7,FALSE),"")</f>
        <v/>
      </c>
      <c r="AJ22" s="121" t="str">
        <f>IFERROR(VLOOKUP(TableHandbook[[#This Row],[UDC]],TableSPPECULIN[],7,FALSE),"")</f>
        <v/>
      </c>
      <c r="AK22" s="121" t="str">
        <f>IFERROR(VLOOKUP(TableHandbook[[#This Row],[UDC]],TableSPPELNTCH[],7,FALSE),"")</f>
        <v/>
      </c>
      <c r="AL22" s="153" t="str">
        <f>IFERROR(VLOOKUP(TableHandbook[[#This Row],[UDC]],TableSPPESTEME[],7,FALSE),"")</f>
        <v/>
      </c>
    </row>
    <row r="23" spans="1:38" x14ac:dyDescent="0.25">
      <c r="A23" s="3" t="s">
        <v>329</v>
      </c>
      <c r="B23" s="4">
        <v>1</v>
      </c>
      <c r="C23" s="3"/>
      <c r="D23" s="3" t="s">
        <v>330</v>
      </c>
      <c r="E23" s="4">
        <v>25</v>
      </c>
      <c r="F23" s="81" t="s">
        <v>315</v>
      </c>
      <c r="G23" s="33" t="str">
        <f>IFERROR(IF(VLOOKUP(TableHandbook[[#This Row],[UDC]],TableAvailabilities[],2,FALSE)&gt;0,"Y",""),"")</f>
        <v/>
      </c>
      <c r="H23" s="82" t="str">
        <f>IFERROR(IF(VLOOKUP(TableHandbook[[#This Row],[UDC]],TableAvailabilities[],3,FALSE)&gt;0,"Y",""),"")</f>
        <v/>
      </c>
      <c r="I23" s="82" t="str">
        <f>IFERROR(IF(VLOOKUP(TableHandbook[[#This Row],[UDC]],TableAvailabilities[],4,FALSE)&gt;0,"Y",""),"")</f>
        <v/>
      </c>
      <c r="J23" s="82" t="str">
        <f>IFERROR(IF(VLOOKUP(TableHandbook[[#This Row],[UDC]],TableAvailabilities[],5,FALSE)&gt;0,"Y",""),"")</f>
        <v/>
      </c>
      <c r="K23" s="82" t="str">
        <f>IFERROR(IF(VLOOKUP(TableHandbook[[#This Row],[UDC]],TableAvailabilities[],6,FALSE)&gt;0,"Y",""),"")</f>
        <v/>
      </c>
      <c r="L23" s="82" t="str">
        <f>IFERROR(IF(VLOOKUP(TableHandbook[[#This Row],[UDC]],TableAvailabilities[],7,FALSE)&gt;0,"Y",""),"")</f>
        <v/>
      </c>
      <c r="M23" s="83" t="str">
        <f>IFERROR(IF(VLOOKUP(TableHandbook[[#This Row],[UDC]],TableAvailabilities[],8,FALSE)&gt;0,"Y",""),"")</f>
        <v/>
      </c>
      <c r="N23" s="82" t="str">
        <f>IFERROR(IF(VLOOKUP(TableHandbook[[#This Row],[UDC]],TableAvailabilities[],9,FALSE)&gt;0,"Y",""),"")</f>
        <v/>
      </c>
      <c r="O23" s="190"/>
      <c r="P23" s="185" t="str">
        <f>IFERROR(VLOOKUP(TableHandbook[[#This Row],[UDC]],TableMCTEACH[],7,FALSE),"")</f>
        <v/>
      </c>
      <c r="Q23" s="95" t="str">
        <f>IFERROR(VLOOKUP(TableHandbook[[#This Row],[UDC]],TableMJRPTCHEC[],7,FALSE),"")</f>
        <v/>
      </c>
      <c r="R23" s="95" t="str">
        <f>IFERROR(VLOOKUP(TableHandbook[[#This Row],[UDC]],TableMJRPTCHPR[],7,FALSE),"")</f>
        <v/>
      </c>
      <c r="S23" s="95" t="str">
        <f>IFERROR(VLOOKUP(TableHandbook[[#This Row],[UDC]],TableMJRPTCHSC[],7,FALSE),"")</f>
        <v/>
      </c>
      <c r="T23" s="121" t="str">
        <f>IFERROR(VLOOKUP(TableHandbook[[#This Row],[UDC]],TableSTRPSCART[],7,FALSE),"")</f>
        <v/>
      </c>
      <c r="U23" s="121" t="str">
        <f>IFERROR(VLOOKUP(TableHandbook[[#This Row],[UDC]],TableSTRPSCENG[],7,FALSE),"")</f>
        <v/>
      </c>
      <c r="V23" s="121" t="str">
        <f>IFERROR(VLOOKUP(TableHandbook[[#This Row],[UDC]],TableSTRPSCHLP[],7,FALSE),"")</f>
        <v/>
      </c>
      <c r="W23" s="121" t="str">
        <f>IFERROR(VLOOKUP(TableHandbook[[#This Row],[UDC]],TableSTRPSCHUS[],7,FALSE),"")</f>
        <v/>
      </c>
      <c r="X23" s="121" t="str">
        <f>IFERROR(VLOOKUP(TableHandbook[[#This Row],[UDC]],TableSTRPSCMAT[],7,FALSE),"")</f>
        <v/>
      </c>
      <c r="Y23" s="121" t="str">
        <f>IFERROR(VLOOKUP(TableHandbook[[#This Row],[UDC]],TableSTRPSCSCI[],7,FALSE),"")</f>
        <v/>
      </c>
      <c r="Z23" s="153" t="str">
        <f>IFERROR(VLOOKUP(TableHandbook[[#This Row],[UDC]],TableSTRPSCFON[],7,FALSE),"")</f>
        <v/>
      </c>
      <c r="AA23" s="154" t="str">
        <f>IFERROR(VLOOKUP(TableHandbook[[#This Row],[UDC]],TableGCTESOL[],7,FALSE),"")</f>
        <v/>
      </c>
      <c r="AB23" s="121" t="str">
        <f>IFERROR(VLOOKUP(TableHandbook[[#This Row],[UDC]],TableMCTESOL[],7,FALSE),"")</f>
        <v/>
      </c>
      <c r="AC23" s="153" t="str">
        <f>IFERROR(VLOOKUP(TableHandbook[[#This Row],[UDC]],TableMCAPLING[],7,FALSE),"")</f>
        <v/>
      </c>
      <c r="AD23" s="82" t="str">
        <f>IFERROR(VLOOKUP(TableHandbook[[#This Row],[UDC]],TableGCEDHE[],7,FALSE),"")</f>
        <v/>
      </c>
      <c r="AE23" s="154" t="str">
        <f>IFERROR(VLOOKUP(TableHandbook[[#This Row],[UDC]],TableGCEDUC[],7,FALSE),"")</f>
        <v/>
      </c>
      <c r="AF23" s="186" t="str">
        <f>IFERROR(VLOOKUP(TableHandbook[[#This Row],[UDC]],TableGDEDUC[],7,FALSE),"")</f>
        <v/>
      </c>
      <c r="AG23" s="186" t="str">
        <f>IFERROR(VLOOKUP(TableHandbook[[#This Row],[UDC]],TableMJRPEDUPR[],7,FALSE),"")</f>
        <v/>
      </c>
      <c r="AH23" s="186" t="str">
        <f>IFERROR(VLOOKUP(TableHandbook[[#This Row],[UDC]],TableMJRPEDUSC[],7,FALSE),"")</f>
        <v/>
      </c>
      <c r="AI23" s="121" t="str">
        <f>IFERROR(VLOOKUP(TableHandbook[[#This Row],[UDC]],TableMCEDUC[],7,FALSE),"")</f>
        <v/>
      </c>
      <c r="AJ23" s="121" t="str">
        <f>IFERROR(VLOOKUP(TableHandbook[[#This Row],[UDC]],TableSPPECULIN[],7,FALSE),"")</f>
        <v/>
      </c>
      <c r="AK23" s="121" t="str">
        <f>IFERROR(VLOOKUP(TableHandbook[[#This Row],[UDC]],TableSPPELNTCH[],7,FALSE),"")</f>
        <v/>
      </c>
      <c r="AL23" s="153" t="str">
        <f>IFERROR(VLOOKUP(TableHandbook[[#This Row],[UDC]],TableSPPESTEME[],7,FALSE),"")</f>
        <v/>
      </c>
    </row>
    <row r="24" spans="1:38" x14ac:dyDescent="0.25">
      <c r="A24" s="3" t="s">
        <v>110</v>
      </c>
      <c r="B24" s="4">
        <v>1</v>
      </c>
      <c r="C24" s="3"/>
      <c r="D24" s="3" t="s">
        <v>333</v>
      </c>
      <c r="E24" s="4">
        <v>25</v>
      </c>
      <c r="F24" s="81" t="s">
        <v>315</v>
      </c>
      <c r="G24" s="33" t="str">
        <f>IFERROR(IF(VLOOKUP(TableHandbook[[#This Row],[UDC]],TableAvailabilities[],2,FALSE)&gt;0,"Y",""),"")</f>
        <v>Y</v>
      </c>
      <c r="H24" s="82" t="str">
        <f>IFERROR(IF(VLOOKUP(TableHandbook[[#This Row],[UDC]],TableAvailabilities[],3,FALSE)&gt;0,"Y",""),"")</f>
        <v>Y</v>
      </c>
      <c r="I24" s="82" t="str">
        <f>IFERROR(IF(VLOOKUP(TableHandbook[[#This Row],[UDC]],TableAvailabilities[],4,FALSE)&gt;0,"Y",""),"")</f>
        <v/>
      </c>
      <c r="J24" s="82" t="str">
        <f>IFERROR(IF(VLOOKUP(TableHandbook[[#This Row],[UDC]],TableAvailabilities[],5,FALSE)&gt;0,"Y",""),"")</f>
        <v/>
      </c>
      <c r="K24" s="82" t="str">
        <f>IFERROR(IF(VLOOKUP(TableHandbook[[#This Row],[UDC]],TableAvailabilities[],6,FALSE)&gt;0,"Y",""),"")</f>
        <v/>
      </c>
      <c r="L24" s="82" t="str">
        <f>IFERROR(IF(VLOOKUP(TableHandbook[[#This Row],[UDC]],TableAvailabilities[],7,FALSE)&gt;0,"Y",""),"")</f>
        <v/>
      </c>
      <c r="M24" s="83" t="str">
        <f>IFERROR(IF(VLOOKUP(TableHandbook[[#This Row],[UDC]],TableAvailabilities[],8,FALSE)&gt;0,"Y",""),"")</f>
        <v/>
      </c>
      <c r="N24" s="82" t="str">
        <f>IFERROR(IF(VLOOKUP(TableHandbook[[#This Row],[UDC]],TableAvailabilities[],9,FALSE)&gt;0,"Y",""),"")</f>
        <v/>
      </c>
      <c r="O24" s="190"/>
      <c r="P24" s="185" t="str">
        <f>IFERROR(VLOOKUP(TableHandbook[[#This Row],[UDC]],TableMCTEACH[],7,FALSE),"")</f>
        <v/>
      </c>
      <c r="Q24" s="95" t="str">
        <f>IFERROR(VLOOKUP(TableHandbook[[#This Row],[UDC]],TableMJRPTCHEC[],7,FALSE),"")</f>
        <v/>
      </c>
      <c r="R24" s="95" t="str">
        <f>IFERROR(VLOOKUP(TableHandbook[[#This Row],[UDC]],TableMJRPTCHPR[],7,FALSE),"")</f>
        <v>Core</v>
      </c>
      <c r="S24" s="95" t="str">
        <f>IFERROR(VLOOKUP(TableHandbook[[#This Row],[UDC]],TableMJRPTCHSC[],7,FALSE),"")</f>
        <v/>
      </c>
      <c r="T24" s="121" t="str">
        <f>IFERROR(VLOOKUP(TableHandbook[[#This Row],[UDC]],TableSTRPSCART[],7,FALSE),"")</f>
        <v/>
      </c>
      <c r="U24" s="121" t="str">
        <f>IFERROR(VLOOKUP(TableHandbook[[#This Row],[UDC]],TableSTRPSCENG[],7,FALSE),"")</f>
        <v/>
      </c>
      <c r="V24" s="121" t="str">
        <f>IFERROR(VLOOKUP(TableHandbook[[#This Row],[UDC]],TableSTRPSCHLP[],7,FALSE),"")</f>
        <v/>
      </c>
      <c r="W24" s="121" t="str">
        <f>IFERROR(VLOOKUP(TableHandbook[[#This Row],[UDC]],TableSTRPSCHUS[],7,FALSE),"")</f>
        <v/>
      </c>
      <c r="X24" s="121" t="str">
        <f>IFERROR(VLOOKUP(TableHandbook[[#This Row],[UDC]],TableSTRPSCMAT[],7,FALSE),"")</f>
        <v/>
      </c>
      <c r="Y24" s="121" t="str">
        <f>IFERROR(VLOOKUP(TableHandbook[[#This Row],[UDC]],TableSTRPSCSCI[],7,FALSE),"")</f>
        <v/>
      </c>
      <c r="Z24" s="153" t="str">
        <f>IFERROR(VLOOKUP(TableHandbook[[#This Row],[UDC]],TableSTRPSCFON[],7,FALSE),"")</f>
        <v/>
      </c>
      <c r="AA24" s="154" t="str">
        <f>IFERROR(VLOOKUP(TableHandbook[[#This Row],[UDC]],TableGCTESOL[],7,FALSE),"")</f>
        <v/>
      </c>
      <c r="AB24" s="121" t="str">
        <f>IFERROR(VLOOKUP(TableHandbook[[#This Row],[UDC]],TableMCTESOL[],7,FALSE),"")</f>
        <v/>
      </c>
      <c r="AC24" s="153" t="str">
        <f>IFERROR(VLOOKUP(TableHandbook[[#This Row],[UDC]],TableMCAPLING[],7,FALSE),"")</f>
        <v/>
      </c>
      <c r="AD24" s="82" t="str">
        <f>IFERROR(VLOOKUP(TableHandbook[[#This Row],[UDC]],TableGCEDHE[],7,FALSE),"")</f>
        <v/>
      </c>
      <c r="AE24" s="154" t="str">
        <f>IFERROR(VLOOKUP(TableHandbook[[#This Row],[UDC]],TableGCEDUC[],7,FALSE),"")</f>
        <v>Option</v>
      </c>
      <c r="AF24" s="186" t="str">
        <f>IFERROR(VLOOKUP(TableHandbook[[#This Row],[UDC]],TableGDEDUC[],7,FALSE),"")</f>
        <v/>
      </c>
      <c r="AG24" s="186" t="str">
        <f>IFERROR(VLOOKUP(TableHandbook[[#This Row],[UDC]],TableMJRPEDUPR[],7,FALSE),"")</f>
        <v/>
      </c>
      <c r="AH24" s="186" t="str">
        <f>IFERROR(VLOOKUP(TableHandbook[[#This Row],[UDC]],TableMJRPEDUSC[],7,FALSE),"")</f>
        <v/>
      </c>
      <c r="AI24" s="121" t="str">
        <f>IFERROR(VLOOKUP(TableHandbook[[#This Row],[UDC]],TableMCEDUC[],7,FALSE),"")</f>
        <v/>
      </c>
      <c r="AJ24" s="121" t="str">
        <f>IFERROR(VLOOKUP(TableHandbook[[#This Row],[UDC]],TableSPPECULIN[],7,FALSE),"")</f>
        <v/>
      </c>
      <c r="AK24" s="121" t="str">
        <f>IFERROR(VLOOKUP(TableHandbook[[#This Row],[UDC]],TableSPPELNTCH[],7,FALSE),"")</f>
        <v/>
      </c>
      <c r="AL24" s="153" t="str">
        <f>IFERROR(VLOOKUP(TableHandbook[[#This Row],[UDC]],TableSPPESTEME[],7,FALSE),"")</f>
        <v/>
      </c>
    </row>
    <row r="25" spans="1:38" x14ac:dyDescent="0.25">
      <c r="A25" s="3" t="s">
        <v>116</v>
      </c>
      <c r="B25" s="4">
        <v>1</v>
      </c>
      <c r="C25" s="3"/>
      <c r="D25" s="3" t="s">
        <v>334</v>
      </c>
      <c r="E25" s="4">
        <v>25</v>
      </c>
      <c r="F25" s="81" t="s">
        <v>83</v>
      </c>
      <c r="G25" s="33" t="str">
        <f>IFERROR(IF(VLOOKUP(TableHandbook[[#This Row],[UDC]],TableAvailabilities[],2,FALSE)&gt;0,"Y",""),"")</f>
        <v/>
      </c>
      <c r="H25" s="82" t="str">
        <f>IFERROR(IF(VLOOKUP(TableHandbook[[#This Row],[UDC]],TableAvailabilities[],3,FALSE)&gt;0,"Y",""),"")</f>
        <v/>
      </c>
      <c r="I25" s="82" t="str">
        <f>IFERROR(IF(VLOOKUP(TableHandbook[[#This Row],[UDC]],TableAvailabilities[],4,FALSE)&gt;0,"Y",""),"")</f>
        <v/>
      </c>
      <c r="J25" s="82" t="str">
        <f>IFERROR(IF(VLOOKUP(TableHandbook[[#This Row],[UDC]],TableAvailabilities[],5,FALSE)&gt;0,"Y",""),"")</f>
        <v/>
      </c>
      <c r="K25" s="82" t="str">
        <f>IFERROR(IF(VLOOKUP(TableHandbook[[#This Row],[UDC]],TableAvailabilities[],6,FALSE)&gt;0,"Y",""),"")</f>
        <v>Y</v>
      </c>
      <c r="L25" s="82" t="str">
        <f>IFERROR(IF(VLOOKUP(TableHandbook[[#This Row],[UDC]],TableAvailabilities[],7,FALSE)&gt;0,"Y",""),"")</f>
        <v>Y</v>
      </c>
      <c r="M25" s="83" t="str">
        <f>IFERROR(IF(VLOOKUP(TableHandbook[[#This Row],[UDC]],TableAvailabilities[],8,FALSE)&gt;0,"Y",""),"")</f>
        <v/>
      </c>
      <c r="N25" s="82" t="str">
        <f>IFERROR(IF(VLOOKUP(TableHandbook[[#This Row],[UDC]],TableAvailabilities[],9,FALSE)&gt;0,"Y",""),"")</f>
        <v/>
      </c>
      <c r="O25" s="190" t="s">
        <v>335</v>
      </c>
      <c r="P25" s="185" t="str">
        <f>IFERROR(VLOOKUP(TableHandbook[[#This Row],[UDC]],TableMCTEACH[],7,FALSE),"")</f>
        <v/>
      </c>
      <c r="Q25" s="95" t="str">
        <f>IFERROR(VLOOKUP(TableHandbook[[#This Row],[UDC]],TableMJRPTCHEC[],7,FALSE),"")</f>
        <v/>
      </c>
      <c r="R25" s="95" t="str">
        <f>IFERROR(VLOOKUP(TableHandbook[[#This Row],[UDC]],TableMJRPTCHPR[],7,FALSE),"")</f>
        <v>Core</v>
      </c>
      <c r="S25" s="95" t="str">
        <f>IFERROR(VLOOKUP(TableHandbook[[#This Row],[UDC]],TableMJRPTCHSC[],7,FALSE),"")</f>
        <v/>
      </c>
      <c r="T25" s="121" t="str">
        <f>IFERROR(VLOOKUP(TableHandbook[[#This Row],[UDC]],TableSTRPSCART[],7,FALSE),"")</f>
        <v/>
      </c>
      <c r="U25" s="121" t="str">
        <f>IFERROR(VLOOKUP(TableHandbook[[#This Row],[UDC]],TableSTRPSCENG[],7,FALSE),"")</f>
        <v/>
      </c>
      <c r="V25" s="121" t="str">
        <f>IFERROR(VLOOKUP(TableHandbook[[#This Row],[UDC]],TableSTRPSCHLP[],7,FALSE),"")</f>
        <v/>
      </c>
      <c r="W25" s="121" t="str">
        <f>IFERROR(VLOOKUP(TableHandbook[[#This Row],[UDC]],TableSTRPSCHUS[],7,FALSE),"")</f>
        <v/>
      </c>
      <c r="X25" s="121" t="str">
        <f>IFERROR(VLOOKUP(TableHandbook[[#This Row],[UDC]],TableSTRPSCMAT[],7,FALSE),"")</f>
        <v/>
      </c>
      <c r="Y25" s="121" t="str">
        <f>IFERROR(VLOOKUP(TableHandbook[[#This Row],[UDC]],TableSTRPSCSCI[],7,FALSE),"")</f>
        <v/>
      </c>
      <c r="Z25" s="153" t="str">
        <f>IFERROR(VLOOKUP(TableHandbook[[#This Row],[UDC]],TableSTRPSCFON[],7,FALSE),"")</f>
        <v/>
      </c>
      <c r="AA25" s="154" t="str">
        <f>IFERROR(VLOOKUP(TableHandbook[[#This Row],[UDC]],TableGCTESOL[],7,FALSE),"")</f>
        <v/>
      </c>
      <c r="AB25" s="121" t="str">
        <f>IFERROR(VLOOKUP(TableHandbook[[#This Row],[UDC]],TableMCTESOL[],7,FALSE),"")</f>
        <v/>
      </c>
      <c r="AC25" s="153" t="str">
        <f>IFERROR(VLOOKUP(TableHandbook[[#This Row],[UDC]],TableMCAPLING[],7,FALSE),"")</f>
        <v/>
      </c>
      <c r="AD25" s="82" t="str">
        <f>IFERROR(VLOOKUP(TableHandbook[[#This Row],[UDC]],TableGCEDHE[],7,FALSE),"")</f>
        <v/>
      </c>
      <c r="AE25" s="154" t="str">
        <f>IFERROR(VLOOKUP(TableHandbook[[#This Row],[UDC]],TableGCEDUC[],7,FALSE),"")</f>
        <v/>
      </c>
      <c r="AF25" s="186" t="str">
        <f>IFERROR(VLOOKUP(TableHandbook[[#This Row],[UDC]],TableGDEDUC[],7,FALSE),"")</f>
        <v/>
      </c>
      <c r="AG25" s="186" t="str">
        <f>IFERROR(VLOOKUP(TableHandbook[[#This Row],[UDC]],TableMJRPEDUPR[],7,FALSE),"")</f>
        <v/>
      </c>
      <c r="AH25" s="186" t="str">
        <f>IFERROR(VLOOKUP(TableHandbook[[#This Row],[UDC]],TableMJRPEDUSC[],7,FALSE),"")</f>
        <v/>
      </c>
      <c r="AI25" s="121" t="str">
        <f>IFERROR(VLOOKUP(TableHandbook[[#This Row],[UDC]],TableMCEDUC[],7,FALSE),"")</f>
        <v/>
      </c>
      <c r="AJ25" s="121" t="str">
        <f>IFERROR(VLOOKUP(TableHandbook[[#This Row],[UDC]],TableSPPECULIN[],7,FALSE),"")</f>
        <v/>
      </c>
      <c r="AK25" s="121" t="str">
        <f>IFERROR(VLOOKUP(TableHandbook[[#This Row],[UDC]],TableSPPELNTCH[],7,FALSE),"")</f>
        <v/>
      </c>
      <c r="AL25" s="153" t="str">
        <f>IFERROR(VLOOKUP(TableHandbook[[#This Row],[UDC]],TableSPPESTEME[],7,FALSE),"")</f>
        <v/>
      </c>
    </row>
    <row r="26" spans="1:38" x14ac:dyDescent="0.25">
      <c r="A26" s="3" t="s">
        <v>242</v>
      </c>
      <c r="B26" s="4">
        <v>1</v>
      </c>
      <c r="C26" s="3"/>
      <c r="D26" s="3" t="s">
        <v>336</v>
      </c>
      <c r="E26" s="4" t="s">
        <v>337</v>
      </c>
      <c r="F26" s="81" t="s">
        <v>315</v>
      </c>
      <c r="G26" s="33" t="str">
        <f>IFERROR(IF(VLOOKUP(TableHandbook[[#This Row],[UDC]],TableAvailabilities[],2,FALSE)&gt;0,"Y",""),"")</f>
        <v/>
      </c>
      <c r="H26" s="82" t="str">
        <f>IFERROR(IF(VLOOKUP(TableHandbook[[#This Row],[UDC]],TableAvailabilities[],3,FALSE)&gt;0,"Y",""),"")</f>
        <v/>
      </c>
      <c r="I26" s="82" t="str">
        <f>IFERROR(IF(VLOOKUP(TableHandbook[[#This Row],[UDC]],TableAvailabilities[],4,FALSE)&gt;0,"Y",""),"")</f>
        <v>Y</v>
      </c>
      <c r="J26" s="82" t="str">
        <f>IFERROR(IF(VLOOKUP(TableHandbook[[#This Row],[UDC]],TableAvailabilities[],5,FALSE)&gt;0,"Y",""),"")</f>
        <v>Y</v>
      </c>
      <c r="K26" s="82" t="str">
        <f>IFERROR(IF(VLOOKUP(TableHandbook[[#This Row],[UDC]],TableAvailabilities[],6,FALSE)&gt;0,"Y",""),"")</f>
        <v/>
      </c>
      <c r="L26" s="82" t="str">
        <f>IFERROR(IF(VLOOKUP(TableHandbook[[#This Row],[UDC]],TableAvailabilities[],7,FALSE)&gt;0,"Y",""),"")</f>
        <v/>
      </c>
      <c r="M26" s="83" t="str">
        <f>IFERROR(IF(VLOOKUP(TableHandbook[[#This Row],[UDC]],TableAvailabilities[],8,FALSE)&gt;0,"Y",""),"")</f>
        <v>Y</v>
      </c>
      <c r="N26" s="82" t="str">
        <f>IFERROR(IF(VLOOKUP(TableHandbook[[#This Row],[UDC]],TableAvailabilities[],9,FALSE)&gt;0,"Y",""),"")</f>
        <v>Y</v>
      </c>
      <c r="O26" s="190"/>
      <c r="P26" s="185" t="str">
        <f>IFERROR(VLOOKUP(TableHandbook[[#This Row],[UDC]],TableMCTEACH[],7,FALSE),"")</f>
        <v/>
      </c>
      <c r="Q26" s="95" t="str">
        <f>IFERROR(VLOOKUP(TableHandbook[[#This Row],[UDC]],TableMJRPTCHEC[],7,FALSE),"")</f>
        <v/>
      </c>
      <c r="R26" s="95" t="str">
        <f>IFERROR(VLOOKUP(TableHandbook[[#This Row],[UDC]],TableMJRPTCHPR[],7,FALSE),"")</f>
        <v/>
      </c>
      <c r="S26" s="95" t="str">
        <f>IFERROR(VLOOKUP(TableHandbook[[#This Row],[UDC]],TableMJRPTCHSC[],7,FALSE),"")</f>
        <v>Core</v>
      </c>
      <c r="T26" s="121" t="str">
        <f>IFERROR(VLOOKUP(TableHandbook[[#This Row],[UDC]],TableSTRPSCART[],7,FALSE),"")</f>
        <v/>
      </c>
      <c r="U26" s="121" t="str">
        <f>IFERROR(VLOOKUP(TableHandbook[[#This Row],[UDC]],TableSTRPSCENG[],7,FALSE),"")</f>
        <v/>
      </c>
      <c r="V26" s="121" t="str">
        <f>IFERROR(VLOOKUP(TableHandbook[[#This Row],[UDC]],TableSTRPSCHLP[],7,FALSE),"")</f>
        <v/>
      </c>
      <c r="W26" s="121" t="str">
        <f>IFERROR(VLOOKUP(TableHandbook[[#This Row],[UDC]],TableSTRPSCHUS[],7,FALSE),"")</f>
        <v/>
      </c>
      <c r="X26" s="121" t="str">
        <f>IFERROR(VLOOKUP(TableHandbook[[#This Row],[UDC]],TableSTRPSCMAT[],7,FALSE),"")</f>
        <v/>
      </c>
      <c r="Y26" s="121" t="str">
        <f>IFERROR(VLOOKUP(TableHandbook[[#This Row],[UDC]],TableSTRPSCSCI[],7,FALSE),"")</f>
        <v/>
      </c>
      <c r="Z26" s="153" t="str">
        <f>IFERROR(VLOOKUP(TableHandbook[[#This Row],[UDC]],TableSTRPSCFON[],7,FALSE),"")</f>
        <v/>
      </c>
      <c r="AA26" s="154" t="str">
        <f>IFERROR(VLOOKUP(TableHandbook[[#This Row],[UDC]],TableGCTESOL[],7,FALSE),"")</f>
        <v/>
      </c>
      <c r="AB26" s="121" t="str">
        <f>IFERROR(VLOOKUP(TableHandbook[[#This Row],[UDC]],TableMCTESOL[],7,FALSE),"")</f>
        <v/>
      </c>
      <c r="AC26" s="153" t="str">
        <f>IFERROR(VLOOKUP(TableHandbook[[#This Row],[UDC]],TableMCAPLING[],7,FALSE),"")</f>
        <v/>
      </c>
      <c r="AD26" s="82" t="str">
        <f>IFERROR(VLOOKUP(TableHandbook[[#This Row],[UDC]],TableGCEDHE[],7,FALSE),"")</f>
        <v/>
      </c>
      <c r="AE26" s="154" t="str">
        <f>IFERROR(VLOOKUP(TableHandbook[[#This Row],[UDC]],TableGCEDUC[],7,FALSE),"")</f>
        <v/>
      </c>
      <c r="AF26" s="186" t="str">
        <f>IFERROR(VLOOKUP(TableHandbook[[#This Row],[UDC]],TableGDEDUC[],7,FALSE),"")</f>
        <v/>
      </c>
      <c r="AG26" s="186" t="str">
        <f>IFERROR(VLOOKUP(TableHandbook[[#This Row],[UDC]],TableMJRPEDUPR[],7,FALSE),"")</f>
        <v/>
      </c>
      <c r="AH26" s="186" t="str">
        <f>IFERROR(VLOOKUP(TableHandbook[[#This Row],[UDC]],TableMJRPEDUSC[],7,FALSE),"")</f>
        <v/>
      </c>
      <c r="AI26" s="121" t="str">
        <f>IFERROR(VLOOKUP(TableHandbook[[#This Row],[UDC]],TableMCEDUC[],7,FALSE),"")</f>
        <v/>
      </c>
      <c r="AJ26" s="121" t="str">
        <f>IFERROR(VLOOKUP(TableHandbook[[#This Row],[UDC]],TableSPPECULIN[],7,FALSE),"")</f>
        <v/>
      </c>
      <c r="AK26" s="121" t="str">
        <f>IFERROR(VLOOKUP(TableHandbook[[#This Row],[UDC]],TableSPPELNTCH[],7,FALSE),"")</f>
        <v/>
      </c>
      <c r="AL26" s="153" t="str">
        <f>IFERROR(VLOOKUP(TableHandbook[[#This Row],[UDC]],TableSPPESTEME[],7,FALSE),"")</f>
        <v/>
      </c>
    </row>
    <row r="27" spans="1:38" x14ac:dyDescent="0.25">
      <c r="A27" s="3" t="s">
        <v>173</v>
      </c>
      <c r="B27" s="4">
        <v>1</v>
      </c>
      <c r="C27" s="3"/>
      <c r="D27" s="3" t="s">
        <v>338</v>
      </c>
      <c r="E27" s="4" t="s">
        <v>337</v>
      </c>
      <c r="F27" s="81" t="s">
        <v>315</v>
      </c>
      <c r="G27" s="33" t="str">
        <f>IFERROR(IF(VLOOKUP(TableHandbook[[#This Row],[UDC]],TableAvailabilities[],2,FALSE)&gt;0,"Y",""),"")</f>
        <v>Y</v>
      </c>
      <c r="H27" s="82" t="str">
        <f>IFERROR(IF(VLOOKUP(TableHandbook[[#This Row],[UDC]],TableAvailabilities[],3,FALSE)&gt;0,"Y",""),"")</f>
        <v>Y</v>
      </c>
      <c r="I27" s="82" t="str">
        <f>IFERROR(IF(VLOOKUP(TableHandbook[[#This Row],[UDC]],TableAvailabilities[],4,FALSE)&gt;0,"Y",""),"")</f>
        <v/>
      </c>
      <c r="J27" s="82" t="str">
        <f>IFERROR(IF(VLOOKUP(TableHandbook[[#This Row],[UDC]],TableAvailabilities[],5,FALSE)&gt;0,"Y",""),"")</f>
        <v/>
      </c>
      <c r="K27" s="82" t="str">
        <f>IFERROR(IF(VLOOKUP(TableHandbook[[#This Row],[UDC]],TableAvailabilities[],6,FALSE)&gt;0,"Y",""),"")</f>
        <v>Y</v>
      </c>
      <c r="L27" s="82" t="str">
        <f>IFERROR(IF(VLOOKUP(TableHandbook[[#This Row],[UDC]],TableAvailabilities[],7,FALSE)&gt;0,"Y",""),"")</f>
        <v>Y</v>
      </c>
      <c r="M27" s="83" t="str">
        <f>IFERROR(IF(VLOOKUP(TableHandbook[[#This Row],[UDC]],TableAvailabilities[],8,FALSE)&gt;0,"Y",""),"")</f>
        <v/>
      </c>
      <c r="N27" s="82" t="str">
        <f>IFERROR(IF(VLOOKUP(TableHandbook[[#This Row],[UDC]],TableAvailabilities[],9,FALSE)&gt;0,"Y",""),"")</f>
        <v/>
      </c>
      <c r="O27" s="190"/>
      <c r="P27" s="185" t="str">
        <f>IFERROR(VLOOKUP(TableHandbook[[#This Row],[UDC]],TableMCTEACH[],7,FALSE),"")</f>
        <v/>
      </c>
      <c r="Q27" s="95" t="str">
        <f>IFERROR(VLOOKUP(TableHandbook[[#This Row],[UDC]],TableMJRPTCHEC[],7,FALSE),"")</f>
        <v/>
      </c>
      <c r="R27" s="95" t="str">
        <f>IFERROR(VLOOKUP(TableHandbook[[#This Row],[UDC]],TableMJRPTCHPR[],7,FALSE),"")</f>
        <v/>
      </c>
      <c r="S27" s="95" t="str">
        <f>IFERROR(VLOOKUP(TableHandbook[[#This Row],[UDC]],TableMJRPTCHSC[],7,FALSE),"")</f>
        <v>Core</v>
      </c>
      <c r="T27" s="121" t="str">
        <f>IFERROR(VLOOKUP(TableHandbook[[#This Row],[UDC]],TableSTRPSCART[],7,FALSE),"")</f>
        <v/>
      </c>
      <c r="U27" s="121" t="str">
        <f>IFERROR(VLOOKUP(TableHandbook[[#This Row],[UDC]],TableSTRPSCENG[],7,FALSE),"")</f>
        <v/>
      </c>
      <c r="V27" s="121" t="str">
        <f>IFERROR(VLOOKUP(TableHandbook[[#This Row],[UDC]],TableSTRPSCHLP[],7,FALSE),"")</f>
        <v/>
      </c>
      <c r="W27" s="121" t="str">
        <f>IFERROR(VLOOKUP(TableHandbook[[#This Row],[UDC]],TableSTRPSCHUS[],7,FALSE),"")</f>
        <v/>
      </c>
      <c r="X27" s="121" t="str">
        <f>IFERROR(VLOOKUP(TableHandbook[[#This Row],[UDC]],TableSTRPSCMAT[],7,FALSE),"")</f>
        <v/>
      </c>
      <c r="Y27" s="121" t="str">
        <f>IFERROR(VLOOKUP(TableHandbook[[#This Row],[UDC]],TableSTRPSCSCI[],7,FALSE),"")</f>
        <v/>
      </c>
      <c r="Z27" s="153" t="str">
        <f>IFERROR(VLOOKUP(TableHandbook[[#This Row],[UDC]],TableSTRPSCFON[],7,FALSE),"")</f>
        <v/>
      </c>
      <c r="AA27" s="154" t="str">
        <f>IFERROR(VLOOKUP(TableHandbook[[#This Row],[UDC]],TableGCTESOL[],7,FALSE),"")</f>
        <v/>
      </c>
      <c r="AB27" s="121" t="str">
        <f>IFERROR(VLOOKUP(TableHandbook[[#This Row],[UDC]],TableMCTESOL[],7,FALSE),"")</f>
        <v>Core</v>
      </c>
      <c r="AC27" s="153" t="str">
        <f>IFERROR(VLOOKUP(TableHandbook[[#This Row],[UDC]],TableMCAPLING[],7,FALSE),"")</f>
        <v/>
      </c>
      <c r="AD27" s="82" t="str">
        <f>IFERROR(VLOOKUP(TableHandbook[[#This Row],[UDC]],TableGCEDHE[],7,FALSE),"")</f>
        <v/>
      </c>
      <c r="AE27" s="154" t="str">
        <f>IFERROR(VLOOKUP(TableHandbook[[#This Row],[UDC]],TableGCEDUC[],7,FALSE),"")</f>
        <v>Option</v>
      </c>
      <c r="AF27" s="186" t="str">
        <f>IFERROR(VLOOKUP(TableHandbook[[#This Row],[UDC]],TableGDEDUC[],7,FALSE),"")</f>
        <v/>
      </c>
      <c r="AG27" s="186" t="str">
        <f>IFERROR(VLOOKUP(TableHandbook[[#This Row],[UDC]],TableMJRPEDUPR[],7,FALSE),"")</f>
        <v/>
      </c>
      <c r="AH27" s="186" t="str">
        <f>IFERROR(VLOOKUP(TableHandbook[[#This Row],[UDC]],TableMJRPEDUSC[],7,FALSE),"")</f>
        <v/>
      </c>
      <c r="AI27" s="121" t="str">
        <f>IFERROR(VLOOKUP(TableHandbook[[#This Row],[UDC]],TableMCEDUC[],7,FALSE),"")</f>
        <v/>
      </c>
      <c r="AJ27" s="121" t="str">
        <f>IFERROR(VLOOKUP(TableHandbook[[#This Row],[UDC]],TableSPPECULIN[],7,FALSE),"")</f>
        <v/>
      </c>
      <c r="AK27" s="121" t="str">
        <f>IFERROR(VLOOKUP(TableHandbook[[#This Row],[UDC]],TableSPPELNTCH[],7,FALSE),"")</f>
        <v/>
      </c>
      <c r="AL27" s="153" t="str">
        <f>IFERROR(VLOOKUP(TableHandbook[[#This Row],[UDC]],TableSPPESTEME[],7,FALSE),"")</f>
        <v/>
      </c>
    </row>
    <row r="28" spans="1:38" x14ac:dyDescent="0.25">
      <c r="A28" s="3" t="s">
        <v>271</v>
      </c>
      <c r="B28" s="4">
        <v>2</v>
      </c>
      <c r="C28" s="3"/>
      <c r="D28" s="3" t="s">
        <v>339</v>
      </c>
      <c r="E28" s="4">
        <v>25</v>
      </c>
      <c r="F28" s="81" t="s">
        <v>315</v>
      </c>
      <c r="G28" s="33" t="str">
        <f>IFERROR(IF(VLOOKUP(TableHandbook[[#This Row],[UDC]],TableAvailabilities[],2,FALSE)&gt;0,"Y",""),"")</f>
        <v/>
      </c>
      <c r="H28" s="82" t="str">
        <f>IFERROR(IF(VLOOKUP(TableHandbook[[#This Row],[UDC]],TableAvailabilities[],3,FALSE)&gt;0,"Y",""),"")</f>
        <v/>
      </c>
      <c r="I28" s="82" t="str">
        <f>IFERROR(IF(VLOOKUP(TableHandbook[[#This Row],[UDC]],TableAvailabilities[],4,FALSE)&gt;0,"Y",""),"")</f>
        <v>Y</v>
      </c>
      <c r="J28" s="82" t="str">
        <f>IFERROR(IF(VLOOKUP(TableHandbook[[#This Row],[UDC]],TableAvailabilities[],5,FALSE)&gt;0,"Y",""),"")</f>
        <v>Y</v>
      </c>
      <c r="K28" s="82" t="str">
        <f>IFERROR(IF(VLOOKUP(TableHandbook[[#This Row],[UDC]],TableAvailabilities[],6,FALSE)&gt;0,"Y",""),"")</f>
        <v/>
      </c>
      <c r="L28" s="82" t="str">
        <f>IFERROR(IF(VLOOKUP(TableHandbook[[#This Row],[UDC]],TableAvailabilities[],7,FALSE)&gt;0,"Y",""),"")</f>
        <v/>
      </c>
      <c r="M28" s="83" t="str">
        <f>IFERROR(IF(VLOOKUP(TableHandbook[[#This Row],[UDC]],TableAvailabilities[],8,FALSE)&gt;0,"Y",""),"")</f>
        <v>Y</v>
      </c>
      <c r="N28" s="82" t="str">
        <f>IFERROR(IF(VLOOKUP(TableHandbook[[#This Row],[UDC]],TableAvailabilities[],9,FALSE)&gt;0,"Y",""),"")</f>
        <v>Y</v>
      </c>
      <c r="O28" s="190"/>
      <c r="P28" s="185" t="str">
        <f>IFERROR(VLOOKUP(TableHandbook[[#This Row],[UDC]],TableMCTEACH[],7,FALSE),"")</f>
        <v/>
      </c>
      <c r="Q28" s="95" t="str">
        <f>IFERROR(VLOOKUP(TableHandbook[[#This Row],[UDC]],TableMJRPTCHEC[],7,FALSE),"")</f>
        <v/>
      </c>
      <c r="R28" s="95" t="str">
        <f>IFERROR(VLOOKUP(TableHandbook[[#This Row],[UDC]],TableMJRPTCHPR[],7,FALSE),"")</f>
        <v/>
      </c>
      <c r="S28" s="95" t="str">
        <f>IFERROR(VLOOKUP(TableHandbook[[#This Row],[UDC]],TableMJRPTCHSC[],7,FALSE),"")</f>
        <v/>
      </c>
      <c r="T28" s="121" t="str">
        <f>IFERROR(VLOOKUP(TableHandbook[[#This Row],[UDC]],TableSTRPSCART[],7,FALSE),"")</f>
        <v>Core</v>
      </c>
      <c r="U28" s="121" t="str">
        <f>IFERROR(VLOOKUP(TableHandbook[[#This Row],[UDC]],TableSTRPSCENG[],7,FALSE),"")</f>
        <v/>
      </c>
      <c r="V28" s="121" t="str">
        <f>IFERROR(VLOOKUP(TableHandbook[[#This Row],[UDC]],TableSTRPSCHLP[],7,FALSE),"")</f>
        <v/>
      </c>
      <c r="W28" s="121" t="str">
        <f>IFERROR(VLOOKUP(TableHandbook[[#This Row],[UDC]],TableSTRPSCHUS[],7,FALSE),"")</f>
        <v/>
      </c>
      <c r="X28" s="121" t="str">
        <f>IFERROR(VLOOKUP(TableHandbook[[#This Row],[UDC]],TableSTRPSCMAT[],7,FALSE),"")</f>
        <v/>
      </c>
      <c r="Y28" s="121" t="str">
        <f>IFERROR(VLOOKUP(TableHandbook[[#This Row],[UDC]],TableSTRPSCSCI[],7,FALSE),"")</f>
        <v/>
      </c>
      <c r="Z28" s="153" t="str">
        <f>IFERROR(VLOOKUP(TableHandbook[[#This Row],[UDC]],TableSTRPSCFON[],7,FALSE),"")</f>
        <v/>
      </c>
      <c r="AA28" s="154" t="str">
        <f>IFERROR(VLOOKUP(TableHandbook[[#This Row],[UDC]],TableGCTESOL[],7,FALSE),"")</f>
        <v/>
      </c>
      <c r="AB28" s="121" t="str">
        <f>IFERROR(VLOOKUP(TableHandbook[[#This Row],[UDC]],TableMCTESOL[],7,FALSE),"")</f>
        <v/>
      </c>
      <c r="AC28" s="153" t="str">
        <f>IFERROR(VLOOKUP(TableHandbook[[#This Row],[UDC]],TableMCAPLING[],7,FALSE),"")</f>
        <v/>
      </c>
      <c r="AD28" s="82" t="str">
        <f>IFERROR(VLOOKUP(TableHandbook[[#This Row],[UDC]],TableGCEDHE[],7,FALSE),"")</f>
        <v/>
      </c>
      <c r="AE28" s="154" t="str">
        <f>IFERROR(VLOOKUP(TableHandbook[[#This Row],[UDC]],TableGCEDUC[],7,FALSE),"")</f>
        <v/>
      </c>
      <c r="AF28" s="186" t="str">
        <f>IFERROR(VLOOKUP(TableHandbook[[#This Row],[UDC]],TableGDEDUC[],7,FALSE),"")</f>
        <v/>
      </c>
      <c r="AG28" s="186" t="str">
        <f>IFERROR(VLOOKUP(TableHandbook[[#This Row],[UDC]],TableMJRPEDUPR[],7,FALSE),"")</f>
        <v/>
      </c>
      <c r="AH28" s="186" t="str">
        <f>IFERROR(VLOOKUP(TableHandbook[[#This Row],[UDC]],TableMJRPEDUSC[],7,FALSE),"")</f>
        <v/>
      </c>
      <c r="AI28" s="121" t="str">
        <f>IFERROR(VLOOKUP(TableHandbook[[#This Row],[UDC]],TableMCEDUC[],7,FALSE),"")</f>
        <v/>
      </c>
      <c r="AJ28" s="121" t="str">
        <f>IFERROR(VLOOKUP(TableHandbook[[#This Row],[UDC]],TableSPPECULIN[],7,FALSE),"")</f>
        <v/>
      </c>
      <c r="AK28" s="121" t="str">
        <f>IFERROR(VLOOKUP(TableHandbook[[#This Row],[UDC]],TableSPPELNTCH[],7,FALSE),"")</f>
        <v/>
      </c>
      <c r="AL28" s="153" t="str">
        <f>IFERROR(VLOOKUP(TableHandbook[[#This Row],[UDC]],TableSPPESTEME[],7,FALSE),"")</f>
        <v/>
      </c>
    </row>
    <row r="29" spans="1:38" x14ac:dyDescent="0.25">
      <c r="A29" s="3" t="s">
        <v>272</v>
      </c>
      <c r="B29" s="4">
        <v>1</v>
      </c>
      <c r="C29" s="3"/>
      <c r="D29" s="3" t="s">
        <v>340</v>
      </c>
      <c r="E29" s="4">
        <v>25</v>
      </c>
      <c r="F29" s="81" t="s">
        <v>315</v>
      </c>
      <c r="G29" s="33" t="str">
        <f>IFERROR(IF(VLOOKUP(TableHandbook[[#This Row],[UDC]],TableAvailabilities[],2,FALSE)&gt;0,"Y",""),"")</f>
        <v/>
      </c>
      <c r="H29" s="82" t="str">
        <f>IFERROR(IF(VLOOKUP(TableHandbook[[#This Row],[UDC]],TableAvailabilities[],3,FALSE)&gt;0,"Y",""),"")</f>
        <v/>
      </c>
      <c r="I29" s="82" t="str">
        <f>IFERROR(IF(VLOOKUP(TableHandbook[[#This Row],[UDC]],TableAvailabilities[],4,FALSE)&gt;0,"Y",""),"")</f>
        <v>Y</v>
      </c>
      <c r="J29" s="82" t="str">
        <f>IFERROR(IF(VLOOKUP(TableHandbook[[#This Row],[UDC]],TableAvailabilities[],5,FALSE)&gt;0,"Y",""),"")</f>
        <v>Y</v>
      </c>
      <c r="K29" s="82" t="str">
        <f>IFERROR(IF(VLOOKUP(TableHandbook[[#This Row],[UDC]],TableAvailabilities[],6,FALSE)&gt;0,"Y",""),"")</f>
        <v/>
      </c>
      <c r="L29" s="82" t="str">
        <f>IFERROR(IF(VLOOKUP(TableHandbook[[#This Row],[UDC]],TableAvailabilities[],7,FALSE)&gt;0,"Y",""),"")</f>
        <v/>
      </c>
      <c r="M29" s="83" t="str">
        <f>IFERROR(IF(VLOOKUP(TableHandbook[[#This Row],[UDC]],TableAvailabilities[],8,FALSE)&gt;0,"Y",""),"")</f>
        <v>Y</v>
      </c>
      <c r="N29" s="82" t="str">
        <f>IFERROR(IF(VLOOKUP(TableHandbook[[#This Row],[UDC]],TableAvailabilities[],9,FALSE)&gt;0,"Y",""),"")</f>
        <v>Y</v>
      </c>
      <c r="O29" s="190"/>
      <c r="P29" s="185" t="str">
        <f>IFERROR(VLOOKUP(TableHandbook[[#This Row],[UDC]],TableMCTEACH[],7,FALSE),"")</f>
        <v/>
      </c>
      <c r="Q29" s="95" t="str">
        <f>IFERROR(VLOOKUP(TableHandbook[[#This Row],[UDC]],TableMJRPTCHEC[],7,FALSE),"")</f>
        <v/>
      </c>
      <c r="R29" s="95" t="str">
        <f>IFERROR(VLOOKUP(TableHandbook[[#This Row],[UDC]],TableMJRPTCHPR[],7,FALSE),"")</f>
        <v/>
      </c>
      <c r="S29" s="95" t="str">
        <f>IFERROR(VLOOKUP(TableHandbook[[#This Row],[UDC]],TableMJRPTCHSC[],7,FALSE),"")</f>
        <v/>
      </c>
      <c r="T29" s="121" t="str">
        <f>IFERROR(VLOOKUP(TableHandbook[[#This Row],[UDC]],TableSTRPSCART[],7,FALSE),"")</f>
        <v/>
      </c>
      <c r="U29" s="121" t="str">
        <f>IFERROR(VLOOKUP(TableHandbook[[#This Row],[UDC]],TableSTRPSCENG[],7,FALSE),"")</f>
        <v>Core</v>
      </c>
      <c r="V29" s="121" t="str">
        <f>IFERROR(VLOOKUP(TableHandbook[[#This Row],[UDC]],TableSTRPSCHLP[],7,FALSE),"")</f>
        <v/>
      </c>
      <c r="W29" s="121" t="str">
        <f>IFERROR(VLOOKUP(TableHandbook[[#This Row],[UDC]],TableSTRPSCHUS[],7,FALSE),"")</f>
        <v/>
      </c>
      <c r="X29" s="121" t="str">
        <f>IFERROR(VLOOKUP(TableHandbook[[#This Row],[UDC]],TableSTRPSCMAT[],7,FALSE),"")</f>
        <v/>
      </c>
      <c r="Y29" s="121" t="str">
        <f>IFERROR(VLOOKUP(TableHandbook[[#This Row],[UDC]],TableSTRPSCSCI[],7,FALSE),"")</f>
        <v/>
      </c>
      <c r="Z29" s="153" t="str">
        <f>IFERROR(VLOOKUP(TableHandbook[[#This Row],[UDC]],TableSTRPSCFON[],7,FALSE),"")</f>
        <v/>
      </c>
      <c r="AA29" s="154" t="str">
        <f>IFERROR(VLOOKUP(TableHandbook[[#This Row],[UDC]],TableGCTESOL[],7,FALSE),"")</f>
        <v/>
      </c>
      <c r="AB29" s="121" t="str">
        <f>IFERROR(VLOOKUP(TableHandbook[[#This Row],[UDC]],TableMCTESOL[],7,FALSE),"")</f>
        <v/>
      </c>
      <c r="AC29" s="153" t="str">
        <f>IFERROR(VLOOKUP(TableHandbook[[#This Row],[UDC]],TableMCAPLING[],7,FALSE),"")</f>
        <v/>
      </c>
      <c r="AD29" s="82" t="str">
        <f>IFERROR(VLOOKUP(TableHandbook[[#This Row],[UDC]],TableGCEDHE[],7,FALSE),"")</f>
        <v/>
      </c>
      <c r="AE29" s="154" t="str">
        <f>IFERROR(VLOOKUP(TableHandbook[[#This Row],[UDC]],TableGCEDUC[],7,FALSE),"")</f>
        <v/>
      </c>
      <c r="AF29" s="186" t="str">
        <f>IFERROR(VLOOKUP(TableHandbook[[#This Row],[UDC]],TableGDEDUC[],7,FALSE),"")</f>
        <v/>
      </c>
      <c r="AG29" s="186" t="str">
        <f>IFERROR(VLOOKUP(TableHandbook[[#This Row],[UDC]],TableMJRPEDUPR[],7,FALSE),"")</f>
        <v/>
      </c>
      <c r="AH29" s="186" t="str">
        <f>IFERROR(VLOOKUP(TableHandbook[[#This Row],[UDC]],TableMJRPEDUSC[],7,FALSE),"")</f>
        <v/>
      </c>
      <c r="AI29" s="121" t="str">
        <f>IFERROR(VLOOKUP(TableHandbook[[#This Row],[UDC]],TableMCEDUC[],7,FALSE),"")</f>
        <v/>
      </c>
      <c r="AJ29" s="121" t="str">
        <f>IFERROR(VLOOKUP(TableHandbook[[#This Row],[UDC]],TableSPPECULIN[],7,FALSE),"")</f>
        <v/>
      </c>
      <c r="AK29" s="121" t="str">
        <f>IFERROR(VLOOKUP(TableHandbook[[#This Row],[UDC]],TableSPPELNTCH[],7,FALSE),"")</f>
        <v/>
      </c>
      <c r="AL29" s="153" t="str">
        <f>IFERROR(VLOOKUP(TableHandbook[[#This Row],[UDC]],TableSPPESTEME[],7,FALSE),"")</f>
        <v/>
      </c>
    </row>
    <row r="30" spans="1:38" x14ac:dyDescent="0.25">
      <c r="A30" s="3" t="s">
        <v>274</v>
      </c>
      <c r="B30" s="4">
        <v>1</v>
      </c>
      <c r="C30" s="3"/>
      <c r="D30" s="3" t="s">
        <v>341</v>
      </c>
      <c r="E30" s="4">
        <v>25</v>
      </c>
      <c r="F30" s="81" t="s">
        <v>315</v>
      </c>
      <c r="G30" s="33" t="str">
        <f>IFERROR(IF(VLOOKUP(TableHandbook[[#This Row],[UDC]],TableAvailabilities[],2,FALSE)&gt;0,"Y",""),"")</f>
        <v/>
      </c>
      <c r="H30" s="82" t="str">
        <f>IFERROR(IF(VLOOKUP(TableHandbook[[#This Row],[UDC]],TableAvailabilities[],3,FALSE)&gt;0,"Y",""),"")</f>
        <v/>
      </c>
      <c r="I30" s="82" t="str">
        <f>IFERROR(IF(VLOOKUP(TableHandbook[[#This Row],[UDC]],TableAvailabilities[],4,FALSE)&gt;0,"Y",""),"")</f>
        <v>Y</v>
      </c>
      <c r="J30" s="82" t="str">
        <f>IFERROR(IF(VLOOKUP(TableHandbook[[#This Row],[UDC]],TableAvailabilities[],5,FALSE)&gt;0,"Y",""),"")</f>
        <v>Y</v>
      </c>
      <c r="K30" s="82" t="str">
        <f>IFERROR(IF(VLOOKUP(TableHandbook[[#This Row],[UDC]],TableAvailabilities[],6,FALSE)&gt;0,"Y",""),"")</f>
        <v/>
      </c>
      <c r="L30" s="82" t="str">
        <f>IFERROR(IF(VLOOKUP(TableHandbook[[#This Row],[UDC]],TableAvailabilities[],7,FALSE)&gt;0,"Y",""),"")</f>
        <v/>
      </c>
      <c r="M30" s="83" t="str">
        <f>IFERROR(IF(VLOOKUP(TableHandbook[[#This Row],[UDC]],TableAvailabilities[],8,FALSE)&gt;0,"Y",""),"")</f>
        <v>Y</v>
      </c>
      <c r="N30" s="82" t="str">
        <f>IFERROR(IF(VLOOKUP(TableHandbook[[#This Row],[UDC]],TableAvailabilities[],9,FALSE)&gt;0,"Y",""),"")</f>
        <v>Y</v>
      </c>
      <c r="O30" s="190"/>
      <c r="P30" s="185" t="str">
        <f>IFERROR(VLOOKUP(TableHandbook[[#This Row],[UDC]],TableMCTEACH[],7,FALSE),"")</f>
        <v/>
      </c>
      <c r="Q30" s="95" t="str">
        <f>IFERROR(VLOOKUP(TableHandbook[[#This Row],[UDC]],TableMJRPTCHEC[],7,FALSE),"")</f>
        <v/>
      </c>
      <c r="R30" s="95" t="str">
        <f>IFERROR(VLOOKUP(TableHandbook[[#This Row],[UDC]],TableMJRPTCHPR[],7,FALSE),"")</f>
        <v/>
      </c>
      <c r="S30" s="95" t="str">
        <f>IFERROR(VLOOKUP(TableHandbook[[#This Row],[UDC]],TableMJRPTCHSC[],7,FALSE),"")</f>
        <v/>
      </c>
      <c r="T30" s="121" t="str">
        <f>IFERROR(VLOOKUP(TableHandbook[[#This Row],[UDC]],TableSTRPSCART[],7,FALSE),"")</f>
        <v/>
      </c>
      <c r="U30" s="121" t="str">
        <f>IFERROR(VLOOKUP(TableHandbook[[#This Row],[UDC]],TableSTRPSCENG[],7,FALSE),"")</f>
        <v/>
      </c>
      <c r="V30" s="121" t="str">
        <f>IFERROR(VLOOKUP(TableHandbook[[#This Row],[UDC]],TableSTRPSCHLP[],7,FALSE),"")</f>
        <v/>
      </c>
      <c r="W30" s="121" t="str">
        <f>IFERROR(VLOOKUP(TableHandbook[[#This Row],[UDC]],TableSTRPSCHUS[],7,FALSE),"")</f>
        <v>Core</v>
      </c>
      <c r="X30" s="121" t="str">
        <f>IFERROR(VLOOKUP(TableHandbook[[#This Row],[UDC]],TableSTRPSCMAT[],7,FALSE),"")</f>
        <v/>
      </c>
      <c r="Y30" s="121" t="str">
        <f>IFERROR(VLOOKUP(TableHandbook[[#This Row],[UDC]],TableSTRPSCSCI[],7,FALSE),"")</f>
        <v/>
      </c>
      <c r="Z30" s="153" t="str">
        <f>IFERROR(VLOOKUP(TableHandbook[[#This Row],[UDC]],TableSTRPSCFON[],7,FALSE),"")</f>
        <v/>
      </c>
      <c r="AA30" s="154" t="str">
        <f>IFERROR(VLOOKUP(TableHandbook[[#This Row],[UDC]],TableGCTESOL[],7,FALSE),"")</f>
        <v/>
      </c>
      <c r="AB30" s="121" t="str">
        <f>IFERROR(VLOOKUP(TableHandbook[[#This Row],[UDC]],TableMCTESOL[],7,FALSE),"")</f>
        <v/>
      </c>
      <c r="AC30" s="153" t="str">
        <f>IFERROR(VLOOKUP(TableHandbook[[#This Row],[UDC]],TableMCAPLING[],7,FALSE),"")</f>
        <v/>
      </c>
      <c r="AD30" s="82" t="str">
        <f>IFERROR(VLOOKUP(TableHandbook[[#This Row],[UDC]],TableGCEDHE[],7,FALSE),"")</f>
        <v/>
      </c>
      <c r="AE30" s="154" t="str">
        <f>IFERROR(VLOOKUP(TableHandbook[[#This Row],[UDC]],TableGCEDUC[],7,FALSE),"")</f>
        <v/>
      </c>
      <c r="AF30" s="186" t="str">
        <f>IFERROR(VLOOKUP(TableHandbook[[#This Row],[UDC]],TableGDEDUC[],7,FALSE),"")</f>
        <v/>
      </c>
      <c r="AG30" s="186" t="str">
        <f>IFERROR(VLOOKUP(TableHandbook[[#This Row],[UDC]],TableMJRPEDUPR[],7,FALSE),"")</f>
        <v/>
      </c>
      <c r="AH30" s="186" t="str">
        <f>IFERROR(VLOOKUP(TableHandbook[[#This Row],[UDC]],TableMJRPEDUSC[],7,FALSE),"")</f>
        <v/>
      </c>
      <c r="AI30" s="121" t="str">
        <f>IFERROR(VLOOKUP(TableHandbook[[#This Row],[UDC]],TableMCEDUC[],7,FALSE),"")</f>
        <v/>
      </c>
      <c r="AJ30" s="121" t="str">
        <f>IFERROR(VLOOKUP(TableHandbook[[#This Row],[UDC]],TableSPPECULIN[],7,FALSE),"")</f>
        <v/>
      </c>
      <c r="AK30" s="121" t="str">
        <f>IFERROR(VLOOKUP(TableHandbook[[#This Row],[UDC]],TableSPPELNTCH[],7,FALSE),"")</f>
        <v/>
      </c>
      <c r="AL30" s="153" t="str">
        <f>IFERROR(VLOOKUP(TableHandbook[[#This Row],[UDC]],TableSPPESTEME[],7,FALSE),"")</f>
        <v/>
      </c>
    </row>
    <row r="31" spans="1:38" x14ac:dyDescent="0.25">
      <c r="A31" s="3" t="s">
        <v>275</v>
      </c>
      <c r="B31" s="4">
        <v>1</v>
      </c>
      <c r="C31" s="3"/>
      <c r="D31" s="3" t="s">
        <v>342</v>
      </c>
      <c r="E31" s="4">
        <v>25</v>
      </c>
      <c r="F31" s="81" t="s">
        <v>315</v>
      </c>
      <c r="G31" s="33" t="str">
        <f>IFERROR(IF(VLOOKUP(TableHandbook[[#This Row],[UDC]],TableAvailabilities[],2,FALSE)&gt;0,"Y",""),"")</f>
        <v/>
      </c>
      <c r="H31" s="82" t="str">
        <f>IFERROR(IF(VLOOKUP(TableHandbook[[#This Row],[UDC]],TableAvailabilities[],3,FALSE)&gt;0,"Y",""),"")</f>
        <v/>
      </c>
      <c r="I31" s="82" t="str">
        <f>IFERROR(IF(VLOOKUP(TableHandbook[[#This Row],[UDC]],TableAvailabilities[],4,FALSE)&gt;0,"Y",""),"")</f>
        <v>Y</v>
      </c>
      <c r="J31" s="82" t="str">
        <f>IFERROR(IF(VLOOKUP(TableHandbook[[#This Row],[UDC]],TableAvailabilities[],5,FALSE)&gt;0,"Y",""),"")</f>
        <v>Y</v>
      </c>
      <c r="K31" s="82" t="str">
        <f>IFERROR(IF(VLOOKUP(TableHandbook[[#This Row],[UDC]],TableAvailabilities[],6,FALSE)&gt;0,"Y",""),"")</f>
        <v/>
      </c>
      <c r="L31" s="82" t="str">
        <f>IFERROR(IF(VLOOKUP(TableHandbook[[#This Row],[UDC]],TableAvailabilities[],7,FALSE)&gt;0,"Y",""),"")</f>
        <v/>
      </c>
      <c r="M31" s="83" t="str">
        <f>IFERROR(IF(VLOOKUP(TableHandbook[[#This Row],[UDC]],TableAvailabilities[],8,FALSE)&gt;0,"Y",""),"")</f>
        <v>Y</v>
      </c>
      <c r="N31" s="82" t="str">
        <f>IFERROR(IF(VLOOKUP(TableHandbook[[#This Row],[UDC]],TableAvailabilities[],9,FALSE)&gt;0,"Y",""),"")</f>
        <v>Y</v>
      </c>
      <c r="O31" s="190"/>
      <c r="P31" s="185" t="str">
        <f>IFERROR(VLOOKUP(TableHandbook[[#This Row],[UDC]],TableMCTEACH[],7,FALSE),"")</f>
        <v/>
      </c>
      <c r="Q31" s="95" t="str">
        <f>IFERROR(VLOOKUP(TableHandbook[[#This Row],[UDC]],TableMJRPTCHEC[],7,FALSE),"")</f>
        <v/>
      </c>
      <c r="R31" s="95" t="str">
        <f>IFERROR(VLOOKUP(TableHandbook[[#This Row],[UDC]],TableMJRPTCHPR[],7,FALSE),"")</f>
        <v/>
      </c>
      <c r="S31" s="95" t="str">
        <f>IFERROR(VLOOKUP(TableHandbook[[#This Row],[UDC]],TableMJRPTCHSC[],7,FALSE),"")</f>
        <v/>
      </c>
      <c r="T31" s="121" t="str">
        <f>IFERROR(VLOOKUP(TableHandbook[[#This Row],[UDC]],TableSTRPSCART[],7,FALSE),"")</f>
        <v/>
      </c>
      <c r="U31" s="121" t="str">
        <f>IFERROR(VLOOKUP(TableHandbook[[#This Row],[UDC]],TableSTRPSCENG[],7,FALSE),"")</f>
        <v/>
      </c>
      <c r="V31" s="121" t="str">
        <f>IFERROR(VLOOKUP(TableHandbook[[#This Row],[UDC]],TableSTRPSCHLP[],7,FALSE),"")</f>
        <v/>
      </c>
      <c r="W31" s="121" t="str">
        <f>IFERROR(VLOOKUP(TableHandbook[[#This Row],[UDC]],TableSTRPSCHUS[],7,FALSE),"")</f>
        <v/>
      </c>
      <c r="X31" s="121" t="str">
        <f>IFERROR(VLOOKUP(TableHandbook[[#This Row],[UDC]],TableSTRPSCMAT[],7,FALSE),"")</f>
        <v>Core</v>
      </c>
      <c r="Y31" s="121" t="str">
        <f>IFERROR(VLOOKUP(TableHandbook[[#This Row],[UDC]],TableSTRPSCSCI[],7,FALSE),"")</f>
        <v/>
      </c>
      <c r="Z31" s="153" t="str">
        <f>IFERROR(VLOOKUP(TableHandbook[[#This Row],[UDC]],TableSTRPSCFON[],7,FALSE),"")</f>
        <v/>
      </c>
      <c r="AA31" s="154" t="str">
        <f>IFERROR(VLOOKUP(TableHandbook[[#This Row],[UDC]],TableGCTESOL[],7,FALSE),"")</f>
        <v/>
      </c>
      <c r="AB31" s="121" t="str">
        <f>IFERROR(VLOOKUP(TableHandbook[[#This Row],[UDC]],TableMCTESOL[],7,FALSE),"")</f>
        <v/>
      </c>
      <c r="AC31" s="153" t="str">
        <f>IFERROR(VLOOKUP(TableHandbook[[#This Row],[UDC]],TableMCAPLING[],7,FALSE),"")</f>
        <v/>
      </c>
      <c r="AD31" s="82" t="str">
        <f>IFERROR(VLOOKUP(TableHandbook[[#This Row],[UDC]],TableGCEDHE[],7,FALSE),"")</f>
        <v/>
      </c>
      <c r="AE31" s="154" t="str">
        <f>IFERROR(VLOOKUP(TableHandbook[[#This Row],[UDC]],TableGCEDUC[],7,FALSE),"")</f>
        <v/>
      </c>
      <c r="AF31" s="186" t="str">
        <f>IFERROR(VLOOKUP(TableHandbook[[#This Row],[UDC]],TableGDEDUC[],7,FALSE),"")</f>
        <v/>
      </c>
      <c r="AG31" s="186" t="str">
        <f>IFERROR(VLOOKUP(TableHandbook[[#This Row],[UDC]],TableMJRPEDUPR[],7,FALSE),"")</f>
        <v/>
      </c>
      <c r="AH31" s="186" t="str">
        <f>IFERROR(VLOOKUP(TableHandbook[[#This Row],[UDC]],TableMJRPEDUSC[],7,FALSE),"")</f>
        <v/>
      </c>
      <c r="AI31" s="121" t="str">
        <f>IFERROR(VLOOKUP(TableHandbook[[#This Row],[UDC]],TableMCEDUC[],7,FALSE),"")</f>
        <v/>
      </c>
      <c r="AJ31" s="121" t="str">
        <f>IFERROR(VLOOKUP(TableHandbook[[#This Row],[UDC]],TableSPPECULIN[],7,FALSE),"")</f>
        <v/>
      </c>
      <c r="AK31" s="121" t="str">
        <f>IFERROR(VLOOKUP(TableHandbook[[#This Row],[UDC]],TableSPPELNTCH[],7,FALSE),"")</f>
        <v/>
      </c>
      <c r="AL31" s="153" t="str">
        <f>IFERROR(VLOOKUP(TableHandbook[[#This Row],[UDC]],TableSPPESTEME[],7,FALSE),"")</f>
        <v/>
      </c>
    </row>
    <row r="32" spans="1:38" x14ac:dyDescent="0.25">
      <c r="A32" s="3" t="s">
        <v>276</v>
      </c>
      <c r="B32" s="4">
        <v>1</v>
      </c>
      <c r="C32" s="3"/>
      <c r="D32" s="3" t="s">
        <v>343</v>
      </c>
      <c r="E32" s="4">
        <v>25</v>
      </c>
      <c r="F32" s="81" t="s">
        <v>315</v>
      </c>
      <c r="G32" s="33" t="str">
        <f>IFERROR(IF(VLOOKUP(TableHandbook[[#This Row],[UDC]],TableAvailabilities[],2,FALSE)&gt;0,"Y",""),"")</f>
        <v/>
      </c>
      <c r="H32" s="82" t="str">
        <f>IFERROR(IF(VLOOKUP(TableHandbook[[#This Row],[UDC]],TableAvailabilities[],3,FALSE)&gt;0,"Y",""),"")</f>
        <v/>
      </c>
      <c r="I32" s="82" t="str">
        <f>IFERROR(IF(VLOOKUP(TableHandbook[[#This Row],[UDC]],TableAvailabilities[],4,FALSE)&gt;0,"Y",""),"")</f>
        <v>Y</v>
      </c>
      <c r="J32" s="82" t="str">
        <f>IFERROR(IF(VLOOKUP(TableHandbook[[#This Row],[UDC]],TableAvailabilities[],5,FALSE)&gt;0,"Y",""),"")</f>
        <v>Y</v>
      </c>
      <c r="K32" s="82" t="str">
        <f>IFERROR(IF(VLOOKUP(TableHandbook[[#This Row],[UDC]],TableAvailabilities[],6,FALSE)&gt;0,"Y",""),"")</f>
        <v/>
      </c>
      <c r="L32" s="82" t="str">
        <f>IFERROR(IF(VLOOKUP(TableHandbook[[#This Row],[UDC]],TableAvailabilities[],7,FALSE)&gt;0,"Y",""),"")</f>
        <v/>
      </c>
      <c r="M32" s="83" t="str">
        <f>IFERROR(IF(VLOOKUP(TableHandbook[[#This Row],[UDC]],TableAvailabilities[],8,FALSE)&gt;0,"Y",""),"")</f>
        <v>Y</v>
      </c>
      <c r="N32" s="82" t="str">
        <f>IFERROR(IF(VLOOKUP(TableHandbook[[#This Row],[UDC]],TableAvailabilities[],9,FALSE)&gt;0,"Y",""),"")</f>
        <v>Y</v>
      </c>
      <c r="O32" s="190"/>
      <c r="P32" s="185" t="str">
        <f>IFERROR(VLOOKUP(TableHandbook[[#This Row],[UDC]],TableMCTEACH[],7,FALSE),"")</f>
        <v/>
      </c>
      <c r="Q32" s="95" t="str">
        <f>IFERROR(VLOOKUP(TableHandbook[[#This Row],[UDC]],TableMJRPTCHEC[],7,FALSE),"")</f>
        <v/>
      </c>
      <c r="R32" s="95" t="str">
        <f>IFERROR(VLOOKUP(TableHandbook[[#This Row],[UDC]],TableMJRPTCHPR[],7,FALSE),"")</f>
        <v/>
      </c>
      <c r="S32" s="95" t="str">
        <f>IFERROR(VLOOKUP(TableHandbook[[#This Row],[UDC]],TableMJRPTCHSC[],7,FALSE),"")</f>
        <v/>
      </c>
      <c r="T32" s="121" t="str">
        <f>IFERROR(VLOOKUP(TableHandbook[[#This Row],[UDC]],TableSTRPSCART[],7,FALSE),"")</f>
        <v/>
      </c>
      <c r="U32" s="121" t="str">
        <f>IFERROR(VLOOKUP(TableHandbook[[#This Row],[UDC]],TableSTRPSCENG[],7,FALSE),"")</f>
        <v/>
      </c>
      <c r="V32" s="121" t="str">
        <f>IFERROR(VLOOKUP(TableHandbook[[#This Row],[UDC]],TableSTRPSCHLP[],7,FALSE),"")</f>
        <v/>
      </c>
      <c r="W32" s="121" t="str">
        <f>IFERROR(VLOOKUP(TableHandbook[[#This Row],[UDC]],TableSTRPSCHUS[],7,FALSE),"")</f>
        <v/>
      </c>
      <c r="X32" s="121" t="str">
        <f>IFERROR(VLOOKUP(TableHandbook[[#This Row],[UDC]],TableSTRPSCMAT[],7,FALSE),"")</f>
        <v/>
      </c>
      <c r="Y32" s="121" t="str">
        <f>IFERROR(VLOOKUP(TableHandbook[[#This Row],[UDC]],TableSTRPSCSCI[],7,FALSE),"")</f>
        <v>Core</v>
      </c>
      <c r="Z32" s="153" t="str">
        <f>IFERROR(VLOOKUP(TableHandbook[[#This Row],[UDC]],TableSTRPSCFON[],7,FALSE),"")</f>
        <v/>
      </c>
      <c r="AA32" s="154" t="str">
        <f>IFERROR(VLOOKUP(TableHandbook[[#This Row],[UDC]],TableGCTESOL[],7,FALSE),"")</f>
        <v/>
      </c>
      <c r="AB32" s="121" t="str">
        <f>IFERROR(VLOOKUP(TableHandbook[[#This Row],[UDC]],TableMCTESOL[],7,FALSE),"")</f>
        <v/>
      </c>
      <c r="AC32" s="153" t="str">
        <f>IFERROR(VLOOKUP(TableHandbook[[#This Row],[UDC]],TableMCAPLING[],7,FALSE),"")</f>
        <v/>
      </c>
      <c r="AD32" s="82" t="str">
        <f>IFERROR(VLOOKUP(TableHandbook[[#This Row],[UDC]],TableGCEDHE[],7,FALSE),"")</f>
        <v/>
      </c>
      <c r="AE32" s="154" t="str">
        <f>IFERROR(VLOOKUP(TableHandbook[[#This Row],[UDC]],TableGCEDUC[],7,FALSE),"")</f>
        <v/>
      </c>
      <c r="AF32" s="186" t="str">
        <f>IFERROR(VLOOKUP(TableHandbook[[#This Row],[UDC]],TableGDEDUC[],7,FALSE),"")</f>
        <v/>
      </c>
      <c r="AG32" s="186" t="str">
        <f>IFERROR(VLOOKUP(TableHandbook[[#This Row],[UDC]],TableMJRPEDUPR[],7,FALSE),"")</f>
        <v/>
      </c>
      <c r="AH32" s="186" t="str">
        <f>IFERROR(VLOOKUP(TableHandbook[[#This Row],[UDC]],TableMJRPEDUSC[],7,FALSE),"")</f>
        <v/>
      </c>
      <c r="AI32" s="121" t="str">
        <f>IFERROR(VLOOKUP(TableHandbook[[#This Row],[UDC]],TableMCEDUC[],7,FALSE),"")</f>
        <v/>
      </c>
      <c r="AJ32" s="121" t="str">
        <f>IFERROR(VLOOKUP(TableHandbook[[#This Row],[UDC]],TableSPPECULIN[],7,FALSE),"")</f>
        <v/>
      </c>
      <c r="AK32" s="121" t="str">
        <f>IFERROR(VLOOKUP(TableHandbook[[#This Row],[UDC]],TableSPPELNTCH[],7,FALSE),"")</f>
        <v/>
      </c>
      <c r="AL32" s="153" t="str">
        <f>IFERROR(VLOOKUP(TableHandbook[[#This Row],[UDC]],TableSPPESTEME[],7,FALSE),"")</f>
        <v/>
      </c>
    </row>
    <row r="33" spans="1:38" ht="26.25" x14ac:dyDescent="0.25">
      <c r="A33" s="3" t="s">
        <v>251</v>
      </c>
      <c r="B33" s="4">
        <v>1</v>
      </c>
      <c r="C33" s="3"/>
      <c r="D33" s="3" t="s">
        <v>344</v>
      </c>
      <c r="E33" s="4" t="s">
        <v>337</v>
      </c>
      <c r="F33" s="193" t="s">
        <v>315</v>
      </c>
      <c r="G33" s="33" t="str">
        <f>IFERROR(IF(VLOOKUP(TableHandbook[[#This Row],[UDC]],TableAvailabilities[],2,FALSE)&gt;0,"Y",""),"")</f>
        <v>Y</v>
      </c>
      <c r="H33" s="82" t="str">
        <f>IFERROR(IF(VLOOKUP(TableHandbook[[#This Row],[UDC]],TableAvailabilities[],3,FALSE)&gt;0,"Y",""),"")</f>
        <v>Y</v>
      </c>
      <c r="I33" s="82" t="str">
        <f>IFERROR(IF(VLOOKUP(TableHandbook[[#This Row],[UDC]],TableAvailabilities[],4,FALSE)&gt;0,"Y",""),"")</f>
        <v>Y</v>
      </c>
      <c r="J33" s="82" t="str">
        <f>IFERROR(IF(VLOOKUP(TableHandbook[[#This Row],[UDC]],TableAvailabilities[],5,FALSE)&gt;0,"Y",""),"")</f>
        <v>Y</v>
      </c>
      <c r="K33" s="82" t="str">
        <f>IFERROR(IF(VLOOKUP(TableHandbook[[#This Row],[UDC]],TableAvailabilities[],6,FALSE)&gt;0,"Y",""),"")</f>
        <v/>
      </c>
      <c r="L33" s="82" t="str">
        <f>IFERROR(IF(VLOOKUP(TableHandbook[[#This Row],[UDC]],TableAvailabilities[],7,FALSE)&gt;0,"Y",""),"")</f>
        <v/>
      </c>
      <c r="M33" s="83" t="str">
        <f>IFERROR(IF(VLOOKUP(TableHandbook[[#This Row],[UDC]],TableAvailabilities[],8,FALSE)&gt;0,"Y",""),"")</f>
        <v/>
      </c>
      <c r="N33" s="82" t="str">
        <f>IFERROR(IF(VLOOKUP(TableHandbook[[#This Row],[UDC]],TableAvailabilities[],9,FALSE)&gt;0,"Y",""),"")</f>
        <v/>
      </c>
      <c r="O33" s="191" t="s">
        <v>345</v>
      </c>
      <c r="P33" s="185" t="str">
        <f>IFERROR(VLOOKUP(TableHandbook[[#This Row],[UDC]],TableMCTEACH[],7,FALSE),"")</f>
        <v/>
      </c>
      <c r="Q33" s="95" t="str">
        <f>IFERROR(VLOOKUP(TableHandbook[[#This Row],[UDC]],TableMJRPTCHEC[],7,FALSE),"")</f>
        <v/>
      </c>
      <c r="R33" s="95" t="str">
        <f>IFERROR(VLOOKUP(TableHandbook[[#This Row],[UDC]],TableMJRPTCHPR[],7,FALSE),"")</f>
        <v/>
      </c>
      <c r="S33" s="95" t="str">
        <f>IFERROR(VLOOKUP(TableHandbook[[#This Row],[UDC]],TableMJRPTCHSC[],7,FALSE),"")</f>
        <v>Core</v>
      </c>
      <c r="T33" s="121" t="str">
        <f>IFERROR(VLOOKUP(TableHandbook[[#This Row],[UDC]],TableSTRPSCART[],7,FALSE),"")</f>
        <v/>
      </c>
      <c r="U33" s="121" t="str">
        <f>IFERROR(VLOOKUP(TableHandbook[[#This Row],[UDC]],TableSTRPSCENG[],7,FALSE),"")</f>
        <v/>
      </c>
      <c r="V33" s="121" t="str">
        <f>IFERROR(VLOOKUP(TableHandbook[[#This Row],[UDC]],TableSTRPSCHLP[],7,FALSE),"")</f>
        <v/>
      </c>
      <c r="W33" s="121" t="str">
        <f>IFERROR(VLOOKUP(TableHandbook[[#This Row],[UDC]],TableSTRPSCHUS[],7,FALSE),"")</f>
        <v/>
      </c>
      <c r="X33" s="121" t="str">
        <f>IFERROR(VLOOKUP(TableHandbook[[#This Row],[UDC]],TableSTRPSCMAT[],7,FALSE),"")</f>
        <v/>
      </c>
      <c r="Y33" s="121" t="str">
        <f>IFERROR(VLOOKUP(TableHandbook[[#This Row],[UDC]],TableSTRPSCSCI[],7,FALSE),"")</f>
        <v/>
      </c>
      <c r="Z33" s="153" t="str">
        <f>IFERROR(VLOOKUP(TableHandbook[[#This Row],[UDC]],TableSTRPSCFON[],7,FALSE),"")</f>
        <v/>
      </c>
      <c r="AA33" s="154" t="str">
        <f>IFERROR(VLOOKUP(TableHandbook[[#This Row],[UDC]],TableGCTESOL[],7,FALSE),"")</f>
        <v/>
      </c>
      <c r="AB33" s="121" t="str">
        <f>IFERROR(VLOOKUP(TableHandbook[[#This Row],[UDC]],TableMCTESOL[],7,FALSE),"")</f>
        <v/>
      </c>
      <c r="AC33" s="153" t="str">
        <f>IFERROR(VLOOKUP(TableHandbook[[#This Row],[UDC]],TableMCAPLING[],7,FALSE),"")</f>
        <v/>
      </c>
      <c r="AD33" s="82" t="str">
        <f>IFERROR(VLOOKUP(TableHandbook[[#This Row],[UDC]],TableGCEDHE[],7,FALSE),"")</f>
        <v/>
      </c>
      <c r="AE33" s="154" t="str">
        <f>IFERROR(VLOOKUP(TableHandbook[[#This Row],[UDC]],TableGCEDUC[],7,FALSE),"")</f>
        <v/>
      </c>
      <c r="AF33" s="186" t="str">
        <f>IFERROR(VLOOKUP(TableHandbook[[#This Row],[UDC]],TableGDEDUC[],7,FALSE),"")</f>
        <v/>
      </c>
      <c r="AG33" s="186" t="str">
        <f>IFERROR(VLOOKUP(TableHandbook[[#This Row],[UDC]],TableMJRPEDUPR[],7,FALSE),"")</f>
        <v/>
      </c>
      <c r="AH33" s="186" t="str">
        <f>IFERROR(VLOOKUP(TableHandbook[[#This Row],[UDC]],TableMJRPEDUSC[],7,FALSE),"")</f>
        <v>Core</v>
      </c>
      <c r="AI33" s="121" t="str">
        <f>IFERROR(VLOOKUP(TableHandbook[[#This Row],[UDC]],TableMCEDUC[],7,FALSE),"")</f>
        <v/>
      </c>
      <c r="AJ33" s="121" t="str">
        <f>IFERROR(VLOOKUP(TableHandbook[[#This Row],[UDC]],TableSPPECULIN[],7,FALSE),"")</f>
        <v/>
      </c>
      <c r="AK33" s="121" t="str">
        <f>IFERROR(VLOOKUP(TableHandbook[[#This Row],[UDC]],TableSPPELNTCH[],7,FALSE),"")</f>
        <v/>
      </c>
      <c r="AL33" s="153" t="str">
        <f>IFERROR(VLOOKUP(TableHandbook[[#This Row],[UDC]],TableSPPESTEME[],7,FALSE),"")</f>
        <v/>
      </c>
    </row>
    <row r="34" spans="1:38" x14ac:dyDescent="0.25">
      <c r="A34" s="3" t="s">
        <v>255</v>
      </c>
      <c r="B34" s="4">
        <v>1</v>
      </c>
      <c r="C34" s="3"/>
      <c r="D34" s="3" t="s">
        <v>346</v>
      </c>
      <c r="E34" s="4" t="s">
        <v>337</v>
      </c>
      <c r="F34" s="81" t="s">
        <v>251</v>
      </c>
      <c r="G34" s="33" t="str">
        <f>IFERROR(IF(VLOOKUP(TableHandbook[[#This Row],[UDC]],TableAvailabilities[],2,FALSE)&gt;0,"Y",""),"")</f>
        <v/>
      </c>
      <c r="H34" s="82" t="str">
        <f>IFERROR(IF(VLOOKUP(TableHandbook[[#This Row],[UDC]],TableAvailabilities[],3,FALSE)&gt;0,"Y",""),"")</f>
        <v/>
      </c>
      <c r="I34" s="82" t="str">
        <f>IFERROR(IF(VLOOKUP(TableHandbook[[#This Row],[UDC]],TableAvailabilities[],4,FALSE)&gt;0,"Y",""),"")</f>
        <v>Y</v>
      </c>
      <c r="J34" s="82" t="str">
        <f>IFERROR(IF(VLOOKUP(TableHandbook[[#This Row],[UDC]],TableAvailabilities[],5,FALSE)&gt;0,"Y",""),"")</f>
        <v>Y</v>
      </c>
      <c r="K34" s="82" t="str">
        <f>IFERROR(IF(VLOOKUP(TableHandbook[[#This Row],[UDC]],TableAvailabilities[],6,FALSE)&gt;0,"Y",""),"")</f>
        <v>Y</v>
      </c>
      <c r="L34" s="82" t="str">
        <f>IFERROR(IF(VLOOKUP(TableHandbook[[#This Row],[UDC]],TableAvailabilities[],7,FALSE)&gt;0,"Y",""),"")</f>
        <v>Y</v>
      </c>
      <c r="M34" s="83" t="str">
        <f>IFERROR(IF(VLOOKUP(TableHandbook[[#This Row],[UDC]],TableAvailabilities[],8,FALSE)&gt;0,"Y",""),"")</f>
        <v/>
      </c>
      <c r="N34" s="82" t="str">
        <f>IFERROR(IF(VLOOKUP(TableHandbook[[#This Row],[UDC]],TableAvailabilities[],9,FALSE)&gt;0,"Y",""),"")</f>
        <v/>
      </c>
      <c r="O34" s="190"/>
      <c r="P34" s="185" t="str">
        <f>IFERROR(VLOOKUP(TableHandbook[[#This Row],[UDC]],TableMCTEACH[],7,FALSE),"")</f>
        <v/>
      </c>
      <c r="Q34" s="95" t="str">
        <f>IFERROR(VLOOKUP(TableHandbook[[#This Row],[UDC]],TableMJRPTCHEC[],7,FALSE),"")</f>
        <v/>
      </c>
      <c r="R34" s="95" t="str">
        <f>IFERROR(VLOOKUP(TableHandbook[[#This Row],[UDC]],TableMJRPTCHPR[],7,FALSE),"")</f>
        <v/>
      </c>
      <c r="S34" s="95" t="str">
        <f>IFERROR(VLOOKUP(TableHandbook[[#This Row],[UDC]],TableMJRPTCHSC[],7,FALSE),"")</f>
        <v>Core</v>
      </c>
      <c r="T34" s="121" t="str">
        <f>IFERROR(VLOOKUP(TableHandbook[[#This Row],[UDC]],TableSTRPSCART[],7,FALSE),"")</f>
        <v/>
      </c>
      <c r="U34" s="121" t="str">
        <f>IFERROR(VLOOKUP(TableHandbook[[#This Row],[UDC]],TableSTRPSCENG[],7,FALSE),"")</f>
        <v/>
      </c>
      <c r="V34" s="121" t="str">
        <f>IFERROR(VLOOKUP(TableHandbook[[#This Row],[UDC]],TableSTRPSCHLP[],7,FALSE),"")</f>
        <v/>
      </c>
      <c r="W34" s="121" t="str">
        <f>IFERROR(VLOOKUP(TableHandbook[[#This Row],[UDC]],TableSTRPSCHUS[],7,FALSE),"")</f>
        <v/>
      </c>
      <c r="X34" s="121" t="str">
        <f>IFERROR(VLOOKUP(TableHandbook[[#This Row],[UDC]],TableSTRPSCMAT[],7,FALSE),"")</f>
        <v/>
      </c>
      <c r="Y34" s="121" t="str">
        <f>IFERROR(VLOOKUP(TableHandbook[[#This Row],[UDC]],TableSTRPSCSCI[],7,FALSE),"")</f>
        <v/>
      </c>
      <c r="Z34" s="153" t="str">
        <f>IFERROR(VLOOKUP(TableHandbook[[#This Row],[UDC]],TableSTRPSCFON[],7,FALSE),"")</f>
        <v/>
      </c>
      <c r="AA34" s="154" t="str">
        <f>IFERROR(VLOOKUP(TableHandbook[[#This Row],[UDC]],TableGCTESOL[],7,FALSE),"")</f>
        <v/>
      </c>
      <c r="AB34" s="121" t="str">
        <f>IFERROR(VLOOKUP(TableHandbook[[#This Row],[UDC]],TableMCTESOL[],7,FALSE),"")</f>
        <v/>
      </c>
      <c r="AC34" s="153" t="str">
        <f>IFERROR(VLOOKUP(TableHandbook[[#This Row],[UDC]],TableMCAPLING[],7,FALSE),"")</f>
        <v/>
      </c>
      <c r="AD34" s="82" t="str">
        <f>IFERROR(VLOOKUP(TableHandbook[[#This Row],[UDC]],TableGCEDHE[],7,FALSE),"")</f>
        <v/>
      </c>
      <c r="AE34" s="154" t="str">
        <f>IFERROR(VLOOKUP(TableHandbook[[#This Row],[UDC]],TableGCEDUC[],7,FALSE),"")</f>
        <v/>
      </c>
      <c r="AF34" s="186" t="str">
        <f>IFERROR(VLOOKUP(TableHandbook[[#This Row],[UDC]],TableGDEDUC[],7,FALSE),"")</f>
        <v/>
      </c>
      <c r="AG34" s="186" t="str">
        <f>IFERROR(VLOOKUP(TableHandbook[[#This Row],[UDC]],TableMJRPEDUPR[],7,FALSE),"")</f>
        <v/>
      </c>
      <c r="AH34" s="186" t="str">
        <f>IFERROR(VLOOKUP(TableHandbook[[#This Row],[UDC]],TableMJRPEDUSC[],7,FALSE),"")</f>
        <v>Core</v>
      </c>
      <c r="AI34" s="121" t="str">
        <f>IFERROR(VLOOKUP(TableHandbook[[#This Row],[UDC]],TableMCEDUC[],7,FALSE),"")</f>
        <v/>
      </c>
      <c r="AJ34" s="121" t="str">
        <f>IFERROR(VLOOKUP(TableHandbook[[#This Row],[UDC]],TableSPPECULIN[],7,FALSE),"")</f>
        <v/>
      </c>
      <c r="AK34" s="121" t="str">
        <f>IFERROR(VLOOKUP(TableHandbook[[#This Row],[UDC]],TableSPPELNTCH[],7,FALSE),"")</f>
        <v/>
      </c>
      <c r="AL34" s="153" t="str">
        <f>IFERROR(VLOOKUP(TableHandbook[[#This Row],[UDC]],TableSPPESTEME[],7,FALSE),"")</f>
        <v/>
      </c>
    </row>
    <row r="35" spans="1:38" x14ac:dyDescent="0.25">
      <c r="A35" s="3" t="s">
        <v>278</v>
      </c>
      <c r="B35" s="4">
        <v>2</v>
      </c>
      <c r="C35" s="3"/>
      <c r="D35" s="3" t="s">
        <v>347</v>
      </c>
      <c r="E35" s="4">
        <v>25</v>
      </c>
      <c r="F35" s="81" t="s">
        <v>315</v>
      </c>
      <c r="G35" s="33" t="str">
        <f>IFERROR(IF(VLOOKUP(TableHandbook[[#This Row],[UDC]],TableAvailabilities[],2,FALSE)&gt;0,"Y",""),"")</f>
        <v/>
      </c>
      <c r="H35" s="82" t="str">
        <f>IFERROR(IF(VLOOKUP(TableHandbook[[#This Row],[UDC]],TableAvailabilities[],3,FALSE)&gt;0,"Y",""),"")</f>
        <v/>
      </c>
      <c r="I35" s="82" t="str">
        <f>IFERROR(IF(VLOOKUP(TableHandbook[[#This Row],[UDC]],TableAvailabilities[],4,FALSE)&gt;0,"Y",""),"")</f>
        <v>Y</v>
      </c>
      <c r="J35" s="82" t="str">
        <f>IFERROR(IF(VLOOKUP(TableHandbook[[#This Row],[UDC]],TableAvailabilities[],5,FALSE)&gt;0,"Y",""),"")</f>
        <v>Y</v>
      </c>
      <c r="K35" s="82" t="str">
        <f>IFERROR(IF(VLOOKUP(TableHandbook[[#This Row],[UDC]],TableAvailabilities[],6,FALSE)&gt;0,"Y",""),"")</f>
        <v/>
      </c>
      <c r="L35" s="82" t="str">
        <f>IFERROR(IF(VLOOKUP(TableHandbook[[#This Row],[UDC]],TableAvailabilities[],7,FALSE)&gt;0,"Y",""),"")</f>
        <v/>
      </c>
      <c r="M35" s="83" t="str">
        <f>IFERROR(IF(VLOOKUP(TableHandbook[[#This Row],[UDC]],TableAvailabilities[],8,FALSE)&gt;0,"Y",""),"")</f>
        <v>Y</v>
      </c>
      <c r="N35" s="82" t="str">
        <f>IFERROR(IF(VLOOKUP(TableHandbook[[#This Row],[UDC]],TableAvailabilities[],9,FALSE)&gt;0,"Y",""),"")</f>
        <v>Y</v>
      </c>
      <c r="O35" s="190"/>
      <c r="P35" s="185" t="str">
        <f>IFERROR(VLOOKUP(TableHandbook[[#This Row],[UDC]],TableMCTEACH[],7,FALSE),"")</f>
        <v/>
      </c>
      <c r="Q35" s="95" t="str">
        <f>IFERROR(VLOOKUP(TableHandbook[[#This Row],[UDC]],TableMJRPTCHEC[],7,FALSE),"")</f>
        <v/>
      </c>
      <c r="R35" s="95" t="str">
        <f>IFERROR(VLOOKUP(TableHandbook[[#This Row],[UDC]],TableMJRPTCHPR[],7,FALSE),"")</f>
        <v/>
      </c>
      <c r="S35" s="95" t="str">
        <f>IFERROR(VLOOKUP(TableHandbook[[#This Row],[UDC]],TableMJRPTCHSC[],7,FALSE),"")</f>
        <v/>
      </c>
      <c r="T35" s="121" t="str">
        <f>IFERROR(VLOOKUP(TableHandbook[[#This Row],[UDC]],TableSTRPSCART[],7,FALSE),"")</f>
        <v>Core</v>
      </c>
      <c r="U35" s="121" t="str">
        <f>IFERROR(VLOOKUP(TableHandbook[[#This Row],[UDC]],TableSTRPSCENG[],7,FALSE),"")</f>
        <v/>
      </c>
      <c r="V35" s="121" t="str">
        <f>IFERROR(VLOOKUP(TableHandbook[[#This Row],[UDC]],TableSTRPSCHLP[],7,FALSE),"")</f>
        <v/>
      </c>
      <c r="W35" s="121" t="str">
        <f>IFERROR(VLOOKUP(TableHandbook[[#This Row],[UDC]],TableSTRPSCHUS[],7,FALSE),"")</f>
        <v/>
      </c>
      <c r="X35" s="121" t="str">
        <f>IFERROR(VLOOKUP(TableHandbook[[#This Row],[UDC]],TableSTRPSCMAT[],7,FALSE),"")</f>
        <v/>
      </c>
      <c r="Y35" s="121" t="str">
        <f>IFERROR(VLOOKUP(TableHandbook[[#This Row],[UDC]],TableSTRPSCSCI[],7,FALSE),"")</f>
        <v/>
      </c>
      <c r="Z35" s="153" t="str">
        <f>IFERROR(VLOOKUP(TableHandbook[[#This Row],[UDC]],TableSTRPSCFON[],7,FALSE),"")</f>
        <v/>
      </c>
      <c r="AA35" s="154" t="str">
        <f>IFERROR(VLOOKUP(TableHandbook[[#This Row],[UDC]],TableGCTESOL[],7,FALSE),"")</f>
        <v/>
      </c>
      <c r="AB35" s="121" t="str">
        <f>IFERROR(VLOOKUP(TableHandbook[[#This Row],[UDC]],TableMCTESOL[],7,FALSE),"")</f>
        <v/>
      </c>
      <c r="AC35" s="153" t="str">
        <f>IFERROR(VLOOKUP(TableHandbook[[#This Row],[UDC]],TableMCAPLING[],7,FALSE),"")</f>
        <v/>
      </c>
      <c r="AD35" s="82" t="str">
        <f>IFERROR(VLOOKUP(TableHandbook[[#This Row],[UDC]],TableGCEDHE[],7,FALSE),"")</f>
        <v/>
      </c>
      <c r="AE35" s="154" t="str">
        <f>IFERROR(VLOOKUP(TableHandbook[[#This Row],[UDC]],TableGCEDUC[],7,FALSE),"")</f>
        <v/>
      </c>
      <c r="AF35" s="186" t="str">
        <f>IFERROR(VLOOKUP(TableHandbook[[#This Row],[UDC]],TableGDEDUC[],7,FALSE),"")</f>
        <v/>
      </c>
      <c r="AG35" s="186" t="str">
        <f>IFERROR(VLOOKUP(TableHandbook[[#This Row],[UDC]],TableMJRPEDUPR[],7,FALSE),"")</f>
        <v/>
      </c>
      <c r="AH35" s="186" t="str">
        <f>IFERROR(VLOOKUP(TableHandbook[[#This Row],[UDC]],TableMJRPEDUSC[],7,FALSE),"")</f>
        <v/>
      </c>
      <c r="AI35" s="121" t="str">
        <f>IFERROR(VLOOKUP(TableHandbook[[#This Row],[UDC]],TableMCEDUC[],7,FALSE),"")</f>
        <v/>
      </c>
      <c r="AJ35" s="121" t="str">
        <f>IFERROR(VLOOKUP(TableHandbook[[#This Row],[UDC]],TableSPPECULIN[],7,FALSE),"")</f>
        <v/>
      </c>
      <c r="AK35" s="121" t="str">
        <f>IFERROR(VLOOKUP(TableHandbook[[#This Row],[UDC]],TableSPPELNTCH[],7,FALSE),"")</f>
        <v/>
      </c>
      <c r="AL35" s="153" t="str">
        <f>IFERROR(VLOOKUP(TableHandbook[[#This Row],[UDC]],TableSPPESTEME[],7,FALSE),"")</f>
        <v/>
      </c>
    </row>
    <row r="36" spans="1:38" x14ac:dyDescent="0.25">
      <c r="A36" s="3" t="s">
        <v>281</v>
      </c>
      <c r="B36" s="4">
        <v>2</v>
      </c>
      <c r="C36" s="3"/>
      <c r="D36" s="3" t="s">
        <v>348</v>
      </c>
      <c r="E36" s="4">
        <v>25</v>
      </c>
      <c r="F36" s="81" t="s">
        <v>315</v>
      </c>
      <c r="G36" s="33" t="str">
        <f>IFERROR(IF(VLOOKUP(TableHandbook[[#This Row],[UDC]],TableAvailabilities[],2,FALSE)&gt;0,"Y",""),"")</f>
        <v/>
      </c>
      <c r="H36" s="82" t="str">
        <f>IFERROR(IF(VLOOKUP(TableHandbook[[#This Row],[UDC]],TableAvailabilities[],3,FALSE)&gt;0,"Y",""),"")</f>
        <v/>
      </c>
      <c r="I36" s="82" t="str">
        <f>IFERROR(IF(VLOOKUP(TableHandbook[[#This Row],[UDC]],TableAvailabilities[],4,FALSE)&gt;0,"Y",""),"")</f>
        <v>Y</v>
      </c>
      <c r="J36" s="82" t="str">
        <f>IFERROR(IF(VLOOKUP(TableHandbook[[#This Row],[UDC]],TableAvailabilities[],5,FALSE)&gt;0,"Y",""),"")</f>
        <v>Y</v>
      </c>
      <c r="K36" s="82" t="str">
        <f>IFERROR(IF(VLOOKUP(TableHandbook[[#This Row],[UDC]],TableAvailabilities[],6,FALSE)&gt;0,"Y",""),"")</f>
        <v/>
      </c>
      <c r="L36" s="82" t="str">
        <f>IFERROR(IF(VLOOKUP(TableHandbook[[#This Row],[UDC]],TableAvailabilities[],7,FALSE)&gt;0,"Y",""),"")</f>
        <v/>
      </c>
      <c r="M36" s="83" t="str">
        <f>IFERROR(IF(VLOOKUP(TableHandbook[[#This Row],[UDC]],TableAvailabilities[],8,FALSE)&gt;0,"Y",""),"")</f>
        <v>Y</v>
      </c>
      <c r="N36" s="82" t="str">
        <f>IFERROR(IF(VLOOKUP(TableHandbook[[#This Row],[UDC]],TableAvailabilities[],9,FALSE)&gt;0,"Y",""),"")</f>
        <v>Y</v>
      </c>
      <c r="O36" s="190"/>
      <c r="P36" s="185" t="str">
        <f>IFERROR(VLOOKUP(TableHandbook[[#This Row],[UDC]],TableMCTEACH[],7,FALSE),"")</f>
        <v/>
      </c>
      <c r="Q36" s="95" t="str">
        <f>IFERROR(VLOOKUP(TableHandbook[[#This Row],[UDC]],TableMJRPTCHEC[],7,FALSE),"")</f>
        <v/>
      </c>
      <c r="R36" s="95" t="str">
        <f>IFERROR(VLOOKUP(TableHandbook[[#This Row],[UDC]],TableMJRPTCHPR[],7,FALSE),"")</f>
        <v/>
      </c>
      <c r="S36" s="95" t="str">
        <f>IFERROR(VLOOKUP(TableHandbook[[#This Row],[UDC]],TableMJRPTCHSC[],7,FALSE),"")</f>
        <v/>
      </c>
      <c r="T36" s="121" t="str">
        <f>IFERROR(VLOOKUP(TableHandbook[[#This Row],[UDC]],TableSTRPSCART[],7,FALSE),"")</f>
        <v/>
      </c>
      <c r="U36" s="121" t="str">
        <f>IFERROR(VLOOKUP(TableHandbook[[#This Row],[UDC]],TableSTRPSCENG[],7,FALSE),"")</f>
        <v/>
      </c>
      <c r="V36" s="121" t="str">
        <f>IFERROR(VLOOKUP(TableHandbook[[#This Row],[UDC]],TableSTRPSCHLP[],7,FALSE),"")</f>
        <v/>
      </c>
      <c r="W36" s="121" t="str">
        <f>IFERROR(VLOOKUP(TableHandbook[[#This Row],[UDC]],TableSTRPSCHUS[],7,FALSE),"")</f>
        <v>Core</v>
      </c>
      <c r="X36" s="121" t="str">
        <f>IFERROR(VLOOKUP(TableHandbook[[#This Row],[UDC]],TableSTRPSCMAT[],7,FALSE),"")</f>
        <v/>
      </c>
      <c r="Y36" s="121" t="str">
        <f>IFERROR(VLOOKUP(TableHandbook[[#This Row],[UDC]],TableSTRPSCSCI[],7,FALSE),"")</f>
        <v/>
      </c>
      <c r="Z36" s="153" t="str">
        <f>IFERROR(VLOOKUP(TableHandbook[[#This Row],[UDC]],TableSTRPSCFON[],7,FALSE),"")</f>
        <v/>
      </c>
      <c r="AA36" s="154" t="str">
        <f>IFERROR(VLOOKUP(TableHandbook[[#This Row],[UDC]],TableGCTESOL[],7,FALSE),"")</f>
        <v/>
      </c>
      <c r="AB36" s="121" t="str">
        <f>IFERROR(VLOOKUP(TableHandbook[[#This Row],[UDC]],TableMCTESOL[],7,FALSE),"")</f>
        <v/>
      </c>
      <c r="AC36" s="153" t="str">
        <f>IFERROR(VLOOKUP(TableHandbook[[#This Row],[UDC]],TableMCAPLING[],7,FALSE),"")</f>
        <v/>
      </c>
      <c r="AD36" s="82" t="str">
        <f>IFERROR(VLOOKUP(TableHandbook[[#This Row],[UDC]],TableGCEDHE[],7,FALSE),"")</f>
        <v/>
      </c>
      <c r="AE36" s="154" t="str">
        <f>IFERROR(VLOOKUP(TableHandbook[[#This Row],[UDC]],TableGCEDUC[],7,FALSE),"")</f>
        <v/>
      </c>
      <c r="AF36" s="186" t="str">
        <f>IFERROR(VLOOKUP(TableHandbook[[#This Row],[UDC]],TableGDEDUC[],7,FALSE),"")</f>
        <v/>
      </c>
      <c r="AG36" s="186" t="str">
        <f>IFERROR(VLOOKUP(TableHandbook[[#This Row],[UDC]],TableMJRPEDUPR[],7,FALSE),"")</f>
        <v/>
      </c>
      <c r="AH36" s="186" t="str">
        <f>IFERROR(VLOOKUP(TableHandbook[[#This Row],[UDC]],TableMJRPEDUSC[],7,FALSE),"")</f>
        <v/>
      </c>
      <c r="AI36" s="121" t="str">
        <f>IFERROR(VLOOKUP(TableHandbook[[#This Row],[UDC]],TableMCEDUC[],7,FALSE),"")</f>
        <v/>
      </c>
      <c r="AJ36" s="121" t="str">
        <f>IFERROR(VLOOKUP(TableHandbook[[#This Row],[UDC]],TableSPPECULIN[],7,FALSE),"")</f>
        <v/>
      </c>
      <c r="AK36" s="121" t="str">
        <f>IFERROR(VLOOKUP(TableHandbook[[#This Row],[UDC]],TableSPPELNTCH[],7,FALSE),"")</f>
        <v/>
      </c>
      <c r="AL36" s="153" t="str">
        <f>IFERROR(VLOOKUP(TableHandbook[[#This Row],[UDC]],TableSPPESTEME[],7,FALSE),"")</f>
        <v/>
      </c>
    </row>
    <row r="37" spans="1:38" x14ac:dyDescent="0.25">
      <c r="A37" s="3" t="s">
        <v>282</v>
      </c>
      <c r="B37" s="4">
        <v>2</v>
      </c>
      <c r="C37" s="3"/>
      <c r="D37" s="3" t="s">
        <v>349</v>
      </c>
      <c r="E37" s="4">
        <v>25</v>
      </c>
      <c r="F37" s="81" t="s">
        <v>315</v>
      </c>
      <c r="G37" s="33" t="str">
        <f>IFERROR(IF(VLOOKUP(TableHandbook[[#This Row],[UDC]],TableAvailabilities[],2,FALSE)&gt;0,"Y",""),"")</f>
        <v/>
      </c>
      <c r="H37" s="82" t="str">
        <f>IFERROR(IF(VLOOKUP(TableHandbook[[#This Row],[UDC]],TableAvailabilities[],3,FALSE)&gt;0,"Y",""),"")</f>
        <v/>
      </c>
      <c r="I37" s="82" t="str">
        <f>IFERROR(IF(VLOOKUP(TableHandbook[[#This Row],[UDC]],TableAvailabilities[],4,FALSE)&gt;0,"Y",""),"")</f>
        <v>Y</v>
      </c>
      <c r="J37" s="82" t="str">
        <f>IFERROR(IF(VLOOKUP(TableHandbook[[#This Row],[UDC]],TableAvailabilities[],5,FALSE)&gt;0,"Y",""),"")</f>
        <v>Y</v>
      </c>
      <c r="K37" s="82" t="str">
        <f>IFERROR(IF(VLOOKUP(TableHandbook[[#This Row],[UDC]],TableAvailabilities[],6,FALSE)&gt;0,"Y",""),"")</f>
        <v/>
      </c>
      <c r="L37" s="82" t="str">
        <f>IFERROR(IF(VLOOKUP(TableHandbook[[#This Row],[UDC]],TableAvailabilities[],7,FALSE)&gt;0,"Y",""),"")</f>
        <v/>
      </c>
      <c r="M37" s="83" t="str">
        <f>IFERROR(IF(VLOOKUP(TableHandbook[[#This Row],[UDC]],TableAvailabilities[],8,FALSE)&gt;0,"Y",""),"")</f>
        <v>Y</v>
      </c>
      <c r="N37" s="82" t="str">
        <f>IFERROR(IF(VLOOKUP(TableHandbook[[#This Row],[UDC]],TableAvailabilities[],9,FALSE)&gt;0,"Y",""),"")</f>
        <v>Y</v>
      </c>
      <c r="O37" s="190"/>
      <c r="P37" s="185" t="str">
        <f>IFERROR(VLOOKUP(TableHandbook[[#This Row],[UDC]],TableMCTEACH[],7,FALSE),"")</f>
        <v/>
      </c>
      <c r="Q37" s="95" t="str">
        <f>IFERROR(VLOOKUP(TableHandbook[[#This Row],[UDC]],TableMJRPTCHEC[],7,FALSE),"")</f>
        <v/>
      </c>
      <c r="R37" s="95" t="str">
        <f>IFERROR(VLOOKUP(TableHandbook[[#This Row],[UDC]],TableMJRPTCHPR[],7,FALSE),"")</f>
        <v/>
      </c>
      <c r="S37" s="95" t="str">
        <f>IFERROR(VLOOKUP(TableHandbook[[#This Row],[UDC]],TableMJRPTCHSC[],7,FALSE),"")</f>
        <v/>
      </c>
      <c r="T37" s="121" t="str">
        <f>IFERROR(VLOOKUP(TableHandbook[[#This Row],[UDC]],TableSTRPSCART[],7,FALSE),"")</f>
        <v/>
      </c>
      <c r="U37" s="121" t="str">
        <f>IFERROR(VLOOKUP(TableHandbook[[#This Row],[UDC]],TableSTRPSCENG[],7,FALSE),"")</f>
        <v/>
      </c>
      <c r="V37" s="121" t="str">
        <f>IFERROR(VLOOKUP(TableHandbook[[#This Row],[UDC]],TableSTRPSCHLP[],7,FALSE),"")</f>
        <v/>
      </c>
      <c r="W37" s="121" t="str">
        <f>IFERROR(VLOOKUP(TableHandbook[[#This Row],[UDC]],TableSTRPSCHUS[],7,FALSE),"")</f>
        <v/>
      </c>
      <c r="X37" s="121" t="str">
        <f>IFERROR(VLOOKUP(TableHandbook[[#This Row],[UDC]],TableSTRPSCMAT[],7,FALSE),"")</f>
        <v>Core</v>
      </c>
      <c r="Y37" s="121" t="str">
        <f>IFERROR(VLOOKUP(TableHandbook[[#This Row],[UDC]],TableSTRPSCSCI[],7,FALSE),"")</f>
        <v/>
      </c>
      <c r="Z37" s="153" t="str">
        <f>IFERROR(VLOOKUP(TableHandbook[[#This Row],[UDC]],TableSTRPSCFON[],7,FALSE),"")</f>
        <v/>
      </c>
      <c r="AA37" s="154" t="str">
        <f>IFERROR(VLOOKUP(TableHandbook[[#This Row],[UDC]],TableGCTESOL[],7,FALSE),"")</f>
        <v/>
      </c>
      <c r="AB37" s="121" t="str">
        <f>IFERROR(VLOOKUP(TableHandbook[[#This Row],[UDC]],TableMCTESOL[],7,FALSE),"")</f>
        <v/>
      </c>
      <c r="AC37" s="153" t="str">
        <f>IFERROR(VLOOKUP(TableHandbook[[#This Row],[UDC]],TableMCAPLING[],7,FALSE),"")</f>
        <v/>
      </c>
      <c r="AD37" s="82" t="str">
        <f>IFERROR(VLOOKUP(TableHandbook[[#This Row],[UDC]],TableGCEDHE[],7,FALSE),"")</f>
        <v/>
      </c>
      <c r="AE37" s="154" t="str">
        <f>IFERROR(VLOOKUP(TableHandbook[[#This Row],[UDC]],TableGCEDUC[],7,FALSE),"")</f>
        <v/>
      </c>
      <c r="AF37" s="186" t="str">
        <f>IFERROR(VLOOKUP(TableHandbook[[#This Row],[UDC]],TableGDEDUC[],7,FALSE),"")</f>
        <v/>
      </c>
      <c r="AG37" s="186" t="str">
        <f>IFERROR(VLOOKUP(TableHandbook[[#This Row],[UDC]],TableMJRPEDUPR[],7,FALSE),"")</f>
        <v/>
      </c>
      <c r="AH37" s="186" t="str">
        <f>IFERROR(VLOOKUP(TableHandbook[[#This Row],[UDC]],TableMJRPEDUSC[],7,FALSE),"")</f>
        <v/>
      </c>
      <c r="AI37" s="121" t="str">
        <f>IFERROR(VLOOKUP(TableHandbook[[#This Row],[UDC]],TableMCEDUC[],7,FALSE),"")</f>
        <v/>
      </c>
      <c r="AJ37" s="121" t="str">
        <f>IFERROR(VLOOKUP(TableHandbook[[#This Row],[UDC]],TableSPPECULIN[],7,FALSE),"")</f>
        <v/>
      </c>
      <c r="AK37" s="121" t="str">
        <f>IFERROR(VLOOKUP(TableHandbook[[#This Row],[UDC]],TableSPPELNTCH[],7,FALSE),"")</f>
        <v/>
      </c>
      <c r="AL37" s="153" t="str">
        <f>IFERROR(VLOOKUP(TableHandbook[[#This Row],[UDC]],TableSPPESTEME[],7,FALSE),"")</f>
        <v/>
      </c>
    </row>
    <row r="38" spans="1:38" x14ac:dyDescent="0.25">
      <c r="A38" s="3" t="s">
        <v>283</v>
      </c>
      <c r="B38" s="4">
        <v>2</v>
      </c>
      <c r="C38" s="3"/>
      <c r="D38" s="3" t="s">
        <v>350</v>
      </c>
      <c r="E38" s="4">
        <v>25</v>
      </c>
      <c r="F38" s="81" t="s">
        <v>315</v>
      </c>
      <c r="G38" s="33" t="str">
        <f>IFERROR(IF(VLOOKUP(TableHandbook[[#This Row],[UDC]],TableAvailabilities[],2,FALSE)&gt;0,"Y",""),"")</f>
        <v/>
      </c>
      <c r="H38" s="82" t="str">
        <f>IFERROR(IF(VLOOKUP(TableHandbook[[#This Row],[UDC]],TableAvailabilities[],3,FALSE)&gt;0,"Y",""),"")</f>
        <v/>
      </c>
      <c r="I38" s="82" t="str">
        <f>IFERROR(IF(VLOOKUP(TableHandbook[[#This Row],[UDC]],TableAvailabilities[],4,FALSE)&gt;0,"Y",""),"")</f>
        <v>Y</v>
      </c>
      <c r="J38" s="82" t="str">
        <f>IFERROR(IF(VLOOKUP(TableHandbook[[#This Row],[UDC]],TableAvailabilities[],5,FALSE)&gt;0,"Y",""),"")</f>
        <v>Y</v>
      </c>
      <c r="K38" s="82" t="str">
        <f>IFERROR(IF(VLOOKUP(TableHandbook[[#This Row],[UDC]],TableAvailabilities[],6,FALSE)&gt;0,"Y",""),"")</f>
        <v/>
      </c>
      <c r="L38" s="82" t="str">
        <f>IFERROR(IF(VLOOKUP(TableHandbook[[#This Row],[UDC]],TableAvailabilities[],7,FALSE)&gt;0,"Y",""),"")</f>
        <v/>
      </c>
      <c r="M38" s="83" t="str">
        <f>IFERROR(IF(VLOOKUP(TableHandbook[[#This Row],[UDC]],TableAvailabilities[],8,FALSE)&gt;0,"Y",""),"")</f>
        <v>Y</v>
      </c>
      <c r="N38" s="82" t="str">
        <f>IFERROR(IF(VLOOKUP(TableHandbook[[#This Row],[UDC]],TableAvailabilities[],9,FALSE)&gt;0,"Y",""),"")</f>
        <v>Y</v>
      </c>
      <c r="O38" s="190"/>
      <c r="P38" s="185" t="str">
        <f>IFERROR(VLOOKUP(TableHandbook[[#This Row],[UDC]],TableMCTEACH[],7,FALSE),"")</f>
        <v/>
      </c>
      <c r="Q38" s="95" t="str">
        <f>IFERROR(VLOOKUP(TableHandbook[[#This Row],[UDC]],TableMJRPTCHEC[],7,FALSE),"")</f>
        <v/>
      </c>
      <c r="R38" s="95" t="str">
        <f>IFERROR(VLOOKUP(TableHandbook[[#This Row],[UDC]],TableMJRPTCHPR[],7,FALSE),"")</f>
        <v/>
      </c>
      <c r="S38" s="95" t="str">
        <f>IFERROR(VLOOKUP(TableHandbook[[#This Row],[UDC]],TableMJRPTCHSC[],7,FALSE),"")</f>
        <v/>
      </c>
      <c r="T38" s="121" t="str">
        <f>IFERROR(VLOOKUP(TableHandbook[[#This Row],[UDC]],TableSTRPSCART[],7,FALSE),"")</f>
        <v/>
      </c>
      <c r="U38" s="121" t="str">
        <f>IFERROR(VLOOKUP(TableHandbook[[#This Row],[UDC]],TableSTRPSCENG[],7,FALSE),"")</f>
        <v/>
      </c>
      <c r="V38" s="121" t="str">
        <f>IFERROR(VLOOKUP(TableHandbook[[#This Row],[UDC]],TableSTRPSCHLP[],7,FALSE),"")</f>
        <v/>
      </c>
      <c r="W38" s="121" t="str">
        <f>IFERROR(VLOOKUP(TableHandbook[[#This Row],[UDC]],TableSTRPSCHUS[],7,FALSE),"")</f>
        <v/>
      </c>
      <c r="X38" s="121" t="str">
        <f>IFERROR(VLOOKUP(TableHandbook[[#This Row],[UDC]],TableSTRPSCMAT[],7,FALSE),"")</f>
        <v/>
      </c>
      <c r="Y38" s="121" t="str">
        <f>IFERROR(VLOOKUP(TableHandbook[[#This Row],[UDC]],TableSTRPSCSCI[],7,FALSE),"")</f>
        <v>Core</v>
      </c>
      <c r="Z38" s="153" t="str">
        <f>IFERROR(VLOOKUP(TableHandbook[[#This Row],[UDC]],TableSTRPSCFON[],7,FALSE),"")</f>
        <v/>
      </c>
      <c r="AA38" s="154" t="str">
        <f>IFERROR(VLOOKUP(TableHandbook[[#This Row],[UDC]],TableGCTESOL[],7,FALSE),"")</f>
        <v/>
      </c>
      <c r="AB38" s="121" t="str">
        <f>IFERROR(VLOOKUP(TableHandbook[[#This Row],[UDC]],TableMCTESOL[],7,FALSE),"")</f>
        <v/>
      </c>
      <c r="AC38" s="153" t="str">
        <f>IFERROR(VLOOKUP(TableHandbook[[#This Row],[UDC]],TableMCAPLING[],7,FALSE),"")</f>
        <v/>
      </c>
      <c r="AD38" s="82" t="str">
        <f>IFERROR(VLOOKUP(TableHandbook[[#This Row],[UDC]],TableGCEDHE[],7,FALSE),"")</f>
        <v/>
      </c>
      <c r="AE38" s="154" t="str">
        <f>IFERROR(VLOOKUP(TableHandbook[[#This Row],[UDC]],TableGCEDUC[],7,FALSE),"")</f>
        <v/>
      </c>
      <c r="AF38" s="186" t="str">
        <f>IFERROR(VLOOKUP(TableHandbook[[#This Row],[UDC]],TableGDEDUC[],7,FALSE),"")</f>
        <v/>
      </c>
      <c r="AG38" s="186" t="str">
        <f>IFERROR(VLOOKUP(TableHandbook[[#This Row],[UDC]],TableMJRPEDUPR[],7,FALSE),"")</f>
        <v/>
      </c>
      <c r="AH38" s="186" t="str">
        <f>IFERROR(VLOOKUP(TableHandbook[[#This Row],[UDC]],TableMJRPEDUSC[],7,FALSE),"")</f>
        <v/>
      </c>
      <c r="AI38" s="121" t="str">
        <f>IFERROR(VLOOKUP(TableHandbook[[#This Row],[UDC]],TableMCEDUC[],7,FALSE),"")</f>
        <v/>
      </c>
      <c r="AJ38" s="121" t="str">
        <f>IFERROR(VLOOKUP(TableHandbook[[#This Row],[UDC]],TableSPPECULIN[],7,FALSE),"")</f>
        <v/>
      </c>
      <c r="AK38" s="121" t="str">
        <f>IFERROR(VLOOKUP(TableHandbook[[#This Row],[UDC]],TableSPPELNTCH[],7,FALSE),"")</f>
        <v/>
      </c>
      <c r="AL38" s="153" t="str">
        <f>IFERROR(VLOOKUP(TableHandbook[[#This Row],[UDC]],TableSPPESTEME[],7,FALSE),"")</f>
        <v/>
      </c>
    </row>
    <row r="39" spans="1:38" x14ac:dyDescent="0.25">
      <c r="A39" s="3" t="s">
        <v>241</v>
      </c>
      <c r="B39" s="4">
        <v>1</v>
      </c>
      <c r="C39" s="3"/>
      <c r="D39" s="3" t="s">
        <v>351</v>
      </c>
      <c r="E39" s="4" t="s">
        <v>337</v>
      </c>
      <c r="F39" s="81" t="s">
        <v>315</v>
      </c>
      <c r="G39" s="33" t="str">
        <f>IFERROR(IF(VLOOKUP(TableHandbook[[#This Row],[UDC]],TableAvailabilities[],2,FALSE)&gt;0,"Y",""),"")</f>
        <v>Y</v>
      </c>
      <c r="H39" s="82" t="str">
        <f>IFERROR(IF(VLOOKUP(TableHandbook[[#This Row],[UDC]],TableAvailabilities[],3,FALSE)&gt;0,"Y",""),"")</f>
        <v>Y</v>
      </c>
      <c r="I39" s="82" t="str">
        <f>IFERROR(IF(VLOOKUP(TableHandbook[[#This Row],[UDC]],TableAvailabilities[],4,FALSE)&gt;0,"Y",""),"")</f>
        <v>Y</v>
      </c>
      <c r="J39" s="82" t="str">
        <f>IFERROR(IF(VLOOKUP(TableHandbook[[#This Row],[UDC]],TableAvailabilities[],5,FALSE)&gt;0,"Y",""),"")</f>
        <v>Y</v>
      </c>
      <c r="K39" s="82" t="str">
        <f>IFERROR(IF(VLOOKUP(TableHandbook[[#This Row],[UDC]],TableAvailabilities[],6,FALSE)&gt;0,"Y",""),"")</f>
        <v/>
      </c>
      <c r="L39" s="82" t="str">
        <f>IFERROR(IF(VLOOKUP(TableHandbook[[#This Row],[UDC]],TableAvailabilities[],7,FALSE)&gt;0,"Y",""),"")</f>
        <v/>
      </c>
      <c r="M39" s="83" t="str">
        <f>IFERROR(IF(VLOOKUP(TableHandbook[[#This Row],[UDC]],TableAvailabilities[],8,FALSE)&gt;0,"Y",""),"")</f>
        <v/>
      </c>
      <c r="N39" s="82" t="str">
        <f>IFERROR(IF(VLOOKUP(TableHandbook[[#This Row],[UDC]],TableAvailabilities[],9,FALSE)&gt;0,"Y",""),"")</f>
        <v/>
      </c>
      <c r="O39" s="190"/>
      <c r="P39" s="185" t="str">
        <f>IFERROR(VLOOKUP(TableHandbook[[#This Row],[UDC]],TableMCTEACH[],7,FALSE),"")</f>
        <v/>
      </c>
      <c r="Q39" s="95" t="str">
        <f>IFERROR(VLOOKUP(TableHandbook[[#This Row],[UDC]],TableMJRPTCHEC[],7,FALSE),"")</f>
        <v/>
      </c>
      <c r="R39" s="95" t="str">
        <f>IFERROR(VLOOKUP(TableHandbook[[#This Row],[UDC]],TableMJRPTCHPR[],7,FALSE),"")</f>
        <v/>
      </c>
      <c r="S39" s="95" t="str">
        <f>IFERROR(VLOOKUP(TableHandbook[[#This Row],[UDC]],TableMJRPTCHSC[],7,FALSE),"")</f>
        <v>Core</v>
      </c>
      <c r="T39" s="121" t="str">
        <f>IFERROR(VLOOKUP(TableHandbook[[#This Row],[UDC]],TableSTRPSCART[],7,FALSE),"")</f>
        <v/>
      </c>
      <c r="U39" s="121" t="str">
        <f>IFERROR(VLOOKUP(TableHandbook[[#This Row],[UDC]],TableSTRPSCENG[],7,FALSE),"")</f>
        <v/>
      </c>
      <c r="V39" s="121" t="str">
        <f>IFERROR(VLOOKUP(TableHandbook[[#This Row],[UDC]],TableSTRPSCHLP[],7,FALSE),"")</f>
        <v/>
      </c>
      <c r="W39" s="121" t="str">
        <f>IFERROR(VLOOKUP(TableHandbook[[#This Row],[UDC]],TableSTRPSCHUS[],7,FALSE),"")</f>
        <v/>
      </c>
      <c r="X39" s="121" t="str">
        <f>IFERROR(VLOOKUP(TableHandbook[[#This Row],[UDC]],TableSTRPSCMAT[],7,FALSE),"")</f>
        <v/>
      </c>
      <c r="Y39" s="121" t="str">
        <f>IFERROR(VLOOKUP(TableHandbook[[#This Row],[UDC]],TableSTRPSCSCI[],7,FALSE),"")</f>
        <v/>
      </c>
      <c r="Z39" s="153" t="str">
        <f>IFERROR(VLOOKUP(TableHandbook[[#This Row],[UDC]],TableSTRPSCFON[],7,FALSE),"")</f>
        <v/>
      </c>
      <c r="AA39" s="154" t="str">
        <f>IFERROR(VLOOKUP(TableHandbook[[#This Row],[UDC]],TableGCTESOL[],7,FALSE),"")</f>
        <v/>
      </c>
      <c r="AB39" s="121" t="str">
        <f>IFERROR(VLOOKUP(TableHandbook[[#This Row],[UDC]],TableMCTESOL[],7,FALSE),"")</f>
        <v/>
      </c>
      <c r="AC39" s="153" t="str">
        <f>IFERROR(VLOOKUP(TableHandbook[[#This Row],[UDC]],TableMCAPLING[],7,FALSE),"")</f>
        <v/>
      </c>
      <c r="AD39" s="82" t="str">
        <f>IFERROR(VLOOKUP(TableHandbook[[#This Row],[UDC]],TableGCEDHE[],7,FALSE),"")</f>
        <v/>
      </c>
      <c r="AE39" s="154" t="str">
        <f>IFERROR(VLOOKUP(TableHandbook[[#This Row],[UDC]],TableGCEDUC[],7,FALSE),"")</f>
        <v/>
      </c>
      <c r="AF39" s="186" t="str">
        <f>IFERROR(VLOOKUP(TableHandbook[[#This Row],[UDC]],TableGDEDUC[],7,FALSE),"")</f>
        <v/>
      </c>
      <c r="AG39" s="186" t="str">
        <f>IFERROR(VLOOKUP(TableHandbook[[#This Row],[UDC]],TableMJRPEDUPR[],7,FALSE),"")</f>
        <v/>
      </c>
      <c r="AH39" s="186" t="str">
        <f>IFERROR(VLOOKUP(TableHandbook[[#This Row],[UDC]],TableMJRPEDUSC[],7,FALSE),"")</f>
        <v>Core</v>
      </c>
      <c r="AI39" s="121" t="str">
        <f>IFERROR(VLOOKUP(TableHandbook[[#This Row],[UDC]],TableMCEDUC[],7,FALSE),"")</f>
        <v/>
      </c>
      <c r="AJ39" s="121" t="str">
        <f>IFERROR(VLOOKUP(TableHandbook[[#This Row],[UDC]],TableSPPECULIN[],7,FALSE),"")</f>
        <v/>
      </c>
      <c r="AK39" s="121" t="str">
        <f>IFERROR(VLOOKUP(TableHandbook[[#This Row],[UDC]],TableSPPELNTCH[],7,FALSE),"")</f>
        <v/>
      </c>
      <c r="AL39" s="153" t="str">
        <f>IFERROR(VLOOKUP(TableHandbook[[#This Row],[UDC]],TableSPPESTEME[],7,FALSE),"")</f>
        <v/>
      </c>
    </row>
    <row r="40" spans="1:38" x14ac:dyDescent="0.25">
      <c r="A40" s="3" t="s">
        <v>279</v>
      </c>
      <c r="B40" s="4">
        <v>1</v>
      </c>
      <c r="C40" s="3"/>
      <c r="D40" s="3" t="s">
        <v>352</v>
      </c>
      <c r="E40" s="4">
        <v>25</v>
      </c>
      <c r="F40" s="81" t="s">
        <v>315</v>
      </c>
      <c r="G40" s="33" t="str">
        <f>IFERROR(IF(VLOOKUP(TableHandbook[[#This Row],[UDC]],TableAvailabilities[],2,FALSE)&gt;0,"Y",""),"")</f>
        <v/>
      </c>
      <c r="H40" s="82" t="str">
        <f>IFERROR(IF(VLOOKUP(TableHandbook[[#This Row],[UDC]],TableAvailabilities[],3,FALSE)&gt;0,"Y",""),"")</f>
        <v/>
      </c>
      <c r="I40" s="82" t="str">
        <f>IFERROR(IF(VLOOKUP(TableHandbook[[#This Row],[UDC]],TableAvailabilities[],4,FALSE)&gt;0,"Y",""),"")</f>
        <v>Y</v>
      </c>
      <c r="J40" s="82" t="str">
        <f>IFERROR(IF(VLOOKUP(TableHandbook[[#This Row],[UDC]],TableAvailabilities[],5,FALSE)&gt;0,"Y",""),"")</f>
        <v>Y</v>
      </c>
      <c r="K40" s="82" t="str">
        <f>IFERROR(IF(VLOOKUP(TableHandbook[[#This Row],[UDC]],TableAvailabilities[],6,FALSE)&gt;0,"Y",""),"")</f>
        <v/>
      </c>
      <c r="L40" s="82" t="str">
        <f>IFERROR(IF(VLOOKUP(TableHandbook[[#This Row],[UDC]],TableAvailabilities[],7,FALSE)&gt;0,"Y",""),"")</f>
        <v/>
      </c>
      <c r="M40" s="83" t="str">
        <f>IFERROR(IF(VLOOKUP(TableHandbook[[#This Row],[UDC]],TableAvailabilities[],8,FALSE)&gt;0,"Y",""),"")</f>
        <v>Y</v>
      </c>
      <c r="N40" s="82" t="str">
        <f>IFERROR(IF(VLOOKUP(TableHandbook[[#This Row],[UDC]],TableAvailabilities[],9,FALSE)&gt;0,"Y",""),"")</f>
        <v>Y</v>
      </c>
      <c r="O40" s="190"/>
      <c r="P40" s="185" t="str">
        <f>IFERROR(VLOOKUP(TableHandbook[[#This Row],[UDC]],TableMCTEACH[],7,FALSE),"")</f>
        <v/>
      </c>
      <c r="Q40" s="95" t="str">
        <f>IFERROR(VLOOKUP(TableHandbook[[#This Row],[UDC]],TableMJRPTCHEC[],7,FALSE),"")</f>
        <v/>
      </c>
      <c r="R40" s="95" t="str">
        <f>IFERROR(VLOOKUP(TableHandbook[[#This Row],[UDC]],TableMJRPTCHPR[],7,FALSE),"")</f>
        <v/>
      </c>
      <c r="S40" s="95" t="str">
        <f>IFERROR(VLOOKUP(TableHandbook[[#This Row],[UDC]],TableMJRPTCHSC[],7,FALSE),"")</f>
        <v/>
      </c>
      <c r="T40" s="121" t="str">
        <f>IFERROR(VLOOKUP(TableHandbook[[#This Row],[UDC]],TableSTRPSCART[],7,FALSE),"")</f>
        <v/>
      </c>
      <c r="U40" s="121" t="str">
        <f>IFERROR(VLOOKUP(TableHandbook[[#This Row],[UDC]],TableSTRPSCENG[],7,FALSE),"")</f>
        <v>Core</v>
      </c>
      <c r="V40" s="121" t="str">
        <f>IFERROR(VLOOKUP(TableHandbook[[#This Row],[UDC]],TableSTRPSCHLP[],7,FALSE),"")</f>
        <v/>
      </c>
      <c r="W40" s="121" t="str">
        <f>IFERROR(VLOOKUP(TableHandbook[[#This Row],[UDC]],TableSTRPSCHUS[],7,FALSE),"")</f>
        <v/>
      </c>
      <c r="X40" s="121" t="str">
        <f>IFERROR(VLOOKUP(TableHandbook[[#This Row],[UDC]],TableSTRPSCMAT[],7,FALSE),"")</f>
        <v/>
      </c>
      <c r="Y40" s="121" t="str">
        <f>IFERROR(VLOOKUP(TableHandbook[[#This Row],[UDC]],TableSTRPSCSCI[],7,FALSE),"")</f>
        <v/>
      </c>
      <c r="Z40" s="153" t="str">
        <f>IFERROR(VLOOKUP(TableHandbook[[#This Row],[UDC]],TableSTRPSCFON[],7,FALSE),"")</f>
        <v/>
      </c>
      <c r="AA40" s="154" t="str">
        <f>IFERROR(VLOOKUP(TableHandbook[[#This Row],[UDC]],TableGCTESOL[],7,FALSE),"")</f>
        <v/>
      </c>
      <c r="AB40" s="121" t="str">
        <f>IFERROR(VLOOKUP(TableHandbook[[#This Row],[UDC]],TableMCTESOL[],7,FALSE),"")</f>
        <v/>
      </c>
      <c r="AC40" s="153" t="str">
        <f>IFERROR(VLOOKUP(TableHandbook[[#This Row],[UDC]],TableMCAPLING[],7,FALSE),"")</f>
        <v/>
      </c>
      <c r="AD40" s="82" t="str">
        <f>IFERROR(VLOOKUP(TableHandbook[[#This Row],[UDC]],TableGCEDHE[],7,FALSE),"")</f>
        <v/>
      </c>
      <c r="AE40" s="154" t="str">
        <f>IFERROR(VLOOKUP(TableHandbook[[#This Row],[UDC]],TableGCEDUC[],7,FALSE),"")</f>
        <v/>
      </c>
      <c r="AF40" s="186" t="str">
        <f>IFERROR(VLOOKUP(TableHandbook[[#This Row],[UDC]],TableGDEDUC[],7,FALSE),"")</f>
        <v/>
      </c>
      <c r="AG40" s="186" t="str">
        <f>IFERROR(VLOOKUP(TableHandbook[[#This Row],[UDC]],TableMJRPEDUPR[],7,FALSE),"")</f>
        <v/>
      </c>
      <c r="AH40" s="186" t="str">
        <f>IFERROR(VLOOKUP(TableHandbook[[#This Row],[UDC]],TableMJRPEDUSC[],7,FALSE),"")</f>
        <v/>
      </c>
      <c r="AI40" s="121" t="str">
        <f>IFERROR(VLOOKUP(TableHandbook[[#This Row],[UDC]],TableMCEDUC[],7,FALSE),"")</f>
        <v/>
      </c>
      <c r="AJ40" s="121" t="str">
        <f>IFERROR(VLOOKUP(TableHandbook[[#This Row],[UDC]],TableSPPECULIN[],7,FALSE),"")</f>
        <v/>
      </c>
      <c r="AK40" s="121" t="str">
        <f>IFERROR(VLOOKUP(TableHandbook[[#This Row],[UDC]],TableSPPELNTCH[],7,FALSE),"")</f>
        <v/>
      </c>
      <c r="AL40" s="153" t="str">
        <f>IFERROR(VLOOKUP(TableHandbook[[#This Row],[UDC]],TableSPPESTEME[],7,FALSE),"")</f>
        <v/>
      </c>
    </row>
    <row r="41" spans="1:38" x14ac:dyDescent="0.25">
      <c r="A41" s="3" t="s">
        <v>273</v>
      </c>
      <c r="B41" s="4">
        <v>1</v>
      </c>
      <c r="C41" s="3"/>
      <c r="D41" s="3" t="s">
        <v>353</v>
      </c>
      <c r="E41" s="4">
        <v>25</v>
      </c>
      <c r="F41" s="81" t="s">
        <v>315</v>
      </c>
      <c r="G41" s="33" t="str">
        <f>IFERROR(IF(VLOOKUP(TableHandbook[[#This Row],[UDC]],TableAvailabilities[],2,FALSE)&gt;0,"Y",""),"")</f>
        <v/>
      </c>
      <c r="H41" s="82" t="str">
        <f>IFERROR(IF(VLOOKUP(TableHandbook[[#This Row],[UDC]],TableAvailabilities[],3,FALSE)&gt;0,"Y",""),"")</f>
        <v/>
      </c>
      <c r="I41" s="82" t="str">
        <f>IFERROR(IF(VLOOKUP(TableHandbook[[#This Row],[UDC]],TableAvailabilities[],4,FALSE)&gt;0,"Y",""),"")</f>
        <v>Y</v>
      </c>
      <c r="J41" s="82" t="str">
        <f>IFERROR(IF(VLOOKUP(TableHandbook[[#This Row],[UDC]],TableAvailabilities[],5,FALSE)&gt;0,"Y",""),"")</f>
        <v>Y</v>
      </c>
      <c r="K41" s="82" t="str">
        <f>IFERROR(IF(VLOOKUP(TableHandbook[[#This Row],[UDC]],TableAvailabilities[],6,FALSE)&gt;0,"Y",""),"")</f>
        <v/>
      </c>
      <c r="L41" s="82" t="str">
        <f>IFERROR(IF(VLOOKUP(TableHandbook[[#This Row],[UDC]],TableAvailabilities[],7,FALSE)&gt;0,"Y",""),"")</f>
        <v/>
      </c>
      <c r="M41" s="83" t="str">
        <f>IFERROR(IF(VLOOKUP(TableHandbook[[#This Row],[UDC]],TableAvailabilities[],8,FALSE)&gt;0,"Y",""),"")</f>
        <v>Y</v>
      </c>
      <c r="N41" s="82" t="str">
        <f>IFERROR(IF(VLOOKUP(TableHandbook[[#This Row],[UDC]],TableAvailabilities[],9,FALSE)&gt;0,"Y",""),"")</f>
        <v>Y</v>
      </c>
      <c r="O41" s="190"/>
      <c r="P41" s="185" t="str">
        <f>IFERROR(VLOOKUP(TableHandbook[[#This Row],[UDC]],TableMCTEACH[],7,FALSE),"")</f>
        <v/>
      </c>
      <c r="Q41" s="95" t="str">
        <f>IFERROR(VLOOKUP(TableHandbook[[#This Row],[UDC]],TableMJRPTCHEC[],7,FALSE),"")</f>
        <v/>
      </c>
      <c r="R41" s="95" t="str">
        <f>IFERROR(VLOOKUP(TableHandbook[[#This Row],[UDC]],TableMJRPTCHPR[],7,FALSE),"")</f>
        <v/>
      </c>
      <c r="S41" s="95" t="str">
        <f>IFERROR(VLOOKUP(TableHandbook[[#This Row],[UDC]],TableMJRPTCHSC[],7,FALSE),"")</f>
        <v/>
      </c>
      <c r="T41" s="121" t="str">
        <f>IFERROR(VLOOKUP(TableHandbook[[#This Row],[UDC]],TableSTRPSCART[],7,FALSE),"")</f>
        <v/>
      </c>
      <c r="U41" s="121" t="str">
        <f>IFERROR(VLOOKUP(TableHandbook[[#This Row],[UDC]],TableSTRPSCENG[],7,FALSE),"")</f>
        <v/>
      </c>
      <c r="V41" s="121" t="str">
        <f>IFERROR(VLOOKUP(TableHandbook[[#This Row],[UDC]],TableSTRPSCHLP[],7,FALSE),"")</f>
        <v>Core</v>
      </c>
      <c r="W41" s="121" t="str">
        <f>IFERROR(VLOOKUP(TableHandbook[[#This Row],[UDC]],TableSTRPSCHUS[],7,FALSE),"")</f>
        <v/>
      </c>
      <c r="X41" s="121" t="str">
        <f>IFERROR(VLOOKUP(TableHandbook[[#This Row],[UDC]],TableSTRPSCMAT[],7,FALSE),"")</f>
        <v/>
      </c>
      <c r="Y41" s="121" t="str">
        <f>IFERROR(VLOOKUP(TableHandbook[[#This Row],[UDC]],TableSTRPSCSCI[],7,FALSE),"")</f>
        <v/>
      </c>
      <c r="Z41" s="153" t="str">
        <f>IFERROR(VLOOKUP(TableHandbook[[#This Row],[UDC]],TableSTRPSCFON[],7,FALSE),"")</f>
        <v/>
      </c>
      <c r="AA41" s="154" t="str">
        <f>IFERROR(VLOOKUP(TableHandbook[[#This Row],[UDC]],TableGCTESOL[],7,FALSE),"")</f>
        <v/>
      </c>
      <c r="AB41" s="121" t="str">
        <f>IFERROR(VLOOKUP(TableHandbook[[#This Row],[UDC]],TableMCTESOL[],7,FALSE),"")</f>
        <v/>
      </c>
      <c r="AC41" s="153" t="str">
        <f>IFERROR(VLOOKUP(TableHandbook[[#This Row],[UDC]],TableMCAPLING[],7,FALSE),"")</f>
        <v/>
      </c>
      <c r="AD41" s="82" t="str">
        <f>IFERROR(VLOOKUP(TableHandbook[[#This Row],[UDC]],TableGCEDHE[],7,FALSE),"")</f>
        <v/>
      </c>
      <c r="AE41" s="154" t="str">
        <f>IFERROR(VLOOKUP(TableHandbook[[#This Row],[UDC]],TableGCEDUC[],7,FALSE),"")</f>
        <v/>
      </c>
      <c r="AF41" s="186" t="str">
        <f>IFERROR(VLOOKUP(TableHandbook[[#This Row],[UDC]],TableGDEDUC[],7,FALSE),"")</f>
        <v/>
      </c>
      <c r="AG41" s="186" t="str">
        <f>IFERROR(VLOOKUP(TableHandbook[[#This Row],[UDC]],TableMJRPEDUPR[],7,FALSE),"")</f>
        <v/>
      </c>
      <c r="AH41" s="186" t="str">
        <f>IFERROR(VLOOKUP(TableHandbook[[#This Row],[UDC]],TableMJRPEDUSC[],7,FALSE),"")</f>
        <v/>
      </c>
      <c r="AI41" s="121" t="str">
        <f>IFERROR(VLOOKUP(TableHandbook[[#This Row],[UDC]],TableMCEDUC[],7,FALSE),"")</f>
        <v/>
      </c>
      <c r="AJ41" s="121" t="str">
        <f>IFERROR(VLOOKUP(TableHandbook[[#This Row],[UDC]],TableSPPECULIN[],7,FALSE),"")</f>
        <v/>
      </c>
      <c r="AK41" s="121" t="str">
        <f>IFERROR(VLOOKUP(TableHandbook[[#This Row],[UDC]],TableSPPELNTCH[],7,FALSE),"")</f>
        <v/>
      </c>
      <c r="AL41" s="153" t="str">
        <f>IFERROR(VLOOKUP(TableHandbook[[#This Row],[UDC]],TableSPPESTEME[],7,FALSE),"")</f>
        <v/>
      </c>
    </row>
    <row r="42" spans="1:38" x14ac:dyDescent="0.25">
      <c r="A42" s="3" t="s">
        <v>280</v>
      </c>
      <c r="B42" s="4">
        <v>1</v>
      </c>
      <c r="C42" s="3"/>
      <c r="D42" s="3" t="s">
        <v>354</v>
      </c>
      <c r="E42" s="4">
        <v>25</v>
      </c>
      <c r="F42" s="81" t="s">
        <v>315</v>
      </c>
      <c r="G42" s="33" t="str">
        <f>IFERROR(IF(VLOOKUP(TableHandbook[[#This Row],[UDC]],TableAvailabilities[],2,FALSE)&gt;0,"Y",""),"")</f>
        <v/>
      </c>
      <c r="H42" s="82" t="str">
        <f>IFERROR(IF(VLOOKUP(TableHandbook[[#This Row],[UDC]],TableAvailabilities[],3,FALSE)&gt;0,"Y",""),"")</f>
        <v/>
      </c>
      <c r="I42" s="82" t="str">
        <f>IFERROR(IF(VLOOKUP(TableHandbook[[#This Row],[UDC]],TableAvailabilities[],4,FALSE)&gt;0,"Y",""),"")</f>
        <v>Y</v>
      </c>
      <c r="J42" s="82" t="str">
        <f>IFERROR(IF(VLOOKUP(TableHandbook[[#This Row],[UDC]],TableAvailabilities[],5,FALSE)&gt;0,"Y",""),"")</f>
        <v>Y</v>
      </c>
      <c r="K42" s="82" t="str">
        <f>IFERROR(IF(VLOOKUP(TableHandbook[[#This Row],[UDC]],TableAvailabilities[],6,FALSE)&gt;0,"Y",""),"")</f>
        <v/>
      </c>
      <c r="L42" s="82" t="str">
        <f>IFERROR(IF(VLOOKUP(TableHandbook[[#This Row],[UDC]],TableAvailabilities[],7,FALSE)&gt;0,"Y",""),"")</f>
        <v/>
      </c>
      <c r="M42" s="83" t="str">
        <f>IFERROR(IF(VLOOKUP(TableHandbook[[#This Row],[UDC]],TableAvailabilities[],8,FALSE)&gt;0,"Y",""),"")</f>
        <v>Y</v>
      </c>
      <c r="N42" s="82" t="str">
        <f>IFERROR(IF(VLOOKUP(TableHandbook[[#This Row],[UDC]],TableAvailabilities[],9,FALSE)&gt;0,"Y",""),"")</f>
        <v>Y</v>
      </c>
      <c r="O42" s="190"/>
      <c r="P42" s="185" t="str">
        <f>IFERROR(VLOOKUP(TableHandbook[[#This Row],[UDC]],TableMCTEACH[],7,FALSE),"")</f>
        <v/>
      </c>
      <c r="Q42" s="95" t="str">
        <f>IFERROR(VLOOKUP(TableHandbook[[#This Row],[UDC]],TableMJRPTCHEC[],7,FALSE),"")</f>
        <v/>
      </c>
      <c r="R42" s="95" t="str">
        <f>IFERROR(VLOOKUP(TableHandbook[[#This Row],[UDC]],TableMJRPTCHPR[],7,FALSE),"")</f>
        <v/>
      </c>
      <c r="S42" s="95" t="str">
        <f>IFERROR(VLOOKUP(TableHandbook[[#This Row],[UDC]],TableMJRPTCHSC[],7,FALSE),"")</f>
        <v/>
      </c>
      <c r="T42" s="121" t="str">
        <f>IFERROR(VLOOKUP(TableHandbook[[#This Row],[UDC]],TableSTRPSCART[],7,FALSE),"")</f>
        <v/>
      </c>
      <c r="U42" s="121" t="str">
        <f>IFERROR(VLOOKUP(TableHandbook[[#This Row],[UDC]],TableSTRPSCENG[],7,FALSE),"")</f>
        <v/>
      </c>
      <c r="V42" s="121" t="str">
        <f>IFERROR(VLOOKUP(TableHandbook[[#This Row],[UDC]],TableSTRPSCHLP[],7,FALSE),"")</f>
        <v>Core</v>
      </c>
      <c r="W42" s="121" t="str">
        <f>IFERROR(VLOOKUP(TableHandbook[[#This Row],[UDC]],TableSTRPSCHUS[],7,FALSE),"")</f>
        <v/>
      </c>
      <c r="X42" s="121" t="str">
        <f>IFERROR(VLOOKUP(TableHandbook[[#This Row],[UDC]],TableSTRPSCMAT[],7,FALSE),"")</f>
        <v/>
      </c>
      <c r="Y42" s="121" t="str">
        <f>IFERROR(VLOOKUP(TableHandbook[[#This Row],[UDC]],TableSTRPSCSCI[],7,FALSE),"")</f>
        <v/>
      </c>
      <c r="Z42" s="153" t="str">
        <f>IFERROR(VLOOKUP(TableHandbook[[#This Row],[UDC]],TableSTRPSCFON[],7,FALSE),"")</f>
        <v/>
      </c>
      <c r="AA42" s="154" t="str">
        <f>IFERROR(VLOOKUP(TableHandbook[[#This Row],[UDC]],TableGCTESOL[],7,FALSE),"")</f>
        <v/>
      </c>
      <c r="AB42" s="121" t="str">
        <f>IFERROR(VLOOKUP(TableHandbook[[#This Row],[UDC]],TableMCTESOL[],7,FALSE),"")</f>
        <v/>
      </c>
      <c r="AC42" s="153" t="str">
        <f>IFERROR(VLOOKUP(TableHandbook[[#This Row],[UDC]],TableMCAPLING[],7,FALSE),"")</f>
        <v/>
      </c>
      <c r="AD42" s="82" t="str">
        <f>IFERROR(VLOOKUP(TableHandbook[[#This Row],[UDC]],TableGCEDHE[],7,FALSE),"")</f>
        <v/>
      </c>
      <c r="AE42" s="154" t="str">
        <f>IFERROR(VLOOKUP(TableHandbook[[#This Row],[UDC]],TableGCEDUC[],7,FALSE),"")</f>
        <v/>
      </c>
      <c r="AF42" s="186" t="str">
        <f>IFERROR(VLOOKUP(TableHandbook[[#This Row],[UDC]],TableGDEDUC[],7,FALSE),"")</f>
        <v/>
      </c>
      <c r="AG42" s="186" t="str">
        <f>IFERROR(VLOOKUP(TableHandbook[[#This Row],[UDC]],TableMJRPEDUPR[],7,FALSE),"")</f>
        <v/>
      </c>
      <c r="AH42" s="186" t="str">
        <f>IFERROR(VLOOKUP(TableHandbook[[#This Row],[UDC]],TableMJRPEDUSC[],7,FALSE),"")</f>
        <v/>
      </c>
      <c r="AI42" s="121" t="str">
        <f>IFERROR(VLOOKUP(TableHandbook[[#This Row],[UDC]],TableMCEDUC[],7,FALSE),"")</f>
        <v/>
      </c>
      <c r="AJ42" s="121" t="str">
        <f>IFERROR(VLOOKUP(TableHandbook[[#This Row],[UDC]],TableSPPECULIN[],7,FALSE),"")</f>
        <v/>
      </c>
      <c r="AK42" s="121" t="str">
        <f>IFERROR(VLOOKUP(TableHandbook[[#This Row],[UDC]],TableSPPELNTCH[],7,FALSE),"")</f>
        <v/>
      </c>
      <c r="AL42" s="153" t="str">
        <f>IFERROR(VLOOKUP(TableHandbook[[#This Row],[UDC]],TableSPPESTEME[],7,FALSE),"")</f>
        <v/>
      </c>
    </row>
    <row r="43" spans="1:38" x14ac:dyDescent="0.25">
      <c r="A43" s="3" t="s">
        <v>290</v>
      </c>
      <c r="B43" s="4">
        <v>1</v>
      </c>
      <c r="C43" s="3"/>
      <c r="D43" s="3" t="s">
        <v>355</v>
      </c>
      <c r="E43" s="4">
        <v>25</v>
      </c>
      <c r="F43" s="81" t="s">
        <v>315</v>
      </c>
      <c r="G43" s="33" t="str">
        <f>IFERROR(IF(VLOOKUP(TableHandbook[[#This Row],[UDC]],TableAvailabilities[],2,FALSE)&gt;0,"Y",""),"")</f>
        <v/>
      </c>
      <c r="H43" s="82" t="str">
        <f>IFERROR(IF(VLOOKUP(TableHandbook[[#This Row],[UDC]],TableAvailabilities[],3,FALSE)&gt;0,"Y",""),"")</f>
        <v/>
      </c>
      <c r="I43" s="82" t="str">
        <f>IFERROR(IF(VLOOKUP(TableHandbook[[#This Row],[UDC]],TableAvailabilities[],4,FALSE)&gt;0,"Y",""),"")</f>
        <v>Y</v>
      </c>
      <c r="J43" s="82" t="str">
        <f>IFERROR(IF(VLOOKUP(TableHandbook[[#This Row],[UDC]],TableAvailabilities[],5,FALSE)&gt;0,"Y",""),"")</f>
        <v>Y</v>
      </c>
      <c r="K43" s="82" t="str">
        <f>IFERROR(IF(VLOOKUP(TableHandbook[[#This Row],[UDC]],TableAvailabilities[],6,FALSE)&gt;0,"Y",""),"")</f>
        <v/>
      </c>
      <c r="L43" s="82" t="str">
        <f>IFERROR(IF(VLOOKUP(TableHandbook[[#This Row],[UDC]],TableAvailabilities[],7,FALSE)&gt;0,"Y",""),"")</f>
        <v/>
      </c>
      <c r="M43" s="83" t="str">
        <f>IFERROR(IF(VLOOKUP(TableHandbook[[#This Row],[UDC]],TableAvailabilities[],8,FALSE)&gt;0,"Y",""),"")</f>
        <v>Y</v>
      </c>
      <c r="N43" s="82" t="str">
        <f>IFERROR(IF(VLOOKUP(TableHandbook[[#This Row],[UDC]],TableAvailabilities[],9,FALSE)&gt;0,"Y",""),"")</f>
        <v>Y</v>
      </c>
      <c r="O43" s="190"/>
      <c r="P43" s="185" t="str">
        <f>IFERROR(VLOOKUP(TableHandbook[[#This Row],[UDC]],TableMCTEACH[],7,FALSE),"")</f>
        <v/>
      </c>
      <c r="Q43" s="95" t="str">
        <f>IFERROR(VLOOKUP(TableHandbook[[#This Row],[UDC]],TableMJRPTCHEC[],7,FALSE),"")</f>
        <v/>
      </c>
      <c r="R43" s="95" t="str">
        <f>IFERROR(VLOOKUP(TableHandbook[[#This Row],[UDC]],TableMJRPTCHPR[],7,FALSE),"")</f>
        <v/>
      </c>
      <c r="S43" s="95" t="str">
        <f>IFERROR(VLOOKUP(TableHandbook[[#This Row],[UDC]],TableMJRPTCHSC[],7,FALSE),"")</f>
        <v/>
      </c>
      <c r="T43" s="121" t="str">
        <f>IFERROR(VLOOKUP(TableHandbook[[#This Row],[UDC]],TableSTRPSCART[],7,FALSE),"")</f>
        <v/>
      </c>
      <c r="U43" s="121" t="str">
        <f>IFERROR(VLOOKUP(TableHandbook[[#This Row],[UDC]],TableSTRPSCENG[],7,FALSE),"")</f>
        <v/>
      </c>
      <c r="V43" s="121" t="str">
        <f>IFERROR(VLOOKUP(TableHandbook[[#This Row],[UDC]],TableSTRPSCHLP[],7,FALSE),"")</f>
        <v/>
      </c>
      <c r="W43" s="121" t="str">
        <f>IFERROR(VLOOKUP(TableHandbook[[#This Row],[UDC]],TableSTRPSCHUS[],7,FALSE),"")</f>
        <v/>
      </c>
      <c r="X43" s="121" t="str">
        <f>IFERROR(VLOOKUP(TableHandbook[[#This Row],[UDC]],TableSTRPSCMAT[],7,FALSE),"")</f>
        <v/>
      </c>
      <c r="Y43" s="121" t="str">
        <f>IFERROR(VLOOKUP(TableHandbook[[#This Row],[UDC]],TableSTRPSCSCI[],7,FALSE),"")</f>
        <v/>
      </c>
      <c r="Z43" s="153" t="str">
        <f>IFERROR(VLOOKUP(TableHandbook[[#This Row],[UDC]],TableSTRPSCFON[],7,FALSE),"")</f>
        <v>Core</v>
      </c>
      <c r="AA43" s="154" t="str">
        <f>IFERROR(VLOOKUP(TableHandbook[[#This Row],[UDC]],TableGCTESOL[],7,FALSE),"")</f>
        <v/>
      </c>
      <c r="AB43" s="121" t="str">
        <f>IFERROR(VLOOKUP(TableHandbook[[#This Row],[UDC]],TableMCTESOL[],7,FALSE),"")</f>
        <v/>
      </c>
      <c r="AC43" s="153" t="str">
        <f>IFERROR(VLOOKUP(TableHandbook[[#This Row],[UDC]],TableMCAPLING[],7,FALSE),"")</f>
        <v/>
      </c>
      <c r="AD43" s="82" t="str">
        <f>IFERROR(VLOOKUP(TableHandbook[[#This Row],[UDC]],TableGCEDHE[],7,FALSE),"")</f>
        <v/>
      </c>
      <c r="AE43" s="154" t="str">
        <f>IFERROR(VLOOKUP(TableHandbook[[#This Row],[UDC]],TableGCEDUC[],7,FALSE),"")</f>
        <v/>
      </c>
      <c r="AF43" s="186" t="str">
        <f>IFERROR(VLOOKUP(TableHandbook[[#This Row],[UDC]],TableGDEDUC[],7,FALSE),"")</f>
        <v/>
      </c>
      <c r="AG43" s="186" t="str">
        <f>IFERROR(VLOOKUP(TableHandbook[[#This Row],[UDC]],TableMJRPEDUPR[],7,FALSE),"")</f>
        <v/>
      </c>
      <c r="AH43" s="186" t="str">
        <f>IFERROR(VLOOKUP(TableHandbook[[#This Row],[UDC]],TableMJRPEDUSC[],7,FALSE),"")</f>
        <v/>
      </c>
      <c r="AI43" s="121" t="str">
        <f>IFERROR(VLOOKUP(TableHandbook[[#This Row],[UDC]],TableMCEDUC[],7,FALSE),"")</f>
        <v/>
      </c>
      <c r="AJ43" s="121" t="str">
        <f>IFERROR(VLOOKUP(TableHandbook[[#This Row],[UDC]],TableSPPECULIN[],7,FALSE),"")</f>
        <v/>
      </c>
      <c r="AK43" s="121" t="str">
        <f>IFERROR(VLOOKUP(TableHandbook[[#This Row],[UDC]],TableSPPELNTCH[],7,FALSE),"")</f>
        <v/>
      </c>
      <c r="AL43" s="153" t="str">
        <f>IFERROR(VLOOKUP(TableHandbook[[#This Row],[UDC]],TableSPPESTEME[],7,FALSE),"")</f>
        <v/>
      </c>
    </row>
    <row r="44" spans="1:38" x14ac:dyDescent="0.25">
      <c r="A44" s="3" t="s">
        <v>262</v>
      </c>
      <c r="B44" s="4">
        <v>1</v>
      </c>
      <c r="C44" s="3"/>
      <c r="D44" s="3" t="s">
        <v>356</v>
      </c>
      <c r="E44" s="4" t="s">
        <v>337</v>
      </c>
      <c r="F44" s="81" t="s">
        <v>315</v>
      </c>
      <c r="G44" s="33" t="str">
        <f>IFERROR(IF(VLOOKUP(TableHandbook[[#This Row],[UDC]],TableAvailabilities[],2,FALSE)&gt;0,"Y",""),"")</f>
        <v>Y</v>
      </c>
      <c r="H44" s="82" t="str">
        <f>IFERROR(IF(VLOOKUP(TableHandbook[[#This Row],[UDC]],TableAvailabilities[],3,FALSE)&gt;0,"Y",""),"")</f>
        <v>Y</v>
      </c>
      <c r="I44" s="82" t="str">
        <f>IFERROR(IF(VLOOKUP(TableHandbook[[#This Row],[UDC]],TableAvailabilities[],4,FALSE)&gt;0,"Y",""),"")</f>
        <v/>
      </c>
      <c r="J44" s="82" t="str">
        <f>IFERROR(IF(VLOOKUP(TableHandbook[[#This Row],[UDC]],TableAvailabilities[],5,FALSE)&gt;0,"Y",""),"")</f>
        <v/>
      </c>
      <c r="K44" s="82" t="str">
        <f>IFERROR(IF(VLOOKUP(TableHandbook[[#This Row],[UDC]],TableAvailabilities[],6,FALSE)&gt;0,"Y",""),"")</f>
        <v/>
      </c>
      <c r="L44" s="82" t="str">
        <f>IFERROR(IF(VLOOKUP(TableHandbook[[#This Row],[UDC]],TableAvailabilities[],7,FALSE)&gt;0,"Y",""),"")</f>
        <v/>
      </c>
      <c r="M44" s="83" t="str">
        <f>IFERROR(IF(VLOOKUP(TableHandbook[[#This Row],[UDC]],TableAvailabilities[],8,FALSE)&gt;0,"Y",""),"")</f>
        <v/>
      </c>
      <c r="N44" s="82" t="str">
        <f>IFERROR(IF(VLOOKUP(TableHandbook[[#This Row],[UDC]],TableAvailabilities[],9,FALSE)&gt;0,"Y",""),"")</f>
        <v/>
      </c>
      <c r="O44" s="190"/>
      <c r="P44" s="185" t="str">
        <f>IFERROR(VLOOKUP(TableHandbook[[#This Row],[UDC]],TableMCTEACH[],7,FALSE),"")</f>
        <v/>
      </c>
      <c r="Q44" s="95" t="str">
        <f>IFERROR(VLOOKUP(TableHandbook[[#This Row],[UDC]],TableMJRPTCHEC[],7,FALSE),"")</f>
        <v/>
      </c>
      <c r="R44" s="95" t="str">
        <f>IFERROR(VLOOKUP(TableHandbook[[#This Row],[UDC]],TableMJRPTCHPR[],7,FALSE),"")</f>
        <v/>
      </c>
      <c r="S44" s="95" t="str">
        <f>IFERROR(VLOOKUP(TableHandbook[[#This Row],[UDC]],TableMJRPTCHSC[],7,FALSE),"")</f>
        <v>Core</v>
      </c>
      <c r="T44" s="121" t="str">
        <f>IFERROR(VLOOKUP(TableHandbook[[#This Row],[UDC]],TableSTRPSCART[],7,FALSE),"")</f>
        <v/>
      </c>
      <c r="U44" s="121" t="str">
        <f>IFERROR(VLOOKUP(TableHandbook[[#This Row],[UDC]],TableSTRPSCENG[],7,FALSE),"")</f>
        <v/>
      </c>
      <c r="V44" s="121" t="str">
        <f>IFERROR(VLOOKUP(TableHandbook[[#This Row],[UDC]],TableSTRPSCHLP[],7,FALSE),"")</f>
        <v/>
      </c>
      <c r="W44" s="121" t="str">
        <f>IFERROR(VLOOKUP(TableHandbook[[#This Row],[UDC]],TableSTRPSCHUS[],7,FALSE),"")</f>
        <v/>
      </c>
      <c r="X44" s="121" t="str">
        <f>IFERROR(VLOOKUP(TableHandbook[[#This Row],[UDC]],TableSTRPSCMAT[],7,FALSE),"")</f>
        <v/>
      </c>
      <c r="Y44" s="121" t="str">
        <f>IFERROR(VLOOKUP(TableHandbook[[#This Row],[UDC]],TableSTRPSCSCI[],7,FALSE),"")</f>
        <v/>
      </c>
      <c r="Z44" s="153" t="str">
        <f>IFERROR(VLOOKUP(TableHandbook[[#This Row],[UDC]],TableSTRPSCFON[],7,FALSE),"")</f>
        <v/>
      </c>
      <c r="AA44" s="154" t="str">
        <f>IFERROR(VLOOKUP(TableHandbook[[#This Row],[UDC]],TableGCTESOL[],7,FALSE),"")</f>
        <v/>
      </c>
      <c r="AB44" s="121" t="str">
        <f>IFERROR(VLOOKUP(TableHandbook[[#This Row],[UDC]],TableMCTESOL[],7,FALSE),"")</f>
        <v/>
      </c>
      <c r="AC44" s="153" t="str">
        <f>IFERROR(VLOOKUP(TableHandbook[[#This Row],[UDC]],TableMCAPLING[],7,FALSE),"")</f>
        <v/>
      </c>
      <c r="AD44" s="82" t="str">
        <f>IFERROR(VLOOKUP(TableHandbook[[#This Row],[UDC]],TableGCEDHE[],7,FALSE),"")</f>
        <v/>
      </c>
      <c r="AE44" s="154" t="str">
        <f>IFERROR(VLOOKUP(TableHandbook[[#This Row],[UDC]],TableGCEDUC[],7,FALSE),"")</f>
        <v/>
      </c>
      <c r="AF44" s="186" t="str">
        <f>IFERROR(VLOOKUP(TableHandbook[[#This Row],[UDC]],TableGDEDUC[],7,FALSE),"")</f>
        <v/>
      </c>
      <c r="AG44" s="186" t="str">
        <f>IFERROR(VLOOKUP(TableHandbook[[#This Row],[UDC]],TableMJRPEDUPR[],7,FALSE),"")</f>
        <v/>
      </c>
      <c r="AH44" s="186" t="str">
        <f>IFERROR(VLOOKUP(TableHandbook[[#This Row],[UDC]],TableMJRPEDUSC[],7,FALSE),"")</f>
        <v/>
      </c>
      <c r="AI44" s="121" t="str">
        <f>IFERROR(VLOOKUP(TableHandbook[[#This Row],[UDC]],TableMCEDUC[],7,FALSE),"")</f>
        <v/>
      </c>
      <c r="AJ44" s="121" t="str">
        <f>IFERROR(VLOOKUP(TableHandbook[[#This Row],[UDC]],TableSPPECULIN[],7,FALSE),"")</f>
        <v/>
      </c>
      <c r="AK44" s="121" t="str">
        <f>IFERROR(VLOOKUP(TableHandbook[[#This Row],[UDC]],TableSPPELNTCH[],7,FALSE),"")</f>
        <v/>
      </c>
      <c r="AL44" s="153" t="str">
        <f>IFERROR(VLOOKUP(TableHandbook[[#This Row],[UDC]],TableSPPESTEME[],7,FALSE),"")</f>
        <v/>
      </c>
    </row>
    <row r="45" spans="1:38" x14ac:dyDescent="0.25">
      <c r="A45" s="3" t="s">
        <v>59</v>
      </c>
      <c r="B45" s="4">
        <v>2</v>
      </c>
      <c r="C45" s="3"/>
      <c r="D45" s="3" t="s">
        <v>357</v>
      </c>
      <c r="E45" s="4">
        <v>25</v>
      </c>
      <c r="F45" s="81" t="s">
        <v>315</v>
      </c>
      <c r="G45" s="33" t="str">
        <f>IFERROR(IF(VLOOKUP(TableHandbook[[#This Row],[UDC]],TableAvailabilities[],2,FALSE)&gt;0,"Y",""),"")</f>
        <v>Y</v>
      </c>
      <c r="H45" s="82" t="str">
        <f>IFERROR(IF(VLOOKUP(TableHandbook[[#This Row],[UDC]],TableAvailabilities[],3,FALSE)&gt;0,"Y",""),"")</f>
        <v>Y</v>
      </c>
      <c r="I45" s="82" t="str">
        <f>IFERROR(IF(VLOOKUP(TableHandbook[[#This Row],[UDC]],TableAvailabilities[],4,FALSE)&gt;0,"Y",""),"")</f>
        <v/>
      </c>
      <c r="J45" s="82" t="str">
        <f>IFERROR(IF(VLOOKUP(TableHandbook[[#This Row],[UDC]],TableAvailabilities[],5,FALSE)&gt;0,"Y",""),"")</f>
        <v/>
      </c>
      <c r="K45" s="82" t="str">
        <f>IFERROR(IF(VLOOKUP(TableHandbook[[#This Row],[UDC]],TableAvailabilities[],6,FALSE)&gt;0,"Y",""),"")</f>
        <v>Y</v>
      </c>
      <c r="L45" s="82" t="str">
        <f>IFERROR(IF(VLOOKUP(TableHandbook[[#This Row],[UDC]],TableAvailabilities[],7,FALSE)&gt;0,"Y",""),"")</f>
        <v>Y</v>
      </c>
      <c r="M45" s="83" t="str">
        <f>IFERROR(IF(VLOOKUP(TableHandbook[[#This Row],[UDC]],TableAvailabilities[],8,FALSE)&gt;0,"Y",""),"")</f>
        <v/>
      </c>
      <c r="N45" s="82" t="str">
        <f>IFERROR(IF(VLOOKUP(TableHandbook[[#This Row],[UDC]],TableAvailabilities[],9,FALSE)&gt;0,"Y",""),"")</f>
        <v/>
      </c>
      <c r="O45" s="190"/>
      <c r="P45" s="186" t="str">
        <f>IFERROR(VLOOKUP(TableHandbook[[#This Row],[UDC]],TableMCTEACH[],7,FALSE),"")</f>
        <v/>
      </c>
      <c r="Q45" s="121" t="str">
        <f>IFERROR(VLOOKUP(TableHandbook[[#This Row],[UDC]],TableMJRPTCHEC[],7,FALSE),"")</f>
        <v>Core</v>
      </c>
      <c r="R45" s="121" t="str">
        <f>IFERROR(VLOOKUP(TableHandbook[[#This Row],[UDC]],TableMJRPTCHPR[],7,FALSE),"")</f>
        <v>Core</v>
      </c>
      <c r="S45" s="121" t="str">
        <f>IFERROR(VLOOKUP(TableHandbook[[#This Row],[UDC]],TableMJRPTCHSC[],7,FALSE),"")</f>
        <v>Core</v>
      </c>
      <c r="T45" s="121" t="str">
        <f>IFERROR(VLOOKUP(TableHandbook[[#This Row],[UDC]],TableSTRPSCART[],7,FALSE),"")</f>
        <v/>
      </c>
      <c r="U45" s="121" t="str">
        <f>IFERROR(VLOOKUP(TableHandbook[[#This Row],[UDC]],TableSTRPSCENG[],7,FALSE),"")</f>
        <v/>
      </c>
      <c r="V45" s="121" t="str">
        <f>IFERROR(VLOOKUP(TableHandbook[[#This Row],[UDC]],TableSTRPSCHLP[],7,FALSE),"")</f>
        <v/>
      </c>
      <c r="W45" s="121" t="str">
        <f>IFERROR(VLOOKUP(TableHandbook[[#This Row],[UDC]],TableSTRPSCHUS[],7,FALSE),"")</f>
        <v/>
      </c>
      <c r="X45" s="121" t="str">
        <f>IFERROR(VLOOKUP(TableHandbook[[#This Row],[UDC]],TableSTRPSCMAT[],7,FALSE),"")</f>
        <v/>
      </c>
      <c r="Y45" s="121" t="str">
        <f>IFERROR(VLOOKUP(TableHandbook[[#This Row],[UDC]],TableSTRPSCSCI[],7,FALSE),"")</f>
        <v/>
      </c>
      <c r="Z45" s="153" t="str">
        <f>IFERROR(VLOOKUP(TableHandbook[[#This Row],[UDC]],TableSTRPSCFON[],7,FALSE),"")</f>
        <v/>
      </c>
      <c r="AA45" s="154" t="str">
        <f>IFERROR(VLOOKUP(TableHandbook[[#This Row],[UDC]],TableGCTESOL[],7,FALSE),"")</f>
        <v/>
      </c>
      <c r="AB45" s="121" t="str">
        <f>IFERROR(VLOOKUP(TableHandbook[[#This Row],[UDC]],TableMCTESOL[],7,FALSE),"")</f>
        <v>Core</v>
      </c>
      <c r="AC45" s="153" t="str">
        <f>IFERROR(VLOOKUP(TableHandbook[[#This Row],[UDC]],TableMCAPLING[],7,FALSE),"")</f>
        <v/>
      </c>
      <c r="AD45" s="82" t="str">
        <f>IFERROR(VLOOKUP(TableHandbook[[#This Row],[UDC]],TableGCEDHE[],7,FALSE),"")</f>
        <v/>
      </c>
      <c r="AE45" s="154" t="str">
        <f>IFERROR(VLOOKUP(TableHandbook[[#This Row],[UDC]],TableGCEDUC[],7,FALSE),"")</f>
        <v>Option</v>
      </c>
      <c r="AF45" s="186" t="str">
        <f>IFERROR(VLOOKUP(TableHandbook[[#This Row],[UDC]],TableGDEDUC[],7,FALSE),"")</f>
        <v/>
      </c>
      <c r="AG45" s="186" t="str">
        <f>IFERROR(VLOOKUP(TableHandbook[[#This Row],[UDC]],TableMJRPEDUPR[],7,FALSE),"")</f>
        <v>Core</v>
      </c>
      <c r="AH45" s="186" t="str">
        <f>IFERROR(VLOOKUP(TableHandbook[[#This Row],[UDC]],TableMJRPEDUSC[],7,FALSE),"")</f>
        <v/>
      </c>
      <c r="AI45" s="121" t="str">
        <f>IFERROR(VLOOKUP(TableHandbook[[#This Row],[UDC]],TableMCEDUC[],7,FALSE),"")</f>
        <v/>
      </c>
      <c r="AJ45" s="121" t="str">
        <f>IFERROR(VLOOKUP(TableHandbook[[#This Row],[UDC]],TableSPPECULIN[],7,FALSE),"")</f>
        <v/>
      </c>
      <c r="AK45" s="121" t="str">
        <f>IFERROR(VLOOKUP(TableHandbook[[#This Row],[UDC]],TableSPPELNTCH[],7,FALSE),"")</f>
        <v/>
      </c>
      <c r="AL45" s="153" t="str">
        <f>IFERROR(VLOOKUP(TableHandbook[[#This Row],[UDC]],TableSPPESTEME[],7,FALSE),"")</f>
        <v/>
      </c>
    </row>
    <row r="46" spans="1:38" x14ac:dyDescent="0.25">
      <c r="A46" s="3" t="s">
        <v>87</v>
      </c>
      <c r="B46" s="4">
        <v>1</v>
      </c>
      <c r="C46" s="3"/>
      <c r="D46" s="3" t="s">
        <v>358</v>
      </c>
      <c r="E46" s="4">
        <v>25</v>
      </c>
      <c r="F46" s="81" t="s">
        <v>315</v>
      </c>
      <c r="G46" s="33" t="str">
        <f>IFERROR(IF(VLOOKUP(TableHandbook[[#This Row],[UDC]],TableAvailabilities[],2,FALSE)&gt;0,"Y",""),"")</f>
        <v/>
      </c>
      <c r="H46" s="82" t="str">
        <f>IFERROR(IF(VLOOKUP(TableHandbook[[#This Row],[UDC]],TableAvailabilities[],3,FALSE)&gt;0,"Y",""),"")</f>
        <v/>
      </c>
      <c r="I46" s="82" t="str">
        <f>IFERROR(IF(VLOOKUP(TableHandbook[[#This Row],[UDC]],TableAvailabilities[],4,FALSE)&gt;0,"Y",""),"")</f>
        <v>Y</v>
      </c>
      <c r="J46" s="82" t="str">
        <f>IFERROR(IF(VLOOKUP(TableHandbook[[#This Row],[UDC]],TableAvailabilities[],5,FALSE)&gt;0,"Y",""),"")</f>
        <v>Y</v>
      </c>
      <c r="K46" s="82" t="str">
        <f>IFERROR(IF(VLOOKUP(TableHandbook[[#This Row],[UDC]],TableAvailabilities[],6,FALSE)&gt;0,"Y",""),"")</f>
        <v>Y</v>
      </c>
      <c r="L46" s="82" t="str">
        <f>IFERROR(IF(VLOOKUP(TableHandbook[[#This Row],[UDC]],TableAvailabilities[],7,FALSE)&gt;0,"Y",""),"")</f>
        <v>Y</v>
      </c>
      <c r="M46" s="83" t="str">
        <f>IFERROR(IF(VLOOKUP(TableHandbook[[#This Row],[UDC]],TableAvailabilities[],8,FALSE)&gt;0,"Y",""),"")</f>
        <v>Y</v>
      </c>
      <c r="N46" s="82" t="str">
        <f>IFERROR(IF(VLOOKUP(TableHandbook[[#This Row],[UDC]],TableAvailabilities[],9,FALSE)&gt;0,"Y",""),"")</f>
        <v>Y</v>
      </c>
      <c r="O46" s="190"/>
      <c r="P46" s="186" t="str">
        <f>IFERROR(VLOOKUP(TableHandbook[[#This Row],[UDC]],TableMCTEACH[],7,FALSE),"")</f>
        <v/>
      </c>
      <c r="Q46" s="121" t="str">
        <f>IFERROR(VLOOKUP(TableHandbook[[#This Row],[UDC]],TableMJRPTCHEC[],7,FALSE),"")</f>
        <v>Core</v>
      </c>
      <c r="R46" s="121" t="str">
        <f>IFERROR(VLOOKUP(TableHandbook[[#This Row],[UDC]],TableMJRPTCHPR[],7,FALSE),"")</f>
        <v>Core</v>
      </c>
      <c r="S46" s="121" t="str">
        <f>IFERROR(VLOOKUP(TableHandbook[[#This Row],[UDC]],TableMJRPTCHSC[],7,FALSE),"")</f>
        <v>Core</v>
      </c>
      <c r="T46" s="121" t="str">
        <f>IFERROR(VLOOKUP(TableHandbook[[#This Row],[UDC]],TableSTRPSCART[],7,FALSE),"")</f>
        <v/>
      </c>
      <c r="U46" s="121" t="str">
        <f>IFERROR(VLOOKUP(TableHandbook[[#This Row],[UDC]],TableSTRPSCENG[],7,FALSE),"")</f>
        <v/>
      </c>
      <c r="V46" s="121" t="str">
        <f>IFERROR(VLOOKUP(TableHandbook[[#This Row],[UDC]],TableSTRPSCHLP[],7,FALSE),"")</f>
        <v/>
      </c>
      <c r="W46" s="121" t="str">
        <f>IFERROR(VLOOKUP(TableHandbook[[#This Row],[UDC]],TableSTRPSCHUS[],7,FALSE),"")</f>
        <v/>
      </c>
      <c r="X46" s="121" t="str">
        <f>IFERROR(VLOOKUP(TableHandbook[[#This Row],[UDC]],TableSTRPSCMAT[],7,FALSE),"")</f>
        <v/>
      </c>
      <c r="Y46" s="121" t="str">
        <f>IFERROR(VLOOKUP(TableHandbook[[#This Row],[UDC]],TableSTRPSCSCI[],7,FALSE),"")</f>
        <v/>
      </c>
      <c r="Z46" s="153" t="str">
        <f>IFERROR(VLOOKUP(TableHandbook[[#This Row],[UDC]],TableSTRPSCFON[],7,FALSE),"")</f>
        <v/>
      </c>
      <c r="AA46" s="154" t="str">
        <f>IFERROR(VLOOKUP(TableHandbook[[#This Row],[UDC]],TableGCTESOL[],7,FALSE),"")</f>
        <v/>
      </c>
      <c r="AB46" s="121" t="str">
        <f>IFERROR(VLOOKUP(TableHandbook[[#This Row],[UDC]],TableMCTESOL[],7,FALSE),"")</f>
        <v>Core</v>
      </c>
      <c r="AC46" s="153" t="str">
        <f>IFERROR(VLOOKUP(TableHandbook[[#This Row],[UDC]],TableMCAPLING[],7,FALSE),"")</f>
        <v/>
      </c>
      <c r="AD46" s="82" t="str">
        <f>IFERROR(VLOOKUP(TableHandbook[[#This Row],[UDC]],TableGCEDHE[],7,FALSE),"")</f>
        <v/>
      </c>
      <c r="AE46" s="154" t="str">
        <f>IFERROR(VLOOKUP(TableHandbook[[#This Row],[UDC]],TableGCEDUC[],7,FALSE),"")</f>
        <v>Option</v>
      </c>
      <c r="AF46" s="186" t="str">
        <f>IFERROR(VLOOKUP(TableHandbook[[#This Row],[UDC]],TableGDEDUC[],7,FALSE),"")</f>
        <v/>
      </c>
      <c r="AG46" s="186" t="str">
        <f>IFERROR(VLOOKUP(TableHandbook[[#This Row],[UDC]],TableMJRPEDUPR[],7,FALSE),"")</f>
        <v>Core</v>
      </c>
      <c r="AH46" s="186" t="str">
        <f>IFERROR(VLOOKUP(TableHandbook[[#This Row],[UDC]],TableMJRPEDUSC[],7,FALSE),"")</f>
        <v>Core</v>
      </c>
      <c r="AI46" s="121" t="str">
        <f>IFERROR(VLOOKUP(TableHandbook[[#This Row],[UDC]],TableMCEDUC[],7,FALSE),"")</f>
        <v/>
      </c>
      <c r="AJ46" s="121" t="str">
        <f>IFERROR(VLOOKUP(TableHandbook[[#This Row],[UDC]],TableSPPECULIN[],7,FALSE),"")</f>
        <v/>
      </c>
      <c r="AK46" s="121" t="str">
        <f>IFERROR(VLOOKUP(TableHandbook[[#This Row],[UDC]],TableSPPELNTCH[],7,FALSE),"")</f>
        <v/>
      </c>
      <c r="AL46" s="153" t="str">
        <f>IFERROR(VLOOKUP(TableHandbook[[#This Row],[UDC]],TableSPPESTEME[],7,FALSE),"")</f>
        <v/>
      </c>
    </row>
    <row r="47" spans="1:38" x14ac:dyDescent="0.25">
      <c r="A47" s="3" t="s">
        <v>88</v>
      </c>
      <c r="B47" s="4">
        <v>1</v>
      </c>
      <c r="C47" s="3"/>
      <c r="D47" s="3" t="s">
        <v>359</v>
      </c>
      <c r="E47" s="4">
        <v>25</v>
      </c>
      <c r="F47" s="81" t="s">
        <v>315</v>
      </c>
      <c r="G47" s="33" t="str">
        <f>IFERROR(IF(VLOOKUP(TableHandbook[[#This Row],[UDC]],TableAvailabilities[],2,FALSE)&gt;0,"Y",""),"")</f>
        <v>Y</v>
      </c>
      <c r="H47" s="82" t="str">
        <f>IFERROR(IF(VLOOKUP(TableHandbook[[#This Row],[UDC]],TableAvailabilities[],3,FALSE)&gt;0,"Y",""),"")</f>
        <v>Y</v>
      </c>
      <c r="I47" s="82" t="str">
        <f>IFERROR(IF(VLOOKUP(TableHandbook[[#This Row],[UDC]],TableAvailabilities[],4,FALSE)&gt;0,"Y",""),"")</f>
        <v/>
      </c>
      <c r="J47" s="82" t="str">
        <f>IFERROR(IF(VLOOKUP(TableHandbook[[#This Row],[UDC]],TableAvailabilities[],5,FALSE)&gt;0,"Y",""),"")</f>
        <v/>
      </c>
      <c r="K47" s="82" t="str">
        <f>IFERROR(IF(VLOOKUP(TableHandbook[[#This Row],[UDC]],TableAvailabilities[],6,FALSE)&gt;0,"Y",""),"")</f>
        <v>Y</v>
      </c>
      <c r="L47" s="82" t="str">
        <f>IFERROR(IF(VLOOKUP(TableHandbook[[#This Row],[UDC]],TableAvailabilities[],7,FALSE)&gt;0,"Y",""),"")</f>
        <v>Y</v>
      </c>
      <c r="M47" s="83" t="str">
        <f>IFERROR(IF(VLOOKUP(TableHandbook[[#This Row],[UDC]],TableAvailabilities[],8,FALSE)&gt;0,"Y",""),"")</f>
        <v/>
      </c>
      <c r="N47" s="82" t="str">
        <f>IFERROR(IF(VLOOKUP(TableHandbook[[#This Row],[UDC]],TableAvailabilities[],9,FALSE)&gt;0,"Y",""),"")</f>
        <v/>
      </c>
      <c r="O47" s="190"/>
      <c r="P47" s="186" t="str">
        <f>IFERROR(VLOOKUP(TableHandbook[[#This Row],[UDC]],TableMCTEACH[],7,FALSE),"")</f>
        <v/>
      </c>
      <c r="Q47" s="121" t="str">
        <f>IFERROR(VLOOKUP(TableHandbook[[#This Row],[UDC]],TableMJRPTCHEC[],7,FALSE),"")</f>
        <v/>
      </c>
      <c r="R47" s="121" t="str">
        <f>IFERROR(VLOOKUP(TableHandbook[[#This Row],[UDC]],TableMJRPTCHPR[],7,FALSE),"")</f>
        <v>Core</v>
      </c>
      <c r="S47" s="121" t="str">
        <f>IFERROR(VLOOKUP(TableHandbook[[#This Row],[UDC]],TableMJRPTCHSC[],7,FALSE),"")</f>
        <v>Core</v>
      </c>
      <c r="T47" s="121" t="str">
        <f>IFERROR(VLOOKUP(TableHandbook[[#This Row],[UDC]],TableSTRPSCART[],7,FALSE),"")</f>
        <v/>
      </c>
      <c r="U47" s="121" t="str">
        <f>IFERROR(VLOOKUP(TableHandbook[[#This Row],[UDC]],TableSTRPSCENG[],7,FALSE),"")</f>
        <v/>
      </c>
      <c r="V47" s="121" t="str">
        <f>IFERROR(VLOOKUP(TableHandbook[[#This Row],[UDC]],TableSTRPSCHLP[],7,FALSE),"")</f>
        <v/>
      </c>
      <c r="W47" s="121" t="str">
        <f>IFERROR(VLOOKUP(TableHandbook[[#This Row],[UDC]],TableSTRPSCHUS[],7,FALSE),"")</f>
        <v/>
      </c>
      <c r="X47" s="121" t="str">
        <f>IFERROR(VLOOKUP(TableHandbook[[#This Row],[UDC]],TableSTRPSCMAT[],7,FALSE),"")</f>
        <v/>
      </c>
      <c r="Y47" s="121" t="str">
        <f>IFERROR(VLOOKUP(TableHandbook[[#This Row],[UDC]],TableSTRPSCSCI[],7,FALSE),"")</f>
        <v/>
      </c>
      <c r="Z47" s="153" t="str">
        <f>IFERROR(VLOOKUP(TableHandbook[[#This Row],[UDC]],TableSTRPSCFON[],7,FALSE),"")</f>
        <v/>
      </c>
      <c r="AA47" s="154" t="str">
        <f>IFERROR(VLOOKUP(TableHandbook[[#This Row],[UDC]],TableGCTESOL[],7,FALSE),"")</f>
        <v/>
      </c>
      <c r="AB47" s="121" t="str">
        <f>IFERROR(VLOOKUP(TableHandbook[[#This Row],[UDC]],TableMCTESOL[],7,FALSE),"")</f>
        <v/>
      </c>
      <c r="AC47" s="153" t="str">
        <f>IFERROR(VLOOKUP(TableHandbook[[#This Row],[UDC]],TableMCAPLING[],7,FALSE),"")</f>
        <v/>
      </c>
      <c r="AD47" s="82" t="str">
        <f>IFERROR(VLOOKUP(TableHandbook[[#This Row],[UDC]],TableGCEDHE[],7,FALSE),"")</f>
        <v/>
      </c>
      <c r="AE47" s="154" t="str">
        <f>IFERROR(VLOOKUP(TableHandbook[[#This Row],[UDC]],TableGCEDUC[],7,FALSE),"")</f>
        <v>Option</v>
      </c>
      <c r="AF47" s="186" t="str">
        <f>IFERROR(VLOOKUP(TableHandbook[[#This Row],[UDC]],TableGDEDUC[],7,FALSE),"")</f>
        <v/>
      </c>
      <c r="AG47" s="186" t="str">
        <f>IFERROR(VLOOKUP(TableHandbook[[#This Row],[UDC]],TableMJRPEDUPR[],7,FALSE),"")</f>
        <v/>
      </c>
      <c r="AH47" s="186" t="str">
        <f>IFERROR(VLOOKUP(TableHandbook[[#This Row],[UDC]],TableMJRPEDUSC[],7,FALSE),"")</f>
        <v>Core</v>
      </c>
      <c r="AI47" s="121" t="str">
        <f>IFERROR(VLOOKUP(TableHandbook[[#This Row],[UDC]],TableMCEDUC[],7,FALSE),"")</f>
        <v/>
      </c>
      <c r="AJ47" s="121" t="str">
        <f>IFERROR(VLOOKUP(TableHandbook[[#This Row],[UDC]],TableSPPECULIN[],7,FALSE),"")</f>
        <v/>
      </c>
      <c r="AK47" s="121" t="str">
        <f>IFERROR(VLOOKUP(TableHandbook[[#This Row],[UDC]],TableSPPELNTCH[],7,FALSE),"")</f>
        <v/>
      </c>
      <c r="AL47" s="153" t="str">
        <f>IFERROR(VLOOKUP(TableHandbook[[#This Row],[UDC]],TableSPPESTEME[],7,FALSE),"")</f>
        <v/>
      </c>
    </row>
    <row r="48" spans="1:38" x14ac:dyDescent="0.25">
      <c r="A48" s="3" t="s">
        <v>64</v>
      </c>
      <c r="B48" s="4">
        <v>1</v>
      </c>
      <c r="C48" s="3"/>
      <c r="D48" s="3" t="s">
        <v>360</v>
      </c>
      <c r="E48" s="4">
        <v>25</v>
      </c>
      <c r="F48" s="81" t="s">
        <v>315</v>
      </c>
      <c r="G48" s="33" t="str">
        <f>IFERROR(IF(VLOOKUP(TableHandbook[[#This Row],[UDC]],TableAvailabilities[],2,FALSE)&gt;0,"Y",""),"")</f>
        <v/>
      </c>
      <c r="H48" s="82" t="str">
        <f>IFERROR(IF(VLOOKUP(TableHandbook[[#This Row],[UDC]],TableAvailabilities[],3,FALSE)&gt;0,"Y",""),"")</f>
        <v/>
      </c>
      <c r="I48" s="82" t="str">
        <f>IFERROR(IF(VLOOKUP(TableHandbook[[#This Row],[UDC]],TableAvailabilities[],4,FALSE)&gt;0,"Y",""),"")</f>
        <v>Y</v>
      </c>
      <c r="J48" s="82" t="str">
        <f>IFERROR(IF(VLOOKUP(TableHandbook[[#This Row],[UDC]],TableAvailabilities[],5,FALSE)&gt;0,"Y",""),"")</f>
        <v>Y</v>
      </c>
      <c r="K48" s="82" t="str">
        <f>IFERROR(IF(VLOOKUP(TableHandbook[[#This Row],[UDC]],TableAvailabilities[],6,FALSE)&gt;0,"Y",""),"")</f>
        <v/>
      </c>
      <c r="L48" s="82" t="str">
        <f>IFERROR(IF(VLOOKUP(TableHandbook[[#This Row],[UDC]],TableAvailabilities[],7,FALSE)&gt;0,"Y",""),"")</f>
        <v/>
      </c>
      <c r="M48" s="83" t="str">
        <f>IFERROR(IF(VLOOKUP(TableHandbook[[#This Row],[UDC]],TableAvailabilities[],8,FALSE)&gt;0,"Y",""),"")</f>
        <v>Y</v>
      </c>
      <c r="N48" s="82" t="str">
        <f>IFERROR(IF(VLOOKUP(TableHandbook[[#This Row],[UDC]],TableAvailabilities[],9,FALSE)&gt;0,"Y",""),"")</f>
        <v>Y</v>
      </c>
      <c r="O48" s="190"/>
      <c r="P48" s="186" t="str">
        <f>IFERROR(VLOOKUP(TableHandbook[[#This Row],[UDC]],TableMCTEACH[],7,FALSE),"")</f>
        <v/>
      </c>
      <c r="Q48" s="121" t="str">
        <f>IFERROR(VLOOKUP(TableHandbook[[#This Row],[UDC]],TableMJRPTCHEC[],7,FALSE),"")</f>
        <v>Core</v>
      </c>
      <c r="R48" s="121" t="str">
        <f>IFERROR(VLOOKUP(TableHandbook[[#This Row],[UDC]],TableMJRPTCHPR[],7,FALSE),"")</f>
        <v>Core</v>
      </c>
      <c r="S48" s="121" t="str">
        <f>IFERROR(VLOOKUP(TableHandbook[[#This Row],[UDC]],TableMJRPTCHSC[],7,FALSE),"")</f>
        <v/>
      </c>
      <c r="T48" s="121" t="str">
        <f>IFERROR(VLOOKUP(TableHandbook[[#This Row],[UDC]],TableSTRPSCART[],7,FALSE),"")</f>
        <v/>
      </c>
      <c r="U48" s="121" t="str">
        <f>IFERROR(VLOOKUP(TableHandbook[[#This Row],[UDC]],TableSTRPSCENG[],7,FALSE),"")</f>
        <v/>
      </c>
      <c r="V48" s="121" t="str">
        <f>IFERROR(VLOOKUP(TableHandbook[[#This Row],[UDC]],TableSTRPSCHLP[],7,FALSE),"")</f>
        <v/>
      </c>
      <c r="W48" s="121" t="str">
        <f>IFERROR(VLOOKUP(TableHandbook[[#This Row],[UDC]],TableSTRPSCHUS[],7,FALSE),"")</f>
        <v/>
      </c>
      <c r="X48" s="121" t="str">
        <f>IFERROR(VLOOKUP(TableHandbook[[#This Row],[UDC]],TableSTRPSCMAT[],7,FALSE),"")</f>
        <v/>
      </c>
      <c r="Y48" s="121" t="str">
        <f>IFERROR(VLOOKUP(TableHandbook[[#This Row],[UDC]],TableSTRPSCSCI[],7,FALSE),"")</f>
        <v/>
      </c>
      <c r="Z48" s="153" t="str">
        <f>IFERROR(VLOOKUP(TableHandbook[[#This Row],[UDC]],TableSTRPSCFON[],7,FALSE),"")</f>
        <v/>
      </c>
      <c r="AA48" s="154" t="str">
        <f>IFERROR(VLOOKUP(TableHandbook[[#This Row],[UDC]],TableGCTESOL[],7,FALSE),"")</f>
        <v/>
      </c>
      <c r="AB48" s="121" t="str">
        <f>IFERROR(VLOOKUP(TableHandbook[[#This Row],[UDC]],TableMCTESOL[],7,FALSE),"")</f>
        <v/>
      </c>
      <c r="AC48" s="153" t="str">
        <f>IFERROR(VLOOKUP(TableHandbook[[#This Row],[UDC]],TableMCAPLING[],7,FALSE),"")</f>
        <v/>
      </c>
      <c r="AD48" s="82" t="str">
        <f>IFERROR(VLOOKUP(TableHandbook[[#This Row],[UDC]],TableGCEDHE[],7,FALSE),"")</f>
        <v/>
      </c>
      <c r="AE48" s="154" t="str">
        <f>IFERROR(VLOOKUP(TableHandbook[[#This Row],[UDC]],TableGCEDUC[],7,FALSE),"")</f>
        <v>Option</v>
      </c>
      <c r="AF48" s="186" t="str">
        <f>IFERROR(VLOOKUP(TableHandbook[[#This Row],[UDC]],TableGDEDUC[],7,FALSE),"")</f>
        <v/>
      </c>
      <c r="AG48" s="186" t="str">
        <f>IFERROR(VLOOKUP(TableHandbook[[#This Row],[UDC]],TableMJRPEDUPR[],7,FALSE),"")</f>
        <v/>
      </c>
      <c r="AH48" s="186" t="str">
        <f>IFERROR(VLOOKUP(TableHandbook[[#This Row],[UDC]],TableMJRPEDUSC[],7,FALSE),"")</f>
        <v/>
      </c>
      <c r="AI48" s="121" t="str">
        <f>IFERROR(VLOOKUP(TableHandbook[[#This Row],[UDC]],TableMCEDUC[],7,FALSE),"")</f>
        <v/>
      </c>
      <c r="AJ48" s="121" t="str">
        <f>IFERROR(VLOOKUP(TableHandbook[[#This Row],[UDC]],TableSPPECULIN[],7,FALSE),"")</f>
        <v/>
      </c>
      <c r="AK48" s="121" t="str">
        <f>IFERROR(VLOOKUP(TableHandbook[[#This Row],[UDC]],TableSPPELNTCH[],7,FALSE),"")</f>
        <v/>
      </c>
      <c r="AL48" s="153" t="str">
        <f>IFERROR(VLOOKUP(TableHandbook[[#This Row],[UDC]],TableSPPESTEME[],7,FALSE),"")</f>
        <v/>
      </c>
    </row>
    <row r="49" spans="1:38" x14ac:dyDescent="0.25">
      <c r="A49" s="3" t="s">
        <v>157</v>
      </c>
      <c r="B49" s="4">
        <v>1</v>
      </c>
      <c r="C49" s="3"/>
      <c r="D49" s="3" t="s">
        <v>361</v>
      </c>
      <c r="E49" s="4">
        <v>25</v>
      </c>
      <c r="F49" s="81" t="s">
        <v>315</v>
      </c>
      <c r="G49" s="33" t="str">
        <f>IFERROR(IF(VLOOKUP(TableHandbook[[#This Row],[UDC]],TableAvailabilities[],2,FALSE)&gt;0,"Y",""),"")</f>
        <v/>
      </c>
      <c r="H49" s="82" t="str">
        <f>IFERROR(IF(VLOOKUP(TableHandbook[[#This Row],[UDC]],TableAvailabilities[],3,FALSE)&gt;0,"Y",""),"")</f>
        <v/>
      </c>
      <c r="I49" s="82" t="str">
        <f>IFERROR(IF(VLOOKUP(TableHandbook[[#This Row],[UDC]],TableAvailabilities[],4,FALSE)&gt;0,"Y",""),"")</f>
        <v>Y</v>
      </c>
      <c r="J49" s="82" t="str">
        <f>IFERROR(IF(VLOOKUP(TableHandbook[[#This Row],[UDC]],TableAvailabilities[],5,FALSE)&gt;0,"Y",""),"")</f>
        <v>Y</v>
      </c>
      <c r="K49" s="82" t="str">
        <f>IFERROR(IF(VLOOKUP(TableHandbook[[#This Row],[UDC]],TableAvailabilities[],6,FALSE)&gt;0,"Y",""),"")</f>
        <v/>
      </c>
      <c r="L49" s="82" t="str">
        <f>IFERROR(IF(VLOOKUP(TableHandbook[[#This Row],[UDC]],TableAvailabilities[],7,FALSE)&gt;0,"Y",""),"")</f>
        <v/>
      </c>
      <c r="M49" s="83" t="str">
        <f>IFERROR(IF(VLOOKUP(TableHandbook[[#This Row],[UDC]],TableAvailabilities[],8,FALSE)&gt;0,"Y",""),"")</f>
        <v>Y</v>
      </c>
      <c r="N49" s="82" t="str">
        <f>IFERROR(IF(VLOOKUP(TableHandbook[[#This Row],[UDC]],TableAvailabilities[],9,FALSE)&gt;0,"Y",""),"")</f>
        <v>Y</v>
      </c>
      <c r="O49" s="190"/>
      <c r="P49" s="186" t="str">
        <f>IFERROR(VLOOKUP(TableHandbook[[#This Row],[UDC]],TableMCTEACH[],7,FALSE),"")</f>
        <v/>
      </c>
      <c r="Q49" s="121" t="str">
        <f>IFERROR(VLOOKUP(TableHandbook[[#This Row],[UDC]],TableMJRPTCHEC[],7,FALSE),"")</f>
        <v/>
      </c>
      <c r="R49" s="121" t="str">
        <f>IFERROR(VLOOKUP(TableHandbook[[#This Row],[UDC]],TableMJRPTCHPR[],7,FALSE),"")</f>
        <v/>
      </c>
      <c r="S49" s="121" t="str">
        <f>IFERROR(VLOOKUP(TableHandbook[[#This Row],[UDC]],TableMJRPTCHSC[],7,FALSE),"")</f>
        <v/>
      </c>
      <c r="T49" s="121" t="str">
        <f>IFERROR(VLOOKUP(TableHandbook[[#This Row],[UDC]],TableSTRPSCART[],7,FALSE),"")</f>
        <v/>
      </c>
      <c r="U49" s="121" t="str">
        <f>IFERROR(VLOOKUP(TableHandbook[[#This Row],[UDC]],TableSTRPSCENG[],7,FALSE),"")</f>
        <v/>
      </c>
      <c r="V49" s="121" t="str">
        <f>IFERROR(VLOOKUP(TableHandbook[[#This Row],[UDC]],TableSTRPSCHLP[],7,FALSE),"")</f>
        <v/>
      </c>
      <c r="W49" s="121" t="str">
        <f>IFERROR(VLOOKUP(TableHandbook[[#This Row],[UDC]],TableSTRPSCHUS[],7,FALSE),"")</f>
        <v/>
      </c>
      <c r="X49" s="121" t="str">
        <f>IFERROR(VLOOKUP(TableHandbook[[#This Row],[UDC]],TableSTRPSCMAT[],7,FALSE),"")</f>
        <v/>
      </c>
      <c r="Y49" s="121" t="str">
        <f>IFERROR(VLOOKUP(TableHandbook[[#This Row],[UDC]],TableSTRPSCSCI[],7,FALSE),"")</f>
        <v/>
      </c>
      <c r="Z49" s="153" t="str">
        <f>IFERROR(VLOOKUP(TableHandbook[[#This Row],[UDC]],TableSTRPSCFON[],7,FALSE),"")</f>
        <v/>
      </c>
      <c r="AA49" s="154" t="str">
        <f>IFERROR(VLOOKUP(TableHandbook[[#This Row],[UDC]],TableGCTESOL[],7,FALSE),"")</f>
        <v>Core</v>
      </c>
      <c r="AB49" s="121" t="str">
        <f>IFERROR(VLOOKUP(TableHandbook[[#This Row],[UDC]],TableMCTESOL[],7,FALSE),"")</f>
        <v>Core</v>
      </c>
      <c r="AC49" s="153" t="str">
        <f>IFERROR(VLOOKUP(TableHandbook[[#This Row],[UDC]],TableMCAPLING[],7,FALSE),"")</f>
        <v/>
      </c>
      <c r="AD49" s="82" t="str">
        <f>IFERROR(VLOOKUP(TableHandbook[[#This Row],[UDC]],TableGCEDHE[],7,FALSE),"")</f>
        <v/>
      </c>
      <c r="AE49" s="154" t="str">
        <f>IFERROR(VLOOKUP(TableHandbook[[#This Row],[UDC]],TableGCEDUC[],7,FALSE),"")</f>
        <v/>
      </c>
      <c r="AF49" s="186" t="str">
        <f>IFERROR(VLOOKUP(TableHandbook[[#This Row],[UDC]],TableGDEDUC[],7,FALSE),"")</f>
        <v/>
      </c>
      <c r="AG49" s="186" t="str">
        <f>IFERROR(VLOOKUP(TableHandbook[[#This Row],[UDC]],TableMJRPEDUPR[],7,FALSE),"")</f>
        <v/>
      </c>
      <c r="AH49" s="186" t="str">
        <f>IFERROR(VLOOKUP(TableHandbook[[#This Row],[UDC]],TableMJRPEDUSC[],7,FALSE),"")</f>
        <v/>
      </c>
      <c r="AI49" s="121" t="str">
        <f>IFERROR(VLOOKUP(TableHandbook[[#This Row],[UDC]],TableMCEDUC[],7,FALSE),"")</f>
        <v/>
      </c>
      <c r="AJ49" s="121" t="str">
        <f>IFERROR(VLOOKUP(TableHandbook[[#This Row],[UDC]],TableSPPECULIN[],7,FALSE),"")</f>
        <v/>
      </c>
      <c r="AK49" s="121" t="str">
        <f>IFERROR(VLOOKUP(TableHandbook[[#This Row],[UDC]],TableSPPELNTCH[],7,FALSE),"")</f>
        <v/>
      </c>
      <c r="AL49" s="153" t="str">
        <f>IFERROR(VLOOKUP(TableHandbook[[#This Row],[UDC]],TableSPPESTEME[],7,FALSE),"")</f>
        <v/>
      </c>
    </row>
    <row r="50" spans="1:38" x14ac:dyDescent="0.25">
      <c r="A50" s="3" t="s">
        <v>156</v>
      </c>
      <c r="B50" s="4">
        <v>1</v>
      </c>
      <c r="C50" s="3"/>
      <c r="D50" s="3" t="s">
        <v>362</v>
      </c>
      <c r="E50" s="4">
        <v>25</v>
      </c>
      <c r="F50" s="81" t="s">
        <v>315</v>
      </c>
      <c r="G50" s="33" t="str">
        <f>IFERROR(IF(VLOOKUP(TableHandbook[[#This Row],[UDC]],TableAvailabilities[],2,FALSE)&gt;0,"Y",""),"")</f>
        <v>Y</v>
      </c>
      <c r="H50" s="82" t="str">
        <f>IFERROR(IF(VLOOKUP(TableHandbook[[#This Row],[UDC]],TableAvailabilities[],3,FALSE)&gt;0,"Y",""),"")</f>
        <v>Y</v>
      </c>
      <c r="I50" s="82" t="str">
        <f>IFERROR(IF(VLOOKUP(TableHandbook[[#This Row],[UDC]],TableAvailabilities[],4,FALSE)&gt;0,"Y",""),"")</f>
        <v/>
      </c>
      <c r="J50" s="82" t="str">
        <f>IFERROR(IF(VLOOKUP(TableHandbook[[#This Row],[UDC]],TableAvailabilities[],5,FALSE)&gt;0,"Y",""),"")</f>
        <v/>
      </c>
      <c r="K50" s="82" t="str">
        <f>IFERROR(IF(VLOOKUP(TableHandbook[[#This Row],[UDC]],TableAvailabilities[],6,FALSE)&gt;0,"Y",""),"")</f>
        <v/>
      </c>
      <c r="L50" s="82" t="str">
        <f>IFERROR(IF(VLOOKUP(TableHandbook[[#This Row],[UDC]],TableAvailabilities[],7,FALSE)&gt;0,"Y",""),"")</f>
        <v>Y</v>
      </c>
      <c r="M50" s="83" t="str">
        <f>IFERROR(IF(VLOOKUP(TableHandbook[[#This Row],[UDC]],TableAvailabilities[],8,FALSE)&gt;0,"Y",""),"")</f>
        <v/>
      </c>
      <c r="N50" s="82" t="str">
        <f>IFERROR(IF(VLOOKUP(TableHandbook[[#This Row],[UDC]],TableAvailabilities[],9,FALSE)&gt;0,"Y",""),"")</f>
        <v/>
      </c>
      <c r="O50" s="190"/>
      <c r="P50" s="186" t="str">
        <f>IFERROR(VLOOKUP(TableHandbook[[#This Row],[UDC]],TableMCTEACH[],7,FALSE),"")</f>
        <v/>
      </c>
      <c r="Q50" s="121" t="str">
        <f>IFERROR(VLOOKUP(TableHandbook[[#This Row],[UDC]],TableMJRPTCHEC[],7,FALSE),"")</f>
        <v/>
      </c>
      <c r="R50" s="121" t="str">
        <f>IFERROR(VLOOKUP(TableHandbook[[#This Row],[UDC]],TableMJRPTCHPR[],7,FALSE),"")</f>
        <v/>
      </c>
      <c r="S50" s="121" t="str">
        <f>IFERROR(VLOOKUP(TableHandbook[[#This Row],[UDC]],TableMJRPTCHSC[],7,FALSE),"")</f>
        <v/>
      </c>
      <c r="T50" s="121" t="str">
        <f>IFERROR(VLOOKUP(TableHandbook[[#This Row],[UDC]],TableSTRPSCART[],7,FALSE),"")</f>
        <v/>
      </c>
      <c r="U50" s="121" t="str">
        <f>IFERROR(VLOOKUP(TableHandbook[[#This Row],[UDC]],TableSTRPSCENG[],7,FALSE),"")</f>
        <v/>
      </c>
      <c r="V50" s="121" t="str">
        <f>IFERROR(VLOOKUP(TableHandbook[[#This Row],[UDC]],TableSTRPSCHLP[],7,FALSE),"")</f>
        <v/>
      </c>
      <c r="W50" s="121" t="str">
        <f>IFERROR(VLOOKUP(TableHandbook[[#This Row],[UDC]],TableSTRPSCHUS[],7,FALSE),"")</f>
        <v/>
      </c>
      <c r="X50" s="121" t="str">
        <f>IFERROR(VLOOKUP(TableHandbook[[#This Row],[UDC]],TableSTRPSCMAT[],7,FALSE),"")</f>
        <v/>
      </c>
      <c r="Y50" s="121" t="str">
        <f>IFERROR(VLOOKUP(TableHandbook[[#This Row],[UDC]],TableSTRPSCSCI[],7,FALSE),"")</f>
        <v/>
      </c>
      <c r="Z50" s="153" t="str">
        <f>IFERROR(VLOOKUP(TableHandbook[[#This Row],[UDC]],TableSTRPSCFON[],7,FALSE),"")</f>
        <v/>
      </c>
      <c r="AA50" s="154" t="str">
        <f>IFERROR(VLOOKUP(TableHandbook[[#This Row],[UDC]],TableGCTESOL[],7,FALSE),"")</f>
        <v>Core</v>
      </c>
      <c r="AB50" s="121" t="str">
        <f>IFERROR(VLOOKUP(TableHandbook[[#This Row],[UDC]],TableMCTESOL[],7,FALSE),"")</f>
        <v>Core</v>
      </c>
      <c r="AC50" s="153" t="str">
        <f>IFERROR(VLOOKUP(TableHandbook[[#This Row],[UDC]],TableMCAPLING[],7,FALSE),"")</f>
        <v/>
      </c>
      <c r="AD50" s="82" t="str">
        <f>IFERROR(VLOOKUP(TableHandbook[[#This Row],[UDC]],TableGCEDHE[],7,FALSE),"")</f>
        <v/>
      </c>
      <c r="AE50" s="154" t="str">
        <f>IFERROR(VLOOKUP(TableHandbook[[#This Row],[UDC]],TableGCEDUC[],7,FALSE),"")</f>
        <v/>
      </c>
      <c r="AF50" s="186" t="str">
        <f>IFERROR(VLOOKUP(TableHandbook[[#This Row],[UDC]],TableGDEDUC[],7,FALSE),"")</f>
        <v/>
      </c>
      <c r="AG50" s="186" t="str">
        <f>IFERROR(VLOOKUP(TableHandbook[[#This Row],[UDC]],TableMJRPEDUPR[],7,FALSE),"")</f>
        <v/>
      </c>
      <c r="AH50" s="186" t="str">
        <f>IFERROR(VLOOKUP(TableHandbook[[#This Row],[UDC]],TableMJRPEDUSC[],7,FALSE),"")</f>
        <v/>
      </c>
      <c r="AI50" s="121" t="str">
        <f>IFERROR(VLOOKUP(TableHandbook[[#This Row],[UDC]],TableMCEDUC[],7,FALSE),"")</f>
        <v/>
      </c>
      <c r="AJ50" s="121" t="str">
        <f>IFERROR(VLOOKUP(TableHandbook[[#This Row],[UDC]],TableSPPECULIN[],7,FALSE),"")</f>
        <v/>
      </c>
      <c r="AK50" s="121" t="str">
        <f>IFERROR(VLOOKUP(TableHandbook[[#This Row],[UDC]],TableSPPELNTCH[],7,FALSE),"")</f>
        <v/>
      </c>
      <c r="AL50" s="153" t="str">
        <f>IFERROR(VLOOKUP(TableHandbook[[#This Row],[UDC]],TableSPPESTEME[],7,FALSE),"")</f>
        <v/>
      </c>
    </row>
    <row r="51" spans="1:38" x14ac:dyDescent="0.25">
      <c r="A51" s="3" t="s">
        <v>162</v>
      </c>
      <c r="B51" s="4">
        <v>1</v>
      </c>
      <c r="C51" s="3"/>
      <c r="D51" s="3" t="s">
        <v>363</v>
      </c>
      <c r="E51" s="4">
        <v>25</v>
      </c>
      <c r="F51" s="81" t="s">
        <v>315</v>
      </c>
      <c r="G51" s="33" t="str">
        <f>IFERROR(IF(VLOOKUP(TableHandbook[[#This Row],[UDC]],TableAvailabilities[],2,FALSE)&gt;0,"Y",""),"")</f>
        <v/>
      </c>
      <c r="H51" s="82" t="str">
        <f>IFERROR(IF(VLOOKUP(TableHandbook[[#This Row],[UDC]],TableAvailabilities[],3,FALSE)&gt;0,"Y",""),"")</f>
        <v>Y</v>
      </c>
      <c r="I51" s="82" t="str">
        <f>IFERROR(IF(VLOOKUP(TableHandbook[[#This Row],[UDC]],TableAvailabilities[],4,FALSE)&gt;0,"Y",""),"")</f>
        <v/>
      </c>
      <c r="J51" s="82" t="str">
        <f>IFERROR(IF(VLOOKUP(TableHandbook[[#This Row],[UDC]],TableAvailabilities[],5,FALSE)&gt;0,"Y",""),"")</f>
        <v/>
      </c>
      <c r="K51" s="82" t="str">
        <f>IFERROR(IF(VLOOKUP(TableHandbook[[#This Row],[UDC]],TableAvailabilities[],6,FALSE)&gt;0,"Y",""),"")</f>
        <v>Y</v>
      </c>
      <c r="L51" s="82" t="str">
        <f>IFERROR(IF(VLOOKUP(TableHandbook[[#This Row],[UDC]],TableAvailabilities[],7,FALSE)&gt;0,"Y",""),"")</f>
        <v>Y</v>
      </c>
      <c r="M51" s="83" t="str">
        <f>IFERROR(IF(VLOOKUP(TableHandbook[[#This Row],[UDC]],TableAvailabilities[],8,FALSE)&gt;0,"Y",""),"")</f>
        <v/>
      </c>
      <c r="N51" s="82" t="str">
        <f>IFERROR(IF(VLOOKUP(TableHandbook[[#This Row],[UDC]],TableAvailabilities[],9,FALSE)&gt;0,"Y",""),"")</f>
        <v/>
      </c>
      <c r="O51" s="190"/>
      <c r="P51" s="186" t="str">
        <f>IFERROR(VLOOKUP(TableHandbook[[#This Row],[UDC]],TableMCTEACH[],7,FALSE),"")</f>
        <v/>
      </c>
      <c r="Q51" s="121" t="str">
        <f>IFERROR(VLOOKUP(TableHandbook[[#This Row],[UDC]],TableMJRPTCHEC[],7,FALSE),"")</f>
        <v/>
      </c>
      <c r="R51" s="121" t="str">
        <f>IFERROR(VLOOKUP(TableHandbook[[#This Row],[UDC]],TableMJRPTCHPR[],7,FALSE),"")</f>
        <v/>
      </c>
      <c r="S51" s="121" t="str">
        <f>IFERROR(VLOOKUP(TableHandbook[[#This Row],[UDC]],TableMJRPTCHSC[],7,FALSE),"")</f>
        <v/>
      </c>
      <c r="T51" s="121" t="str">
        <f>IFERROR(VLOOKUP(TableHandbook[[#This Row],[UDC]],TableSTRPSCART[],7,FALSE),"")</f>
        <v/>
      </c>
      <c r="U51" s="121" t="str">
        <f>IFERROR(VLOOKUP(TableHandbook[[#This Row],[UDC]],TableSTRPSCENG[],7,FALSE),"")</f>
        <v/>
      </c>
      <c r="V51" s="121" t="str">
        <f>IFERROR(VLOOKUP(TableHandbook[[#This Row],[UDC]],TableSTRPSCHLP[],7,FALSE),"")</f>
        <v/>
      </c>
      <c r="W51" s="121" t="str">
        <f>IFERROR(VLOOKUP(TableHandbook[[#This Row],[UDC]],TableSTRPSCHUS[],7,FALSE),"")</f>
        <v/>
      </c>
      <c r="X51" s="121" t="str">
        <f>IFERROR(VLOOKUP(TableHandbook[[#This Row],[UDC]],TableSTRPSCMAT[],7,FALSE),"")</f>
        <v/>
      </c>
      <c r="Y51" s="121" t="str">
        <f>IFERROR(VLOOKUP(TableHandbook[[#This Row],[UDC]],TableSTRPSCSCI[],7,FALSE),"")</f>
        <v/>
      </c>
      <c r="Z51" s="153" t="str">
        <f>IFERROR(VLOOKUP(TableHandbook[[#This Row],[UDC]],TableSTRPSCFON[],7,FALSE),"")</f>
        <v/>
      </c>
      <c r="AA51" s="154" t="str">
        <f>IFERROR(VLOOKUP(TableHandbook[[#This Row],[UDC]],TableGCTESOL[],7,FALSE),"")</f>
        <v>Core</v>
      </c>
      <c r="AB51" s="121" t="str">
        <f>IFERROR(VLOOKUP(TableHandbook[[#This Row],[UDC]],TableMCTESOL[],7,FALSE),"")</f>
        <v>Core</v>
      </c>
      <c r="AC51" s="153" t="str">
        <f>IFERROR(VLOOKUP(TableHandbook[[#This Row],[UDC]],TableMCAPLING[],7,FALSE),"")</f>
        <v/>
      </c>
      <c r="AD51" s="82" t="str">
        <f>IFERROR(VLOOKUP(TableHandbook[[#This Row],[UDC]],TableGCEDHE[],7,FALSE),"")</f>
        <v/>
      </c>
      <c r="AE51" s="154" t="str">
        <f>IFERROR(VLOOKUP(TableHandbook[[#This Row],[UDC]],TableGCEDUC[],7,FALSE),"")</f>
        <v/>
      </c>
      <c r="AF51" s="186" t="str">
        <f>IFERROR(VLOOKUP(TableHandbook[[#This Row],[UDC]],TableGDEDUC[],7,FALSE),"")</f>
        <v/>
      </c>
      <c r="AG51" s="186" t="str">
        <f>IFERROR(VLOOKUP(TableHandbook[[#This Row],[UDC]],TableMJRPEDUPR[],7,FALSE),"")</f>
        <v/>
      </c>
      <c r="AH51" s="186" t="str">
        <f>IFERROR(VLOOKUP(TableHandbook[[#This Row],[UDC]],TableMJRPEDUSC[],7,FALSE),"")</f>
        <v/>
      </c>
      <c r="AI51" s="121" t="str">
        <f>IFERROR(VLOOKUP(TableHandbook[[#This Row],[UDC]],TableMCEDUC[],7,FALSE),"")</f>
        <v/>
      </c>
      <c r="AJ51" s="121" t="str">
        <f>IFERROR(VLOOKUP(TableHandbook[[#This Row],[UDC]],TableSPPECULIN[],7,FALSE),"")</f>
        <v/>
      </c>
      <c r="AK51" s="121" t="str">
        <f>IFERROR(VLOOKUP(TableHandbook[[#This Row],[UDC]],TableSPPELNTCH[],7,FALSE),"")</f>
        <v/>
      </c>
      <c r="AL51" s="153" t="str">
        <f>IFERROR(VLOOKUP(TableHandbook[[#This Row],[UDC]],TableSPPESTEME[],7,FALSE),"")</f>
        <v/>
      </c>
    </row>
    <row r="52" spans="1:38" x14ac:dyDescent="0.25">
      <c r="A52" s="3" t="s">
        <v>163</v>
      </c>
      <c r="B52" s="4">
        <v>1</v>
      </c>
      <c r="C52" s="3"/>
      <c r="D52" s="3" t="s">
        <v>364</v>
      </c>
      <c r="E52" s="4">
        <v>25</v>
      </c>
      <c r="F52" s="81" t="s">
        <v>315</v>
      </c>
      <c r="G52" s="33" t="str">
        <f>IFERROR(IF(VLOOKUP(TableHandbook[[#This Row],[UDC]],TableAvailabilities[],2,FALSE)&gt;0,"Y",""),"")</f>
        <v/>
      </c>
      <c r="H52" s="82" t="str">
        <f>IFERROR(IF(VLOOKUP(TableHandbook[[#This Row],[UDC]],TableAvailabilities[],3,FALSE)&gt;0,"Y",""),"")</f>
        <v/>
      </c>
      <c r="I52" s="82" t="str">
        <f>IFERROR(IF(VLOOKUP(TableHandbook[[#This Row],[UDC]],TableAvailabilities[],4,FALSE)&gt;0,"Y",""),"")</f>
        <v>Y</v>
      </c>
      <c r="J52" s="82" t="str">
        <f>IFERROR(IF(VLOOKUP(TableHandbook[[#This Row],[UDC]],TableAvailabilities[],5,FALSE)&gt;0,"Y",""),"")</f>
        <v>Y</v>
      </c>
      <c r="K52" s="82" t="str">
        <f>IFERROR(IF(VLOOKUP(TableHandbook[[#This Row],[UDC]],TableAvailabilities[],6,FALSE)&gt;0,"Y",""),"")</f>
        <v/>
      </c>
      <c r="L52" s="82" t="str">
        <f>IFERROR(IF(VLOOKUP(TableHandbook[[#This Row],[UDC]],TableAvailabilities[],7,FALSE)&gt;0,"Y",""),"")</f>
        <v/>
      </c>
      <c r="M52" s="83" t="str">
        <f>IFERROR(IF(VLOOKUP(TableHandbook[[#This Row],[UDC]],TableAvailabilities[],8,FALSE)&gt;0,"Y",""),"")</f>
        <v/>
      </c>
      <c r="N52" s="82" t="str">
        <f>IFERROR(IF(VLOOKUP(TableHandbook[[#This Row],[UDC]],TableAvailabilities[],9,FALSE)&gt;0,"Y",""),"")</f>
        <v>Y</v>
      </c>
      <c r="O52" s="190"/>
      <c r="P52" s="186" t="str">
        <f>IFERROR(VLOOKUP(TableHandbook[[#This Row],[UDC]],TableMCTEACH[],7,FALSE),"")</f>
        <v/>
      </c>
      <c r="Q52" s="121" t="str">
        <f>IFERROR(VLOOKUP(TableHandbook[[#This Row],[UDC]],TableMJRPTCHEC[],7,FALSE),"")</f>
        <v/>
      </c>
      <c r="R52" s="121" t="str">
        <f>IFERROR(VLOOKUP(TableHandbook[[#This Row],[UDC]],TableMJRPTCHPR[],7,FALSE),"")</f>
        <v/>
      </c>
      <c r="S52" s="121" t="str">
        <f>IFERROR(VLOOKUP(TableHandbook[[#This Row],[UDC]],TableMJRPTCHSC[],7,FALSE),"")</f>
        <v/>
      </c>
      <c r="T52" s="121" t="str">
        <f>IFERROR(VLOOKUP(TableHandbook[[#This Row],[UDC]],TableSTRPSCART[],7,FALSE),"")</f>
        <v/>
      </c>
      <c r="U52" s="121" t="str">
        <f>IFERROR(VLOOKUP(TableHandbook[[#This Row],[UDC]],TableSTRPSCENG[],7,FALSE),"")</f>
        <v/>
      </c>
      <c r="V52" s="121" t="str">
        <f>IFERROR(VLOOKUP(TableHandbook[[#This Row],[UDC]],TableSTRPSCHLP[],7,FALSE),"")</f>
        <v/>
      </c>
      <c r="W52" s="121" t="str">
        <f>IFERROR(VLOOKUP(TableHandbook[[#This Row],[UDC]],TableSTRPSCHUS[],7,FALSE),"")</f>
        <v/>
      </c>
      <c r="X52" s="121" t="str">
        <f>IFERROR(VLOOKUP(TableHandbook[[#This Row],[UDC]],TableSTRPSCMAT[],7,FALSE),"")</f>
        <v/>
      </c>
      <c r="Y52" s="121" t="str">
        <f>IFERROR(VLOOKUP(TableHandbook[[#This Row],[UDC]],TableSTRPSCSCI[],7,FALSE),"")</f>
        <v/>
      </c>
      <c r="Z52" s="153" t="str">
        <f>IFERROR(VLOOKUP(TableHandbook[[#This Row],[UDC]],TableSTRPSCFON[],7,FALSE),"")</f>
        <v/>
      </c>
      <c r="AA52" s="154" t="str">
        <f>IFERROR(VLOOKUP(TableHandbook[[#This Row],[UDC]],TableGCTESOL[],7,FALSE),"")</f>
        <v>Core</v>
      </c>
      <c r="AB52" s="121" t="str">
        <f>IFERROR(VLOOKUP(TableHandbook[[#This Row],[UDC]],TableMCTESOL[],7,FALSE),"")</f>
        <v>Core</v>
      </c>
      <c r="AC52" s="153" t="str">
        <f>IFERROR(VLOOKUP(TableHandbook[[#This Row],[UDC]],TableMCAPLING[],7,FALSE),"")</f>
        <v/>
      </c>
      <c r="AD52" s="82" t="str">
        <f>IFERROR(VLOOKUP(TableHandbook[[#This Row],[UDC]],TableGCEDHE[],7,FALSE),"")</f>
        <v/>
      </c>
      <c r="AE52" s="154" t="str">
        <f>IFERROR(VLOOKUP(TableHandbook[[#This Row],[UDC]],TableGCEDUC[],7,FALSE),"")</f>
        <v/>
      </c>
      <c r="AF52" s="186" t="str">
        <f>IFERROR(VLOOKUP(TableHandbook[[#This Row],[UDC]],TableGDEDUC[],7,FALSE),"")</f>
        <v/>
      </c>
      <c r="AG52" s="186" t="str">
        <f>IFERROR(VLOOKUP(TableHandbook[[#This Row],[UDC]],TableMJRPEDUPR[],7,FALSE),"")</f>
        <v/>
      </c>
      <c r="AH52" s="186" t="str">
        <f>IFERROR(VLOOKUP(TableHandbook[[#This Row],[UDC]],TableMJRPEDUSC[],7,FALSE),"")</f>
        <v/>
      </c>
      <c r="AI52" s="121" t="str">
        <f>IFERROR(VLOOKUP(TableHandbook[[#This Row],[UDC]],TableMCEDUC[],7,FALSE),"")</f>
        <v/>
      </c>
      <c r="AJ52" s="121" t="str">
        <f>IFERROR(VLOOKUP(TableHandbook[[#This Row],[UDC]],TableSPPECULIN[],7,FALSE),"")</f>
        <v/>
      </c>
      <c r="AK52" s="121" t="str">
        <f>IFERROR(VLOOKUP(TableHandbook[[#This Row],[UDC]],TableSPPELNTCH[],7,FALSE),"")</f>
        <v/>
      </c>
      <c r="AL52" s="153" t="str">
        <f>IFERROR(VLOOKUP(TableHandbook[[#This Row],[UDC]],TableSPPESTEME[],7,FALSE),"")</f>
        <v/>
      </c>
    </row>
    <row r="53" spans="1:38" x14ac:dyDescent="0.25">
      <c r="A53" s="3" t="s">
        <v>65</v>
      </c>
      <c r="B53" s="4">
        <v>1</v>
      </c>
      <c r="C53" s="3"/>
      <c r="D53" s="3" t="s">
        <v>365</v>
      </c>
      <c r="E53" s="4">
        <v>25</v>
      </c>
      <c r="F53" s="81" t="s">
        <v>315</v>
      </c>
      <c r="G53" s="33" t="str">
        <f>IFERROR(IF(VLOOKUP(TableHandbook[[#This Row],[UDC]],TableAvailabilities[],2,FALSE)&gt;0,"Y",""),"")</f>
        <v>Y</v>
      </c>
      <c r="H53" s="82" t="str">
        <f>IFERROR(IF(VLOOKUP(TableHandbook[[#This Row],[UDC]],TableAvailabilities[],3,FALSE)&gt;0,"Y",""),"")</f>
        <v>Y</v>
      </c>
      <c r="I53" s="82" t="str">
        <f>IFERROR(IF(VLOOKUP(TableHandbook[[#This Row],[UDC]],TableAvailabilities[],4,FALSE)&gt;0,"Y",""),"")</f>
        <v/>
      </c>
      <c r="J53" s="82" t="str">
        <f>IFERROR(IF(VLOOKUP(TableHandbook[[#This Row],[UDC]],TableAvailabilities[],5,FALSE)&gt;0,"Y",""),"")</f>
        <v/>
      </c>
      <c r="K53" s="82" t="str">
        <f>IFERROR(IF(VLOOKUP(TableHandbook[[#This Row],[UDC]],TableAvailabilities[],6,FALSE)&gt;0,"Y",""),"")</f>
        <v>Y</v>
      </c>
      <c r="L53" s="82" t="str">
        <f>IFERROR(IF(VLOOKUP(TableHandbook[[#This Row],[UDC]],TableAvailabilities[],7,FALSE)&gt;0,"Y",""),"")</f>
        <v>Y</v>
      </c>
      <c r="M53" s="83" t="str">
        <f>IFERROR(IF(VLOOKUP(TableHandbook[[#This Row],[UDC]],TableAvailabilities[],8,FALSE)&gt;0,"Y",""),"")</f>
        <v/>
      </c>
      <c r="N53" s="82" t="str">
        <f>IFERROR(IF(VLOOKUP(TableHandbook[[#This Row],[UDC]],TableAvailabilities[],9,FALSE)&gt;0,"Y",""),"")</f>
        <v/>
      </c>
      <c r="O53" s="190"/>
      <c r="P53" s="186" t="str">
        <f>IFERROR(VLOOKUP(TableHandbook[[#This Row],[UDC]],TableMCTEACH[],7,FALSE),"")</f>
        <v/>
      </c>
      <c r="Q53" s="121" t="str">
        <f>IFERROR(VLOOKUP(TableHandbook[[#This Row],[UDC]],TableMJRPTCHEC[],7,FALSE),"")</f>
        <v>Core</v>
      </c>
      <c r="R53" s="121" t="str">
        <f>IFERROR(VLOOKUP(TableHandbook[[#This Row],[UDC]],TableMJRPTCHPR[],7,FALSE),"")</f>
        <v>Core</v>
      </c>
      <c r="S53" s="121" t="str">
        <f>IFERROR(VLOOKUP(TableHandbook[[#This Row],[UDC]],TableMJRPTCHSC[],7,FALSE),"")</f>
        <v/>
      </c>
      <c r="T53" s="121" t="str">
        <f>IFERROR(VLOOKUP(TableHandbook[[#This Row],[UDC]],TableSTRPSCART[],7,FALSE),"")</f>
        <v/>
      </c>
      <c r="U53" s="121" t="str">
        <f>IFERROR(VLOOKUP(TableHandbook[[#This Row],[UDC]],TableSTRPSCENG[],7,FALSE),"")</f>
        <v/>
      </c>
      <c r="V53" s="121" t="str">
        <f>IFERROR(VLOOKUP(TableHandbook[[#This Row],[UDC]],TableSTRPSCHLP[],7,FALSE),"")</f>
        <v/>
      </c>
      <c r="W53" s="121" t="str">
        <f>IFERROR(VLOOKUP(TableHandbook[[#This Row],[UDC]],TableSTRPSCHUS[],7,FALSE),"")</f>
        <v/>
      </c>
      <c r="X53" s="121" t="str">
        <f>IFERROR(VLOOKUP(TableHandbook[[#This Row],[UDC]],TableSTRPSCMAT[],7,FALSE),"")</f>
        <v/>
      </c>
      <c r="Y53" s="121" t="str">
        <f>IFERROR(VLOOKUP(TableHandbook[[#This Row],[UDC]],TableSTRPSCSCI[],7,FALSE),"")</f>
        <v/>
      </c>
      <c r="Z53" s="153" t="str">
        <f>IFERROR(VLOOKUP(TableHandbook[[#This Row],[UDC]],TableSTRPSCFON[],7,FALSE),"")</f>
        <v/>
      </c>
      <c r="AA53" s="154" t="str">
        <f>IFERROR(VLOOKUP(TableHandbook[[#This Row],[UDC]],TableGCTESOL[],7,FALSE),"")</f>
        <v/>
      </c>
      <c r="AB53" s="121" t="str">
        <f>IFERROR(VLOOKUP(TableHandbook[[#This Row],[UDC]],TableMCTESOL[],7,FALSE),"")</f>
        <v/>
      </c>
      <c r="AC53" s="153" t="str">
        <f>IFERROR(VLOOKUP(TableHandbook[[#This Row],[UDC]],TableMCAPLING[],7,FALSE),"")</f>
        <v/>
      </c>
      <c r="AD53" s="82" t="str">
        <f>IFERROR(VLOOKUP(TableHandbook[[#This Row],[UDC]],TableGCEDHE[],7,FALSE),"")</f>
        <v/>
      </c>
      <c r="AE53" s="154" t="str">
        <f>IFERROR(VLOOKUP(TableHandbook[[#This Row],[UDC]],TableGCEDUC[],7,FALSE),"")</f>
        <v/>
      </c>
      <c r="AF53" s="186" t="str">
        <f>IFERROR(VLOOKUP(TableHandbook[[#This Row],[UDC]],TableGDEDUC[],7,FALSE),"")</f>
        <v/>
      </c>
      <c r="AG53" s="186" t="str">
        <f>IFERROR(VLOOKUP(TableHandbook[[#This Row],[UDC]],TableMJRPEDUPR[],7,FALSE),"")</f>
        <v>Core</v>
      </c>
      <c r="AH53" s="186" t="str">
        <f>IFERROR(VLOOKUP(TableHandbook[[#This Row],[UDC]],TableMJRPEDUSC[],7,FALSE),"")</f>
        <v/>
      </c>
      <c r="AI53" s="121" t="str">
        <f>IFERROR(VLOOKUP(TableHandbook[[#This Row],[UDC]],TableMCEDUC[],7,FALSE),"")</f>
        <v/>
      </c>
      <c r="AJ53" s="121" t="str">
        <f>IFERROR(VLOOKUP(TableHandbook[[#This Row],[UDC]],TableSPPECULIN[],7,FALSE),"")</f>
        <v/>
      </c>
      <c r="AK53" s="121" t="str">
        <f>IFERROR(VLOOKUP(TableHandbook[[#This Row],[UDC]],TableSPPELNTCH[],7,FALSE),"")</f>
        <v/>
      </c>
      <c r="AL53" s="153" t="str">
        <f>IFERROR(VLOOKUP(TableHandbook[[#This Row],[UDC]],TableSPPESTEME[],7,FALSE),"")</f>
        <v/>
      </c>
    </row>
    <row r="54" spans="1:38" x14ac:dyDescent="0.25">
      <c r="A54" s="3" t="s">
        <v>169</v>
      </c>
      <c r="B54" s="4">
        <v>1</v>
      </c>
      <c r="C54" s="3"/>
      <c r="D54" s="3" t="s">
        <v>366</v>
      </c>
      <c r="E54" s="4">
        <v>25</v>
      </c>
      <c r="F54" s="81" t="s">
        <v>315</v>
      </c>
      <c r="G54" s="33" t="str">
        <f>IFERROR(IF(VLOOKUP(TableHandbook[[#This Row],[UDC]],TableAvailabilities[],2,FALSE)&gt;0,"Y",""),"")</f>
        <v/>
      </c>
      <c r="H54" s="82" t="str">
        <f>IFERROR(IF(VLOOKUP(TableHandbook[[#This Row],[UDC]],TableAvailabilities[],3,FALSE)&gt;0,"Y",""),"")</f>
        <v/>
      </c>
      <c r="I54" s="82" t="str">
        <f>IFERROR(IF(VLOOKUP(TableHandbook[[#This Row],[UDC]],TableAvailabilities[],4,FALSE)&gt;0,"Y",""),"")</f>
        <v>Y</v>
      </c>
      <c r="J54" s="82" t="str">
        <f>IFERROR(IF(VLOOKUP(TableHandbook[[#This Row],[UDC]],TableAvailabilities[],5,FALSE)&gt;0,"Y",""),"")</f>
        <v>Y</v>
      </c>
      <c r="K54" s="82" t="str">
        <f>IFERROR(IF(VLOOKUP(TableHandbook[[#This Row],[UDC]],TableAvailabilities[],6,FALSE)&gt;0,"Y",""),"")</f>
        <v/>
      </c>
      <c r="L54" s="82" t="str">
        <f>IFERROR(IF(VLOOKUP(TableHandbook[[#This Row],[UDC]],TableAvailabilities[],7,FALSE)&gt;0,"Y",""),"")</f>
        <v/>
      </c>
      <c r="M54" s="83" t="str">
        <f>IFERROR(IF(VLOOKUP(TableHandbook[[#This Row],[UDC]],TableAvailabilities[],8,FALSE)&gt;0,"Y",""),"")</f>
        <v>Y</v>
      </c>
      <c r="N54" s="82" t="str">
        <f>IFERROR(IF(VLOOKUP(TableHandbook[[#This Row],[UDC]],TableAvailabilities[],9,FALSE)&gt;0,"Y",""),"")</f>
        <v>Y</v>
      </c>
      <c r="O54" s="190"/>
      <c r="P54" s="186" t="str">
        <f>IFERROR(VLOOKUP(TableHandbook[[#This Row],[UDC]],TableMCTEACH[],7,FALSE),"")</f>
        <v/>
      </c>
      <c r="Q54" s="121" t="str">
        <f>IFERROR(VLOOKUP(TableHandbook[[#This Row],[UDC]],TableMJRPTCHEC[],7,FALSE),"")</f>
        <v/>
      </c>
      <c r="R54" s="121" t="str">
        <f>IFERROR(VLOOKUP(TableHandbook[[#This Row],[UDC]],TableMJRPTCHPR[],7,FALSE),"")</f>
        <v/>
      </c>
      <c r="S54" s="121" t="str">
        <f>IFERROR(VLOOKUP(TableHandbook[[#This Row],[UDC]],TableMJRPTCHSC[],7,FALSE),"")</f>
        <v/>
      </c>
      <c r="T54" s="121" t="str">
        <f>IFERROR(VLOOKUP(TableHandbook[[#This Row],[UDC]],TableSTRPSCART[],7,FALSE),"")</f>
        <v/>
      </c>
      <c r="U54" s="121" t="str">
        <f>IFERROR(VLOOKUP(TableHandbook[[#This Row],[UDC]],TableSTRPSCENG[],7,FALSE),"")</f>
        <v/>
      </c>
      <c r="V54" s="121" t="str">
        <f>IFERROR(VLOOKUP(TableHandbook[[#This Row],[UDC]],TableSTRPSCHLP[],7,FALSE),"")</f>
        <v/>
      </c>
      <c r="W54" s="121" t="str">
        <f>IFERROR(VLOOKUP(TableHandbook[[#This Row],[UDC]],TableSTRPSCHUS[],7,FALSE),"")</f>
        <v/>
      </c>
      <c r="X54" s="121" t="str">
        <f>IFERROR(VLOOKUP(TableHandbook[[#This Row],[UDC]],TableSTRPSCMAT[],7,FALSE),"")</f>
        <v/>
      </c>
      <c r="Y54" s="121" t="str">
        <f>IFERROR(VLOOKUP(TableHandbook[[#This Row],[UDC]],TableSTRPSCSCI[],7,FALSE),"")</f>
        <v/>
      </c>
      <c r="Z54" s="153" t="str">
        <f>IFERROR(VLOOKUP(TableHandbook[[#This Row],[UDC]],TableSTRPSCFON[],7,FALSE),"")</f>
        <v>Core</v>
      </c>
      <c r="AA54" s="154" t="str">
        <f>IFERROR(VLOOKUP(TableHandbook[[#This Row],[UDC]],TableGCTESOL[],7,FALSE),"")</f>
        <v/>
      </c>
      <c r="AB54" s="121" t="str">
        <f>IFERROR(VLOOKUP(TableHandbook[[#This Row],[UDC]],TableMCTESOL[],7,FALSE),"")</f>
        <v>Core</v>
      </c>
      <c r="AC54" s="153" t="str">
        <f>IFERROR(VLOOKUP(TableHandbook[[#This Row],[UDC]],TableMCAPLING[],7,FALSE),"")</f>
        <v/>
      </c>
      <c r="AD54" s="82" t="str">
        <f>IFERROR(VLOOKUP(TableHandbook[[#This Row],[UDC]],TableGCEDHE[],7,FALSE),"")</f>
        <v/>
      </c>
      <c r="AE54" s="154" t="str">
        <f>IFERROR(VLOOKUP(TableHandbook[[#This Row],[UDC]],TableGCEDUC[],7,FALSE),"")</f>
        <v>Option</v>
      </c>
      <c r="AF54" s="186" t="str">
        <f>IFERROR(VLOOKUP(TableHandbook[[#This Row],[UDC]],TableGDEDUC[],7,FALSE),"")</f>
        <v/>
      </c>
      <c r="AG54" s="186" t="str">
        <f>IFERROR(VLOOKUP(TableHandbook[[#This Row],[UDC]],TableMJRPEDUPR[],7,FALSE),"")</f>
        <v/>
      </c>
      <c r="AH54" s="186" t="str">
        <f>IFERROR(VLOOKUP(TableHandbook[[#This Row],[UDC]],TableMJRPEDUSC[],7,FALSE),"")</f>
        <v/>
      </c>
      <c r="AI54" s="121" t="str">
        <f>IFERROR(VLOOKUP(TableHandbook[[#This Row],[UDC]],TableMCEDUC[],7,FALSE),"")</f>
        <v/>
      </c>
      <c r="AJ54" s="121" t="str">
        <f>IFERROR(VLOOKUP(TableHandbook[[#This Row],[UDC]],TableSPPECULIN[],7,FALSE),"")</f>
        <v/>
      </c>
      <c r="AK54" s="121" t="str">
        <f>IFERROR(VLOOKUP(TableHandbook[[#This Row],[UDC]],TableSPPELNTCH[],7,FALSE),"")</f>
        <v/>
      </c>
      <c r="AL54" s="153" t="str">
        <f>IFERROR(VLOOKUP(TableHandbook[[#This Row],[UDC]],TableSPPESTEME[],7,FALSE),"")</f>
        <v/>
      </c>
    </row>
    <row r="55" spans="1:38" x14ac:dyDescent="0.25">
      <c r="A55" s="3" t="s">
        <v>203</v>
      </c>
      <c r="B55" s="4">
        <v>3</v>
      </c>
      <c r="C55" s="3"/>
      <c r="D55" s="3" t="s">
        <v>367</v>
      </c>
      <c r="E55" s="4">
        <v>25</v>
      </c>
      <c r="F55" s="81" t="s">
        <v>315</v>
      </c>
      <c r="G55" s="33" t="str">
        <f>IFERROR(IF(VLOOKUP(TableHandbook[[#This Row],[UDC]],TableAvailabilities[],2,FALSE)&gt;0,"Y",""),"")</f>
        <v>Y</v>
      </c>
      <c r="H55" s="82" t="str">
        <f>IFERROR(IF(VLOOKUP(TableHandbook[[#This Row],[UDC]],TableAvailabilities[],3,FALSE)&gt;0,"Y",""),"")</f>
        <v>Y</v>
      </c>
      <c r="I55" s="82" t="str">
        <f>IFERROR(IF(VLOOKUP(TableHandbook[[#This Row],[UDC]],TableAvailabilities[],4,FALSE)&gt;0,"Y",""),"")</f>
        <v/>
      </c>
      <c r="J55" s="82" t="str">
        <f>IFERROR(IF(VLOOKUP(TableHandbook[[#This Row],[UDC]],TableAvailabilities[],5,FALSE)&gt;0,"Y",""),"")</f>
        <v/>
      </c>
      <c r="K55" s="82" t="str">
        <f>IFERROR(IF(VLOOKUP(TableHandbook[[#This Row],[UDC]],TableAvailabilities[],6,FALSE)&gt;0,"Y",""),"")</f>
        <v>Y</v>
      </c>
      <c r="L55" s="82" t="str">
        <f>IFERROR(IF(VLOOKUP(TableHandbook[[#This Row],[UDC]],TableAvailabilities[],7,FALSE)&gt;0,"Y",""),"")</f>
        <v>Y</v>
      </c>
      <c r="M55" s="83" t="str">
        <f>IFERROR(IF(VLOOKUP(TableHandbook[[#This Row],[UDC]],TableAvailabilities[],8,FALSE)&gt;0,"Y",""),"")</f>
        <v/>
      </c>
      <c r="N55" s="82" t="str">
        <f>IFERROR(IF(VLOOKUP(TableHandbook[[#This Row],[UDC]],TableAvailabilities[],9,FALSE)&gt;0,"Y",""),"")</f>
        <v/>
      </c>
      <c r="O55" s="190"/>
      <c r="P55" s="186" t="str">
        <f>IFERROR(VLOOKUP(TableHandbook[[#This Row],[UDC]],TableMCTEACH[],7,FALSE),"")</f>
        <v/>
      </c>
      <c r="Q55" s="121" t="str">
        <f>IFERROR(VLOOKUP(TableHandbook[[#This Row],[UDC]],TableMJRPTCHEC[],7,FALSE),"")</f>
        <v/>
      </c>
      <c r="R55" s="121" t="str">
        <f>IFERROR(VLOOKUP(TableHandbook[[#This Row],[UDC]],TableMJRPTCHPR[],7,FALSE),"")</f>
        <v/>
      </c>
      <c r="S55" s="121" t="str">
        <f>IFERROR(VLOOKUP(TableHandbook[[#This Row],[UDC]],TableMJRPTCHSC[],7,FALSE),"")</f>
        <v/>
      </c>
      <c r="T55" s="121" t="str">
        <f>IFERROR(VLOOKUP(TableHandbook[[#This Row],[UDC]],TableSTRPSCART[],7,FALSE),"")</f>
        <v/>
      </c>
      <c r="U55" s="121" t="str">
        <f>IFERROR(VLOOKUP(TableHandbook[[#This Row],[UDC]],TableSTRPSCENG[],7,FALSE),"")</f>
        <v/>
      </c>
      <c r="V55" s="121" t="str">
        <f>IFERROR(VLOOKUP(TableHandbook[[#This Row],[UDC]],TableSTRPSCHLP[],7,FALSE),"")</f>
        <v/>
      </c>
      <c r="W55" s="121" t="str">
        <f>IFERROR(VLOOKUP(TableHandbook[[#This Row],[UDC]],TableSTRPSCHUS[],7,FALSE),"")</f>
        <v/>
      </c>
      <c r="X55" s="121" t="str">
        <f>IFERROR(VLOOKUP(TableHandbook[[#This Row],[UDC]],TableSTRPSCMAT[],7,FALSE),"")</f>
        <v/>
      </c>
      <c r="Y55" s="121" t="str">
        <f>IFERROR(VLOOKUP(TableHandbook[[#This Row],[UDC]],TableSTRPSCSCI[],7,FALSE),"")</f>
        <v/>
      </c>
      <c r="Z55" s="153" t="str">
        <f>IFERROR(VLOOKUP(TableHandbook[[#This Row],[UDC]],TableSTRPSCFON[],7,FALSE),"")</f>
        <v/>
      </c>
      <c r="AA55" s="154" t="str">
        <f>IFERROR(VLOOKUP(TableHandbook[[#This Row],[UDC]],TableGCTESOL[],7,FALSE),"")</f>
        <v/>
      </c>
      <c r="AB55" s="121" t="str">
        <f>IFERROR(VLOOKUP(TableHandbook[[#This Row],[UDC]],TableMCTESOL[],7,FALSE),"")</f>
        <v/>
      </c>
      <c r="AC55" s="153" t="str">
        <f>IFERROR(VLOOKUP(TableHandbook[[#This Row],[UDC]],TableMCAPLING[],7,FALSE),"")</f>
        <v/>
      </c>
      <c r="AD55" s="82" t="str">
        <f>IFERROR(VLOOKUP(TableHandbook[[#This Row],[UDC]],TableGCEDHE[],7,FALSE),"")</f>
        <v/>
      </c>
      <c r="AE55" s="154" t="str">
        <f>IFERROR(VLOOKUP(TableHandbook[[#This Row],[UDC]],TableGCEDUC[],7,FALSE),"")</f>
        <v/>
      </c>
      <c r="AF55" s="186" t="str">
        <f>IFERROR(VLOOKUP(TableHandbook[[#This Row],[UDC]],TableGDEDUC[],7,FALSE),"")</f>
        <v/>
      </c>
      <c r="AG55" s="186" t="str">
        <f>IFERROR(VLOOKUP(TableHandbook[[#This Row],[UDC]],TableMJRPEDUPR[],7,FALSE),"")</f>
        <v/>
      </c>
      <c r="AH55" s="186" t="str">
        <f>IFERROR(VLOOKUP(TableHandbook[[#This Row],[UDC]],TableMJRPEDUSC[],7,FALSE),"")</f>
        <v/>
      </c>
      <c r="AI55" s="121" t="str">
        <f>IFERROR(VLOOKUP(TableHandbook[[#This Row],[UDC]],TableMCEDUC[],7,FALSE),"")</f>
        <v>Core</v>
      </c>
      <c r="AJ55" s="121" t="str">
        <f>IFERROR(VLOOKUP(TableHandbook[[#This Row],[UDC]],TableSPPECULIN[],7,FALSE),"")</f>
        <v/>
      </c>
      <c r="AK55" s="121" t="str">
        <f>IFERROR(VLOOKUP(TableHandbook[[#This Row],[UDC]],TableSPPELNTCH[],7,FALSE),"")</f>
        <v/>
      </c>
      <c r="AL55" s="153" t="str">
        <f>IFERROR(VLOOKUP(TableHandbook[[#This Row],[UDC]],TableSPPESTEME[],7,FALSE),"")</f>
        <v/>
      </c>
    </row>
    <row r="56" spans="1:38" x14ac:dyDescent="0.25">
      <c r="A56" s="3" t="s">
        <v>172</v>
      </c>
      <c r="B56" s="4">
        <v>2</v>
      </c>
      <c r="C56" s="3"/>
      <c r="D56" s="3" t="s">
        <v>368</v>
      </c>
      <c r="E56" s="4">
        <v>50</v>
      </c>
      <c r="F56" s="81" t="s">
        <v>369</v>
      </c>
      <c r="G56" s="33" t="str">
        <f>IFERROR(IF(VLOOKUP(TableHandbook[[#This Row],[UDC]],TableAvailabilities[],2,FALSE)&gt;0,"Y",""),"")</f>
        <v/>
      </c>
      <c r="H56" s="82" t="str">
        <f>IFERROR(IF(VLOOKUP(TableHandbook[[#This Row],[UDC]],TableAvailabilities[],3,FALSE)&gt;0,"Y",""),"")</f>
        <v/>
      </c>
      <c r="I56" s="82" t="str">
        <f>IFERROR(IF(VLOOKUP(TableHandbook[[#This Row],[UDC]],TableAvailabilities[],4,FALSE)&gt;0,"Y",""),"")</f>
        <v>Y</v>
      </c>
      <c r="J56" s="82" t="str">
        <f>IFERROR(IF(VLOOKUP(TableHandbook[[#This Row],[UDC]],TableAvailabilities[],5,FALSE)&gt;0,"Y",""),"")</f>
        <v>Y</v>
      </c>
      <c r="K56" s="82" t="str">
        <f>IFERROR(IF(VLOOKUP(TableHandbook[[#This Row],[UDC]],TableAvailabilities[],6,FALSE)&gt;0,"Y",""),"")</f>
        <v/>
      </c>
      <c r="L56" s="82" t="str">
        <f>IFERROR(IF(VLOOKUP(TableHandbook[[#This Row],[UDC]],TableAvailabilities[],7,FALSE)&gt;0,"Y",""),"")</f>
        <v/>
      </c>
      <c r="M56" s="83" t="str">
        <f>IFERROR(IF(VLOOKUP(TableHandbook[[#This Row],[UDC]],TableAvailabilities[],8,FALSE)&gt;0,"Y",""),"")</f>
        <v>Y</v>
      </c>
      <c r="N56" s="82" t="str">
        <f>IFERROR(IF(VLOOKUP(TableHandbook[[#This Row],[UDC]],TableAvailabilities[],9,FALSE)&gt;0,"Y",""),"")</f>
        <v>Y</v>
      </c>
      <c r="O56" s="190"/>
      <c r="P56" s="186" t="str">
        <f>IFERROR(VLOOKUP(TableHandbook[[#This Row],[UDC]],TableMCTEACH[],7,FALSE),"")</f>
        <v/>
      </c>
      <c r="Q56" s="121" t="str">
        <f>IFERROR(VLOOKUP(TableHandbook[[#This Row],[UDC]],TableMJRPTCHEC[],7,FALSE),"")</f>
        <v/>
      </c>
      <c r="R56" s="121" t="str">
        <f>IFERROR(VLOOKUP(TableHandbook[[#This Row],[UDC]],TableMJRPTCHPR[],7,FALSE),"")</f>
        <v/>
      </c>
      <c r="S56" s="121" t="str">
        <f>IFERROR(VLOOKUP(TableHandbook[[#This Row],[UDC]],TableMJRPTCHSC[],7,FALSE),"")</f>
        <v/>
      </c>
      <c r="T56" s="121" t="str">
        <f>IFERROR(VLOOKUP(TableHandbook[[#This Row],[UDC]],TableSTRPSCART[],7,FALSE),"")</f>
        <v/>
      </c>
      <c r="U56" s="121" t="str">
        <f>IFERROR(VLOOKUP(TableHandbook[[#This Row],[UDC]],TableSTRPSCENG[],7,FALSE),"")</f>
        <v/>
      </c>
      <c r="V56" s="121" t="str">
        <f>IFERROR(VLOOKUP(TableHandbook[[#This Row],[UDC]],TableSTRPSCHLP[],7,FALSE),"")</f>
        <v/>
      </c>
      <c r="W56" s="121" t="str">
        <f>IFERROR(VLOOKUP(TableHandbook[[#This Row],[UDC]],TableSTRPSCHUS[],7,FALSE),"")</f>
        <v/>
      </c>
      <c r="X56" s="121" t="str">
        <f>IFERROR(VLOOKUP(TableHandbook[[#This Row],[UDC]],TableSTRPSCMAT[],7,FALSE),"")</f>
        <v/>
      </c>
      <c r="Y56" s="121" t="str">
        <f>IFERROR(VLOOKUP(TableHandbook[[#This Row],[UDC]],TableSTRPSCSCI[],7,FALSE),"")</f>
        <v/>
      </c>
      <c r="Z56" s="153" t="str">
        <f>IFERROR(VLOOKUP(TableHandbook[[#This Row],[UDC]],TableSTRPSCFON[],7,FALSE),"")</f>
        <v/>
      </c>
      <c r="AA56" s="154" t="str">
        <f>IFERROR(VLOOKUP(TableHandbook[[#This Row],[UDC]],TableGCTESOL[],7,FALSE),"")</f>
        <v/>
      </c>
      <c r="AB56" s="121" t="str">
        <f>IFERROR(VLOOKUP(TableHandbook[[#This Row],[UDC]],TableMCTESOL[],7,FALSE),"")</f>
        <v>Core</v>
      </c>
      <c r="AC56" s="153" t="str">
        <f>IFERROR(VLOOKUP(TableHandbook[[#This Row],[UDC]],TableMCAPLING[],7,FALSE),"")</f>
        <v>Core</v>
      </c>
      <c r="AD56" s="82" t="str">
        <f>IFERROR(VLOOKUP(TableHandbook[[#This Row],[UDC]],TableGCEDHE[],7,FALSE),"")</f>
        <v/>
      </c>
      <c r="AE56" s="154" t="str">
        <f>IFERROR(VLOOKUP(TableHandbook[[#This Row],[UDC]],TableGCEDUC[],7,FALSE),"")</f>
        <v/>
      </c>
      <c r="AF56" s="186" t="str">
        <f>IFERROR(VLOOKUP(TableHandbook[[#This Row],[UDC]],TableGDEDUC[],7,FALSE),"")</f>
        <v/>
      </c>
      <c r="AG56" s="186" t="str">
        <f>IFERROR(VLOOKUP(TableHandbook[[#This Row],[UDC]],TableMJRPEDUPR[],7,FALSE),"")</f>
        <v/>
      </c>
      <c r="AH56" s="186" t="str">
        <f>IFERROR(VLOOKUP(TableHandbook[[#This Row],[UDC]],TableMJRPEDUSC[],7,FALSE),"")</f>
        <v/>
      </c>
      <c r="AI56" s="121" t="str">
        <f>IFERROR(VLOOKUP(TableHandbook[[#This Row],[UDC]],TableMCEDUC[],7,FALSE),"")</f>
        <v>Core</v>
      </c>
      <c r="AJ56" s="121" t="str">
        <f>IFERROR(VLOOKUP(TableHandbook[[#This Row],[UDC]],TableSPPECULIN[],7,FALSE),"")</f>
        <v/>
      </c>
      <c r="AK56" s="121" t="str">
        <f>IFERROR(VLOOKUP(TableHandbook[[#This Row],[UDC]],TableSPPELNTCH[],7,FALSE),"")</f>
        <v/>
      </c>
      <c r="AL56" s="153" t="str">
        <f>IFERROR(VLOOKUP(TableHandbook[[#This Row],[UDC]],TableSPPESTEME[],7,FALSE),"")</f>
        <v/>
      </c>
    </row>
    <row r="57" spans="1:38" x14ac:dyDescent="0.25">
      <c r="A57" s="3" t="s">
        <v>166</v>
      </c>
      <c r="B57" s="4">
        <v>2</v>
      </c>
      <c r="C57" s="3"/>
      <c r="D57" s="3" t="s">
        <v>370</v>
      </c>
      <c r="E57" s="4">
        <v>25</v>
      </c>
      <c r="F57" s="81" t="s">
        <v>315</v>
      </c>
      <c r="G57" s="33" t="str">
        <f>IFERROR(IF(VLOOKUP(TableHandbook[[#This Row],[UDC]],TableAvailabilities[],2,FALSE)&gt;0,"Y",""),"")</f>
        <v/>
      </c>
      <c r="H57" s="82" t="str">
        <f>IFERROR(IF(VLOOKUP(TableHandbook[[#This Row],[UDC]],TableAvailabilities[],3,FALSE)&gt;0,"Y",""),"")</f>
        <v/>
      </c>
      <c r="I57" s="82" t="str">
        <f>IFERROR(IF(VLOOKUP(TableHandbook[[#This Row],[UDC]],TableAvailabilities[],4,FALSE)&gt;0,"Y",""),"")</f>
        <v/>
      </c>
      <c r="J57" s="82" t="str">
        <f>IFERROR(IF(VLOOKUP(TableHandbook[[#This Row],[UDC]],TableAvailabilities[],5,FALSE)&gt;0,"Y",""),"")</f>
        <v/>
      </c>
      <c r="K57" s="82" t="str">
        <f>IFERROR(IF(VLOOKUP(TableHandbook[[#This Row],[UDC]],TableAvailabilities[],6,FALSE)&gt;0,"Y",""),"")</f>
        <v>Y</v>
      </c>
      <c r="L57" s="82" t="str">
        <f>IFERROR(IF(VLOOKUP(TableHandbook[[#This Row],[UDC]],TableAvailabilities[],7,FALSE)&gt;0,"Y",""),"")</f>
        <v>Y</v>
      </c>
      <c r="M57" s="83" t="str">
        <f>IFERROR(IF(VLOOKUP(TableHandbook[[#This Row],[UDC]],TableAvailabilities[],8,FALSE)&gt;0,"Y",""),"")</f>
        <v/>
      </c>
      <c r="N57" s="82" t="str">
        <f>IFERROR(IF(VLOOKUP(TableHandbook[[#This Row],[UDC]],TableAvailabilities[],9,FALSE)&gt;0,"Y",""),"")</f>
        <v/>
      </c>
      <c r="O57" s="190"/>
      <c r="P57" s="185" t="str">
        <f>IFERROR(VLOOKUP(TableHandbook[[#This Row],[UDC]],TableMCTEACH[],7,FALSE),"")</f>
        <v/>
      </c>
      <c r="Q57" s="95" t="str">
        <f>IFERROR(VLOOKUP(TableHandbook[[#This Row],[UDC]],TableMJRPTCHEC[],7,FALSE),"")</f>
        <v/>
      </c>
      <c r="R57" s="95" t="str">
        <f>IFERROR(VLOOKUP(TableHandbook[[#This Row],[UDC]],TableMJRPTCHPR[],7,FALSE),"")</f>
        <v/>
      </c>
      <c r="S57" s="95" t="str">
        <f>IFERROR(VLOOKUP(TableHandbook[[#This Row],[UDC]],TableMJRPTCHSC[],7,FALSE),"")</f>
        <v/>
      </c>
      <c r="T57" s="95" t="str">
        <f>IFERROR(VLOOKUP(TableHandbook[[#This Row],[UDC]],TableSTRPSCART[],7,FALSE),"")</f>
        <v/>
      </c>
      <c r="U57" s="95" t="str">
        <f>IFERROR(VLOOKUP(TableHandbook[[#This Row],[UDC]],TableSTRPSCENG[],7,FALSE),"")</f>
        <v/>
      </c>
      <c r="V57" s="95" t="str">
        <f>IFERROR(VLOOKUP(TableHandbook[[#This Row],[UDC]],TableSTRPSCHLP[],7,FALSE),"")</f>
        <v/>
      </c>
      <c r="W57" s="95" t="str">
        <f>IFERROR(VLOOKUP(TableHandbook[[#This Row],[UDC]],TableSTRPSCHUS[],7,FALSE),"")</f>
        <v/>
      </c>
      <c r="X57" s="95" t="str">
        <f>IFERROR(VLOOKUP(TableHandbook[[#This Row],[UDC]],TableSTRPSCMAT[],7,FALSE),"")</f>
        <v/>
      </c>
      <c r="Y57" s="95" t="str">
        <f>IFERROR(VLOOKUP(TableHandbook[[#This Row],[UDC]],TableSTRPSCSCI[],7,FALSE),"")</f>
        <v/>
      </c>
      <c r="Z57" s="155" t="str">
        <f>IFERROR(VLOOKUP(TableHandbook[[#This Row],[UDC]],TableSTRPSCFON[],7,FALSE),"")</f>
        <v/>
      </c>
      <c r="AA57" s="152" t="str">
        <f>IFERROR(VLOOKUP(TableHandbook[[#This Row],[UDC]],TableGCTESOL[],7,FALSE),"")</f>
        <v/>
      </c>
      <c r="AB57" s="95" t="str">
        <f>IFERROR(VLOOKUP(TableHandbook[[#This Row],[UDC]],TableMCTESOL[],7,FALSE),"")</f>
        <v>Core</v>
      </c>
      <c r="AC57" s="155" t="str">
        <f>IFERROR(VLOOKUP(TableHandbook[[#This Row],[UDC]],TableMCAPLING[],7,FALSE),"")</f>
        <v>Core</v>
      </c>
      <c r="AD57" s="85" t="str">
        <f>IFERROR(VLOOKUP(TableHandbook[[#This Row],[UDC]],TableGCEDHE[],7,FALSE),"")</f>
        <v/>
      </c>
      <c r="AE57" s="152" t="str">
        <f>IFERROR(VLOOKUP(TableHandbook[[#This Row],[UDC]],TableGCEDUC[],7,FALSE),"")</f>
        <v/>
      </c>
      <c r="AF57" s="185" t="str">
        <f>IFERROR(VLOOKUP(TableHandbook[[#This Row],[UDC]],TableGDEDUC[],7,FALSE),"")</f>
        <v/>
      </c>
      <c r="AG57" s="185" t="str">
        <f>IFERROR(VLOOKUP(TableHandbook[[#This Row],[UDC]],TableMJRPEDUPR[],7,FALSE),"")</f>
        <v/>
      </c>
      <c r="AH57" s="185" t="str">
        <f>IFERROR(VLOOKUP(TableHandbook[[#This Row],[UDC]],TableMJRPEDUSC[],7,FALSE),"")</f>
        <v/>
      </c>
      <c r="AI57" s="95" t="str">
        <f>IFERROR(VLOOKUP(TableHandbook[[#This Row],[UDC]],TableMCEDUC[],7,FALSE),"")</f>
        <v>Option</v>
      </c>
      <c r="AJ57" s="121" t="str">
        <f>IFERROR(VLOOKUP(TableHandbook[[#This Row],[UDC]],TableSPPECULIN[],7,FALSE),"")</f>
        <v>Core</v>
      </c>
      <c r="AK57" s="121" t="str">
        <f>IFERROR(VLOOKUP(TableHandbook[[#This Row],[UDC]],TableSPPELNTCH[],7,FALSE),"")</f>
        <v/>
      </c>
      <c r="AL57" s="153" t="str">
        <f>IFERROR(VLOOKUP(TableHandbook[[#This Row],[UDC]],TableSPPESTEME[],7,FALSE),"")</f>
        <v/>
      </c>
    </row>
    <row r="58" spans="1:38" x14ac:dyDescent="0.25">
      <c r="A58" s="3" t="s">
        <v>165</v>
      </c>
      <c r="B58" s="4">
        <v>1</v>
      </c>
      <c r="C58" s="3"/>
      <c r="D58" s="3" t="s">
        <v>371</v>
      </c>
      <c r="E58" s="4">
        <v>25</v>
      </c>
      <c r="F58" s="81" t="s">
        <v>315</v>
      </c>
      <c r="G58" s="33" t="str">
        <f>IFERROR(IF(VLOOKUP(TableHandbook[[#This Row],[UDC]],TableAvailabilities[],2,FALSE)&gt;0,"Y",""),"")</f>
        <v/>
      </c>
      <c r="H58" s="82" t="str">
        <f>IFERROR(IF(VLOOKUP(TableHandbook[[#This Row],[UDC]],TableAvailabilities[],3,FALSE)&gt;0,"Y",""),"")</f>
        <v/>
      </c>
      <c r="I58" s="82" t="str">
        <f>IFERROR(IF(VLOOKUP(TableHandbook[[#This Row],[UDC]],TableAvailabilities[],4,FALSE)&gt;0,"Y",""),"")</f>
        <v>Y</v>
      </c>
      <c r="J58" s="82" t="str">
        <f>IFERROR(IF(VLOOKUP(TableHandbook[[#This Row],[UDC]],TableAvailabilities[],5,FALSE)&gt;0,"Y",""),"")</f>
        <v>Y</v>
      </c>
      <c r="K58" s="82" t="str">
        <f>IFERROR(IF(VLOOKUP(TableHandbook[[#This Row],[UDC]],TableAvailabilities[],6,FALSE)&gt;0,"Y",""),"")</f>
        <v/>
      </c>
      <c r="L58" s="82" t="str">
        <f>IFERROR(IF(VLOOKUP(TableHandbook[[#This Row],[UDC]],TableAvailabilities[],7,FALSE)&gt;0,"Y",""),"")</f>
        <v/>
      </c>
      <c r="M58" s="83" t="str">
        <f>IFERROR(IF(VLOOKUP(TableHandbook[[#This Row],[UDC]],TableAvailabilities[],8,FALSE)&gt;0,"Y",""),"")</f>
        <v>Y</v>
      </c>
      <c r="N58" s="82" t="str">
        <f>IFERROR(IF(VLOOKUP(TableHandbook[[#This Row],[UDC]],TableAvailabilities[],9,FALSE)&gt;0,"Y",""),"")</f>
        <v>Y</v>
      </c>
      <c r="O58" s="190"/>
      <c r="P58" s="186" t="str">
        <f>IFERROR(VLOOKUP(TableHandbook[[#This Row],[UDC]],TableMCTEACH[],7,FALSE),"")</f>
        <v/>
      </c>
      <c r="Q58" s="121" t="str">
        <f>IFERROR(VLOOKUP(TableHandbook[[#This Row],[UDC]],TableMJRPTCHEC[],7,FALSE),"")</f>
        <v/>
      </c>
      <c r="R58" s="121" t="str">
        <f>IFERROR(VLOOKUP(TableHandbook[[#This Row],[UDC]],TableMJRPTCHPR[],7,FALSE),"")</f>
        <v/>
      </c>
      <c r="S58" s="121" t="str">
        <f>IFERROR(VLOOKUP(TableHandbook[[#This Row],[UDC]],TableMJRPTCHSC[],7,FALSE),"")</f>
        <v/>
      </c>
      <c r="T58" s="121" t="str">
        <f>IFERROR(VLOOKUP(TableHandbook[[#This Row],[UDC]],TableSTRPSCART[],7,FALSE),"")</f>
        <v/>
      </c>
      <c r="U58" s="121" t="str">
        <f>IFERROR(VLOOKUP(TableHandbook[[#This Row],[UDC]],TableSTRPSCENG[],7,FALSE),"")</f>
        <v/>
      </c>
      <c r="V58" s="121" t="str">
        <f>IFERROR(VLOOKUP(TableHandbook[[#This Row],[UDC]],TableSTRPSCHLP[],7,FALSE),"")</f>
        <v/>
      </c>
      <c r="W58" s="121" t="str">
        <f>IFERROR(VLOOKUP(TableHandbook[[#This Row],[UDC]],TableSTRPSCHUS[],7,FALSE),"")</f>
        <v/>
      </c>
      <c r="X58" s="121" t="str">
        <f>IFERROR(VLOOKUP(TableHandbook[[#This Row],[UDC]],TableSTRPSCMAT[],7,FALSE),"")</f>
        <v/>
      </c>
      <c r="Y58" s="121" t="str">
        <f>IFERROR(VLOOKUP(TableHandbook[[#This Row],[UDC]],TableSTRPSCSCI[],7,FALSE),"")</f>
        <v/>
      </c>
      <c r="Z58" s="153" t="str">
        <f>IFERROR(VLOOKUP(TableHandbook[[#This Row],[UDC]],TableSTRPSCFON[],7,FALSE),"")</f>
        <v/>
      </c>
      <c r="AA58" s="154" t="str">
        <f>IFERROR(VLOOKUP(TableHandbook[[#This Row],[UDC]],TableGCTESOL[],7,FALSE),"")</f>
        <v/>
      </c>
      <c r="AB58" s="121" t="str">
        <f>IFERROR(VLOOKUP(TableHandbook[[#This Row],[UDC]],TableMCTESOL[],7,FALSE),"")</f>
        <v>Core</v>
      </c>
      <c r="AC58" s="153" t="str">
        <f>IFERROR(VLOOKUP(TableHandbook[[#This Row],[UDC]],TableMCAPLING[],7,FALSE),"")</f>
        <v>Core</v>
      </c>
      <c r="AD58" s="82" t="str">
        <f>IFERROR(VLOOKUP(TableHandbook[[#This Row],[UDC]],TableGCEDHE[],7,FALSE),"")</f>
        <v/>
      </c>
      <c r="AE58" s="154" t="str">
        <f>IFERROR(VLOOKUP(TableHandbook[[#This Row],[UDC]],TableGCEDUC[],7,FALSE),"")</f>
        <v/>
      </c>
      <c r="AF58" s="186" t="str">
        <f>IFERROR(VLOOKUP(TableHandbook[[#This Row],[UDC]],TableGDEDUC[],7,FALSE),"")</f>
        <v/>
      </c>
      <c r="AG58" s="186" t="str">
        <f>IFERROR(VLOOKUP(TableHandbook[[#This Row],[UDC]],TableMJRPEDUPR[],7,FALSE),"")</f>
        <v/>
      </c>
      <c r="AH58" s="186" t="str">
        <f>IFERROR(VLOOKUP(TableHandbook[[#This Row],[UDC]],TableMJRPEDUSC[],7,FALSE),"")</f>
        <v/>
      </c>
      <c r="AI58" s="121" t="str">
        <f>IFERROR(VLOOKUP(TableHandbook[[#This Row],[UDC]],TableMCEDUC[],7,FALSE),"")</f>
        <v/>
      </c>
      <c r="AJ58" s="121" t="str">
        <f>IFERROR(VLOOKUP(TableHandbook[[#This Row],[UDC]],TableSPPECULIN[],7,FALSE),"")</f>
        <v/>
      </c>
      <c r="AK58" s="121" t="str">
        <f>IFERROR(VLOOKUP(TableHandbook[[#This Row],[UDC]],TableSPPELNTCH[],7,FALSE),"")</f>
        <v/>
      </c>
      <c r="AL58" s="153" t="str">
        <f>IFERROR(VLOOKUP(TableHandbook[[#This Row],[UDC]],TableSPPESTEME[],7,FALSE),"")</f>
        <v/>
      </c>
    </row>
    <row r="59" spans="1:38" x14ac:dyDescent="0.25">
      <c r="A59" s="3" t="s">
        <v>159</v>
      </c>
      <c r="B59" s="4">
        <v>1</v>
      </c>
      <c r="C59" s="3"/>
      <c r="D59" s="3" t="s">
        <v>372</v>
      </c>
      <c r="E59" s="4">
        <v>25</v>
      </c>
      <c r="F59" s="81" t="s">
        <v>315</v>
      </c>
      <c r="G59" s="33" t="str">
        <f>IFERROR(IF(VLOOKUP(TableHandbook[[#This Row],[UDC]],TableAvailabilities[],2,FALSE)&gt;0,"Y",""),"")</f>
        <v/>
      </c>
      <c r="H59" s="82" t="str">
        <f>IFERROR(IF(VLOOKUP(TableHandbook[[#This Row],[UDC]],TableAvailabilities[],3,FALSE)&gt;0,"Y",""),"")</f>
        <v/>
      </c>
      <c r="I59" s="82" t="str">
        <f>IFERROR(IF(VLOOKUP(TableHandbook[[#This Row],[UDC]],TableAvailabilities[],4,FALSE)&gt;0,"Y",""),"")</f>
        <v>Y</v>
      </c>
      <c r="J59" s="82" t="str">
        <f>IFERROR(IF(VLOOKUP(TableHandbook[[#This Row],[UDC]],TableAvailabilities[],5,FALSE)&gt;0,"Y",""),"")</f>
        <v>Y</v>
      </c>
      <c r="K59" s="82" t="str">
        <f>IFERROR(IF(VLOOKUP(TableHandbook[[#This Row],[UDC]],TableAvailabilities[],6,FALSE)&gt;0,"Y",""),"")</f>
        <v/>
      </c>
      <c r="L59" s="82" t="str">
        <f>IFERROR(IF(VLOOKUP(TableHandbook[[#This Row],[UDC]],TableAvailabilities[],7,FALSE)&gt;0,"Y",""),"")</f>
        <v/>
      </c>
      <c r="M59" s="83" t="str">
        <f>IFERROR(IF(VLOOKUP(TableHandbook[[#This Row],[UDC]],TableAvailabilities[],8,FALSE)&gt;0,"Y",""),"")</f>
        <v/>
      </c>
      <c r="N59" s="82" t="str">
        <f>IFERROR(IF(VLOOKUP(TableHandbook[[#This Row],[UDC]],TableAvailabilities[],9,FALSE)&gt;0,"Y",""),"")</f>
        <v>Y</v>
      </c>
      <c r="O59" s="190"/>
      <c r="P59" s="186" t="str">
        <f>IFERROR(VLOOKUP(TableHandbook[[#This Row],[UDC]],TableMCTEACH[],7,FALSE),"")</f>
        <v/>
      </c>
      <c r="Q59" s="121" t="str">
        <f>IFERROR(VLOOKUP(TableHandbook[[#This Row],[UDC]],TableMJRPTCHEC[],7,FALSE),"")</f>
        <v/>
      </c>
      <c r="R59" s="121" t="str">
        <f>IFERROR(VLOOKUP(TableHandbook[[#This Row],[UDC]],TableMJRPTCHPR[],7,FALSE),"")</f>
        <v/>
      </c>
      <c r="S59" s="121" t="str">
        <f>IFERROR(VLOOKUP(TableHandbook[[#This Row],[UDC]],TableMJRPTCHSC[],7,FALSE),"")</f>
        <v/>
      </c>
      <c r="T59" s="121" t="str">
        <f>IFERROR(VLOOKUP(TableHandbook[[#This Row],[UDC]],TableSTRPSCART[],7,FALSE),"")</f>
        <v/>
      </c>
      <c r="U59" s="121" t="str">
        <f>IFERROR(VLOOKUP(TableHandbook[[#This Row],[UDC]],TableSTRPSCENG[],7,FALSE),"")</f>
        <v/>
      </c>
      <c r="V59" s="121" t="str">
        <f>IFERROR(VLOOKUP(TableHandbook[[#This Row],[UDC]],TableSTRPSCHLP[],7,FALSE),"")</f>
        <v/>
      </c>
      <c r="W59" s="121" t="str">
        <f>IFERROR(VLOOKUP(TableHandbook[[#This Row],[UDC]],TableSTRPSCHUS[],7,FALSE),"")</f>
        <v/>
      </c>
      <c r="X59" s="121" t="str">
        <f>IFERROR(VLOOKUP(TableHandbook[[#This Row],[UDC]],TableSTRPSCMAT[],7,FALSE),"")</f>
        <v/>
      </c>
      <c r="Y59" s="121" t="str">
        <f>IFERROR(VLOOKUP(TableHandbook[[#This Row],[UDC]],TableSTRPSCSCI[],7,FALSE),"")</f>
        <v/>
      </c>
      <c r="Z59" s="153" t="str">
        <f>IFERROR(VLOOKUP(TableHandbook[[#This Row],[UDC]],TableSTRPSCFON[],7,FALSE),"")</f>
        <v/>
      </c>
      <c r="AA59" s="154" t="str">
        <f>IFERROR(VLOOKUP(TableHandbook[[#This Row],[UDC]],TableGCTESOL[],7,FALSE),"")</f>
        <v/>
      </c>
      <c r="AB59" s="121" t="str">
        <f>IFERROR(VLOOKUP(TableHandbook[[#This Row],[UDC]],TableMCTESOL[],7,FALSE),"")</f>
        <v>Core</v>
      </c>
      <c r="AC59" s="153" t="str">
        <f>IFERROR(VLOOKUP(TableHandbook[[#This Row],[UDC]],TableMCAPLING[],7,FALSE),"")</f>
        <v>Core</v>
      </c>
      <c r="AD59" s="82" t="str">
        <f>IFERROR(VLOOKUP(TableHandbook[[#This Row],[UDC]],TableGCEDHE[],7,FALSE),"")</f>
        <v/>
      </c>
      <c r="AE59" s="154" t="str">
        <f>IFERROR(VLOOKUP(TableHandbook[[#This Row],[UDC]],TableGCEDUC[],7,FALSE),"")</f>
        <v/>
      </c>
      <c r="AF59" s="186" t="str">
        <f>IFERROR(VLOOKUP(TableHandbook[[#This Row],[UDC]],TableGDEDUC[],7,FALSE),"")</f>
        <v/>
      </c>
      <c r="AG59" s="186" t="str">
        <f>IFERROR(VLOOKUP(TableHandbook[[#This Row],[UDC]],TableMJRPEDUPR[],7,FALSE),"")</f>
        <v/>
      </c>
      <c r="AH59" s="186" t="str">
        <f>IFERROR(VLOOKUP(TableHandbook[[#This Row],[UDC]],TableMJRPEDUSC[],7,FALSE),"")</f>
        <v/>
      </c>
      <c r="AI59" s="121" t="str">
        <f>IFERROR(VLOOKUP(TableHandbook[[#This Row],[UDC]],TableMCEDUC[],7,FALSE),"")</f>
        <v/>
      </c>
      <c r="AJ59" s="121" t="str">
        <f>IFERROR(VLOOKUP(TableHandbook[[#This Row],[UDC]],TableSPPECULIN[],7,FALSE),"")</f>
        <v/>
      </c>
      <c r="AK59" s="121" t="str">
        <f>IFERROR(VLOOKUP(TableHandbook[[#This Row],[UDC]],TableSPPELNTCH[],7,FALSE),"")</f>
        <v/>
      </c>
      <c r="AL59" s="153" t="str">
        <f>IFERROR(VLOOKUP(TableHandbook[[#This Row],[UDC]],TableSPPESTEME[],7,FALSE),"")</f>
        <v/>
      </c>
    </row>
    <row r="60" spans="1:38" x14ac:dyDescent="0.25">
      <c r="A60" s="3" t="s">
        <v>158</v>
      </c>
      <c r="B60" s="4">
        <v>1</v>
      </c>
      <c r="C60" s="3"/>
      <c r="D60" s="3" t="s">
        <v>373</v>
      </c>
      <c r="E60" s="4">
        <v>25</v>
      </c>
      <c r="F60" s="81" t="s">
        <v>315</v>
      </c>
      <c r="G60" s="33" t="str">
        <f>IFERROR(IF(VLOOKUP(TableHandbook[[#This Row],[UDC]],TableAvailabilities[],2,FALSE)&gt;0,"Y",""),"")</f>
        <v>Y</v>
      </c>
      <c r="H60" s="82" t="str">
        <f>IFERROR(IF(VLOOKUP(TableHandbook[[#This Row],[UDC]],TableAvailabilities[],3,FALSE)&gt;0,"Y",""),"")</f>
        <v>Y</v>
      </c>
      <c r="I60" s="82" t="str">
        <f>IFERROR(IF(VLOOKUP(TableHandbook[[#This Row],[UDC]],TableAvailabilities[],4,FALSE)&gt;0,"Y",""),"")</f>
        <v/>
      </c>
      <c r="J60" s="82" t="str">
        <f>IFERROR(IF(VLOOKUP(TableHandbook[[#This Row],[UDC]],TableAvailabilities[],5,FALSE)&gt;0,"Y",""),"")</f>
        <v/>
      </c>
      <c r="K60" s="82" t="str">
        <f>IFERROR(IF(VLOOKUP(TableHandbook[[#This Row],[UDC]],TableAvailabilities[],6,FALSE)&gt;0,"Y",""),"")</f>
        <v>Y</v>
      </c>
      <c r="L60" s="82" t="str">
        <f>IFERROR(IF(VLOOKUP(TableHandbook[[#This Row],[UDC]],TableAvailabilities[],7,FALSE)&gt;0,"Y",""),"")</f>
        <v>Y</v>
      </c>
      <c r="M60" s="83" t="str">
        <f>IFERROR(IF(VLOOKUP(TableHandbook[[#This Row],[UDC]],TableAvailabilities[],8,FALSE)&gt;0,"Y",""),"")</f>
        <v/>
      </c>
      <c r="N60" s="82" t="str">
        <f>IFERROR(IF(VLOOKUP(TableHandbook[[#This Row],[UDC]],TableAvailabilities[],9,FALSE)&gt;0,"Y",""),"")</f>
        <v/>
      </c>
      <c r="O60" s="190"/>
      <c r="P60" s="186" t="str">
        <f>IFERROR(VLOOKUP(TableHandbook[[#This Row],[UDC]],TableMCTEACH[],7,FALSE),"")</f>
        <v/>
      </c>
      <c r="Q60" s="121" t="str">
        <f>IFERROR(VLOOKUP(TableHandbook[[#This Row],[UDC]],TableMJRPTCHEC[],7,FALSE),"")</f>
        <v/>
      </c>
      <c r="R60" s="121" t="str">
        <f>IFERROR(VLOOKUP(TableHandbook[[#This Row],[UDC]],TableMJRPTCHPR[],7,FALSE),"")</f>
        <v/>
      </c>
      <c r="S60" s="121" t="str">
        <f>IFERROR(VLOOKUP(TableHandbook[[#This Row],[UDC]],TableMJRPTCHSC[],7,FALSE),"")</f>
        <v/>
      </c>
      <c r="T60" s="121" t="str">
        <f>IFERROR(VLOOKUP(TableHandbook[[#This Row],[UDC]],TableSTRPSCART[],7,FALSE),"")</f>
        <v/>
      </c>
      <c r="U60" s="121" t="str">
        <f>IFERROR(VLOOKUP(TableHandbook[[#This Row],[UDC]],TableSTRPSCENG[],7,FALSE),"")</f>
        <v/>
      </c>
      <c r="V60" s="121" t="str">
        <f>IFERROR(VLOOKUP(TableHandbook[[#This Row],[UDC]],TableSTRPSCHLP[],7,FALSE),"")</f>
        <v/>
      </c>
      <c r="W60" s="121" t="str">
        <f>IFERROR(VLOOKUP(TableHandbook[[#This Row],[UDC]],TableSTRPSCHUS[],7,FALSE),"")</f>
        <v/>
      </c>
      <c r="X60" s="121" t="str">
        <f>IFERROR(VLOOKUP(TableHandbook[[#This Row],[UDC]],TableSTRPSCMAT[],7,FALSE),"")</f>
        <v/>
      </c>
      <c r="Y60" s="121" t="str">
        <f>IFERROR(VLOOKUP(TableHandbook[[#This Row],[UDC]],TableSTRPSCSCI[],7,FALSE),"")</f>
        <v/>
      </c>
      <c r="Z60" s="153" t="str">
        <f>IFERROR(VLOOKUP(TableHandbook[[#This Row],[UDC]],TableSTRPSCFON[],7,FALSE),"")</f>
        <v/>
      </c>
      <c r="AA60" s="154" t="str">
        <f>IFERROR(VLOOKUP(TableHandbook[[#This Row],[UDC]],TableGCTESOL[],7,FALSE),"")</f>
        <v/>
      </c>
      <c r="AB60" s="121" t="str">
        <f>IFERROR(VLOOKUP(TableHandbook[[#This Row],[UDC]],TableMCTESOL[],7,FALSE),"")</f>
        <v>Core</v>
      </c>
      <c r="AC60" s="153" t="str">
        <f>IFERROR(VLOOKUP(TableHandbook[[#This Row],[UDC]],TableMCAPLING[],7,FALSE),"")</f>
        <v>Core</v>
      </c>
      <c r="AD60" s="82" t="str">
        <f>IFERROR(VLOOKUP(TableHandbook[[#This Row],[UDC]],TableGCEDHE[],7,FALSE),"")</f>
        <v/>
      </c>
      <c r="AE60" s="154" t="str">
        <f>IFERROR(VLOOKUP(TableHandbook[[#This Row],[UDC]],TableGCEDUC[],7,FALSE),"")</f>
        <v/>
      </c>
      <c r="AF60" s="186" t="str">
        <f>IFERROR(VLOOKUP(TableHandbook[[#This Row],[UDC]],TableGDEDUC[],7,FALSE),"")</f>
        <v/>
      </c>
      <c r="AG60" s="186" t="str">
        <f>IFERROR(VLOOKUP(TableHandbook[[#This Row],[UDC]],TableMJRPEDUPR[],7,FALSE),"")</f>
        <v/>
      </c>
      <c r="AH60" s="186" t="str">
        <f>IFERROR(VLOOKUP(TableHandbook[[#This Row],[UDC]],TableMJRPEDUSC[],7,FALSE),"")</f>
        <v/>
      </c>
      <c r="AI60" s="121" t="str">
        <f>IFERROR(VLOOKUP(TableHandbook[[#This Row],[UDC]],TableMCEDUC[],7,FALSE),"")</f>
        <v/>
      </c>
      <c r="AJ60" s="121" t="str">
        <f>IFERROR(VLOOKUP(TableHandbook[[#This Row],[UDC]],TableSPPECULIN[],7,FALSE),"")</f>
        <v/>
      </c>
      <c r="AK60" s="121" t="str">
        <f>IFERROR(VLOOKUP(TableHandbook[[#This Row],[UDC]],TableSPPELNTCH[],7,FALSE),"")</f>
        <v/>
      </c>
      <c r="AL60" s="153" t="str">
        <f>IFERROR(VLOOKUP(TableHandbook[[#This Row],[UDC]],TableSPPESTEME[],7,FALSE),"")</f>
        <v/>
      </c>
    </row>
    <row r="61" spans="1:38" x14ac:dyDescent="0.25">
      <c r="A61" s="3" t="s">
        <v>204</v>
      </c>
      <c r="B61" s="4">
        <v>1</v>
      </c>
      <c r="C61" s="3"/>
      <c r="D61" s="3" t="s">
        <v>374</v>
      </c>
      <c r="E61" s="4">
        <v>25</v>
      </c>
      <c r="F61" s="81" t="s">
        <v>315</v>
      </c>
      <c r="G61" s="33" t="str">
        <f>IFERROR(IF(VLOOKUP(TableHandbook[[#This Row],[UDC]],TableAvailabilities[],2,FALSE)&gt;0,"Y",""),"")</f>
        <v/>
      </c>
      <c r="H61" s="82" t="str">
        <f>IFERROR(IF(VLOOKUP(TableHandbook[[#This Row],[UDC]],TableAvailabilities[],3,FALSE)&gt;0,"Y",""),"")</f>
        <v/>
      </c>
      <c r="I61" s="82" t="str">
        <f>IFERROR(IF(VLOOKUP(TableHandbook[[#This Row],[UDC]],TableAvailabilities[],4,FALSE)&gt;0,"Y",""),"")</f>
        <v>Y</v>
      </c>
      <c r="J61" s="82" t="str">
        <f>IFERROR(IF(VLOOKUP(TableHandbook[[#This Row],[UDC]],TableAvailabilities[],5,FALSE)&gt;0,"Y",""),"")</f>
        <v>Y</v>
      </c>
      <c r="K61" s="82" t="str">
        <f>IFERROR(IF(VLOOKUP(TableHandbook[[#This Row],[UDC]],TableAvailabilities[],6,FALSE)&gt;0,"Y",""),"")</f>
        <v/>
      </c>
      <c r="L61" s="82" t="str">
        <f>IFERROR(IF(VLOOKUP(TableHandbook[[#This Row],[UDC]],TableAvailabilities[],7,FALSE)&gt;0,"Y",""),"")</f>
        <v/>
      </c>
      <c r="M61" s="83" t="str">
        <f>IFERROR(IF(VLOOKUP(TableHandbook[[#This Row],[UDC]],TableAvailabilities[],8,FALSE)&gt;0,"Y",""),"")</f>
        <v>Y</v>
      </c>
      <c r="N61" s="82" t="str">
        <f>IFERROR(IF(VLOOKUP(TableHandbook[[#This Row],[UDC]],TableAvailabilities[],9,FALSE)&gt;0,"Y",""),"")</f>
        <v>Y</v>
      </c>
      <c r="O61" s="190"/>
      <c r="P61" s="186" t="str">
        <f>IFERROR(VLOOKUP(TableHandbook[[#This Row],[UDC]],TableMCTEACH[],7,FALSE),"")</f>
        <v/>
      </c>
      <c r="Q61" s="121" t="str">
        <f>IFERROR(VLOOKUP(TableHandbook[[#This Row],[UDC]],TableMJRPTCHEC[],7,FALSE),"")</f>
        <v/>
      </c>
      <c r="R61" s="121" t="str">
        <f>IFERROR(VLOOKUP(TableHandbook[[#This Row],[UDC]],TableMJRPTCHPR[],7,FALSE),"")</f>
        <v/>
      </c>
      <c r="S61" s="121" t="str">
        <f>IFERROR(VLOOKUP(TableHandbook[[#This Row],[UDC]],TableMJRPTCHSC[],7,FALSE),"")</f>
        <v/>
      </c>
      <c r="T61" s="121" t="str">
        <f>IFERROR(VLOOKUP(TableHandbook[[#This Row],[UDC]],TableSTRPSCART[],7,FALSE),"")</f>
        <v/>
      </c>
      <c r="U61" s="121" t="str">
        <f>IFERROR(VLOOKUP(TableHandbook[[#This Row],[UDC]],TableSTRPSCENG[],7,FALSE),"")</f>
        <v/>
      </c>
      <c r="V61" s="121" t="str">
        <f>IFERROR(VLOOKUP(TableHandbook[[#This Row],[UDC]],TableSTRPSCHLP[],7,FALSE),"")</f>
        <v/>
      </c>
      <c r="W61" s="121" t="str">
        <f>IFERROR(VLOOKUP(TableHandbook[[#This Row],[UDC]],TableSTRPSCHUS[],7,FALSE),"")</f>
        <v/>
      </c>
      <c r="X61" s="121" t="str">
        <f>IFERROR(VLOOKUP(TableHandbook[[#This Row],[UDC]],TableSTRPSCMAT[],7,FALSE),"")</f>
        <v/>
      </c>
      <c r="Y61" s="121" t="str">
        <f>IFERROR(VLOOKUP(TableHandbook[[#This Row],[UDC]],TableSTRPSCSCI[],7,FALSE),"")</f>
        <v/>
      </c>
      <c r="Z61" s="153" t="str">
        <f>IFERROR(VLOOKUP(TableHandbook[[#This Row],[UDC]],TableSTRPSCFON[],7,FALSE),"")</f>
        <v/>
      </c>
      <c r="AA61" s="154" t="str">
        <f>IFERROR(VLOOKUP(TableHandbook[[#This Row],[UDC]],TableGCTESOL[],7,FALSE),"")</f>
        <v/>
      </c>
      <c r="AB61" s="121" t="str">
        <f>IFERROR(VLOOKUP(TableHandbook[[#This Row],[UDC]],TableMCTESOL[],7,FALSE),"")</f>
        <v/>
      </c>
      <c r="AC61" s="153" t="str">
        <f>IFERROR(VLOOKUP(TableHandbook[[#This Row],[UDC]],TableMCAPLING[],7,FALSE),"")</f>
        <v/>
      </c>
      <c r="AD61" s="82" t="str">
        <f>IFERROR(VLOOKUP(TableHandbook[[#This Row],[UDC]],TableGCEDHE[],7,FALSE),"")</f>
        <v/>
      </c>
      <c r="AE61" s="154" t="str">
        <f>IFERROR(VLOOKUP(TableHandbook[[#This Row],[UDC]],TableGCEDUC[],7,FALSE),"")</f>
        <v/>
      </c>
      <c r="AF61" s="186" t="str">
        <f>IFERROR(VLOOKUP(TableHandbook[[#This Row],[UDC]],TableGDEDUC[],7,FALSE),"")</f>
        <v/>
      </c>
      <c r="AG61" s="186" t="str">
        <f>IFERROR(VLOOKUP(TableHandbook[[#This Row],[UDC]],TableMJRPEDUPR[],7,FALSE),"")</f>
        <v/>
      </c>
      <c r="AH61" s="186" t="str">
        <f>IFERROR(VLOOKUP(TableHandbook[[#This Row],[UDC]],TableMJRPEDUSC[],7,FALSE),"")</f>
        <v/>
      </c>
      <c r="AI61" s="121" t="str">
        <f>IFERROR(VLOOKUP(TableHandbook[[#This Row],[UDC]],TableMCEDUC[],7,FALSE),"")</f>
        <v>Core</v>
      </c>
      <c r="AJ61" s="121" t="str">
        <f>IFERROR(VLOOKUP(TableHandbook[[#This Row],[UDC]],TableSPPECULIN[],7,FALSE),"")</f>
        <v/>
      </c>
      <c r="AK61" s="121" t="str">
        <f>IFERROR(VLOOKUP(TableHandbook[[#This Row],[UDC]],TableSPPELNTCH[],7,FALSE),"")</f>
        <v/>
      </c>
      <c r="AL61" s="153" t="str">
        <f>IFERROR(VLOOKUP(TableHandbook[[#This Row],[UDC]],TableSPPESTEME[],7,FALSE),"")</f>
        <v/>
      </c>
    </row>
    <row r="62" spans="1:38" x14ac:dyDescent="0.25">
      <c r="A62" s="3" t="s">
        <v>213</v>
      </c>
      <c r="B62" s="4">
        <v>1</v>
      </c>
      <c r="C62" s="3"/>
      <c r="D62" s="3" t="s">
        <v>375</v>
      </c>
      <c r="E62" s="4">
        <v>25</v>
      </c>
      <c r="F62" s="81" t="s">
        <v>315</v>
      </c>
      <c r="G62" s="33" t="str">
        <f>IFERROR(IF(VLOOKUP(TableHandbook[[#This Row],[UDC]],TableAvailabilities[],2,FALSE)&gt;0,"Y",""),"")</f>
        <v/>
      </c>
      <c r="H62" s="82" t="str">
        <f>IFERROR(IF(VLOOKUP(TableHandbook[[#This Row],[UDC]],TableAvailabilities[],3,FALSE)&gt;0,"Y",""),"")</f>
        <v/>
      </c>
      <c r="I62" s="82" t="str">
        <f>IFERROR(IF(VLOOKUP(TableHandbook[[#This Row],[UDC]],TableAvailabilities[],4,FALSE)&gt;0,"Y",""),"")</f>
        <v/>
      </c>
      <c r="J62" s="82" t="str">
        <f>IFERROR(IF(VLOOKUP(TableHandbook[[#This Row],[UDC]],TableAvailabilities[],5,FALSE)&gt;0,"Y",""),"")</f>
        <v/>
      </c>
      <c r="K62" s="82" t="str">
        <f>IFERROR(IF(VLOOKUP(TableHandbook[[#This Row],[UDC]],TableAvailabilities[],6,FALSE)&gt;0,"Y",""),"")</f>
        <v>Y</v>
      </c>
      <c r="L62" s="82" t="str">
        <f>IFERROR(IF(VLOOKUP(TableHandbook[[#This Row],[UDC]],TableAvailabilities[],7,FALSE)&gt;0,"Y",""),"")</f>
        <v>Y</v>
      </c>
      <c r="M62" s="83" t="str">
        <f>IFERROR(IF(VLOOKUP(TableHandbook[[#This Row],[UDC]],TableAvailabilities[],8,FALSE)&gt;0,"Y",""),"")</f>
        <v/>
      </c>
      <c r="N62" s="82" t="str">
        <f>IFERROR(IF(VLOOKUP(TableHandbook[[#This Row],[UDC]],TableAvailabilities[],9,FALSE)&gt;0,"Y",""),"")</f>
        <v/>
      </c>
      <c r="O62" s="190"/>
      <c r="P62" s="186" t="str">
        <f>IFERROR(VLOOKUP(TableHandbook[[#This Row],[UDC]],TableMCTEACH[],7,FALSE),"")</f>
        <v/>
      </c>
      <c r="Q62" s="121" t="str">
        <f>IFERROR(VLOOKUP(TableHandbook[[#This Row],[UDC]],TableMJRPTCHEC[],7,FALSE),"")</f>
        <v/>
      </c>
      <c r="R62" s="121" t="str">
        <f>IFERROR(VLOOKUP(TableHandbook[[#This Row],[UDC]],TableMJRPTCHPR[],7,FALSE),"")</f>
        <v/>
      </c>
      <c r="S62" s="121" t="str">
        <f>IFERROR(VLOOKUP(TableHandbook[[#This Row],[UDC]],TableMJRPTCHSC[],7,FALSE),"")</f>
        <v/>
      </c>
      <c r="T62" s="121" t="str">
        <f>IFERROR(VLOOKUP(TableHandbook[[#This Row],[UDC]],TableSTRPSCART[],7,FALSE),"")</f>
        <v/>
      </c>
      <c r="U62" s="121" t="str">
        <f>IFERROR(VLOOKUP(TableHandbook[[#This Row],[UDC]],TableSTRPSCENG[],7,FALSE),"")</f>
        <v/>
      </c>
      <c r="V62" s="121" t="str">
        <f>IFERROR(VLOOKUP(TableHandbook[[#This Row],[UDC]],TableSTRPSCHLP[],7,FALSE),"")</f>
        <v/>
      </c>
      <c r="W62" s="121" t="str">
        <f>IFERROR(VLOOKUP(TableHandbook[[#This Row],[UDC]],TableSTRPSCHUS[],7,FALSE),"")</f>
        <v/>
      </c>
      <c r="X62" s="121" t="str">
        <f>IFERROR(VLOOKUP(TableHandbook[[#This Row],[UDC]],TableSTRPSCMAT[],7,FALSE),"")</f>
        <v/>
      </c>
      <c r="Y62" s="121" t="str">
        <f>IFERROR(VLOOKUP(TableHandbook[[#This Row],[UDC]],TableSTRPSCSCI[],7,FALSE),"")</f>
        <v/>
      </c>
      <c r="Z62" s="153" t="str">
        <f>IFERROR(VLOOKUP(TableHandbook[[#This Row],[UDC]],TableSTRPSCFON[],7,FALSE),"")</f>
        <v/>
      </c>
      <c r="AA62" s="154" t="str">
        <f>IFERROR(VLOOKUP(TableHandbook[[#This Row],[UDC]],TableGCTESOL[],7,FALSE),"")</f>
        <v/>
      </c>
      <c r="AB62" s="121" t="str">
        <f>IFERROR(VLOOKUP(TableHandbook[[#This Row],[UDC]],TableMCTESOL[],7,FALSE),"")</f>
        <v/>
      </c>
      <c r="AC62" s="153" t="str">
        <f>IFERROR(VLOOKUP(TableHandbook[[#This Row],[UDC]],TableMCAPLING[],7,FALSE),"")</f>
        <v/>
      </c>
      <c r="AD62" s="82" t="str">
        <f>IFERROR(VLOOKUP(TableHandbook[[#This Row],[UDC]],TableGCEDHE[],7,FALSE),"")</f>
        <v/>
      </c>
      <c r="AE62" s="154" t="str">
        <f>IFERROR(VLOOKUP(TableHandbook[[#This Row],[UDC]],TableGCEDUC[],7,FALSE),"")</f>
        <v/>
      </c>
      <c r="AF62" s="186" t="str">
        <f>IFERROR(VLOOKUP(TableHandbook[[#This Row],[UDC]],TableGDEDUC[],7,FALSE),"")</f>
        <v/>
      </c>
      <c r="AG62" s="186" t="str">
        <f>IFERROR(VLOOKUP(TableHandbook[[#This Row],[UDC]],TableMJRPEDUPR[],7,FALSE),"")</f>
        <v/>
      </c>
      <c r="AH62" s="186" t="str">
        <f>IFERROR(VLOOKUP(TableHandbook[[#This Row],[UDC]],TableMJRPEDUSC[],7,FALSE),"")</f>
        <v/>
      </c>
      <c r="AI62" s="121" t="str">
        <f>IFERROR(VLOOKUP(TableHandbook[[#This Row],[UDC]],TableMCEDUC[],7,FALSE),"")</f>
        <v>Option</v>
      </c>
      <c r="AJ62" s="121" t="str">
        <f>IFERROR(VLOOKUP(TableHandbook[[#This Row],[UDC]],TableSPPECULIN[],7,FALSE),"")</f>
        <v/>
      </c>
      <c r="AK62" s="121" t="str">
        <f>IFERROR(VLOOKUP(TableHandbook[[#This Row],[UDC]],TableSPPELNTCH[],7,FALSE),"")</f>
        <v/>
      </c>
      <c r="AL62" s="153" t="str">
        <f>IFERROR(VLOOKUP(TableHandbook[[#This Row],[UDC]],TableSPPESTEME[],7,FALSE),"")</f>
        <v>Core</v>
      </c>
    </row>
    <row r="63" spans="1:38" x14ac:dyDescent="0.25">
      <c r="A63" s="3" t="s">
        <v>214</v>
      </c>
      <c r="B63" s="4">
        <v>1</v>
      </c>
      <c r="C63" s="3"/>
      <c r="D63" s="3" t="s">
        <v>376</v>
      </c>
      <c r="E63" s="4">
        <v>25</v>
      </c>
      <c r="F63" s="81" t="s">
        <v>315</v>
      </c>
      <c r="G63" s="33" t="str">
        <f>IFERROR(IF(VLOOKUP(TableHandbook[[#This Row],[UDC]],TableAvailabilities[],2,FALSE)&gt;0,"Y",""),"")</f>
        <v>Y</v>
      </c>
      <c r="H63" s="82" t="str">
        <f>IFERROR(IF(VLOOKUP(TableHandbook[[#This Row],[UDC]],TableAvailabilities[],3,FALSE)&gt;0,"Y",""),"")</f>
        <v>Y</v>
      </c>
      <c r="I63" s="82" t="str">
        <f>IFERROR(IF(VLOOKUP(TableHandbook[[#This Row],[UDC]],TableAvailabilities[],4,FALSE)&gt;0,"Y",""),"")</f>
        <v/>
      </c>
      <c r="J63" s="82" t="str">
        <f>IFERROR(IF(VLOOKUP(TableHandbook[[#This Row],[UDC]],TableAvailabilities[],5,FALSE)&gt;0,"Y",""),"")</f>
        <v/>
      </c>
      <c r="K63" s="82" t="str">
        <f>IFERROR(IF(VLOOKUP(TableHandbook[[#This Row],[UDC]],TableAvailabilities[],6,FALSE)&gt;0,"Y",""),"")</f>
        <v>Y</v>
      </c>
      <c r="L63" s="82" t="str">
        <f>IFERROR(IF(VLOOKUP(TableHandbook[[#This Row],[UDC]],TableAvailabilities[],7,FALSE)&gt;0,"Y",""),"")</f>
        <v>Y</v>
      </c>
      <c r="M63" s="83" t="str">
        <f>IFERROR(IF(VLOOKUP(TableHandbook[[#This Row],[UDC]],TableAvailabilities[],8,FALSE)&gt;0,"Y",""),"")</f>
        <v/>
      </c>
      <c r="N63" s="82" t="str">
        <f>IFERROR(IF(VLOOKUP(TableHandbook[[#This Row],[UDC]],TableAvailabilities[],9,FALSE)&gt;0,"Y",""),"")</f>
        <v/>
      </c>
      <c r="O63" s="190"/>
      <c r="P63" s="186" t="str">
        <f>IFERROR(VLOOKUP(TableHandbook[[#This Row],[UDC]],TableMCTEACH[],7,FALSE),"")</f>
        <v/>
      </c>
      <c r="Q63" s="121" t="str">
        <f>IFERROR(VLOOKUP(TableHandbook[[#This Row],[UDC]],TableMJRPTCHEC[],7,FALSE),"")</f>
        <v/>
      </c>
      <c r="R63" s="121" t="str">
        <f>IFERROR(VLOOKUP(TableHandbook[[#This Row],[UDC]],TableMJRPTCHPR[],7,FALSE),"")</f>
        <v/>
      </c>
      <c r="S63" s="121" t="str">
        <f>IFERROR(VLOOKUP(TableHandbook[[#This Row],[UDC]],TableMJRPTCHSC[],7,FALSE),"")</f>
        <v/>
      </c>
      <c r="T63" s="121" t="str">
        <f>IFERROR(VLOOKUP(TableHandbook[[#This Row],[UDC]],TableSTRPSCART[],7,FALSE),"")</f>
        <v/>
      </c>
      <c r="U63" s="121" t="str">
        <f>IFERROR(VLOOKUP(TableHandbook[[#This Row],[UDC]],TableSTRPSCENG[],7,FALSE),"")</f>
        <v/>
      </c>
      <c r="V63" s="121" t="str">
        <f>IFERROR(VLOOKUP(TableHandbook[[#This Row],[UDC]],TableSTRPSCHLP[],7,FALSE),"")</f>
        <v/>
      </c>
      <c r="W63" s="121" t="str">
        <f>IFERROR(VLOOKUP(TableHandbook[[#This Row],[UDC]],TableSTRPSCHUS[],7,FALSE),"")</f>
        <v/>
      </c>
      <c r="X63" s="121" t="str">
        <f>IFERROR(VLOOKUP(TableHandbook[[#This Row],[UDC]],TableSTRPSCMAT[],7,FALSE),"")</f>
        <v/>
      </c>
      <c r="Y63" s="121" t="str">
        <f>IFERROR(VLOOKUP(TableHandbook[[#This Row],[UDC]],TableSTRPSCSCI[],7,FALSE),"")</f>
        <v/>
      </c>
      <c r="Z63" s="153" t="str">
        <f>IFERROR(VLOOKUP(TableHandbook[[#This Row],[UDC]],TableSTRPSCFON[],7,FALSE),"")</f>
        <v/>
      </c>
      <c r="AA63" s="154" t="str">
        <f>IFERROR(VLOOKUP(TableHandbook[[#This Row],[UDC]],TableGCTESOL[],7,FALSE),"")</f>
        <v/>
      </c>
      <c r="AB63" s="121" t="str">
        <f>IFERROR(VLOOKUP(TableHandbook[[#This Row],[UDC]],TableMCTESOL[],7,FALSE),"")</f>
        <v/>
      </c>
      <c r="AC63" s="153" t="str">
        <f>IFERROR(VLOOKUP(TableHandbook[[#This Row],[UDC]],TableMCAPLING[],7,FALSE),"")</f>
        <v/>
      </c>
      <c r="AD63" s="82" t="str">
        <f>IFERROR(VLOOKUP(TableHandbook[[#This Row],[UDC]],TableGCEDHE[],7,FALSE),"")</f>
        <v/>
      </c>
      <c r="AE63" s="154" t="str">
        <f>IFERROR(VLOOKUP(TableHandbook[[#This Row],[UDC]],TableGCEDUC[],7,FALSE),"")</f>
        <v/>
      </c>
      <c r="AF63" s="186" t="str">
        <f>IFERROR(VLOOKUP(TableHandbook[[#This Row],[UDC]],TableGDEDUC[],7,FALSE),"")</f>
        <v/>
      </c>
      <c r="AG63" s="186" t="str">
        <f>IFERROR(VLOOKUP(TableHandbook[[#This Row],[UDC]],TableMJRPEDUPR[],7,FALSE),"")</f>
        <v/>
      </c>
      <c r="AH63" s="186" t="str">
        <f>IFERROR(VLOOKUP(TableHandbook[[#This Row],[UDC]],TableMJRPEDUSC[],7,FALSE),"")</f>
        <v/>
      </c>
      <c r="AI63" s="121" t="str">
        <f>IFERROR(VLOOKUP(TableHandbook[[#This Row],[UDC]],TableMCEDUC[],7,FALSE),"")</f>
        <v>Option</v>
      </c>
      <c r="AJ63" s="121" t="str">
        <f>IFERROR(VLOOKUP(TableHandbook[[#This Row],[UDC]],TableSPPECULIN[],7,FALSE),"")</f>
        <v/>
      </c>
      <c r="AK63" s="121" t="str">
        <f>IFERROR(VLOOKUP(TableHandbook[[#This Row],[UDC]],TableSPPELNTCH[],7,FALSE),"")</f>
        <v>Core</v>
      </c>
      <c r="AL63" s="153" t="str">
        <f>IFERROR(VLOOKUP(TableHandbook[[#This Row],[UDC]],TableSPPESTEME[],7,FALSE),"")</f>
        <v>Core</v>
      </c>
    </row>
    <row r="64" spans="1:38" x14ac:dyDescent="0.25">
      <c r="A64" s="3" t="s">
        <v>209</v>
      </c>
      <c r="B64" s="4">
        <v>1</v>
      </c>
      <c r="C64" s="3"/>
      <c r="D64" s="3" t="s">
        <v>377</v>
      </c>
      <c r="E64" s="4">
        <v>25</v>
      </c>
      <c r="F64" s="81" t="s">
        <v>315</v>
      </c>
      <c r="G64" s="33" t="str">
        <f>IFERROR(IF(VLOOKUP(TableHandbook[[#This Row],[UDC]],TableAvailabilities[],2,FALSE)&gt;0,"Y",""),"")</f>
        <v/>
      </c>
      <c r="H64" s="82" t="str">
        <f>IFERROR(IF(VLOOKUP(TableHandbook[[#This Row],[UDC]],TableAvailabilities[],3,FALSE)&gt;0,"Y",""),"")</f>
        <v/>
      </c>
      <c r="I64" s="82" t="str">
        <f>IFERROR(IF(VLOOKUP(TableHandbook[[#This Row],[UDC]],TableAvailabilities[],4,FALSE)&gt;0,"Y",""),"")</f>
        <v>Y</v>
      </c>
      <c r="J64" s="82" t="str">
        <f>IFERROR(IF(VLOOKUP(TableHandbook[[#This Row],[UDC]],TableAvailabilities[],5,FALSE)&gt;0,"Y",""),"")</f>
        <v>Y</v>
      </c>
      <c r="K64" s="82" t="str">
        <f>IFERROR(IF(VLOOKUP(TableHandbook[[#This Row],[UDC]],TableAvailabilities[],6,FALSE)&gt;0,"Y",""),"")</f>
        <v/>
      </c>
      <c r="L64" s="82" t="str">
        <f>IFERROR(IF(VLOOKUP(TableHandbook[[#This Row],[UDC]],TableAvailabilities[],7,FALSE)&gt;0,"Y",""),"")</f>
        <v/>
      </c>
      <c r="M64" s="83" t="str">
        <f>IFERROR(IF(VLOOKUP(TableHandbook[[#This Row],[UDC]],TableAvailabilities[],8,FALSE)&gt;0,"Y",""),"")</f>
        <v>Y</v>
      </c>
      <c r="N64" s="82" t="str">
        <f>IFERROR(IF(VLOOKUP(TableHandbook[[#This Row],[UDC]],TableAvailabilities[],9,FALSE)&gt;0,"Y",""),"")</f>
        <v>Y</v>
      </c>
      <c r="O64" s="190"/>
      <c r="P64" s="186" t="str">
        <f>IFERROR(VLOOKUP(TableHandbook[[#This Row],[UDC]],TableMCTEACH[],7,FALSE),"")</f>
        <v/>
      </c>
      <c r="Q64" s="121" t="str">
        <f>IFERROR(VLOOKUP(TableHandbook[[#This Row],[UDC]],TableMJRPTCHEC[],7,FALSE),"")</f>
        <v/>
      </c>
      <c r="R64" s="121" t="str">
        <f>IFERROR(VLOOKUP(TableHandbook[[#This Row],[UDC]],TableMJRPTCHPR[],7,FALSE),"")</f>
        <v/>
      </c>
      <c r="S64" s="121" t="str">
        <f>IFERROR(VLOOKUP(TableHandbook[[#This Row],[UDC]],TableMJRPTCHSC[],7,FALSE),"")</f>
        <v/>
      </c>
      <c r="T64" s="121" t="str">
        <f>IFERROR(VLOOKUP(TableHandbook[[#This Row],[UDC]],TableSTRPSCART[],7,FALSE),"")</f>
        <v/>
      </c>
      <c r="U64" s="121" t="str">
        <f>IFERROR(VLOOKUP(TableHandbook[[#This Row],[UDC]],TableSTRPSCENG[],7,FALSE),"")</f>
        <v/>
      </c>
      <c r="V64" s="121" t="str">
        <f>IFERROR(VLOOKUP(TableHandbook[[#This Row],[UDC]],TableSTRPSCHLP[],7,FALSE),"")</f>
        <v/>
      </c>
      <c r="W64" s="121" t="str">
        <f>IFERROR(VLOOKUP(TableHandbook[[#This Row],[UDC]],TableSTRPSCHUS[],7,FALSE),"")</f>
        <v/>
      </c>
      <c r="X64" s="121" t="str">
        <f>IFERROR(VLOOKUP(TableHandbook[[#This Row],[UDC]],TableSTRPSCMAT[],7,FALSE),"")</f>
        <v/>
      </c>
      <c r="Y64" s="121" t="str">
        <f>IFERROR(VLOOKUP(TableHandbook[[#This Row],[UDC]],TableSTRPSCSCI[],7,FALSE),"")</f>
        <v/>
      </c>
      <c r="Z64" s="153" t="str">
        <f>IFERROR(VLOOKUP(TableHandbook[[#This Row],[UDC]],TableSTRPSCFON[],7,FALSE),"")</f>
        <v/>
      </c>
      <c r="AA64" s="154" t="str">
        <f>IFERROR(VLOOKUP(TableHandbook[[#This Row],[UDC]],TableGCTESOL[],7,FALSE),"")</f>
        <v/>
      </c>
      <c r="AB64" s="121" t="str">
        <f>IFERROR(VLOOKUP(TableHandbook[[#This Row],[UDC]],TableMCTESOL[],7,FALSE),"")</f>
        <v/>
      </c>
      <c r="AC64" s="153" t="str">
        <f>IFERROR(VLOOKUP(TableHandbook[[#This Row],[UDC]],TableMCAPLING[],7,FALSE),"")</f>
        <v/>
      </c>
      <c r="AD64" s="82" t="str">
        <f>IFERROR(VLOOKUP(TableHandbook[[#This Row],[UDC]],TableGCEDHE[],7,FALSE),"")</f>
        <v/>
      </c>
      <c r="AE64" s="154" t="str">
        <f>IFERROR(VLOOKUP(TableHandbook[[#This Row],[UDC]],TableGCEDUC[],7,FALSE),"")</f>
        <v/>
      </c>
      <c r="AF64" s="186" t="str">
        <f>IFERROR(VLOOKUP(TableHandbook[[#This Row],[UDC]],TableGDEDUC[],7,FALSE),"")</f>
        <v/>
      </c>
      <c r="AG64" s="186" t="str">
        <f>IFERROR(VLOOKUP(TableHandbook[[#This Row],[UDC]],TableMJRPEDUPR[],7,FALSE),"")</f>
        <v/>
      </c>
      <c r="AH64" s="186" t="str">
        <f>IFERROR(VLOOKUP(TableHandbook[[#This Row],[UDC]],TableMJRPEDUSC[],7,FALSE),"")</f>
        <v/>
      </c>
      <c r="AI64" s="121" t="str">
        <f>IFERROR(VLOOKUP(TableHandbook[[#This Row],[UDC]],TableMCEDUC[],7,FALSE),"")</f>
        <v>Option</v>
      </c>
      <c r="AJ64" s="121" t="str">
        <f>IFERROR(VLOOKUP(TableHandbook[[#This Row],[UDC]],TableSPPECULIN[],7,FALSE),"")</f>
        <v>Core</v>
      </c>
      <c r="AK64" s="121" t="str">
        <f>IFERROR(VLOOKUP(TableHandbook[[#This Row],[UDC]],TableSPPELNTCH[],7,FALSE),"")</f>
        <v>Core</v>
      </c>
      <c r="AL64" s="153" t="str">
        <f>IFERROR(VLOOKUP(TableHandbook[[#This Row],[UDC]],TableSPPESTEME[],7,FALSE),"")</f>
        <v>Core</v>
      </c>
    </row>
    <row r="65" spans="1:38" x14ac:dyDescent="0.25">
      <c r="A65" s="3" t="s">
        <v>210</v>
      </c>
      <c r="B65" s="4">
        <v>1</v>
      </c>
      <c r="C65" s="3"/>
      <c r="D65" s="3" t="s">
        <v>378</v>
      </c>
      <c r="E65" s="4">
        <v>25</v>
      </c>
      <c r="F65" s="81" t="s">
        <v>315</v>
      </c>
      <c r="G65" s="33" t="str">
        <f>IFERROR(IF(VLOOKUP(TableHandbook[[#This Row],[UDC]],TableAvailabilities[],2,FALSE)&gt;0,"Y",""),"")</f>
        <v>Y</v>
      </c>
      <c r="H65" s="82" t="str">
        <f>IFERROR(IF(VLOOKUP(TableHandbook[[#This Row],[UDC]],TableAvailabilities[],3,FALSE)&gt;0,"Y",""),"")</f>
        <v>Y</v>
      </c>
      <c r="I65" s="82" t="str">
        <f>IFERROR(IF(VLOOKUP(TableHandbook[[#This Row],[UDC]],TableAvailabilities[],4,FALSE)&gt;0,"Y",""),"")</f>
        <v/>
      </c>
      <c r="J65" s="82" t="str">
        <f>IFERROR(IF(VLOOKUP(TableHandbook[[#This Row],[UDC]],TableAvailabilities[],5,FALSE)&gt;0,"Y",""),"")</f>
        <v/>
      </c>
      <c r="K65" s="82" t="str">
        <f>IFERROR(IF(VLOOKUP(TableHandbook[[#This Row],[UDC]],TableAvailabilities[],6,FALSE)&gt;0,"Y",""),"")</f>
        <v/>
      </c>
      <c r="L65" s="82" t="str">
        <f>IFERROR(IF(VLOOKUP(TableHandbook[[#This Row],[UDC]],TableAvailabilities[],7,FALSE)&gt;0,"Y",""),"")</f>
        <v/>
      </c>
      <c r="M65" s="83" t="str">
        <f>IFERROR(IF(VLOOKUP(TableHandbook[[#This Row],[UDC]],TableAvailabilities[],8,FALSE)&gt;0,"Y",""),"")</f>
        <v/>
      </c>
      <c r="N65" s="82" t="str">
        <f>IFERROR(IF(VLOOKUP(TableHandbook[[#This Row],[UDC]],TableAvailabilities[],9,FALSE)&gt;0,"Y",""),"")</f>
        <v/>
      </c>
      <c r="O65" s="190"/>
      <c r="P65" s="186" t="str">
        <f>IFERROR(VLOOKUP(TableHandbook[[#This Row],[UDC]],TableMCTEACH[],7,FALSE),"")</f>
        <v/>
      </c>
      <c r="Q65" s="121" t="str">
        <f>IFERROR(VLOOKUP(TableHandbook[[#This Row],[UDC]],TableMJRPTCHEC[],7,FALSE),"")</f>
        <v/>
      </c>
      <c r="R65" s="121" t="str">
        <f>IFERROR(VLOOKUP(TableHandbook[[#This Row],[UDC]],TableMJRPTCHPR[],7,FALSE),"")</f>
        <v/>
      </c>
      <c r="S65" s="121" t="str">
        <f>IFERROR(VLOOKUP(TableHandbook[[#This Row],[UDC]],TableMJRPTCHSC[],7,FALSE),"")</f>
        <v/>
      </c>
      <c r="T65" s="121" t="str">
        <f>IFERROR(VLOOKUP(TableHandbook[[#This Row],[UDC]],TableSTRPSCART[],7,FALSE),"")</f>
        <v/>
      </c>
      <c r="U65" s="121" t="str">
        <f>IFERROR(VLOOKUP(TableHandbook[[#This Row],[UDC]],TableSTRPSCENG[],7,FALSE),"")</f>
        <v/>
      </c>
      <c r="V65" s="121" t="str">
        <f>IFERROR(VLOOKUP(TableHandbook[[#This Row],[UDC]],TableSTRPSCHLP[],7,FALSE),"")</f>
        <v/>
      </c>
      <c r="W65" s="121" t="str">
        <f>IFERROR(VLOOKUP(TableHandbook[[#This Row],[UDC]],TableSTRPSCHUS[],7,FALSE),"")</f>
        <v/>
      </c>
      <c r="X65" s="121" t="str">
        <f>IFERROR(VLOOKUP(TableHandbook[[#This Row],[UDC]],TableSTRPSCMAT[],7,FALSE),"")</f>
        <v/>
      </c>
      <c r="Y65" s="121" t="str">
        <f>IFERROR(VLOOKUP(TableHandbook[[#This Row],[UDC]],TableSTRPSCSCI[],7,FALSE),"")</f>
        <v/>
      </c>
      <c r="Z65" s="153" t="str">
        <f>IFERROR(VLOOKUP(TableHandbook[[#This Row],[UDC]],TableSTRPSCFON[],7,FALSE),"")</f>
        <v/>
      </c>
      <c r="AA65" s="154" t="str">
        <f>IFERROR(VLOOKUP(TableHandbook[[#This Row],[UDC]],TableGCTESOL[],7,FALSE),"")</f>
        <v/>
      </c>
      <c r="AB65" s="121" t="str">
        <f>IFERROR(VLOOKUP(TableHandbook[[#This Row],[UDC]],TableMCTESOL[],7,FALSE),"")</f>
        <v/>
      </c>
      <c r="AC65" s="153" t="str">
        <f>IFERROR(VLOOKUP(TableHandbook[[#This Row],[UDC]],TableMCAPLING[],7,FALSE),"")</f>
        <v/>
      </c>
      <c r="AD65" s="82" t="str">
        <f>IFERROR(VLOOKUP(TableHandbook[[#This Row],[UDC]],TableGCEDHE[],7,FALSE),"")</f>
        <v/>
      </c>
      <c r="AE65" s="154" t="str">
        <f>IFERROR(VLOOKUP(TableHandbook[[#This Row],[UDC]],TableGCEDUC[],7,FALSE),"")</f>
        <v/>
      </c>
      <c r="AF65" s="186" t="str">
        <f>IFERROR(VLOOKUP(TableHandbook[[#This Row],[UDC]],TableGDEDUC[],7,FALSE),"")</f>
        <v/>
      </c>
      <c r="AG65" s="186" t="str">
        <f>IFERROR(VLOOKUP(TableHandbook[[#This Row],[UDC]],TableMJRPEDUPR[],7,FALSE),"")</f>
        <v/>
      </c>
      <c r="AH65" s="186" t="str">
        <f>IFERROR(VLOOKUP(TableHandbook[[#This Row],[UDC]],TableMJRPEDUSC[],7,FALSE),"")</f>
        <v/>
      </c>
      <c r="AI65" s="121" t="str">
        <f>IFERROR(VLOOKUP(TableHandbook[[#This Row],[UDC]],TableMCEDUC[],7,FALSE),"")</f>
        <v>Option</v>
      </c>
      <c r="AJ65" s="121" t="str">
        <f>IFERROR(VLOOKUP(TableHandbook[[#This Row],[UDC]],TableSPPECULIN[],7,FALSE),"")</f>
        <v/>
      </c>
      <c r="AK65" s="121" t="str">
        <f>IFERROR(VLOOKUP(TableHandbook[[#This Row],[UDC]],TableSPPELNTCH[],7,FALSE),"")</f>
        <v>Core</v>
      </c>
      <c r="AL65" s="153" t="str">
        <f>IFERROR(VLOOKUP(TableHandbook[[#This Row],[UDC]],TableSPPESTEME[],7,FALSE),"")</f>
        <v/>
      </c>
    </row>
    <row r="66" spans="1:38" x14ac:dyDescent="0.25">
      <c r="A66" s="3" t="s">
        <v>208</v>
      </c>
      <c r="B66" s="4">
        <v>1</v>
      </c>
      <c r="C66" s="3"/>
      <c r="D66" s="3" t="s">
        <v>379</v>
      </c>
      <c r="E66" s="4">
        <v>25</v>
      </c>
      <c r="F66" s="81" t="s">
        <v>315</v>
      </c>
      <c r="G66" s="33" t="str">
        <f>IFERROR(IF(VLOOKUP(TableHandbook[[#This Row],[UDC]],TableAvailabilities[],2,FALSE)&gt;0,"Y",""),"")</f>
        <v>Y</v>
      </c>
      <c r="H66" s="82" t="str">
        <f>IFERROR(IF(VLOOKUP(TableHandbook[[#This Row],[UDC]],TableAvailabilities[],3,FALSE)&gt;0,"Y",""),"")</f>
        <v>Y</v>
      </c>
      <c r="I66" s="82" t="str">
        <f>IFERROR(IF(VLOOKUP(TableHandbook[[#This Row],[UDC]],TableAvailabilities[],4,FALSE)&gt;0,"Y",""),"")</f>
        <v/>
      </c>
      <c r="J66" s="82" t="str">
        <f>IFERROR(IF(VLOOKUP(TableHandbook[[#This Row],[UDC]],TableAvailabilities[],5,FALSE)&gt;0,"Y",""),"")</f>
        <v/>
      </c>
      <c r="K66" s="82" t="str">
        <f>IFERROR(IF(VLOOKUP(TableHandbook[[#This Row],[UDC]],TableAvailabilities[],6,FALSE)&gt;0,"Y",""),"")</f>
        <v/>
      </c>
      <c r="L66" s="82" t="str">
        <f>IFERROR(IF(VLOOKUP(TableHandbook[[#This Row],[UDC]],TableAvailabilities[],7,FALSE)&gt;0,"Y",""),"")</f>
        <v/>
      </c>
      <c r="M66" s="83" t="str">
        <f>IFERROR(IF(VLOOKUP(TableHandbook[[#This Row],[UDC]],TableAvailabilities[],8,FALSE)&gt;0,"Y",""),"")</f>
        <v/>
      </c>
      <c r="N66" s="82" t="str">
        <f>IFERROR(IF(VLOOKUP(TableHandbook[[#This Row],[UDC]],TableAvailabilities[],9,FALSE)&gt;0,"Y",""),"")</f>
        <v/>
      </c>
      <c r="O66" s="190"/>
      <c r="P66" s="186" t="str">
        <f>IFERROR(VLOOKUP(TableHandbook[[#This Row],[UDC]],TableMCTEACH[],7,FALSE),"")</f>
        <v/>
      </c>
      <c r="Q66" s="121" t="str">
        <f>IFERROR(VLOOKUP(TableHandbook[[#This Row],[UDC]],TableMJRPTCHEC[],7,FALSE),"")</f>
        <v/>
      </c>
      <c r="R66" s="121" t="str">
        <f>IFERROR(VLOOKUP(TableHandbook[[#This Row],[UDC]],TableMJRPTCHPR[],7,FALSE),"")</f>
        <v/>
      </c>
      <c r="S66" s="121" t="str">
        <f>IFERROR(VLOOKUP(TableHandbook[[#This Row],[UDC]],TableMJRPTCHSC[],7,FALSE),"")</f>
        <v/>
      </c>
      <c r="T66" s="121" t="str">
        <f>IFERROR(VLOOKUP(TableHandbook[[#This Row],[UDC]],TableSTRPSCART[],7,FALSE),"")</f>
        <v/>
      </c>
      <c r="U66" s="121" t="str">
        <f>IFERROR(VLOOKUP(TableHandbook[[#This Row],[UDC]],TableSTRPSCENG[],7,FALSE),"")</f>
        <v/>
      </c>
      <c r="V66" s="121" t="str">
        <f>IFERROR(VLOOKUP(TableHandbook[[#This Row],[UDC]],TableSTRPSCHLP[],7,FALSE),"")</f>
        <v/>
      </c>
      <c r="W66" s="121" t="str">
        <f>IFERROR(VLOOKUP(TableHandbook[[#This Row],[UDC]],TableSTRPSCHUS[],7,FALSE),"")</f>
        <v/>
      </c>
      <c r="X66" s="121" t="str">
        <f>IFERROR(VLOOKUP(TableHandbook[[#This Row],[UDC]],TableSTRPSCMAT[],7,FALSE),"")</f>
        <v/>
      </c>
      <c r="Y66" s="121" t="str">
        <f>IFERROR(VLOOKUP(TableHandbook[[#This Row],[UDC]],TableSTRPSCSCI[],7,FALSE),"")</f>
        <v/>
      </c>
      <c r="Z66" s="153" t="str">
        <f>IFERROR(VLOOKUP(TableHandbook[[#This Row],[UDC]],TableSTRPSCFON[],7,FALSE),"")</f>
        <v/>
      </c>
      <c r="AA66" s="154" t="str">
        <f>IFERROR(VLOOKUP(TableHandbook[[#This Row],[UDC]],TableGCTESOL[],7,FALSE),"")</f>
        <v/>
      </c>
      <c r="AB66" s="121" t="str">
        <f>IFERROR(VLOOKUP(TableHandbook[[#This Row],[UDC]],TableMCTESOL[],7,FALSE),"")</f>
        <v/>
      </c>
      <c r="AC66" s="153" t="str">
        <f>IFERROR(VLOOKUP(TableHandbook[[#This Row],[UDC]],TableMCAPLING[],7,FALSE),"")</f>
        <v/>
      </c>
      <c r="AD66" s="82" t="str">
        <f>IFERROR(VLOOKUP(TableHandbook[[#This Row],[UDC]],TableGCEDHE[],7,FALSE),"")</f>
        <v/>
      </c>
      <c r="AE66" s="154" t="str">
        <f>IFERROR(VLOOKUP(TableHandbook[[#This Row],[UDC]],TableGCEDUC[],7,FALSE),"")</f>
        <v/>
      </c>
      <c r="AF66" s="186" t="str">
        <f>IFERROR(VLOOKUP(TableHandbook[[#This Row],[UDC]],TableGDEDUC[],7,FALSE),"")</f>
        <v/>
      </c>
      <c r="AG66" s="186" t="str">
        <f>IFERROR(VLOOKUP(TableHandbook[[#This Row],[UDC]],TableMJRPEDUPR[],7,FALSE),"")</f>
        <v/>
      </c>
      <c r="AH66" s="186" t="str">
        <f>IFERROR(VLOOKUP(TableHandbook[[#This Row],[UDC]],TableMJRPEDUSC[],7,FALSE),"")</f>
        <v/>
      </c>
      <c r="AI66" s="121" t="str">
        <f>IFERROR(VLOOKUP(TableHandbook[[#This Row],[UDC]],TableMCEDUC[],7,FALSE),"")</f>
        <v>Option</v>
      </c>
      <c r="AJ66" s="121" t="str">
        <f>IFERROR(VLOOKUP(TableHandbook[[#This Row],[UDC]],TableSPPECULIN[],7,FALSE),"")</f>
        <v>Core</v>
      </c>
      <c r="AK66" s="121" t="str">
        <f>IFERROR(VLOOKUP(TableHandbook[[#This Row],[UDC]],TableSPPELNTCH[],7,FALSE),"")</f>
        <v/>
      </c>
      <c r="AL66" s="153" t="str">
        <f>IFERROR(VLOOKUP(TableHandbook[[#This Row],[UDC]],TableSPPESTEME[],7,FALSE),"")</f>
        <v/>
      </c>
    </row>
    <row r="67" spans="1:38" x14ac:dyDescent="0.25">
      <c r="A67" s="3" t="s">
        <v>211</v>
      </c>
      <c r="B67" s="4">
        <v>1</v>
      </c>
      <c r="C67" s="3"/>
      <c r="D67" s="3" t="s">
        <v>380</v>
      </c>
      <c r="E67" s="4">
        <v>25</v>
      </c>
      <c r="F67" s="81" t="s">
        <v>315</v>
      </c>
      <c r="G67" s="33" t="str">
        <f>IFERROR(IF(VLOOKUP(TableHandbook[[#This Row],[UDC]],TableAvailabilities[],2,FALSE)&gt;0,"Y",""),"")</f>
        <v/>
      </c>
      <c r="H67" s="82" t="str">
        <f>IFERROR(IF(VLOOKUP(TableHandbook[[#This Row],[UDC]],TableAvailabilities[],3,FALSE)&gt;0,"Y",""),"")</f>
        <v/>
      </c>
      <c r="I67" s="82" t="str">
        <f>IFERROR(IF(VLOOKUP(TableHandbook[[#This Row],[UDC]],TableAvailabilities[],4,FALSE)&gt;0,"Y",""),"")</f>
        <v/>
      </c>
      <c r="J67" s="82" t="str">
        <f>IFERROR(IF(VLOOKUP(TableHandbook[[#This Row],[UDC]],TableAvailabilities[],5,FALSE)&gt;0,"Y",""),"")</f>
        <v/>
      </c>
      <c r="K67" s="82" t="str">
        <f>IFERROR(IF(VLOOKUP(TableHandbook[[#This Row],[UDC]],TableAvailabilities[],6,FALSE)&gt;0,"Y",""),"")</f>
        <v>Y</v>
      </c>
      <c r="L67" s="82" t="str">
        <f>IFERROR(IF(VLOOKUP(TableHandbook[[#This Row],[UDC]],TableAvailabilities[],7,FALSE)&gt;0,"Y",""),"")</f>
        <v>Y</v>
      </c>
      <c r="M67" s="83" t="str">
        <f>IFERROR(IF(VLOOKUP(TableHandbook[[#This Row],[UDC]],TableAvailabilities[],8,FALSE)&gt;0,"Y",""),"")</f>
        <v/>
      </c>
      <c r="N67" s="82" t="str">
        <f>IFERROR(IF(VLOOKUP(TableHandbook[[#This Row],[UDC]],TableAvailabilities[],9,FALSE)&gt;0,"Y",""),"")</f>
        <v/>
      </c>
      <c r="O67" s="190"/>
      <c r="P67" s="186" t="str">
        <f>IFERROR(VLOOKUP(TableHandbook[[#This Row],[UDC]],TableMCTEACH[],7,FALSE),"")</f>
        <v/>
      </c>
      <c r="Q67" s="121" t="str">
        <f>IFERROR(VLOOKUP(TableHandbook[[#This Row],[UDC]],TableMJRPTCHEC[],7,FALSE),"")</f>
        <v/>
      </c>
      <c r="R67" s="121" t="str">
        <f>IFERROR(VLOOKUP(TableHandbook[[#This Row],[UDC]],TableMJRPTCHPR[],7,FALSE),"")</f>
        <v/>
      </c>
      <c r="S67" s="121" t="str">
        <f>IFERROR(VLOOKUP(TableHandbook[[#This Row],[UDC]],TableMJRPTCHSC[],7,FALSE),"")</f>
        <v/>
      </c>
      <c r="T67" s="121" t="str">
        <f>IFERROR(VLOOKUP(TableHandbook[[#This Row],[UDC]],TableSTRPSCART[],7,FALSE),"")</f>
        <v/>
      </c>
      <c r="U67" s="121" t="str">
        <f>IFERROR(VLOOKUP(TableHandbook[[#This Row],[UDC]],TableSTRPSCENG[],7,FALSE),"")</f>
        <v/>
      </c>
      <c r="V67" s="121" t="str">
        <f>IFERROR(VLOOKUP(TableHandbook[[#This Row],[UDC]],TableSTRPSCHLP[],7,FALSE),"")</f>
        <v/>
      </c>
      <c r="W67" s="121" t="str">
        <f>IFERROR(VLOOKUP(TableHandbook[[#This Row],[UDC]],TableSTRPSCHUS[],7,FALSE),"")</f>
        <v/>
      </c>
      <c r="X67" s="121" t="str">
        <f>IFERROR(VLOOKUP(TableHandbook[[#This Row],[UDC]],TableSTRPSCMAT[],7,FALSE),"")</f>
        <v/>
      </c>
      <c r="Y67" s="121" t="str">
        <f>IFERROR(VLOOKUP(TableHandbook[[#This Row],[UDC]],TableSTRPSCSCI[],7,FALSE),"")</f>
        <v/>
      </c>
      <c r="Z67" s="153" t="str">
        <f>IFERROR(VLOOKUP(TableHandbook[[#This Row],[UDC]],TableSTRPSCFON[],7,FALSE),"")</f>
        <v/>
      </c>
      <c r="AA67" s="154" t="str">
        <f>IFERROR(VLOOKUP(TableHandbook[[#This Row],[UDC]],TableGCTESOL[],7,FALSE),"")</f>
        <v/>
      </c>
      <c r="AB67" s="121" t="str">
        <f>IFERROR(VLOOKUP(TableHandbook[[#This Row],[UDC]],TableMCTESOL[],7,FALSE),"")</f>
        <v/>
      </c>
      <c r="AC67" s="153" t="str">
        <f>IFERROR(VLOOKUP(TableHandbook[[#This Row],[UDC]],TableMCAPLING[],7,FALSE),"")</f>
        <v/>
      </c>
      <c r="AD67" s="82" t="str">
        <f>IFERROR(VLOOKUP(TableHandbook[[#This Row],[UDC]],TableGCEDHE[],7,FALSE),"")</f>
        <v/>
      </c>
      <c r="AE67" s="154" t="str">
        <f>IFERROR(VLOOKUP(TableHandbook[[#This Row],[UDC]],TableGCEDUC[],7,FALSE),"")</f>
        <v/>
      </c>
      <c r="AF67" s="186" t="str">
        <f>IFERROR(VLOOKUP(TableHandbook[[#This Row],[UDC]],TableGDEDUC[],7,FALSE),"")</f>
        <v/>
      </c>
      <c r="AG67" s="186" t="str">
        <f>IFERROR(VLOOKUP(TableHandbook[[#This Row],[UDC]],TableMJRPEDUPR[],7,FALSE),"")</f>
        <v/>
      </c>
      <c r="AH67" s="186" t="str">
        <f>IFERROR(VLOOKUP(TableHandbook[[#This Row],[UDC]],TableMJRPEDUSC[],7,FALSE),"")</f>
        <v/>
      </c>
      <c r="AI67" s="121" t="str">
        <f>IFERROR(VLOOKUP(TableHandbook[[#This Row],[UDC]],TableMCEDUC[],7,FALSE),"")</f>
        <v>Option</v>
      </c>
      <c r="AJ67" s="121" t="str">
        <f>IFERROR(VLOOKUP(TableHandbook[[#This Row],[UDC]],TableSPPECULIN[],7,FALSE),"")</f>
        <v/>
      </c>
      <c r="AK67" s="121" t="str">
        <f>IFERROR(VLOOKUP(TableHandbook[[#This Row],[UDC]],TableSPPELNTCH[],7,FALSE),"")</f>
        <v>Core</v>
      </c>
      <c r="AL67" s="153" t="str">
        <f>IFERROR(VLOOKUP(TableHandbook[[#This Row],[UDC]],TableSPPESTEME[],7,FALSE),"")</f>
        <v/>
      </c>
    </row>
    <row r="68" spans="1:38" x14ac:dyDescent="0.25">
      <c r="A68" s="3" t="s">
        <v>212</v>
      </c>
      <c r="B68" s="4">
        <v>1</v>
      </c>
      <c r="C68" s="3"/>
      <c r="D68" s="3" t="s">
        <v>381</v>
      </c>
      <c r="E68" s="4">
        <v>25</v>
      </c>
      <c r="F68" s="81" t="s">
        <v>315</v>
      </c>
      <c r="G68" s="33" t="str">
        <f>IFERROR(IF(VLOOKUP(TableHandbook[[#This Row],[UDC]],TableAvailabilities[],2,FALSE)&gt;0,"Y",""),"")</f>
        <v>Y</v>
      </c>
      <c r="H68" s="82" t="str">
        <f>IFERROR(IF(VLOOKUP(TableHandbook[[#This Row],[UDC]],TableAvailabilities[],3,FALSE)&gt;0,"Y",""),"")</f>
        <v>Y</v>
      </c>
      <c r="I68" s="82" t="str">
        <f>IFERROR(IF(VLOOKUP(TableHandbook[[#This Row],[UDC]],TableAvailabilities[],4,FALSE)&gt;0,"Y",""),"")</f>
        <v/>
      </c>
      <c r="J68" s="82" t="str">
        <f>IFERROR(IF(VLOOKUP(TableHandbook[[#This Row],[UDC]],TableAvailabilities[],5,FALSE)&gt;0,"Y",""),"")</f>
        <v/>
      </c>
      <c r="K68" s="82" t="str">
        <f>IFERROR(IF(VLOOKUP(TableHandbook[[#This Row],[UDC]],TableAvailabilities[],6,FALSE)&gt;0,"Y",""),"")</f>
        <v/>
      </c>
      <c r="L68" s="82" t="str">
        <f>IFERROR(IF(VLOOKUP(TableHandbook[[#This Row],[UDC]],TableAvailabilities[],7,FALSE)&gt;0,"Y",""),"")</f>
        <v/>
      </c>
      <c r="M68" s="83" t="str">
        <f>IFERROR(IF(VLOOKUP(TableHandbook[[#This Row],[UDC]],TableAvailabilities[],8,FALSE)&gt;0,"Y",""),"")</f>
        <v/>
      </c>
      <c r="N68" s="82" t="str">
        <f>IFERROR(IF(VLOOKUP(TableHandbook[[#This Row],[UDC]],TableAvailabilities[],9,FALSE)&gt;0,"Y",""),"")</f>
        <v/>
      </c>
      <c r="O68" s="190"/>
      <c r="P68" s="186" t="str">
        <f>IFERROR(VLOOKUP(TableHandbook[[#This Row],[UDC]],TableMCTEACH[],7,FALSE),"")</f>
        <v/>
      </c>
      <c r="Q68" s="121" t="str">
        <f>IFERROR(VLOOKUP(TableHandbook[[#This Row],[UDC]],TableMJRPTCHEC[],7,FALSE),"")</f>
        <v/>
      </c>
      <c r="R68" s="121" t="str">
        <f>IFERROR(VLOOKUP(TableHandbook[[#This Row],[UDC]],TableMJRPTCHPR[],7,FALSE),"")</f>
        <v/>
      </c>
      <c r="S68" s="121" t="str">
        <f>IFERROR(VLOOKUP(TableHandbook[[#This Row],[UDC]],TableMJRPTCHSC[],7,FALSE),"")</f>
        <v/>
      </c>
      <c r="T68" s="121" t="str">
        <f>IFERROR(VLOOKUP(TableHandbook[[#This Row],[UDC]],TableSTRPSCART[],7,FALSE),"")</f>
        <v/>
      </c>
      <c r="U68" s="121" t="str">
        <f>IFERROR(VLOOKUP(TableHandbook[[#This Row],[UDC]],TableSTRPSCENG[],7,FALSE),"")</f>
        <v/>
      </c>
      <c r="V68" s="121" t="str">
        <f>IFERROR(VLOOKUP(TableHandbook[[#This Row],[UDC]],TableSTRPSCHLP[],7,FALSE),"")</f>
        <v/>
      </c>
      <c r="W68" s="121" t="str">
        <f>IFERROR(VLOOKUP(TableHandbook[[#This Row],[UDC]],TableSTRPSCHUS[],7,FALSE),"")</f>
        <v/>
      </c>
      <c r="X68" s="121" t="str">
        <f>IFERROR(VLOOKUP(TableHandbook[[#This Row],[UDC]],TableSTRPSCMAT[],7,FALSE),"")</f>
        <v/>
      </c>
      <c r="Y68" s="121" t="str">
        <f>IFERROR(VLOOKUP(TableHandbook[[#This Row],[UDC]],TableSTRPSCSCI[],7,FALSE),"")</f>
        <v/>
      </c>
      <c r="Z68" s="153" t="str">
        <f>IFERROR(VLOOKUP(TableHandbook[[#This Row],[UDC]],TableSTRPSCFON[],7,FALSE),"")</f>
        <v/>
      </c>
      <c r="AA68" s="154" t="str">
        <f>IFERROR(VLOOKUP(TableHandbook[[#This Row],[UDC]],TableGCTESOL[],7,FALSE),"")</f>
        <v/>
      </c>
      <c r="AB68" s="121" t="str">
        <f>IFERROR(VLOOKUP(TableHandbook[[#This Row],[UDC]],TableMCTESOL[],7,FALSE),"")</f>
        <v/>
      </c>
      <c r="AC68" s="153" t="str">
        <f>IFERROR(VLOOKUP(TableHandbook[[#This Row],[UDC]],TableMCAPLING[],7,FALSE),"")</f>
        <v/>
      </c>
      <c r="AD68" s="82" t="str">
        <f>IFERROR(VLOOKUP(TableHandbook[[#This Row],[UDC]],TableGCEDHE[],7,FALSE),"")</f>
        <v/>
      </c>
      <c r="AE68" s="154" t="str">
        <f>IFERROR(VLOOKUP(TableHandbook[[#This Row],[UDC]],TableGCEDUC[],7,FALSE),"")</f>
        <v/>
      </c>
      <c r="AF68" s="186" t="str">
        <f>IFERROR(VLOOKUP(TableHandbook[[#This Row],[UDC]],TableGDEDUC[],7,FALSE),"")</f>
        <v/>
      </c>
      <c r="AG68" s="186" t="str">
        <f>IFERROR(VLOOKUP(TableHandbook[[#This Row],[UDC]],TableMJRPEDUPR[],7,FALSE),"")</f>
        <v/>
      </c>
      <c r="AH68" s="186" t="str">
        <f>IFERROR(VLOOKUP(TableHandbook[[#This Row],[UDC]],TableMJRPEDUSC[],7,FALSE),"")</f>
        <v/>
      </c>
      <c r="AI68" s="121" t="str">
        <f>IFERROR(VLOOKUP(TableHandbook[[#This Row],[UDC]],TableMCEDUC[],7,FALSE),"")</f>
        <v>Option</v>
      </c>
      <c r="AJ68" s="121" t="str">
        <f>IFERROR(VLOOKUP(TableHandbook[[#This Row],[UDC]],TableSPPECULIN[],7,FALSE),"")</f>
        <v/>
      </c>
      <c r="AK68" s="121" t="str">
        <f>IFERROR(VLOOKUP(TableHandbook[[#This Row],[UDC]],TableSPPELNTCH[],7,FALSE),"")</f>
        <v/>
      </c>
      <c r="AL68" s="153" t="str">
        <f>IFERROR(VLOOKUP(TableHandbook[[#This Row],[UDC]],TableSPPESTEME[],7,FALSE),"")</f>
        <v>Core</v>
      </c>
    </row>
    <row r="69" spans="1:38" x14ac:dyDescent="0.25">
      <c r="A69" s="3" t="s">
        <v>115</v>
      </c>
      <c r="B69" s="4">
        <v>1</v>
      </c>
      <c r="C69" s="3"/>
      <c r="D69" s="3" t="s">
        <v>382</v>
      </c>
      <c r="E69" s="4">
        <v>25</v>
      </c>
      <c r="F69" s="81" t="s">
        <v>383</v>
      </c>
      <c r="G69" s="33" t="str">
        <f>IFERROR(IF(VLOOKUP(TableHandbook[[#This Row],[UDC]],TableAvailabilities[],2,FALSE)&gt;0,"Y",""),"")</f>
        <v>Y</v>
      </c>
      <c r="H69" s="82" t="str">
        <f>IFERROR(IF(VLOOKUP(TableHandbook[[#This Row],[UDC]],TableAvailabilities[],3,FALSE)&gt;0,"Y",""),"")</f>
        <v>Y</v>
      </c>
      <c r="I69" s="82" t="str">
        <f>IFERROR(IF(VLOOKUP(TableHandbook[[#This Row],[UDC]],TableAvailabilities[],4,FALSE)&gt;0,"Y",""),"")</f>
        <v/>
      </c>
      <c r="J69" s="82" t="str">
        <f>IFERROR(IF(VLOOKUP(TableHandbook[[#This Row],[UDC]],TableAvailabilities[],5,FALSE)&gt;0,"Y",""),"")</f>
        <v/>
      </c>
      <c r="K69" s="82" t="str">
        <f>IFERROR(IF(VLOOKUP(TableHandbook[[#This Row],[UDC]],TableAvailabilities[],6,FALSE)&gt;0,"Y",""),"")</f>
        <v>Y</v>
      </c>
      <c r="L69" s="82" t="str">
        <f>IFERROR(IF(VLOOKUP(TableHandbook[[#This Row],[UDC]],TableAvailabilities[],7,FALSE)&gt;0,"Y",""),"")</f>
        <v>Y</v>
      </c>
      <c r="M69" s="83" t="str">
        <f>IFERROR(IF(VLOOKUP(TableHandbook[[#This Row],[UDC]],TableAvailabilities[],8,FALSE)&gt;0,"Y",""),"")</f>
        <v/>
      </c>
      <c r="N69" s="82" t="str">
        <f>IFERROR(IF(VLOOKUP(TableHandbook[[#This Row],[UDC]],TableAvailabilities[],9,FALSE)&gt;0,"Y",""),"")</f>
        <v/>
      </c>
      <c r="O69" s="190"/>
      <c r="P69" s="186" t="str">
        <f>IFERROR(VLOOKUP(TableHandbook[[#This Row],[UDC]],TableMCTEACH[],7,FALSE),"")</f>
        <v/>
      </c>
      <c r="Q69" s="121" t="str">
        <f>IFERROR(VLOOKUP(TableHandbook[[#This Row],[UDC]],TableMJRPTCHEC[],7,FALSE),"")</f>
        <v>Core</v>
      </c>
      <c r="R69" s="121" t="str">
        <f>IFERROR(VLOOKUP(TableHandbook[[#This Row],[UDC]],TableMJRPTCHPR[],7,FALSE),"")</f>
        <v>Core</v>
      </c>
      <c r="S69" s="121" t="str">
        <f>IFERROR(VLOOKUP(TableHandbook[[#This Row],[UDC]],TableMJRPTCHSC[],7,FALSE),"")</f>
        <v>Core</v>
      </c>
      <c r="T69" s="121" t="str">
        <f>IFERROR(VLOOKUP(TableHandbook[[#This Row],[UDC]],TableSTRPSCART[],7,FALSE),"")</f>
        <v/>
      </c>
      <c r="U69" s="121" t="str">
        <f>IFERROR(VLOOKUP(TableHandbook[[#This Row],[UDC]],TableSTRPSCENG[],7,FALSE),"")</f>
        <v/>
      </c>
      <c r="V69" s="121" t="str">
        <f>IFERROR(VLOOKUP(TableHandbook[[#This Row],[UDC]],TableSTRPSCHLP[],7,FALSE),"")</f>
        <v/>
      </c>
      <c r="W69" s="121" t="str">
        <f>IFERROR(VLOOKUP(TableHandbook[[#This Row],[UDC]],TableSTRPSCHUS[],7,FALSE),"")</f>
        <v/>
      </c>
      <c r="X69" s="121" t="str">
        <f>IFERROR(VLOOKUP(TableHandbook[[#This Row],[UDC]],TableSTRPSCMAT[],7,FALSE),"")</f>
        <v/>
      </c>
      <c r="Y69" s="121" t="str">
        <f>IFERROR(VLOOKUP(TableHandbook[[#This Row],[UDC]],TableSTRPSCSCI[],7,FALSE),"")</f>
        <v/>
      </c>
      <c r="Z69" s="153" t="str">
        <f>IFERROR(VLOOKUP(TableHandbook[[#This Row],[UDC]],TableSTRPSCFON[],7,FALSE),"")</f>
        <v/>
      </c>
      <c r="AA69" s="154" t="str">
        <f>IFERROR(VLOOKUP(TableHandbook[[#This Row],[UDC]],TableGCTESOL[],7,FALSE),"")</f>
        <v/>
      </c>
      <c r="AB69" s="121" t="str">
        <f>IFERROR(VLOOKUP(TableHandbook[[#This Row],[UDC]],TableMCTESOL[],7,FALSE),"")</f>
        <v/>
      </c>
      <c r="AC69" s="153" t="str">
        <f>IFERROR(VLOOKUP(TableHandbook[[#This Row],[UDC]],TableMCAPLING[],7,FALSE),"")</f>
        <v/>
      </c>
      <c r="AD69" s="229" t="str">
        <f>IFERROR(VLOOKUP(TableHandbook[[#This Row],[UDC]],TableGCEDHE[],7,FALSE),"")</f>
        <v/>
      </c>
      <c r="AE69" s="154" t="str">
        <f>IFERROR(VLOOKUP(TableHandbook[[#This Row],[UDC]],TableGCEDUC[],7,FALSE),"")</f>
        <v/>
      </c>
      <c r="AF69" s="186" t="str">
        <f>IFERROR(VLOOKUP(TableHandbook[[#This Row],[UDC]],TableGDEDUC[],7,FALSE),"")</f>
        <v/>
      </c>
      <c r="AG69" s="186" t="str">
        <f>IFERROR(VLOOKUP(TableHandbook[[#This Row],[UDC]],TableMJRPEDUPR[],7,FALSE),"")</f>
        <v>Core</v>
      </c>
      <c r="AH69" s="186" t="str">
        <f>IFERROR(VLOOKUP(TableHandbook[[#This Row],[UDC]],TableMJRPEDUSC[],7,FALSE),"")</f>
        <v>Core</v>
      </c>
      <c r="AI69" s="121" t="str">
        <f>IFERROR(VLOOKUP(TableHandbook[[#This Row],[UDC]],TableMCEDUC[],7,FALSE),"")</f>
        <v/>
      </c>
      <c r="AJ69" s="121" t="str">
        <f>IFERROR(VLOOKUP(TableHandbook[[#This Row],[UDC]],TableSPPECULIN[],7,FALSE),"")</f>
        <v/>
      </c>
      <c r="AK69" s="121" t="str">
        <f>IFERROR(VLOOKUP(TableHandbook[[#This Row],[UDC]],TableSPPELNTCH[],7,FALSE),"")</f>
        <v/>
      </c>
      <c r="AL69" s="153" t="str">
        <f>IFERROR(VLOOKUP(TableHandbook[[#This Row],[UDC]],TableSPPESTEME[],7,FALSE),"")</f>
        <v/>
      </c>
    </row>
    <row r="70" spans="1:38" x14ac:dyDescent="0.25">
      <c r="A70" s="3" t="s">
        <v>131</v>
      </c>
      <c r="B70" s="4">
        <v>1</v>
      </c>
      <c r="C70" s="3"/>
      <c r="D70" s="3" t="s">
        <v>384</v>
      </c>
      <c r="E70" s="4">
        <v>25</v>
      </c>
      <c r="F70" s="81" t="s">
        <v>115</v>
      </c>
      <c r="G70" s="33" t="str">
        <f>IFERROR(IF(VLOOKUP(TableHandbook[[#This Row],[UDC]],TableAvailabilities[],2,FALSE)&gt;0,"Y",""),"")</f>
        <v>Y</v>
      </c>
      <c r="H70" s="82" t="str">
        <f>IFERROR(IF(VLOOKUP(TableHandbook[[#This Row],[UDC]],TableAvailabilities[],3,FALSE)&gt;0,"Y",""),"")</f>
        <v>Y</v>
      </c>
      <c r="I70" s="82" t="str">
        <f>IFERROR(IF(VLOOKUP(TableHandbook[[#This Row],[UDC]],TableAvailabilities[],4,FALSE)&gt;0,"Y",""),"")</f>
        <v>Y</v>
      </c>
      <c r="J70" s="82" t="str">
        <f>IFERROR(IF(VLOOKUP(TableHandbook[[#This Row],[UDC]],TableAvailabilities[],5,FALSE)&gt;0,"Y",""),"")</f>
        <v>Y</v>
      </c>
      <c r="K70" s="82" t="str">
        <f>IFERROR(IF(VLOOKUP(TableHandbook[[#This Row],[UDC]],TableAvailabilities[],6,FALSE)&gt;0,"Y",""),"")</f>
        <v>Y</v>
      </c>
      <c r="L70" s="82" t="str">
        <f>IFERROR(IF(VLOOKUP(TableHandbook[[#This Row],[UDC]],TableAvailabilities[],7,FALSE)&gt;0,"Y",""),"")</f>
        <v>Y</v>
      </c>
      <c r="M70" s="83" t="str">
        <f>IFERROR(IF(VLOOKUP(TableHandbook[[#This Row],[UDC]],TableAvailabilities[],8,FALSE)&gt;0,"Y",""),"")</f>
        <v>Y</v>
      </c>
      <c r="N70" s="82" t="str">
        <f>IFERROR(IF(VLOOKUP(TableHandbook[[#This Row],[UDC]],TableAvailabilities[],9,FALSE)&gt;0,"Y",""),"")</f>
        <v>Y</v>
      </c>
      <c r="O70" s="190"/>
      <c r="P70" s="186" t="str">
        <f>IFERROR(VLOOKUP(TableHandbook[[#This Row],[UDC]],TableMCTEACH[],7,FALSE),"")</f>
        <v/>
      </c>
      <c r="Q70" s="121" t="str">
        <f>IFERROR(VLOOKUP(TableHandbook[[#This Row],[UDC]],TableMJRPTCHEC[],7,FALSE),"")</f>
        <v>Core</v>
      </c>
      <c r="R70" s="121" t="str">
        <f>IFERROR(VLOOKUP(TableHandbook[[#This Row],[UDC]],TableMJRPTCHPR[],7,FALSE),"")</f>
        <v>Core</v>
      </c>
      <c r="S70" s="121" t="str">
        <f>IFERROR(VLOOKUP(TableHandbook[[#This Row],[UDC]],TableMJRPTCHSC[],7,FALSE),"")</f>
        <v>Core</v>
      </c>
      <c r="T70" s="121" t="str">
        <f>IFERROR(VLOOKUP(TableHandbook[[#This Row],[UDC]],TableSTRPSCART[],7,FALSE),"")</f>
        <v/>
      </c>
      <c r="U70" s="121" t="str">
        <f>IFERROR(VLOOKUP(TableHandbook[[#This Row],[UDC]],TableSTRPSCENG[],7,FALSE),"")</f>
        <v/>
      </c>
      <c r="V70" s="121" t="str">
        <f>IFERROR(VLOOKUP(TableHandbook[[#This Row],[UDC]],TableSTRPSCHLP[],7,FALSE),"")</f>
        <v/>
      </c>
      <c r="W70" s="121" t="str">
        <f>IFERROR(VLOOKUP(TableHandbook[[#This Row],[UDC]],TableSTRPSCHUS[],7,FALSE),"")</f>
        <v/>
      </c>
      <c r="X70" s="121" t="str">
        <f>IFERROR(VLOOKUP(TableHandbook[[#This Row],[UDC]],TableSTRPSCMAT[],7,FALSE),"")</f>
        <v/>
      </c>
      <c r="Y70" s="121" t="str">
        <f>IFERROR(VLOOKUP(TableHandbook[[#This Row],[UDC]],TableSTRPSCSCI[],7,FALSE),"")</f>
        <v/>
      </c>
      <c r="Z70" s="153" t="str">
        <f>IFERROR(VLOOKUP(TableHandbook[[#This Row],[UDC]],TableSTRPSCFON[],7,FALSE),"")</f>
        <v/>
      </c>
      <c r="AA70" s="154" t="str">
        <f>IFERROR(VLOOKUP(TableHandbook[[#This Row],[UDC]],TableGCTESOL[],7,FALSE),"")</f>
        <v/>
      </c>
      <c r="AB70" s="121" t="str">
        <f>IFERROR(VLOOKUP(TableHandbook[[#This Row],[UDC]],TableMCTESOL[],7,FALSE),"")</f>
        <v/>
      </c>
      <c r="AC70" s="153" t="str">
        <f>IFERROR(VLOOKUP(TableHandbook[[#This Row],[UDC]],TableMCAPLING[],7,FALSE),"")</f>
        <v/>
      </c>
      <c r="AD70" s="82" t="str">
        <f>IFERROR(VLOOKUP(TableHandbook[[#This Row],[UDC]],TableGCEDHE[],7,FALSE),"")</f>
        <v/>
      </c>
      <c r="AE70" s="154" t="str">
        <f>IFERROR(VLOOKUP(TableHandbook[[#This Row],[UDC]],TableGCEDUC[],7,FALSE),"")</f>
        <v/>
      </c>
      <c r="AF70" s="186" t="str">
        <f>IFERROR(VLOOKUP(TableHandbook[[#This Row],[UDC]],TableGDEDUC[],7,FALSE),"")</f>
        <v/>
      </c>
      <c r="AG70" s="186" t="str">
        <f>IFERROR(VLOOKUP(TableHandbook[[#This Row],[UDC]],TableMJRPEDUPR[],7,FALSE),"")</f>
        <v/>
      </c>
      <c r="AH70" s="186" t="str">
        <f>IFERROR(VLOOKUP(TableHandbook[[#This Row],[UDC]],TableMJRPEDUSC[],7,FALSE),"")</f>
        <v/>
      </c>
      <c r="AI70" s="121" t="str">
        <f>IFERROR(VLOOKUP(TableHandbook[[#This Row],[UDC]],TableMCEDUC[],7,FALSE),"")</f>
        <v/>
      </c>
      <c r="AJ70" s="121" t="str">
        <f>IFERROR(VLOOKUP(TableHandbook[[#This Row],[UDC]],TableSPPECULIN[],7,FALSE),"")</f>
        <v/>
      </c>
      <c r="AK70" s="121" t="str">
        <f>IFERROR(VLOOKUP(TableHandbook[[#This Row],[UDC]],TableSPPELNTCH[],7,FALSE),"")</f>
        <v/>
      </c>
      <c r="AL70" s="153" t="str">
        <f>IFERROR(VLOOKUP(TableHandbook[[#This Row],[UDC]],TableSPPESTEME[],7,FALSE),"")</f>
        <v/>
      </c>
    </row>
    <row r="71" spans="1:38" x14ac:dyDescent="0.25">
      <c r="A71" s="3" t="s">
        <v>117</v>
      </c>
      <c r="B71" s="4">
        <v>1</v>
      </c>
      <c r="C71" s="3"/>
      <c r="D71" s="3" t="s">
        <v>385</v>
      </c>
      <c r="E71" s="4">
        <v>25</v>
      </c>
      <c r="F71" s="81" t="s">
        <v>315</v>
      </c>
      <c r="G71" s="33" t="str">
        <f>IFERROR(IF(VLOOKUP(TableHandbook[[#This Row],[UDC]],TableAvailabilities[],2,FALSE)&gt;0,"Y",""),"")</f>
        <v>Y</v>
      </c>
      <c r="H71" s="82" t="str">
        <f>IFERROR(IF(VLOOKUP(TableHandbook[[#This Row],[UDC]],TableAvailabilities[],3,FALSE)&gt;0,"Y",""),"")</f>
        <v>Y</v>
      </c>
      <c r="I71" s="82" t="str">
        <f>IFERROR(IF(VLOOKUP(TableHandbook[[#This Row],[UDC]],TableAvailabilities[],4,FALSE)&gt;0,"Y",""),"")</f>
        <v/>
      </c>
      <c r="J71" s="82" t="str">
        <f>IFERROR(IF(VLOOKUP(TableHandbook[[#This Row],[UDC]],TableAvailabilities[],5,FALSE)&gt;0,"Y",""),"")</f>
        <v/>
      </c>
      <c r="K71" s="82" t="str">
        <f>IFERROR(IF(VLOOKUP(TableHandbook[[#This Row],[UDC]],TableAvailabilities[],6,FALSE)&gt;0,"Y",""),"")</f>
        <v/>
      </c>
      <c r="L71" s="82" t="str">
        <f>IFERROR(IF(VLOOKUP(TableHandbook[[#This Row],[UDC]],TableAvailabilities[],7,FALSE)&gt;0,"Y",""),"")</f>
        <v/>
      </c>
      <c r="M71" s="83" t="str">
        <f>IFERROR(IF(VLOOKUP(TableHandbook[[#This Row],[UDC]],TableAvailabilities[],8,FALSE)&gt;0,"Y",""),"")</f>
        <v>Y</v>
      </c>
      <c r="N71" s="82" t="str">
        <f>IFERROR(IF(VLOOKUP(TableHandbook[[#This Row],[UDC]],TableAvailabilities[],9,FALSE)&gt;0,"Y",""),"")</f>
        <v>Y</v>
      </c>
      <c r="O71" s="190"/>
      <c r="P71" s="186" t="str">
        <f>IFERROR(VLOOKUP(TableHandbook[[#This Row],[UDC]],TableMCTEACH[],7,FALSE),"")</f>
        <v/>
      </c>
      <c r="Q71" s="121" t="str">
        <f>IFERROR(VLOOKUP(TableHandbook[[#This Row],[UDC]],TableMJRPTCHEC[],7,FALSE),"")</f>
        <v/>
      </c>
      <c r="R71" s="121" t="str">
        <f>IFERROR(VLOOKUP(TableHandbook[[#This Row],[UDC]],TableMJRPTCHPR[],7,FALSE),"")</f>
        <v>Core</v>
      </c>
      <c r="S71" s="121" t="str">
        <f>IFERROR(VLOOKUP(TableHandbook[[#This Row],[UDC]],TableMJRPTCHSC[],7,FALSE),"")</f>
        <v>Core</v>
      </c>
      <c r="T71" s="121" t="str">
        <f>IFERROR(VLOOKUP(TableHandbook[[#This Row],[UDC]],TableSTRPSCART[],7,FALSE),"")</f>
        <v/>
      </c>
      <c r="U71" s="121" t="str">
        <f>IFERROR(VLOOKUP(TableHandbook[[#This Row],[UDC]],TableSTRPSCENG[],7,FALSE),"")</f>
        <v/>
      </c>
      <c r="V71" s="121" t="str">
        <f>IFERROR(VLOOKUP(TableHandbook[[#This Row],[UDC]],TableSTRPSCHLP[],7,FALSE),"")</f>
        <v/>
      </c>
      <c r="W71" s="121" t="str">
        <f>IFERROR(VLOOKUP(TableHandbook[[#This Row],[UDC]],TableSTRPSCHUS[],7,FALSE),"")</f>
        <v/>
      </c>
      <c r="X71" s="121" t="str">
        <f>IFERROR(VLOOKUP(TableHandbook[[#This Row],[UDC]],TableSTRPSCMAT[],7,FALSE),"")</f>
        <v/>
      </c>
      <c r="Y71" s="121" t="str">
        <f>IFERROR(VLOOKUP(TableHandbook[[#This Row],[UDC]],TableSTRPSCSCI[],7,FALSE),"")</f>
        <v/>
      </c>
      <c r="Z71" s="153" t="str">
        <f>IFERROR(VLOOKUP(TableHandbook[[#This Row],[UDC]],TableSTRPSCFON[],7,FALSE),"")</f>
        <v/>
      </c>
      <c r="AA71" s="154" t="str">
        <f>IFERROR(VLOOKUP(TableHandbook[[#This Row],[UDC]],TableGCTESOL[],7,FALSE),"")</f>
        <v/>
      </c>
      <c r="AB71" s="121" t="str">
        <f>IFERROR(VLOOKUP(TableHandbook[[#This Row],[UDC]],TableMCTESOL[],7,FALSE),"")</f>
        <v/>
      </c>
      <c r="AC71" s="153" t="str">
        <f>IFERROR(VLOOKUP(TableHandbook[[#This Row],[UDC]],TableMCAPLING[],7,FALSE),"")</f>
        <v/>
      </c>
      <c r="AD71" s="82" t="str">
        <f>IFERROR(VLOOKUP(TableHandbook[[#This Row],[UDC]],TableGCEDHE[],7,FALSE),"")</f>
        <v/>
      </c>
      <c r="AE71" s="154" t="str">
        <f>IFERROR(VLOOKUP(TableHandbook[[#This Row],[UDC]],TableGCEDUC[],7,FALSE),"")</f>
        <v/>
      </c>
      <c r="AF71" s="186" t="str">
        <f>IFERROR(VLOOKUP(TableHandbook[[#This Row],[UDC]],TableGDEDUC[],7,FALSE),"")</f>
        <v/>
      </c>
      <c r="AG71" s="186" t="str">
        <f>IFERROR(VLOOKUP(TableHandbook[[#This Row],[UDC]],TableMJRPEDUPR[],7,FALSE),"")</f>
        <v/>
      </c>
      <c r="AH71" s="186" t="str">
        <f>IFERROR(VLOOKUP(TableHandbook[[#This Row],[UDC]],TableMJRPEDUSC[],7,FALSE),"")</f>
        <v/>
      </c>
      <c r="AI71" s="121" t="str">
        <f>IFERROR(VLOOKUP(TableHandbook[[#This Row],[UDC]],TableMCEDUC[],7,FALSE),"")</f>
        <v/>
      </c>
      <c r="AJ71" s="121" t="str">
        <f>IFERROR(VLOOKUP(TableHandbook[[#This Row],[UDC]],TableSPPECULIN[],7,FALSE),"")</f>
        <v/>
      </c>
      <c r="AK71" s="121" t="str">
        <f>IFERROR(VLOOKUP(TableHandbook[[#This Row],[UDC]],TableSPPELNTCH[],7,FALSE),"")</f>
        <v/>
      </c>
      <c r="AL71" s="153" t="str">
        <f>IFERROR(VLOOKUP(TableHandbook[[#This Row],[UDC]],TableSPPESTEME[],7,FALSE),"")</f>
        <v/>
      </c>
    </row>
    <row r="72" spans="1:38" x14ac:dyDescent="0.25">
      <c r="A72" s="3" t="s">
        <v>268</v>
      </c>
      <c r="B72" s="4"/>
      <c r="C72" s="3"/>
      <c r="D72" s="3" t="s">
        <v>386</v>
      </c>
      <c r="E72" s="4"/>
      <c r="F72" s="81"/>
      <c r="G72" s="33" t="str">
        <f>IFERROR(IF(VLOOKUP(TableHandbook[[#This Row],[UDC]],TableAvailabilities[],2,FALSE)&gt;0,"Y",""),"")</f>
        <v/>
      </c>
      <c r="H72" s="82" t="str">
        <f>IFERROR(IF(VLOOKUP(TableHandbook[[#This Row],[UDC]],TableAvailabilities[],3,FALSE)&gt;0,"Y",""),"")</f>
        <v/>
      </c>
      <c r="I72" s="82" t="str">
        <f>IFERROR(IF(VLOOKUP(TableHandbook[[#This Row],[UDC]],TableAvailabilities[],4,FALSE)&gt;0,"Y",""),"")</f>
        <v/>
      </c>
      <c r="J72" s="82" t="str">
        <f>IFERROR(IF(VLOOKUP(TableHandbook[[#This Row],[UDC]],TableAvailabilities[],5,FALSE)&gt;0,"Y",""),"")</f>
        <v/>
      </c>
      <c r="K72" s="82" t="str">
        <f>IFERROR(IF(VLOOKUP(TableHandbook[[#This Row],[UDC]],TableAvailabilities[],6,FALSE)&gt;0,"Y",""),"")</f>
        <v/>
      </c>
      <c r="L72" s="82" t="str">
        <f>IFERROR(IF(VLOOKUP(TableHandbook[[#This Row],[UDC]],TableAvailabilities[],7,FALSE)&gt;0,"Y",""),"")</f>
        <v/>
      </c>
      <c r="M72" s="83" t="str">
        <f>IFERROR(IF(VLOOKUP(TableHandbook[[#This Row],[UDC]],TableAvailabilities[],8,FALSE)&gt;0,"Y",""),"")</f>
        <v/>
      </c>
      <c r="N72" s="82" t="str">
        <f>IFERROR(IF(VLOOKUP(TableHandbook[[#This Row],[UDC]],TableAvailabilities[],9,FALSE)&gt;0,"Y",""),"")</f>
        <v/>
      </c>
      <c r="O72" s="190"/>
      <c r="P72" s="186" t="str">
        <f>IFERROR(VLOOKUP(TableHandbook[[#This Row],[UDC]],TableMCTEACH[],7,FALSE),"")</f>
        <v/>
      </c>
      <c r="Q72" s="121" t="str">
        <f>IFERROR(VLOOKUP(TableHandbook[[#This Row],[UDC]],TableMJRPTCHEC[],7,FALSE),"")</f>
        <v/>
      </c>
      <c r="R72" s="121" t="str">
        <f>IFERROR(VLOOKUP(TableHandbook[[#This Row],[UDC]],TableMJRPTCHPR[],7,FALSE),"")</f>
        <v/>
      </c>
      <c r="S72" s="121" t="str">
        <f>IFERROR(VLOOKUP(TableHandbook[[#This Row],[UDC]],TableMJRPTCHSC[],7,FALSE),"")</f>
        <v/>
      </c>
      <c r="T72" s="121" t="str">
        <f>IFERROR(VLOOKUP(TableHandbook[[#This Row],[UDC]],TableSTRPSCART[],7,FALSE),"")</f>
        <v/>
      </c>
      <c r="U72" s="121" t="str">
        <f>IFERROR(VLOOKUP(TableHandbook[[#This Row],[UDC]],TableSTRPSCENG[],7,FALSE),"")</f>
        <v/>
      </c>
      <c r="V72" s="121" t="str">
        <f>IFERROR(VLOOKUP(TableHandbook[[#This Row],[UDC]],TableSTRPSCHLP[],7,FALSE),"")</f>
        <v/>
      </c>
      <c r="W72" s="121" t="str">
        <f>IFERROR(VLOOKUP(TableHandbook[[#This Row],[UDC]],TableSTRPSCHUS[],7,FALSE),"")</f>
        <v/>
      </c>
      <c r="X72" s="121" t="str">
        <f>IFERROR(VLOOKUP(TableHandbook[[#This Row],[UDC]],TableSTRPSCMAT[],7,FALSE),"")</f>
        <v/>
      </c>
      <c r="Y72" s="121" t="str">
        <f>IFERROR(VLOOKUP(TableHandbook[[#This Row],[UDC]],TableSTRPSCSCI[],7,FALSE),"")</f>
        <v/>
      </c>
      <c r="Z72" s="153" t="str">
        <f>IFERROR(VLOOKUP(TableHandbook[[#This Row],[UDC]],TableSTRPSCFON[],7,FALSE),"")</f>
        <v/>
      </c>
      <c r="AA72" s="154" t="str">
        <f>IFERROR(VLOOKUP(TableHandbook[[#This Row],[UDC]],TableGCTESOL[],7,FALSE),"")</f>
        <v/>
      </c>
      <c r="AB72" s="121" t="str">
        <f>IFERROR(VLOOKUP(TableHandbook[[#This Row],[UDC]],TableMCTESOL[],7,FALSE),"")</f>
        <v/>
      </c>
      <c r="AC72" s="153" t="str">
        <f>IFERROR(VLOOKUP(TableHandbook[[#This Row],[UDC]],TableMCAPLING[],7,FALSE),"")</f>
        <v/>
      </c>
      <c r="AD72" s="82" t="str">
        <f>IFERROR(VLOOKUP(TableHandbook[[#This Row],[UDC]],TableGCEDHE[],7,FALSE),"")</f>
        <v/>
      </c>
      <c r="AE72" s="154" t="str">
        <f>IFERROR(VLOOKUP(TableHandbook[[#This Row],[UDC]],TableGCEDUC[],7,FALSE),"")</f>
        <v/>
      </c>
      <c r="AF72" s="186" t="str">
        <f>IFERROR(VLOOKUP(TableHandbook[[#This Row],[UDC]],TableGDEDUC[],7,FALSE),"")</f>
        <v/>
      </c>
      <c r="AG72" s="186" t="str">
        <f>IFERROR(VLOOKUP(TableHandbook[[#This Row],[UDC]],TableMJRPEDUPR[],7,FALSE),"")</f>
        <v/>
      </c>
      <c r="AH72" s="186" t="str">
        <f>IFERROR(VLOOKUP(TableHandbook[[#This Row],[UDC]],TableMJRPEDUSC[],7,FALSE),"")</f>
        <v/>
      </c>
      <c r="AI72" s="121" t="str">
        <f>IFERROR(VLOOKUP(TableHandbook[[#This Row],[UDC]],TableMCEDUC[],7,FALSE),"")</f>
        <v/>
      </c>
      <c r="AJ72" s="121" t="str">
        <f>IFERROR(VLOOKUP(TableHandbook[[#This Row],[UDC]],TableSPPECULIN[],7,FALSE),"")</f>
        <v/>
      </c>
      <c r="AK72" s="121" t="str">
        <f>IFERROR(VLOOKUP(TableHandbook[[#This Row],[UDC]],TableSPPELNTCH[],7,FALSE),"")</f>
        <v/>
      </c>
      <c r="AL72" s="153" t="str">
        <f>IFERROR(VLOOKUP(TableHandbook[[#This Row],[UDC]],TableSPPESTEME[],7,FALSE),"")</f>
        <v/>
      </c>
    </row>
    <row r="73" spans="1:38" x14ac:dyDescent="0.25">
      <c r="A73" s="3" t="s">
        <v>246</v>
      </c>
      <c r="B73" s="4"/>
      <c r="C73" s="3"/>
      <c r="D73" s="3" t="s">
        <v>387</v>
      </c>
      <c r="E73" s="4">
        <v>25</v>
      </c>
      <c r="F73" s="81" t="s">
        <v>388</v>
      </c>
      <c r="G73" s="33" t="str">
        <f>IFERROR(IF(VLOOKUP(TableHandbook[[#This Row],[UDC]],TableAvailabilities[],2,FALSE)&gt;0,"Y",""),"")</f>
        <v/>
      </c>
      <c r="H73" s="82" t="str">
        <f>IFERROR(IF(VLOOKUP(TableHandbook[[#This Row],[UDC]],TableAvailabilities[],3,FALSE)&gt;0,"Y",""),"")</f>
        <v/>
      </c>
      <c r="I73" s="82" t="str">
        <f>IFERROR(IF(VLOOKUP(TableHandbook[[#This Row],[UDC]],TableAvailabilities[],4,FALSE)&gt;0,"Y",""),"")</f>
        <v/>
      </c>
      <c r="J73" s="82" t="str">
        <f>IFERROR(IF(VLOOKUP(TableHandbook[[#This Row],[UDC]],TableAvailabilities[],5,FALSE)&gt;0,"Y",""),"")</f>
        <v/>
      </c>
      <c r="K73" s="82" t="str">
        <f>IFERROR(IF(VLOOKUP(TableHandbook[[#This Row],[UDC]],TableAvailabilities[],6,FALSE)&gt;0,"Y",""),"")</f>
        <v/>
      </c>
      <c r="L73" s="82" t="str">
        <f>IFERROR(IF(VLOOKUP(TableHandbook[[#This Row],[UDC]],TableAvailabilities[],7,FALSE)&gt;0,"Y",""),"")</f>
        <v/>
      </c>
      <c r="M73" s="83" t="str">
        <f>IFERROR(IF(VLOOKUP(TableHandbook[[#This Row],[UDC]],TableAvailabilities[],8,FALSE)&gt;0,"Y",""),"")</f>
        <v/>
      </c>
      <c r="N73" s="82" t="str">
        <f>IFERROR(IF(VLOOKUP(TableHandbook[[#This Row],[UDC]],TableAvailabilities[],9,FALSE)&gt;0,"Y",""),"")</f>
        <v/>
      </c>
      <c r="O73" s="190"/>
      <c r="P73" s="186" t="str">
        <f>IFERROR(VLOOKUP(TableHandbook[[#This Row],[UDC]],TableMCTEACH[],7,FALSE),"")</f>
        <v/>
      </c>
      <c r="Q73" s="121" t="str">
        <f>IFERROR(VLOOKUP(TableHandbook[[#This Row],[UDC]],TableMJRPTCHEC[],7,FALSE),"")</f>
        <v/>
      </c>
      <c r="R73" s="121" t="str">
        <f>IFERROR(VLOOKUP(TableHandbook[[#This Row],[UDC]],TableMJRPTCHPR[],7,FALSE),"")</f>
        <v/>
      </c>
      <c r="S73" s="121" t="str">
        <f>IFERROR(VLOOKUP(TableHandbook[[#This Row],[UDC]],TableMJRPTCHSC[],7,FALSE),"")</f>
        <v/>
      </c>
      <c r="T73" s="121" t="str">
        <f>IFERROR(VLOOKUP(TableHandbook[[#This Row],[UDC]],TableSTRPSCART[],7,FALSE),"")</f>
        <v/>
      </c>
      <c r="U73" s="121" t="str">
        <f>IFERROR(VLOOKUP(TableHandbook[[#This Row],[UDC]],TableSTRPSCENG[],7,FALSE),"")</f>
        <v/>
      </c>
      <c r="V73" s="121" t="str">
        <f>IFERROR(VLOOKUP(TableHandbook[[#This Row],[UDC]],TableSTRPSCHLP[],7,FALSE),"")</f>
        <v/>
      </c>
      <c r="W73" s="121" t="str">
        <f>IFERROR(VLOOKUP(TableHandbook[[#This Row],[UDC]],TableSTRPSCHUS[],7,FALSE),"")</f>
        <v/>
      </c>
      <c r="X73" s="121" t="str">
        <f>IFERROR(VLOOKUP(TableHandbook[[#This Row],[UDC]],TableSTRPSCMAT[],7,FALSE),"")</f>
        <v/>
      </c>
      <c r="Y73" s="121" t="str">
        <f>IFERROR(VLOOKUP(TableHandbook[[#This Row],[UDC]],TableSTRPSCSCI[],7,FALSE),"")</f>
        <v/>
      </c>
      <c r="Z73" s="153" t="str">
        <f>IFERROR(VLOOKUP(TableHandbook[[#This Row],[UDC]],TableSTRPSCFON[],7,FALSE),"")</f>
        <v/>
      </c>
      <c r="AA73" s="154" t="str">
        <f>IFERROR(VLOOKUP(TableHandbook[[#This Row],[UDC]],TableGCTESOL[],7,FALSE),"")</f>
        <v/>
      </c>
      <c r="AB73" s="121" t="str">
        <f>IFERROR(VLOOKUP(TableHandbook[[#This Row],[UDC]],TableMCTESOL[],7,FALSE),"")</f>
        <v/>
      </c>
      <c r="AC73" s="153" t="str">
        <f>IFERROR(VLOOKUP(TableHandbook[[#This Row],[UDC]],TableMCAPLING[],7,FALSE),"")</f>
        <v/>
      </c>
      <c r="AD73" s="82" t="str">
        <f>IFERROR(VLOOKUP(TableHandbook[[#This Row],[UDC]],TableGCEDHE[],7,FALSE),"")</f>
        <v/>
      </c>
      <c r="AE73" s="154" t="str">
        <f>IFERROR(VLOOKUP(TableHandbook[[#This Row],[UDC]],TableGCEDUC[],7,FALSE),"")</f>
        <v/>
      </c>
      <c r="AF73" s="186" t="str">
        <f>IFERROR(VLOOKUP(TableHandbook[[#This Row],[UDC]],TableGDEDUC[],7,FALSE),"")</f>
        <v/>
      </c>
      <c r="AG73" s="186" t="str">
        <f>IFERROR(VLOOKUP(TableHandbook[[#This Row],[UDC]],TableMJRPEDUPR[],7,FALSE),"")</f>
        <v/>
      </c>
      <c r="AH73" s="186" t="str">
        <f>IFERROR(VLOOKUP(TableHandbook[[#This Row],[UDC]],TableMJRPEDUSC[],7,FALSE),"")</f>
        <v/>
      </c>
      <c r="AI73" s="121" t="str">
        <f>IFERROR(VLOOKUP(TableHandbook[[#This Row],[UDC]],TableMCEDUC[],7,FALSE),"")</f>
        <v/>
      </c>
      <c r="AJ73" s="121" t="str">
        <f>IFERROR(VLOOKUP(TableHandbook[[#This Row],[UDC]],TableSPPECULIN[],7,FALSE),"")</f>
        <v/>
      </c>
      <c r="AK73" s="121" t="str">
        <f>IFERROR(VLOOKUP(TableHandbook[[#This Row],[UDC]],TableSPPELNTCH[],7,FALSE),"")</f>
        <v/>
      </c>
      <c r="AL73" s="153" t="str">
        <f>IFERROR(VLOOKUP(TableHandbook[[#This Row],[UDC]],TableSPPESTEME[],7,FALSE),"")</f>
        <v/>
      </c>
    </row>
    <row r="74" spans="1:38" x14ac:dyDescent="0.25">
      <c r="A74" s="3" t="s">
        <v>389</v>
      </c>
      <c r="B74" s="4">
        <v>0</v>
      </c>
      <c r="C74" s="3"/>
      <c r="D74" s="3" t="s">
        <v>390</v>
      </c>
      <c r="E74" s="4">
        <v>50</v>
      </c>
      <c r="F74" s="81" t="s">
        <v>174</v>
      </c>
      <c r="G74" s="33" t="str">
        <f>IFERROR(IF(VLOOKUP(TableHandbook[[#This Row],[UDC]],TableAvailabilities[],2,FALSE)&gt;0,"Y",""),"")</f>
        <v/>
      </c>
      <c r="H74" s="82" t="str">
        <f>IFERROR(IF(VLOOKUP(TableHandbook[[#This Row],[UDC]],TableAvailabilities[],3,FALSE)&gt;0,"Y",""),"")</f>
        <v/>
      </c>
      <c r="I74" s="82" t="str">
        <f>IFERROR(IF(VLOOKUP(TableHandbook[[#This Row],[UDC]],TableAvailabilities[],4,FALSE)&gt;0,"Y",""),"")</f>
        <v/>
      </c>
      <c r="J74" s="82" t="str">
        <f>IFERROR(IF(VLOOKUP(TableHandbook[[#This Row],[UDC]],TableAvailabilities[],5,FALSE)&gt;0,"Y",""),"")</f>
        <v/>
      </c>
      <c r="K74" s="82" t="str">
        <f>IFERROR(IF(VLOOKUP(TableHandbook[[#This Row],[UDC]],TableAvailabilities[],6,FALSE)&gt;0,"Y",""),"")</f>
        <v/>
      </c>
      <c r="L74" s="82" t="str">
        <f>IFERROR(IF(VLOOKUP(TableHandbook[[#This Row],[UDC]],TableAvailabilities[],7,FALSE)&gt;0,"Y",""),"")</f>
        <v/>
      </c>
      <c r="M74" s="83" t="str">
        <f>IFERROR(IF(VLOOKUP(TableHandbook[[#This Row],[UDC]],TableAvailabilities[],8,FALSE)&gt;0,"Y",""),"")</f>
        <v/>
      </c>
      <c r="N74" s="82" t="str">
        <f>IFERROR(IF(VLOOKUP(TableHandbook[[#This Row],[UDC]],TableAvailabilities[],9,FALSE)&gt;0,"Y",""),"")</f>
        <v/>
      </c>
      <c r="O74" s="190"/>
      <c r="P74" s="186" t="str">
        <f>IFERROR(VLOOKUP(TableHandbook[[#This Row],[UDC]],TableMCTEACH[],7,FALSE),"")</f>
        <v/>
      </c>
      <c r="Q74" s="121" t="str">
        <f>IFERROR(VLOOKUP(TableHandbook[[#This Row],[UDC]],TableMJRPTCHEC[],7,FALSE),"")</f>
        <v/>
      </c>
      <c r="R74" s="121" t="str">
        <f>IFERROR(VLOOKUP(TableHandbook[[#This Row],[UDC]],TableMJRPTCHPR[],7,FALSE),"")</f>
        <v/>
      </c>
      <c r="S74" s="121" t="str">
        <f>IFERROR(VLOOKUP(TableHandbook[[#This Row],[UDC]],TableMJRPTCHSC[],7,FALSE),"")</f>
        <v/>
      </c>
      <c r="T74" s="121" t="str">
        <f>IFERROR(VLOOKUP(TableHandbook[[#This Row],[UDC]],TableSTRPSCART[],7,FALSE),"")</f>
        <v/>
      </c>
      <c r="U74" s="121" t="str">
        <f>IFERROR(VLOOKUP(TableHandbook[[#This Row],[UDC]],TableSTRPSCENG[],7,FALSE),"")</f>
        <v/>
      </c>
      <c r="V74" s="121" t="str">
        <f>IFERROR(VLOOKUP(TableHandbook[[#This Row],[UDC]],TableSTRPSCHLP[],7,FALSE),"")</f>
        <v/>
      </c>
      <c r="W74" s="121" t="str">
        <f>IFERROR(VLOOKUP(TableHandbook[[#This Row],[UDC]],TableSTRPSCHUS[],7,FALSE),"")</f>
        <v/>
      </c>
      <c r="X74" s="121" t="str">
        <f>IFERROR(VLOOKUP(TableHandbook[[#This Row],[UDC]],TableSTRPSCMAT[],7,FALSE),"")</f>
        <v/>
      </c>
      <c r="Y74" s="121" t="str">
        <f>IFERROR(VLOOKUP(TableHandbook[[#This Row],[UDC]],TableSTRPSCSCI[],7,FALSE),"")</f>
        <v/>
      </c>
      <c r="Z74" s="153" t="str">
        <f>IFERROR(VLOOKUP(TableHandbook[[#This Row],[UDC]],TableSTRPSCFON[],7,FALSE),"")</f>
        <v/>
      </c>
      <c r="AA74" s="154" t="str">
        <f>IFERROR(VLOOKUP(TableHandbook[[#This Row],[UDC]],TableGCTESOL[],7,FALSE),"")</f>
        <v/>
      </c>
      <c r="AB74" s="121" t="str">
        <f>IFERROR(VLOOKUP(TableHandbook[[#This Row],[UDC]],TableMCTESOL[],7,FALSE),"")</f>
        <v/>
      </c>
      <c r="AC74" s="153" t="str">
        <f>IFERROR(VLOOKUP(TableHandbook[[#This Row],[UDC]],TableMCAPLING[],7,FALSE),"")</f>
        <v/>
      </c>
      <c r="AD74" s="82" t="str">
        <f>IFERROR(VLOOKUP(TableHandbook[[#This Row],[UDC]],TableGCEDHE[],7,FALSE),"")</f>
        <v/>
      </c>
      <c r="AE74" s="154" t="str">
        <f>IFERROR(VLOOKUP(TableHandbook[[#This Row],[UDC]],TableGCEDUC[],7,FALSE),"")</f>
        <v/>
      </c>
      <c r="AF74" s="186" t="str">
        <f>IFERROR(VLOOKUP(TableHandbook[[#This Row],[UDC]],TableGDEDUC[],7,FALSE),"")</f>
        <v/>
      </c>
      <c r="AG74" s="186" t="str">
        <f>IFERROR(VLOOKUP(TableHandbook[[#This Row],[UDC]],TableMJRPEDUPR[],7,FALSE),"")</f>
        <v/>
      </c>
      <c r="AH74" s="186" t="str">
        <f>IFERROR(VLOOKUP(TableHandbook[[#This Row],[UDC]],TableMJRPEDUSC[],7,FALSE),"")</f>
        <v/>
      </c>
      <c r="AI74" s="121" t="str">
        <f>IFERROR(VLOOKUP(TableHandbook[[#This Row],[UDC]],TableMCEDUC[],7,FALSE),"")</f>
        <v/>
      </c>
      <c r="AJ74" s="121" t="str">
        <f>IFERROR(VLOOKUP(TableHandbook[[#This Row],[UDC]],TableSPPECULIN[],7,FALSE),"")</f>
        <v/>
      </c>
      <c r="AK74" s="121" t="str">
        <f>IFERROR(VLOOKUP(TableHandbook[[#This Row],[UDC]],TableSPPELNTCH[],7,FALSE),"")</f>
        <v/>
      </c>
      <c r="AL74" s="153" t="str">
        <f>IFERROR(VLOOKUP(TableHandbook[[#This Row],[UDC]],TableSPPESTEME[],7,FALSE),"")</f>
        <v/>
      </c>
    </row>
    <row r="75" spans="1:38" x14ac:dyDescent="0.25">
      <c r="A75" s="3" t="s">
        <v>263</v>
      </c>
      <c r="B75" s="4"/>
      <c r="C75" s="3"/>
      <c r="D75" s="3" t="s">
        <v>391</v>
      </c>
      <c r="E75" s="4">
        <v>25</v>
      </c>
      <c r="F75" s="81" t="s">
        <v>388</v>
      </c>
      <c r="G75" s="33" t="str">
        <f>IFERROR(IF(VLOOKUP(TableHandbook[[#This Row],[UDC]],TableAvailabilities[],2,FALSE)&gt;0,"Y",""),"")</f>
        <v/>
      </c>
      <c r="H75" s="82" t="str">
        <f>IFERROR(IF(VLOOKUP(TableHandbook[[#This Row],[UDC]],TableAvailabilities[],3,FALSE)&gt;0,"Y",""),"")</f>
        <v/>
      </c>
      <c r="I75" s="82" t="str">
        <f>IFERROR(IF(VLOOKUP(TableHandbook[[#This Row],[UDC]],TableAvailabilities[],4,FALSE)&gt;0,"Y",""),"")</f>
        <v/>
      </c>
      <c r="J75" s="82" t="str">
        <f>IFERROR(IF(VLOOKUP(TableHandbook[[#This Row],[UDC]],TableAvailabilities[],5,FALSE)&gt;0,"Y",""),"")</f>
        <v/>
      </c>
      <c r="K75" s="82" t="str">
        <f>IFERROR(IF(VLOOKUP(TableHandbook[[#This Row],[UDC]],TableAvailabilities[],6,FALSE)&gt;0,"Y",""),"")</f>
        <v/>
      </c>
      <c r="L75" s="82" t="str">
        <f>IFERROR(IF(VLOOKUP(TableHandbook[[#This Row],[UDC]],TableAvailabilities[],7,FALSE)&gt;0,"Y",""),"")</f>
        <v/>
      </c>
      <c r="M75" s="83" t="str">
        <f>IFERROR(IF(VLOOKUP(TableHandbook[[#This Row],[UDC]],TableAvailabilities[],8,FALSE)&gt;0,"Y",""),"")</f>
        <v/>
      </c>
      <c r="N75" s="82" t="str">
        <f>IFERROR(IF(VLOOKUP(TableHandbook[[#This Row],[UDC]],TableAvailabilities[],9,FALSE)&gt;0,"Y",""),"")</f>
        <v/>
      </c>
      <c r="O75" s="190"/>
      <c r="P75" s="186" t="str">
        <f>IFERROR(VLOOKUP(TableHandbook[[#This Row],[UDC]],TableMCTEACH[],7,FALSE),"")</f>
        <v/>
      </c>
      <c r="Q75" s="121" t="str">
        <f>IFERROR(VLOOKUP(TableHandbook[[#This Row],[UDC]],TableMJRPTCHEC[],7,FALSE),"")</f>
        <v/>
      </c>
      <c r="R75" s="121" t="str">
        <f>IFERROR(VLOOKUP(TableHandbook[[#This Row],[UDC]],TableMJRPTCHPR[],7,FALSE),"")</f>
        <v/>
      </c>
      <c r="S75" s="121" t="str">
        <f>IFERROR(VLOOKUP(TableHandbook[[#This Row],[UDC]],TableMJRPTCHSC[],7,FALSE),"")</f>
        <v/>
      </c>
      <c r="T75" s="121" t="str">
        <f>IFERROR(VLOOKUP(TableHandbook[[#This Row],[UDC]],TableSTRPSCART[],7,FALSE),"")</f>
        <v/>
      </c>
      <c r="U75" s="121" t="str">
        <f>IFERROR(VLOOKUP(TableHandbook[[#This Row],[UDC]],TableSTRPSCENG[],7,FALSE),"")</f>
        <v/>
      </c>
      <c r="V75" s="121" t="str">
        <f>IFERROR(VLOOKUP(TableHandbook[[#This Row],[UDC]],TableSTRPSCHLP[],7,FALSE),"")</f>
        <v/>
      </c>
      <c r="W75" s="121" t="str">
        <f>IFERROR(VLOOKUP(TableHandbook[[#This Row],[UDC]],TableSTRPSCHUS[],7,FALSE),"")</f>
        <v/>
      </c>
      <c r="X75" s="121" t="str">
        <f>IFERROR(VLOOKUP(TableHandbook[[#This Row],[UDC]],TableSTRPSCMAT[],7,FALSE),"")</f>
        <v/>
      </c>
      <c r="Y75" s="121" t="str">
        <f>IFERROR(VLOOKUP(TableHandbook[[#This Row],[UDC]],TableSTRPSCSCI[],7,FALSE),"")</f>
        <v/>
      </c>
      <c r="Z75" s="153" t="str">
        <f>IFERROR(VLOOKUP(TableHandbook[[#This Row],[UDC]],TableSTRPSCFON[],7,FALSE),"")</f>
        <v/>
      </c>
      <c r="AA75" s="154" t="str">
        <f>IFERROR(VLOOKUP(TableHandbook[[#This Row],[UDC]],TableGCTESOL[],7,FALSE),"")</f>
        <v/>
      </c>
      <c r="AB75" s="121" t="str">
        <f>IFERROR(VLOOKUP(TableHandbook[[#This Row],[UDC]],TableMCTESOL[],7,FALSE),"")</f>
        <v/>
      </c>
      <c r="AC75" s="153" t="str">
        <f>IFERROR(VLOOKUP(TableHandbook[[#This Row],[UDC]],TableMCAPLING[],7,FALSE),"")</f>
        <v/>
      </c>
      <c r="AD75" s="82" t="str">
        <f>IFERROR(VLOOKUP(TableHandbook[[#This Row],[UDC]],TableGCEDHE[],7,FALSE),"")</f>
        <v/>
      </c>
      <c r="AE75" s="154" t="str">
        <f>IFERROR(VLOOKUP(TableHandbook[[#This Row],[UDC]],TableGCEDUC[],7,FALSE),"")</f>
        <v/>
      </c>
      <c r="AF75" s="186" t="str">
        <f>IFERROR(VLOOKUP(TableHandbook[[#This Row],[UDC]],TableGDEDUC[],7,FALSE),"")</f>
        <v/>
      </c>
      <c r="AG75" s="186" t="str">
        <f>IFERROR(VLOOKUP(TableHandbook[[#This Row],[UDC]],TableMJRPEDUPR[],7,FALSE),"")</f>
        <v/>
      </c>
      <c r="AH75" s="186" t="str">
        <f>IFERROR(VLOOKUP(TableHandbook[[#This Row],[UDC]],TableMJRPEDUSC[],7,FALSE),"")</f>
        <v/>
      </c>
      <c r="AI75" s="121" t="str">
        <f>IFERROR(VLOOKUP(TableHandbook[[#This Row],[UDC]],TableMCEDUC[],7,FALSE),"")</f>
        <v/>
      </c>
      <c r="AJ75" s="121" t="str">
        <f>IFERROR(VLOOKUP(TableHandbook[[#This Row],[UDC]],TableSPPECULIN[],7,FALSE),"")</f>
        <v/>
      </c>
      <c r="AK75" s="121" t="str">
        <f>IFERROR(VLOOKUP(TableHandbook[[#This Row],[UDC]],TableSPPELNTCH[],7,FALSE),"")</f>
        <v/>
      </c>
      <c r="AL75" s="153" t="str">
        <f>IFERROR(VLOOKUP(TableHandbook[[#This Row],[UDC]],TableSPPESTEME[],7,FALSE),"")</f>
        <v/>
      </c>
    </row>
    <row r="76" spans="1:38" x14ac:dyDescent="0.25">
      <c r="A76" s="3" t="s">
        <v>302</v>
      </c>
      <c r="B76" s="4"/>
      <c r="C76" s="3"/>
      <c r="D76" s="3" t="s">
        <v>392</v>
      </c>
      <c r="E76" s="4"/>
      <c r="F76" s="81"/>
      <c r="G76" s="33" t="str">
        <f>IFERROR(IF(VLOOKUP(TableHandbook[[#This Row],[UDC]],TableAvailabilities[],2,FALSE)&gt;0,"Y",""),"")</f>
        <v/>
      </c>
      <c r="H76" s="82" t="str">
        <f>IFERROR(IF(VLOOKUP(TableHandbook[[#This Row],[UDC]],TableAvailabilities[],3,FALSE)&gt;0,"Y",""),"")</f>
        <v/>
      </c>
      <c r="I76" s="82" t="str">
        <f>IFERROR(IF(VLOOKUP(TableHandbook[[#This Row],[UDC]],TableAvailabilities[],4,FALSE)&gt;0,"Y",""),"")</f>
        <v/>
      </c>
      <c r="J76" s="82" t="str">
        <f>IFERROR(IF(VLOOKUP(TableHandbook[[#This Row],[UDC]],TableAvailabilities[],5,FALSE)&gt;0,"Y",""),"")</f>
        <v/>
      </c>
      <c r="K76" s="82" t="str">
        <f>IFERROR(IF(VLOOKUP(TableHandbook[[#This Row],[UDC]],TableAvailabilities[],6,FALSE)&gt;0,"Y",""),"")</f>
        <v/>
      </c>
      <c r="L76" s="82" t="str">
        <f>IFERROR(IF(VLOOKUP(TableHandbook[[#This Row],[UDC]],TableAvailabilities[],7,FALSE)&gt;0,"Y",""),"")</f>
        <v/>
      </c>
      <c r="M76" s="83" t="str">
        <f>IFERROR(IF(VLOOKUP(TableHandbook[[#This Row],[UDC]],TableAvailabilities[],8,FALSE)&gt;0,"Y",""),"")</f>
        <v/>
      </c>
      <c r="N76" s="82" t="str">
        <f>IFERROR(IF(VLOOKUP(TableHandbook[[#This Row],[UDC]],TableAvailabilities[],9,FALSE)&gt;0,"Y",""),"")</f>
        <v/>
      </c>
      <c r="O76" s="190"/>
      <c r="P76" s="186" t="str">
        <f>IFERROR(VLOOKUP(TableHandbook[[#This Row],[UDC]],TableMCTEACH[],7,FALSE),"")</f>
        <v/>
      </c>
      <c r="Q76" s="121" t="str">
        <f>IFERROR(VLOOKUP(TableHandbook[[#This Row],[UDC]],TableMJRPTCHEC[],7,FALSE),"")</f>
        <v/>
      </c>
      <c r="R76" s="121" t="str">
        <f>IFERROR(VLOOKUP(TableHandbook[[#This Row],[UDC]],TableMJRPTCHPR[],7,FALSE),"")</f>
        <v/>
      </c>
      <c r="S76" s="121" t="str">
        <f>IFERROR(VLOOKUP(TableHandbook[[#This Row],[UDC]],TableMJRPTCHSC[],7,FALSE),"")</f>
        <v/>
      </c>
      <c r="T76" s="121" t="str">
        <f>IFERROR(VLOOKUP(TableHandbook[[#This Row],[UDC]],TableSTRPSCART[],7,FALSE),"")</f>
        <v/>
      </c>
      <c r="U76" s="121" t="str">
        <f>IFERROR(VLOOKUP(TableHandbook[[#This Row],[UDC]],TableSTRPSCENG[],7,FALSE),"")</f>
        <v/>
      </c>
      <c r="V76" s="121" t="str">
        <f>IFERROR(VLOOKUP(TableHandbook[[#This Row],[UDC]],TableSTRPSCHLP[],7,FALSE),"")</f>
        <v/>
      </c>
      <c r="W76" s="121" t="str">
        <f>IFERROR(VLOOKUP(TableHandbook[[#This Row],[UDC]],TableSTRPSCHUS[],7,FALSE),"")</f>
        <v/>
      </c>
      <c r="X76" s="121" t="str">
        <f>IFERROR(VLOOKUP(TableHandbook[[#This Row],[UDC]],TableSTRPSCMAT[],7,FALSE),"")</f>
        <v/>
      </c>
      <c r="Y76" s="121" t="str">
        <f>IFERROR(VLOOKUP(TableHandbook[[#This Row],[UDC]],TableSTRPSCSCI[],7,FALSE),"")</f>
        <v/>
      </c>
      <c r="Z76" s="153" t="str">
        <f>IFERROR(VLOOKUP(TableHandbook[[#This Row],[UDC]],TableSTRPSCFON[],7,FALSE),"")</f>
        <v/>
      </c>
      <c r="AA76" s="154" t="str">
        <f>IFERROR(VLOOKUP(TableHandbook[[#This Row],[UDC]],TableGCTESOL[],7,FALSE),"")</f>
        <v/>
      </c>
      <c r="AB76" s="121" t="str">
        <f>IFERROR(VLOOKUP(TableHandbook[[#This Row],[UDC]],TableMCTESOL[],7,FALSE),"")</f>
        <v/>
      </c>
      <c r="AC76" s="153" t="str">
        <f>IFERROR(VLOOKUP(TableHandbook[[#This Row],[UDC]],TableMCAPLING[],7,FALSE),"")</f>
        <v/>
      </c>
      <c r="AD76" s="82" t="str">
        <f>IFERROR(VLOOKUP(TableHandbook[[#This Row],[UDC]],TableGCEDHE[],7,FALSE),"")</f>
        <v/>
      </c>
      <c r="AE76" s="154" t="str">
        <f>IFERROR(VLOOKUP(TableHandbook[[#This Row],[UDC]],TableGCEDUC[],7,FALSE),"")</f>
        <v/>
      </c>
      <c r="AF76" s="186" t="str">
        <f>IFERROR(VLOOKUP(TableHandbook[[#This Row],[UDC]],TableGDEDUC[],7,FALSE),"")</f>
        <v/>
      </c>
      <c r="AG76" s="186" t="str">
        <f>IFERROR(VLOOKUP(TableHandbook[[#This Row],[UDC]],TableMJRPEDUPR[],7,FALSE),"")</f>
        <v/>
      </c>
      <c r="AH76" s="186" t="str">
        <f>IFERROR(VLOOKUP(TableHandbook[[#This Row],[UDC]],TableMJRPEDUSC[],7,FALSE),"")</f>
        <v/>
      </c>
      <c r="AI76" s="121" t="str">
        <f>IFERROR(VLOOKUP(TableHandbook[[#This Row],[UDC]],TableMCEDUC[],7,FALSE),"")</f>
        <v/>
      </c>
      <c r="AJ76" s="121" t="str">
        <f>IFERROR(VLOOKUP(TableHandbook[[#This Row],[UDC]],TableSPPECULIN[],7,FALSE),"")</f>
        <v/>
      </c>
      <c r="AK76" s="121" t="str">
        <f>IFERROR(VLOOKUP(TableHandbook[[#This Row],[UDC]],TableSPPELNTCH[],7,FALSE),"")</f>
        <v/>
      </c>
      <c r="AL76" s="153" t="str">
        <f>IFERROR(VLOOKUP(TableHandbook[[#This Row],[UDC]],TableSPPESTEME[],7,FALSE),"")</f>
        <v/>
      </c>
    </row>
    <row r="77" spans="1:38" x14ac:dyDescent="0.25">
      <c r="A77" s="3" t="s">
        <v>300</v>
      </c>
      <c r="B77" s="4"/>
      <c r="C77" s="3"/>
      <c r="D77" s="3" t="s">
        <v>393</v>
      </c>
      <c r="E77" s="4">
        <v>25</v>
      </c>
      <c r="F77" s="81" t="s">
        <v>388</v>
      </c>
      <c r="G77" s="33" t="str">
        <f>IFERROR(IF(VLOOKUP(TableHandbook[[#This Row],[UDC]],TableAvailabilities[],2,FALSE)&gt;0,"Y",""),"")</f>
        <v/>
      </c>
      <c r="H77" s="82" t="str">
        <f>IFERROR(IF(VLOOKUP(TableHandbook[[#This Row],[UDC]],TableAvailabilities[],3,FALSE)&gt;0,"Y",""),"")</f>
        <v/>
      </c>
      <c r="I77" s="82" t="str">
        <f>IFERROR(IF(VLOOKUP(TableHandbook[[#This Row],[UDC]],TableAvailabilities[],4,FALSE)&gt;0,"Y",""),"")</f>
        <v/>
      </c>
      <c r="J77" s="82" t="str">
        <f>IFERROR(IF(VLOOKUP(TableHandbook[[#This Row],[UDC]],TableAvailabilities[],5,FALSE)&gt;0,"Y",""),"")</f>
        <v/>
      </c>
      <c r="K77" s="82" t="str">
        <f>IFERROR(IF(VLOOKUP(TableHandbook[[#This Row],[UDC]],TableAvailabilities[],6,FALSE)&gt;0,"Y",""),"")</f>
        <v/>
      </c>
      <c r="L77" s="82" t="str">
        <f>IFERROR(IF(VLOOKUP(TableHandbook[[#This Row],[UDC]],TableAvailabilities[],7,FALSE)&gt;0,"Y",""),"")</f>
        <v/>
      </c>
      <c r="M77" s="83" t="str">
        <f>IFERROR(IF(VLOOKUP(TableHandbook[[#This Row],[UDC]],TableAvailabilities[],8,FALSE)&gt;0,"Y",""),"")</f>
        <v/>
      </c>
      <c r="N77" s="82" t="str">
        <f>IFERROR(IF(VLOOKUP(TableHandbook[[#This Row],[UDC]],TableAvailabilities[],9,FALSE)&gt;0,"Y",""),"")</f>
        <v/>
      </c>
      <c r="O77" s="190"/>
      <c r="P77" s="186" t="str">
        <f>IFERROR(VLOOKUP(TableHandbook[[#This Row],[UDC]],TableMCTEACH[],7,FALSE),"")</f>
        <v/>
      </c>
      <c r="Q77" s="121" t="str">
        <f>IFERROR(VLOOKUP(TableHandbook[[#This Row],[UDC]],TableMJRPTCHEC[],7,FALSE),"")</f>
        <v/>
      </c>
      <c r="R77" s="121" t="str">
        <f>IFERROR(VLOOKUP(TableHandbook[[#This Row],[UDC]],TableMJRPTCHPR[],7,FALSE),"")</f>
        <v/>
      </c>
      <c r="S77" s="121" t="str">
        <f>IFERROR(VLOOKUP(TableHandbook[[#This Row],[UDC]],TableMJRPTCHSC[],7,FALSE),"")</f>
        <v/>
      </c>
      <c r="T77" s="121" t="str">
        <f>IFERROR(VLOOKUP(TableHandbook[[#This Row],[UDC]],TableSTRPSCART[],7,FALSE),"")</f>
        <v/>
      </c>
      <c r="U77" s="121" t="str">
        <f>IFERROR(VLOOKUP(TableHandbook[[#This Row],[UDC]],TableSTRPSCENG[],7,FALSE),"")</f>
        <v/>
      </c>
      <c r="V77" s="121" t="str">
        <f>IFERROR(VLOOKUP(TableHandbook[[#This Row],[UDC]],TableSTRPSCHLP[],7,FALSE),"")</f>
        <v/>
      </c>
      <c r="W77" s="121" t="str">
        <f>IFERROR(VLOOKUP(TableHandbook[[#This Row],[UDC]],TableSTRPSCHUS[],7,FALSE),"")</f>
        <v/>
      </c>
      <c r="X77" s="121" t="str">
        <f>IFERROR(VLOOKUP(TableHandbook[[#This Row],[UDC]],TableSTRPSCMAT[],7,FALSE),"")</f>
        <v/>
      </c>
      <c r="Y77" s="121" t="str">
        <f>IFERROR(VLOOKUP(TableHandbook[[#This Row],[UDC]],TableSTRPSCSCI[],7,FALSE),"")</f>
        <v/>
      </c>
      <c r="Z77" s="153" t="str">
        <f>IFERROR(VLOOKUP(TableHandbook[[#This Row],[UDC]],TableSTRPSCFON[],7,FALSE),"")</f>
        <v/>
      </c>
      <c r="AA77" s="154" t="str">
        <f>IFERROR(VLOOKUP(TableHandbook[[#This Row],[UDC]],TableGCTESOL[],7,FALSE),"")</f>
        <v/>
      </c>
      <c r="AB77" s="121" t="str">
        <f>IFERROR(VLOOKUP(TableHandbook[[#This Row],[UDC]],TableMCTESOL[],7,FALSE),"")</f>
        <v/>
      </c>
      <c r="AC77" s="153" t="str">
        <f>IFERROR(VLOOKUP(TableHandbook[[#This Row],[UDC]],TableMCAPLING[],7,FALSE),"")</f>
        <v/>
      </c>
      <c r="AD77" s="82" t="str">
        <f>IFERROR(VLOOKUP(TableHandbook[[#This Row],[UDC]],TableGCEDHE[],7,FALSE),"")</f>
        <v/>
      </c>
      <c r="AE77" s="154" t="str">
        <f>IFERROR(VLOOKUP(TableHandbook[[#This Row],[UDC]],TableGCEDUC[],7,FALSE),"")</f>
        <v/>
      </c>
      <c r="AF77" s="186" t="str">
        <f>IFERROR(VLOOKUP(TableHandbook[[#This Row],[UDC]],TableGDEDUC[],7,FALSE),"")</f>
        <v/>
      </c>
      <c r="AG77" s="186" t="str">
        <f>IFERROR(VLOOKUP(TableHandbook[[#This Row],[UDC]],TableMJRPEDUPR[],7,FALSE),"")</f>
        <v/>
      </c>
      <c r="AH77" s="186" t="str">
        <f>IFERROR(VLOOKUP(TableHandbook[[#This Row],[UDC]],TableMJRPEDUSC[],7,FALSE),"")</f>
        <v/>
      </c>
      <c r="AI77" s="121" t="str">
        <f>IFERROR(VLOOKUP(TableHandbook[[#This Row],[UDC]],TableMCEDUC[],7,FALSE),"")</f>
        <v/>
      </c>
      <c r="AJ77" s="121" t="str">
        <f>IFERROR(VLOOKUP(TableHandbook[[#This Row],[UDC]],TableSPPECULIN[],7,FALSE),"")</f>
        <v/>
      </c>
      <c r="AK77" s="121" t="str">
        <f>IFERROR(VLOOKUP(TableHandbook[[#This Row],[UDC]],TableSPPELNTCH[],7,FALSE),"")</f>
        <v/>
      </c>
      <c r="AL77" s="153" t="str">
        <f>IFERROR(VLOOKUP(TableHandbook[[#This Row],[UDC]],TableSPPESTEME[],7,FALSE),"")</f>
        <v/>
      </c>
    </row>
    <row r="78" spans="1:38" x14ac:dyDescent="0.25">
      <c r="A78" s="3" t="s">
        <v>301</v>
      </c>
      <c r="B78" s="4"/>
      <c r="C78" s="3"/>
      <c r="D78" s="3" t="s">
        <v>394</v>
      </c>
      <c r="E78" s="4">
        <v>25</v>
      </c>
      <c r="F78" s="81" t="s">
        <v>388</v>
      </c>
      <c r="G78" s="33" t="str">
        <f>IFERROR(IF(VLOOKUP(TableHandbook[[#This Row],[UDC]],TableAvailabilities[],2,FALSE)&gt;0,"Y",""),"")</f>
        <v/>
      </c>
      <c r="H78" s="82" t="str">
        <f>IFERROR(IF(VLOOKUP(TableHandbook[[#This Row],[UDC]],TableAvailabilities[],3,FALSE)&gt;0,"Y",""),"")</f>
        <v/>
      </c>
      <c r="I78" s="82" t="str">
        <f>IFERROR(IF(VLOOKUP(TableHandbook[[#This Row],[UDC]],TableAvailabilities[],4,FALSE)&gt;0,"Y",""),"")</f>
        <v/>
      </c>
      <c r="J78" s="82" t="str">
        <f>IFERROR(IF(VLOOKUP(TableHandbook[[#This Row],[UDC]],TableAvailabilities[],5,FALSE)&gt;0,"Y",""),"")</f>
        <v/>
      </c>
      <c r="K78" s="82" t="str">
        <f>IFERROR(IF(VLOOKUP(TableHandbook[[#This Row],[UDC]],TableAvailabilities[],6,FALSE)&gt;0,"Y",""),"")</f>
        <v/>
      </c>
      <c r="L78" s="82" t="str">
        <f>IFERROR(IF(VLOOKUP(TableHandbook[[#This Row],[UDC]],TableAvailabilities[],7,FALSE)&gt;0,"Y",""),"")</f>
        <v/>
      </c>
      <c r="M78" s="83" t="str">
        <f>IFERROR(IF(VLOOKUP(TableHandbook[[#This Row],[UDC]],TableAvailabilities[],8,FALSE)&gt;0,"Y",""),"")</f>
        <v/>
      </c>
      <c r="N78" s="82" t="str">
        <f>IFERROR(IF(VLOOKUP(TableHandbook[[#This Row],[UDC]],TableAvailabilities[],9,FALSE)&gt;0,"Y",""),"")</f>
        <v/>
      </c>
      <c r="O78" s="190"/>
      <c r="P78" s="186" t="str">
        <f>IFERROR(VLOOKUP(TableHandbook[[#This Row],[UDC]],TableMCTEACH[],7,FALSE),"")</f>
        <v/>
      </c>
      <c r="Q78" s="121" t="str">
        <f>IFERROR(VLOOKUP(TableHandbook[[#This Row],[UDC]],TableMJRPTCHEC[],7,FALSE),"")</f>
        <v/>
      </c>
      <c r="R78" s="121" t="str">
        <f>IFERROR(VLOOKUP(TableHandbook[[#This Row],[UDC]],TableMJRPTCHPR[],7,FALSE),"")</f>
        <v/>
      </c>
      <c r="S78" s="121" t="str">
        <f>IFERROR(VLOOKUP(TableHandbook[[#This Row],[UDC]],TableMJRPTCHSC[],7,FALSE),"")</f>
        <v/>
      </c>
      <c r="T78" s="121" t="str">
        <f>IFERROR(VLOOKUP(TableHandbook[[#This Row],[UDC]],TableSTRPSCART[],7,FALSE),"")</f>
        <v/>
      </c>
      <c r="U78" s="121" t="str">
        <f>IFERROR(VLOOKUP(TableHandbook[[#This Row],[UDC]],TableSTRPSCENG[],7,FALSE),"")</f>
        <v/>
      </c>
      <c r="V78" s="121" t="str">
        <f>IFERROR(VLOOKUP(TableHandbook[[#This Row],[UDC]],TableSTRPSCHLP[],7,FALSE),"")</f>
        <v/>
      </c>
      <c r="W78" s="121" t="str">
        <f>IFERROR(VLOOKUP(TableHandbook[[#This Row],[UDC]],TableSTRPSCHUS[],7,FALSE),"")</f>
        <v/>
      </c>
      <c r="X78" s="121" t="str">
        <f>IFERROR(VLOOKUP(TableHandbook[[#This Row],[UDC]],TableSTRPSCMAT[],7,FALSE),"")</f>
        <v/>
      </c>
      <c r="Y78" s="121" t="str">
        <f>IFERROR(VLOOKUP(TableHandbook[[#This Row],[UDC]],TableSTRPSCSCI[],7,FALSE),"")</f>
        <v/>
      </c>
      <c r="Z78" s="153" t="str">
        <f>IFERROR(VLOOKUP(TableHandbook[[#This Row],[UDC]],TableSTRPSCFON[],7,FALSE),"")</f>
        <v/>
      </c>
      <c r="AA78" s="154" t="str">
        <f>IFERROR(VLOOKUP(TableHandbook[[#This Row],[UDC]],TableGCTESOL[],7,FALSE),"")</f>
        <v/>
      </c>
      <c r="AB78" s="121" t="str">
        <f>IFERROR(VLOOKUP(TableHandbook[[#This Row],[UDC]],TableMCTESOL[],7,FALSE),"")</f>
        <v/>
      </c>
      <c r="AC78" s="153" t="str">
        <f>IFERROR(VLOOKUP(TableHandbook[[#This Row],[UDC]],TableMCAPLING[],7,FALSE),"")</f>
        <v/>
      </c>
      <c r="AD78" s="82" t="str">
        <f>IFERROR(VLOOKUP(TableHandbook[[#This Row],[UDC]],TableGCEDHE[],7,FALSE),"")</f>
        <v/>
      </c>
      <c r="AE78" s="154" t="str">
        <f>IFERROR(VLOOKUP(TableHandbook[[#This Row],[UDC]],TableGCEDUC[],7,FALSE),"")</f>
        <v/>
      </c>
      <c r="AF78" s="186" t="str">
        <f>IFERROR(VLOOKUP(TableHandbook[[#This Row],[UDC]],TableGDEDUC[],7,FALSE),"")</f>
        <v/>
      </c>
      <c r="AG78" s="186" t="str">
        <f>IFERROR(VLOOKUP(TableHandbook[[#This Row],[UDC]],TableMJRPEDUPR[],7,FALSE),"")</f>
        <v/>
      </c>
      <c r="AH78" s="186" t="str">
        <f>IFERROR(VLOOKUP(TableHandbook[[#This Row],[UDC]],TableMJRPEDUSC[],7,FALSE),"")</f>
        <v/>
      </c>
      <c r="AI78" s="121" t="str">
        <f>IFERROR(VLOOKUP(TableHandbook[[#This Row],[UDC]],TableMCEDUC[],7,FALSE),"")</f>
        <v/>
      </c>
      <c r="AJ78" s="121" t="str">
        <f>IFERROR(VLOOKUP(TableHandbook[[#This Row],[UDC]],TableSPPECULIN[],7,FALSE),"")</f>
        <v/>
      </c>
      <c r="AK78" s="121" t="str">
        <f>IFERROR(VLOOKUP(TableHandbook[[#This Row],[UDC]],TableSPPELNTCH[],7,FALSE),"")</f>
        <v/>
      </c>
      <c r="AL78" s="153" t="str">
        <f>IFERROR(VLOOKUP(TableHandbook[[#This Row],[UDC]],TableSPPESTEME[],7,FALSE),"")</f>
        <v/>
      </c>
    </row>
    <row r="79" spans="1:38" x14ac:dyDescent="0.25">
      <c r="A79" s="3" t="s">
        <v>164</v>
      </c>
      <c r="B79" s="4">
        <v>2</v>
      </c>
      <c r="C79" s="3"/>
      <c r="D79" s="3" t="s">
        <v>395</v>
      </c>
      <c r="E79" s="4">
        <v>25</v>
      </c>
      <c r="F79" s="81" t="s">
        <v>315</v>
      </c>
      <c r="G79" s="33" t="str">
        <f>IFERROR(IF(VLOOKUP(TableHandbook[[#This Row],[UDC]],TableAvailabilities[],2,FALSE)&gt;0,"Y",""),"")</f>
        <v/>
      </c>
      <c r="H79" s="82" t="str">
        <f>IFERROR(IF(VLOOKUP(TableHandbook[[#This Row],[UDC]],TableAvailabilities[],3,FALSE)&gt;0,"Y",""),"")</f>
        <v>Y</v>
      </c>
      <c r="I79" s="82" t="str">
        <f>IFERROR(IF(VLOOKUP(TableHandbook[[#This Row],[UDC]],TableAvailabilities[],4,FALSE)&gt;0,"Y",""),"")</f>
        <v/>
      </c>
      <c r="J79" s="82" t="str">
        <f>IFERROR(IF(VLOOKUP(TableHandbook[[#This Row],[UDC]],TableAvailabilities[],5,FALSE)&gt;0,"Y",""),"")</f>
        <v/>
      </c>
      <c r="K79" s="82" t="str">
        <f>IFERROR(IF(VLOOKUP(TableHandbook[[#This Row],[UDC]],TableAvailabilities[],6,FALSE)&gt;0,"Y",""),"")</f>
        <v/>
      </c>
      <c r="L79" s="82" t="str">
        <f>IFERROR(IF(VLOOKUP(TableHandbook[[#This Row],[UDC]],TableAvailabilities[],7,FALSE)&gt;0,"Y",""),"")</f>
        <v/>
      </c>
      <c r="M79" s="83" t="str">
        <f>IFERROR(IF(VLOOKUP(TableHandbook[[#This Row],[UDC]],TableAvailabilities[],8,FALSE)&gt;0,"Y",""),"")</f>
        <v/>
      </c>
      <c r="N79" s="82" t="str">
        <f>IFERROR(IF(VLOOKUP(TableHandbook[[#This Row],[UDC]],TableAvailabilities[],9,FALSE)&gt;0,"Y",""),"")</f>
        <v/>
      </c>
      <c r="O79" s="190"/>
      <c r="P79" s="186" t="str">
        <f>IFERROR(VLOOKUP(TableHandbook[[#This Row],[UDC]],TableMCTEACH[],7,FALSE),"")</f>
        <v/>
      </c>
      <c r="Q79" s="121" t="str">
        <f>IFERROR(VLOOKUP(TableHandbook[[#This Row],[UDC]],TableMJRPTCHEC[],7,FALSE),"")</f>
        <v/>
      </c>
      <c r="R79" s="121" t="str">
        <f>IFERROR(VLOOKUP(TableHandbook[[#This Row],[UDC]],TableMJRPTCHPR[],7,FALSE),"")</f>
        <v/>
      </c>
      <c r="S79" s="121" t="str">
        <f>IFERROR(VLOOKUP(TableHandbook[[#This Row],[UDC]],TableMJRPTCHSC[],7,FALSE),"")</f>
        <v/>
      </c>
      <c r="T79" s="121" t="str">
        <f>IFERROR(VLOOKUP(TableHandbook[[#This Row],[UDC]],TableSTRPSCART[],7,FALSE),"")</f>
        <v/>
      </c>
      <c r="U79" s="121" t="str">
        <f>IFERROR(VLOOKUP(TableHandbook[[#This Row],[UDC]],TableSTRPSCENG[],7,FALSE),"")</f>
        <v/>
      </c>
      <c r="V79" s="121" t="str">
        <f>IFERROR(VLOOKUP(TableHandbook[[#This Row],[UDC]],TableSTRPSCHLP[],7,FALSE),"")</f>
        <v/>
      </c>
      <c r="W79" s="121" t="str">
        <f>IFERROR(VLOOKUP(TableHandbook[[#This Row],[UDC]],TableSTRPSCHUS[],7,FALSE),"")</f>
        <v/>
      </c>
      <c r="X79" s="121" t="str">
        <f>IFERROR(VLOOKUP(TableHandbook[[#This Row],[UDC]],TableSTRPSCMAT[],7,FALSE),"")</f>
        <v/>
      </c>
      <c r="Y79" s="121" t="str">
        <f>IFERROR(VLOOKUP(TableHandbook[[#This Row],[UDC]],TableSTRPSCSCI[],7,FALSE),"")</f>
        <v/>
      </c>
      <c r="Z79" s="153" t="str">
        <f>IFERROR(VLOOKUP(TableHandbook[[#This Row],[UDC]],TableSTRPSCFON[],7,FALSE),"")</f>
        <v/>
      </c>
      <c r="AA79" s="154" t="str">
        <f>IFERROR(VLOOKUP(TableHandbook[[#This Row],[UDC]],TableGCTESOL[],7,FALSE),"")</f>
        <v/>
      </c>
      <c r="AB79" s="121" t="str">
        <f>IFERROR(VLOOKUP(TableHandbook[[#This Row],[UDC]],TableMCTESOL[],7,FALSE),"")</f>
        <v>Core</v>
      </c>
      <c r="AC79" s="153" t="str">
        <f>IFERROR(VLOOKUP(TableHandbook[[#This Row],[UDC]],TableMCAPLING[],7,FALSE),"")</f>
        <v>Core</v>
      </c>
      <c r="AD79" s="82" t="str">
        <f>IFERROR(VLOOKUP(TableHandbook[[#This Row],[UDC]],TableGCEDHE[],7,FALSE),"")</f>
        <v/>
      </c>
      <c r="AE79" s="154" t="str">
        <f>IFERROR(VLOOKUP(TableHandbook[[#This Row],[UDC]],TableGCEDUC[],7,FALSE),"")</f>
        <v/>
      </c>
      <c r="AF79" s="186" t="str">
        <f>IFERROR(VLOOKUP(TableHandbook[[#This Row],[UDC]],TableGDEDUC[],7,FALSE),"")</f>
        <v/>
      </c>
      <c r="AG79" s="186" t="str">
        <f>IFERROR(VLOOKUP(TableHandbook[[#This Row],[UDC]],TableMJRPEDUPR[],7,FALSE),"")</f>
        <v/>
      </c>
      <c r="AH79" s="186" t="str">
        <f>IFERROR(VLOOKUP(TableHandbook[[#This Row],[UDC]],TableMJRPEDUSC[],7,FALSE),"")</f>
        <v/>
      </c>
      <c r="AI79" s="121" t="str">
        <f>IFERROR(VLOOKUP(TableHandbook[[#This Row],[UDC]],TableMCEDUC[],7,FALSE),"")</f>
        <v/>
      </c>
      <c r="AJ79" s="121" t="str">
        <f>IFERROR(VLOOKUP(TableHandbook[[#This Row],[UDC]],TableSPPECULIN[],7,FALSE),"")</f>
        <v/>
      </c>
      <c r="AK79" s="121" t="str">
        <f>IFERROR(VLOOKUP(TableHandbook[[#This Row],[UDC]],TableSPPELNTCH[],7,FALSE),"")</f>
        <v/>
      </c>
      <c r="AL79" s="153" t="str">
        <f>IFERROR(VLOOKUP(TableHandbook[[#This Row],[UDC]],TableSPPESTEME[],7,FALSE),"")</f>
        <v/>
      </c>
    </row>
    <row r="80" spans="1:38" x14ac:dyDescent="0.25">
      <c r="A80" s="3" t="s">
        <v>171</v>
      </c>
      <c r="B80" s="4">
        <v>2</v>
      </c>
      <c r="C80" s="3"/>
      <c r="D80" s="3" t="s">
        <v>396</v>
      </c>
      <c r="E80" s="4">
        <v>25</v>
      </c>
      <c r="F80" s="81" t="s">
        <v>315</v>
      </c>
      <c r="G80" s="33" t="str">
        <f>IFERROR(IF(VLOOKUP(TableHandbook[[#This Row],[UDC]],TableAvailabilities[],2,FALSE)&gt;0,"Y",""),"")</f>
        <v>Y</v>
      </c>
      <c r="H80" s="82" t="str">
        <f>IFERROR(IF(VLOOKUP(TableHandbook[[#This Row],[UDC]],TableAvailabilities[],3,FALSE)&gt;0,"Y",""),"")</f>
        <v>Y</v>
      </c>
      <c r="I80" s="82" t="str">
        <f>IFERROR(IF(VLOOKUP(TableHandbook[[#This Row],[UDC]],TableAvailabilities[],4,FALSE)&gt;0,"Y",""),"")</f>
        <v/>
      </c>
      <c r="J80" s="82" t="str">
        <f>IFERROR(IF(VLOOKUP(TableHandbook[[#This Row],[UDC]],TableAvailabilities[],5,FALSE)&gt;0,"Y",""),"")</f>
        <v/>
      </c>
      <c r="K80" s="82" t="str">
        <f>IFERROR(IF(VLOOKUP(TableHandbook[[#This Row],[UDC]],TableAvailabilities[],6,FALSE)&gt;0,"Y",""),"")</f>
        <v>Y</v>
      </c>
      <c r="L80" s="82" t="str">
        <f>IFERROR(IF(VLOOKUP(TableHandbook[[#This Row],[UDC]],TableAvailabilities[],7,FALSE)&gt;0,"Y",""),"")</f>
        <v>Y</v>
      </c>
      <c r="M80" s="83" t="str">
        <f>IFERROR(IF(VLOOKUP(TableHandbook[[#This Row],[UDC]],TableAvailabilities[],8,FALSE)&gt;0,"Y",""),"")</f>
        <v/>
      </c>
      <c r="N80" s="82" t="str">
        <f>IFERROR(IF(VLOOKUP(TableHandbook[[#This Row],[UDC]],TableAvailabilities[],9,FALSE)&gt;0,"Y",""),"")</f>
        <v/>
      </c>
      <c r="O80" s="190"/>
      <c r="P80" s="186" t="str">
        <f>IFERROR(VLOOKUP(TableHandbook[[#This Row],[UDC]],TableMCTEACH[],7,FALSE),"")</f>
        <v/>
      </c>
      <c r="Q80" s="121" t="str">
        <f>IFERROR(VLOOKUP(TableHandbook[[#This Row],[UDC]],TableMJRPTCHEC[],7,FALSE),"")</f>
        <v/>
      </c>
      <c r="R80" s="121" t="str">
        <f>IFERROR(VLOOKUP(TableHandbook[[#This Row],[UDC]],TableMJRPTCHPR[],7,FALSE),"")</f>
        <v/>
      </c>
      <c r="S80" s="121" t="str">
        <f>IFERROR(VLOOKUP(TableHandbook[[#This Row],[UDC]],TableMJRPTCHSC[],7,FALSE),"")</f>
        <v/>
      </c>
      <c r="T80" s="121" t="str">
        <f>IFERROR(VLOOKUP(TableHandbook[[#This Row],[UDC]],TableSTRPSCART[],7,FALSE),"")</f>
        <v/>
      </c>
      <c r="U80" s="121" t="str">
        <f>IFERROR(VLOOKUP(TableHandbook[[#This Row],[UDC]],TableSTRPSCENG[],7,FALSE),"")</f>
        <v/>
      </c>
      <c r="V80" s="121" t="str">
        <f>IFERROR(VLOOKUP(TableHandbook[[#This Row],[UDC]],TableSTRPSCHLP[],7,FALSE),"")</f>
        <v/>
      </c>
      <c r="W80" s="121" t="str">
        <f>IFERROR(VLOOKUP(TableHandbook[[#This Row],[UDC]],TableSTRPSCHUS[],7,FALSE),"")</f>
        <v/>
      </c>
      <c r="X80" s="121" t="str">
        <f>IFERROR(VLOOKUP(TableHandbook[[#This Row],[UDC]],TableSTRPSCMAT[],7,FALSE),"")</f>
        <v/>
      </c>
      <c r="Y80" s="121" t="str">
        <f>IFERROR(VLOOKUP(TableHandbook[[#This Row],[UDC]],TableSTRPSCSCI[],7,FALSE),"")</f>
        <v/>
      </c>
      <c r="Z80" s="153" t="str">
        <f>IFERROR(VLOOKUP(TableHandbook[[#This Row],[UDC]],TableSTRPSCFON[],7,FALSE),"")</f>
        <v/>
      </c>
      <c r="AA80" s="154" t="str">
        <f>IFERROR(VLOOKUP(TableHandbook[[#This Row],[UDC]],TableGCTESOL[],7,FALSE),"")</f>
        <v/>
      </c>
      <c r="AB80" s="121" t="str">
        <f>IFERROR(VLOOKUP(TableHandbook[[#This Row],[UDC]],TableMCTESOL[],7,FALSE),"")</f>
        <v>Core</v>
      </c>
      <c r="AC80" s="153" t="str">
        <f>IFERROR(VLOOKUP(TableHandbook[[#This Row],[UDC]],TableMCAPLING[],7,FALSE),"")</f>
        <v>Core</v>
      </c>
      <c r="AD80" s="82" t="str">
        <f>IFERROR(VLOOKUP(TableHandbook[[#This Row],[UDC]],TableGCEDHE[],7,FALSE),"")</f>
        <v/>
      </c>
      <c r="AE80" s="154" t="str">
        <f>IFERROR(VLOOKUP(TableHandbook[[#This Row],[UDC]],TableGCEDUC[],7,FALSE),"")</f>
        <v/>
      </c>
      <c r="AF80" s="186" t="str">
        <f>IFERROR(VLOOKUP(TableHandbook[[#This Row],[UDC]],TableGDEDUC[],7,FALSE),"")</f>
        <v/>
      </c>
      <c r="AG80" s="186" t="str">
        <f>IFERROR(VLOOKUP(TableHandbook[[#This Row],[UDC]],TableMJRPEDUPR[],7,FALSE),"")</f>
        <v/>
      </c>
      <c r="AH80" s="186" t="str">
        <f>IFERROR(VLOOKUP(TableHandbook[[#This Row],[UDC]],TableMJRPEDUSC[],7,FALSE),"")</f>
        <v/>
      </c>
      <c r="AI80" s="121" t="str">
        <f>IFERROR(VLOOKUP(TableHandbook[[#This Row],[UDC]],TableMCEDUC[],7,FALSE),"")</f>
        <v>Option</v>
      </c>
      <c r="AJ80" s="121" t="str">
        <f>IFERROR(VLOOKUP(TableHandbook[[#This Row],[UDC]],TableSPPECULIN[],7,FALSE),"")</f>
        <v>Core</v>
      </c>
      <c r="AK80" s="121" t="str">
        <f>IFERROR(VLOOKUP(TableHandbook[[#This Row],[UDC]],TableSPPELNTCH[],7,FALSE),"")</f>
        <v/>
      </c>
      <c r="AL80" s="153" t="str">
        <f>IFERROR(VLOOKUP(TableHandbook[[#This Row],[UDC]],TableSPPESTEME[],7,FALSE),"")</f>
        <v/>
      </c>
    </row>
    <row r="81" spans="1:38" x14ac:dyDescent="0.25">
      <c r="A81" s="221" t="s">
        <v>460</v>
      </c>
      <c r="B81" s="216">
        <v>0</v>
      </c>
      <c r="C81" s="215"/>
      <c r="D81" s="215" t="s">
        <v>459</v>
      </c>
      <c r="E81" s="216"/>
      <c r="F81" s="217"/>
      <c r="G81" s="212" t="str">
        <f>IFERROR(IF(VLOOKUP(TableHandbook[[#This Row],[UDC]],TableAvailabilities[],2,FALSE)&gt;0,"Y",""),"")</f>
        <v/>
      </c>
      <c r="H81" s="218" t="str">
        <f>IFERROR(IF(VLOOKUP(TableHandbook[[#This Row],[UDC]],TableAvailabilities[],3,FALSE)&gt;0,"Y",""),"")</f>
        <v/>
      </c>
      <c r="I81" s="218" t="str">
        <f>IFERROR(IF(VLOOKUP(TableHandbook[[#This Row],[UDC]],TableAvailabilities[],4,FALSE)&gt;0,"Y",""),"")</f>
        <v/>
      </c>
      <c r="J81" s="218" t="str">
        <f>IFERROR(IF(VLOOKUP(TableHandbook[[#This Row],[UDC]],TableAvailabilities[],5,FALSE)&gt;0,"Y",""),"")</f>
        <v/>
      </c>
      <c r="K81" s="218" t="str">
        <f>IFERROR(IF(VLOOKUP(TableHandbook[[#This Row],[UDC]],TableAvailabilities[],6,FALSE)&gt;0,"Y",""),"")</f>
        <v/>
      </c>
      <c r="L81" s="218" t="str">
        <f>IFERROR(IF(VLOOKUP(TableHandbook[[#This Row],[UDC]],TableAvailabilities[],7,FALSE)&gt;0,"Y",""),"")</f>
        <v/>
      </c>
      <c r="M81" s="219" t="str">
        <f>IFERROR(IF(VLOOKUP(TableHandbook[[#This Row],[UDC]],TableAvailabilities[],8,FALSE)&gt;0,"Y",""),"")</f>
        <v/>
      </c>
      <c r="N81" s="218" t="str">
        <f>IFERROR(IF(VLOOKUP(TableHandbook[[#This Row],[UDC]],TableAvailabilities[],9,FALSE)&gt;0,"Y",""),"")</f>
        <v/>
      </c>
      <c r="O81" s="222"/>
      <c r="P81" s="223" t="str">
        <f>IFERROR(VLOOKUP(TableHandbook[[#This Row],[UDC]],TableMCTEACH[],7,FALSE),"")</f>
        <v/>
      </c>
      <c r="Q81" s="225" t="str">
        <f>IFERROR(VLOOKUP(TableHandbook[[#This Row],[UDC]],TableMJRPTCHEC[],7,FALSE),"")</f>
        <v/>
      </c>
      <c r="R81" s="225" t="str">
        <f>IFERROR(VLOOKUP(TableHandbook[[#This Row],[UDC]],TableMJRPTCHPR[],7,FALSE),"")</f>
        <v/>
      </c>
      <c r="S81" s="225" t="str">
        <f>IFERROR(VLOOKUP(TableHandbook[[#This Row],[UDC]],TableMJRPTCHSC[],7,FALSE),"")</f>
        <v/>
      </c>
      <c r="T81" s="225" t="str">
        <f>IFERROR(VLOOKUP(TableHandbook[[#This Row],[UDC]],TableSTRPSCART[],7,FALSE),"")</f>
        <v/>
      </c>
      <c r="U81" s="225" t="str">
        <f>IFERROR(VLOOKUP(TableHandbook[[#This Row],[UDC]],TableSTRPSCENG[],7,FALSE),"")</f>
        <v/>
      </c>
      <c r="V81" s="225" t="str">
        <f>IFERROR(VLOOKUP(TableHandbook[[#This Row],[UDC]],TableSTRPSCHLP[],7,FALSE),"")</f>
        <v/>
      </c>
      <c r="W81" s="225" t="str">
        <f>IFERROR(VLOOKUP(TableHandbook[[#This Row],[UDC]],TableSTRPSCHUS[],7,FALSE),"")</f>
        <v/>
      </c>
      <c r="X81" s="225" t="str">
        <f>IFERROR(VLOOKUP(TableHandbook[[#This Row],[UDC]],TableSTRPSCMAT[],7,FALSE),"")</f>
        <v/>
      </c>
      <c r="Y81" s="225" t="str">
        <f>IFERROR(VLOOKUP(TableHandbook[[#This Row],[UDC]],TableSTRPSCSCI[],7,FALSE),"")</f>
        <v/>
      </c>
      <c r="Z81" s="227" t="str">
        <f>IFERROR(VLOOKUP(TableHandbook[[#This Row],[UDC]],TableSTRPSCFON[],7,FALSE),"")</f>
        <v/>
      </c>
      <c r="AA81" s="228" t="str">
        <f>IFERROR(VLOOKUP(TableHandbook[[#This Row],[UDC]],TableGCTESOL[],7,FALSE),"")</f>
        <v/>
      </c>
      <c r="AB81" s="225" t="str">
        <f>IFERROR(VLOOKUP(TableHandbook[[#This Row],[UDC]],TableMCTESOL[],7,FALSE),"")</f>
        <v/>
      </c>
      <c r="AC81" s="227" t="str">
        <f>IFERROR(VLOOKUP(TableHandbook[[#This Row],[UDC]],TableMCAPLING[],7,FALSE),"")</f>
        <v/>
      </c>
      <c r="AD81" s="218" t="str">
        <f>IFERROR(VLOOKUP(TableHandbook[[#This Row],[UDC]],TableGCEDHE[],7,FALSE),"")</f>
        <v/>
      </c>
      <c r="AE81" s="228" t="str">
        <f>IFERROR(VLOOKUP(TableHandbook[[#This Row],[UDC]],TableGCEDUC[],7,FALSE),"")</f>
        <v/>
      </c>
      <c r="AF81" s="223" t="str">
        <f>IFERROR(VLOOKUP(TableHandbook[[#This Row],[UDC]],TableGDEDUC[],7,FALSE),"")</f>
        <v>Core</v>
      </c>
      <c r="AG81" s="223" t="str">
        <f>IFERROR(VLOOKUP(TableHandbook[[#This Row],[UDC]],TableMJRPEDUPR[],7,FALSE),"")</f>
        <v/>
      </c>
      <c r="AH81" s="223" t="str">
        <f>IFERROR(VLOOKUP(TableHandbook[[#This Row],[UDC]],TableMJRPEDUSC[],7,FALSE),"")</f>
        <v/>
      </c>
      <c r="AI81" s="225" t="str">
        <f>IFERROR(VLOOKUP(TableHandbook[[#This Row],[UDC]],TableMCEDUC[],7,FALSE),"")</f>
        <v/>
      </c>
      <c r="AJ81" s="225" t="str">
        <f>IFERROR(VLOOKUP(TableHandbook[[#This Row],[UDC]],TableSPPECULIN[],7,FALSE),"")</f>
        <v/>
      </c>
      <c r="AK81" s="225" t="str">
        <f>IFERROR(VLOOKUP(TableHandbook[[#This Row],[UDC]],TableSPPELNTCH[],7,FALSE),"")</f>
        <v/>
      </c>
      <c r="AL81" s="227" t="str">
        <f>IFERROR(VLOOKUP(TableHandbook[[#This Row],[UDC]],TableSPPESTEME[],7,FALSE),"")</f>
        <v/>
      </c>
    </row>
    <row r="82" spans="1:38" x14ac:dyDescent="0.25">
      <c r="A82" s="221" t="s">
        <v>285</v>
      </c>
      <c r="B82" s="216">
        <v>1</v>
      </c>
      <c r="C82" s="215"/>
      <c r="D82" s="215" t="s">
        <v>284</v>
      </c>
      <c r="E82" s="216">
        <v>200</v>
      </c>
      <c r="F82" s="217"/>
      <c r="G82" s="212" t="str">
        <f>IFERROR(IF(VLOOKUP(TableHandbook[[#This Row],[UDC]],TableAvailabilities[],2,FALSE)&gt;0,"Y",""),"")</f>
        <v/>
      </c>
      <c r="H82" s="218" t="str">
        <f>IFERROR(IF(VLOOKUP(TableHandbook[[#This Row],[UDC]],TableAvailabilities[],3,FALSE)&gt;0,"Y",""),"")</f>
        <v/>
      </c>
      <c r="I82" s="218" t="str">
        <f>IFERROR(IF(VLOOKUP(TableHandbook[[#This Row],[UDC]],TableAvailabilities[],4,FALSE)&gt;0,"Y",""),"")</f>
        <v/>
      </c>
      <c r="J82" s="218" t="str">
        <f>IFERROR(IF(VLOOKUP(TableHandbook[[#This Row],[UDC]],TableAvailabilities[],5,FALSE)&gt;0,"Y",""),"")</f>
        <v/>
      </c>
      <c r="K82" s="218" t="str">
        <f>IFERROR(IF(VLOOKUP(TableHandbook[[#This Row],[UDC]],TableAvailabilities[],6,FALSE)&gt;0,"Y",""),"")</f>
        <v/>
      </c>
      <c r="L82" s="218" t="str">
        <f>IFERROR(IF(VLOOKUP(TableHandbook[[#This Row],[UDC]],TableAvailabilities[],7,FALSE)&gt;0,"Y",""),"")</f>
        <v/>
      </c>
      <c r="M82" s="219" t="str">
        <f>IFERROR(IF(VLOOKUP(TableHandbook[[#This Row],[UDC]],TableAvailabilities[],8,FALSE)&gt;0,"Y",""),"")</f>
        <v/>
      </c>
      <c r="N82" s="218" t="str">
        <f>IFERROR(IF(VLOOKUP(TableHandbook[[#This Row],[UDC]],TableAvailabilities[],9,FALSE)&gt;0,"Y",""),"")</f>
        <v/>
      </c>
      <c r="O82" s="222"/>
      <c r="P82" s="220" t="str">
        <f>IFERROR(VLOOKUP(TableHandbook[[#This Row],[UDC]],TableMCTEACH[],7,FALSE),"")</f>
        <v/>
      </c>
      <c r="Q82" s="220" t="str">
        <f>IFERROR(VLOOKUP(TableHandbook[[#This Row],[UDC]],TableMJRPTCHEC[],7,FALSE),"")</f>
        <v/>
      </c>
      <c r="R82" s="225" t="str">
        <f>IFERROR(VLOOKUP(TableHandbook[[#This Row],[UDC]],TableMJRPTCHPR[],7,FALSE),"")</f>
        <v/>
      </c>
      <c r="S82" s="225" t="str">
        <f>IFERROR(VLOOKUP(TableHandbook[[#This Row],[UDC]],TableMJRPTCHSC[],7,FALSE),"")</f>
        <v/>
      </c>
      <c r="T82" s="225" t="str">
        <f>IFERROR(VLOOKUP(TableHandbook[[#This Row],[UDC]],TableSTRPSCART[],7,FALSE),"")</f>
        <v/>
      </c>
      <c r="U82" s="225" t="str">
        <f>IFERROR(VLOOKUP(TableHandbook[[#This Row],[UDC]],TableSTRPSCENG[],7,FALSE),"")</f>
        <v/>
      </c>
      <c r="V82" s="225" t="str">
        <f>IFERROR(VLOOKUP(TableHandbook[[#This Row],[UDC]],TableSTRPSCHLP[],7,FALSE),"")</f>
        <v/>
      </c>
      <c r="W82" s="225" t="str">
        <f>IFERROR(VLOOKUP(TableHandbook[[#This Row],[UDC]],TableSTRPSCHUS[],7,FALSE),"")</f>
        <v/>
      </c>
      <c r="X82" s="225" t="str">
        <f>IFERROR(VLOOKUP(TableHandbook[[#This Row],[UDC]],TableSTRPSCMAT[],7,FALSE),"")</f>
        <v/>
      </c>
      <c r="Y82" s="225" t="str">
        <f>IFERROR(VLOOKUP(TableHandbook[[#This Row],[UDC]],TableSTRPSCSCI[],7,FALSE),"")</f>
        <v/>
      </c>
      <c r="Z82" s="227" t="str">
        <f>IFERROR(VLOOKUP(TableHandbook[[#This Row],[UDC]],TableSTRPSCFON[],7,FALSE),"")</f>
        <v/>
      </c>
      <c r="AA82" s="228" t="str">
        <f>IFERROR(VLOOKUP(TableHandbook[[#This Row],[UDC]],TableGCTESOL[],7,FALSE),"")</f>
        <v/>
      </c>
      <c r="AB82" s="225" t="str">
        <f>IFERROR(VLOOKUP(TableHandbook[[#This Row],[UDC]],TableMCTESOL[],7,FALSE),"")</f>
        <v/>
      </c>
      <c r="AC82" s="227" t="str">
        <f>IFERROR(VLOOKUP(TableHandbook[[#This Row],[UDC]],TableMCAPLING[],7,FALSE),"")</f>
        <v/>
      </c>
      <c r="AD82" s="218" t="str">
        <f>IFERROR(VLOOKUP(TableHandbook[[#This Row],[UDC]],TableGCEDHE[],7,FALSE),"")</f>
        <v/>
      </c>
      <c r="AE82" s="228" t="str">
        <f>IFERROR(VLOOKUP(TableHandbook[[#This Row],[UDC]],TableGCEDUC[],7,FALSE),"")</f>
        <v/>
      </c>
      <c r="AF82" s="223" t="str">
        <f>IFERROR(VLOOKUP(TableHandbook[[#This Row],[UDC]],TableGDEDUC[],7,FALSE),"")</f>
        <v>Core</v>
      </c>
      <c r="AG82" s="223" t="str">
        <f>IFERROR(VLOOKUP(TableHandbook[[#This Row],[UDC]],TableMJRPEDUPR[],7,FALSE),"")</f>
        <v/>
      </c>
      <c r="AH82" s="223" t="str">
        <f>IFERROR(VLOOKUP(TableHandbook[[#This Row],[UDC]],TableMJRPEDUSC[],7,FALSE),"")</f>
        <v/>
      </c>
      <c r="AI82" s="225" t="str">
        <f>IFERROR(VLOOKUP(TableHandbook[[#This Row],[UDC]],TableMCEDUC[],7,FALSE),"")</f>
        <v/>
      </c>
      <c r="AJ82" s="225" t="str">
        <f>IFERROR(VLOOKUP(TableHandbook[[#This Row],[UDC]],TableSPPECULIN[],7,FALSE),"")</f>
        <v/>
      </c>
      <c r="AK82" s="225" t="str">
        <f>IFERROR(VLOOKUP(TableHandbook[[#This Row],[UDC]],TableSPPELNTCH[],7,FALSE),"")</f>
        <v/>
      </c>
      <c r="AL82" s="227" t="str">
        <f>IFERROR(VLOOKUP(TableHandbook[[#This Row],[UDC]],TableSPPESTEME[],7,FALSE),"")</f>
        <v/>
      </c>
    </row>
    <row r="83" spans="1:38" x14ac:dyDescent="0.25">
      <c r="A83" s="221" t="s">
        <v>287</v>
      </c>
      <c r="B83" s="216">
        <v>1</v>
      </c>
      <c r="C83" s="215"/>
      <c r="D83" s="215" t="s">
        <v>231</v>
      </c>
      <c r="E83" s="216">
        <v>200</v>
      </c>
      <c r="F83" s="217"/>
      <c r="G83" s="212" t="str">
        <f>IFERROR(IF(VLOOKUP(TableHandbook[[#This Row],[UDC]],TableAvailabilities[],2,FALSE)&gt;0,"Y",""),"")</f>
        <v/>
      </c>
      <c r="H83" s="218" t="str">
        <f>IFERROR(IF(VLOOKUP(TableHandbook[[#This Row],[UDC]],TableAvailabilities[],3,FALSE)&gt;0,"Y",""),"")</f>
        <v/>
      </c>
      <c r="I83" s="218" t="str">
        <f>IFERROR(IF(VLOOKUP(TableHandbook[[#This Row],[UDC]],TableAvailabilities[],4,FALSE)&gt;0,"Y",""),"")</f>
        <v/>
      </c>
      <c r="J83" s="218" t="str">
        <f>IFERROR(IF(VLOOKUP(TableHandbook[[#This Row],[UDC]],TableAvailabilities[],5,FALSE)&gt;0,"Y",""),"")</f>
        <v/>
      </c>
      <c r="K83" s="218" t="str">
        <f>IFERROR(IF(VLOOKUP(TableHandbook[[#This Row],[UDC]],TableAvailabilities[],6,FALSE)&gt;0,"Y",""),"")</f>
        <v/>
      </c>
      <c r="L83" s="218" t="str">
        <f>IFERROR(IF(VLOOKUP(TableHandbook[[#This Row],[UDC]],TableAvailabilities[],7,FALSE)&gt;0,"Y",""),"")</f>
        <v/>
      </c>
      <c r="M83" s="219" t="str">
        <f>IFERROR(IF(VLOOKUP(TableHandbook[[#This Row],[UDC]],TableAvailabilities[],8,FALSE)&gt;0,"Y",""),"")</f>
        <v/>
      </c>
      <c r="N83" s="218" t="str">
        <f>IFERROR(IF(VLOOKUP(TableHandbook[[#This Row],[UDC]],TableAvailabilities[],9,FALSE)&gt;0,"Y",""),"")</f>
        <v/>
      </c>
      <c r="O83" s="222"/>
      <c r="P83" s="220" t="str">
        <f>IFERROR(VLOOKUP(TableHandbook[[#This Row],[UDC]],TableMCTEACH[],7,FALSE),"")</f>
        <v/>
      </c>
      <c r="Q83" s="220" t="str">
        <f>IFERROR(VLOOKUP(TableHandbook[[#This Row],[UDC]],TableMJRPTCHEC[],7,FALSE),"")</f>
        <v/>
      </c>
      <c r="R83" s="225" t="str">
        <f>IFERROR(VLOOKUP(TableHandbook[[#This Row],[UDC]],TableMJRPTCHPR[],7,FALSE),"")</f>
        <v/>
      </c>
      <c r="S83" s="225" t="str">
        <f>IFERROR(VLOOKUP(TableHandbook[[#This Row],[UDC]],TableMJRPTCHSC[],7,FALSE),"")</f>
        <v/>
      </c>
      <c r="T83" s="225" t="str">
        <f>IFERROR(VLOOKUP(TableHandbook[[#This Row],[UDC]],TableSTRPSCART[],7,FALSE),"")</f>
        <v/>
      </c>
      <c r="U83" s="225" t="str">
        <f>IFERROR(VLOOKUP(TableHandbook[[#This Row],[UDC]],TableSTRPSCENG[],7,FALSE),"")</f>
        <v/>
      </c>
      <c r="V83" s="225" t="str">
        <f>IFERROR(VLOOKUP(TableHandbook[[#This Row],[UDC]],TableSTRPSCHLP[],7,FALSE),"")</f>
        <v/>
      </c>
      <c r="W83" s="225" t="str">
        <f>IFERROR(VLOOKUP(TableHandbook[[#This Row],[UDC]],TableSTRPSCHUS[],7,FALSE),"")</f>
        <v/>
      </c>
      <c r="X83" s="225" t="str">
        <f>IFERROR(VLOOKUP(TableHandbook[[#This Row],[UDC]],TableSTRPSCMAT[],7,FALSE),"")</f>
        <v/>
      </c>
      <c r="Y83" s="225" t="str">
        <f>IFERROR(VLOOKUP(TableHandbook[[#This Row],[UDC]],TableSTRPSCSCI[],7,FALSE),"")</f>
        <v/>
      </c>
      <c r="Z83" s="227" t="str">
        <f>IFERROR(VLOOKUP(TableHandbook[[#This Row],[UDC]],TableSTRPSCFON[],7,FALSE),"")</f>
        <v/>
      </c>
      <c r="AA83" s="228" t="str">
        <f>IFERROR(VLOOKUP(TableHandbook[[#This Row],[UDC]],TableGCTESOL[],7,FALSE),"")</f>
        <v/>
      </c>
      <c r="AB83" s="225" t="str">
        <f>IFERROR(VLOOKUP(TableHandbook[[#This Row],[UDC]],TableMCTESOL[],7,FALSE),"")</f>
        <v/>
      </c>
      <c r="AC83" s="227" t="str">
        <f>IFERROR(VLOOKUP(TableHandbook[[#This Row],[UDC]],TableMCAPLING[],7,FALSE),"")</f>
        <v/>
      </c>
      <c r="AD83" s="218" t="str">
        <f>IFERROR(VLOOKUP(TableHandbook[[#This Row],[UDC]],TableGCEDHE[],7,FALSE),"")</f>
        <v/>
      </c>
      <c r="AE83" s="228" t="str">
        <f>IFERROR(VLOOKUP(TableHandbook[[#This Row],[UDC]],TableGCEDUC[],7,FALSE),"")</f>
        <v/>
      </c>
      <c r="AF83" s="223" t="str">
        <f>IFERROR(VLOOKUP(TableHandbook[[#This Row],[UDC]],TableGDEDUC[],7,FALSE),"")</f>
        <v>Core</v>
      </c>
      <c r="AG83" s="223" t="str">
        <f>IFERROR(VLOOKUP(TableHandbook[[#This Row],[UDC]],TableMJRPEDUPR[],7,FALSE),"")</f>
        <v/>
      </c>
      <c r="AH83" s="223" t="str">
        <f>IFERROR(VLOOKUP(TableHandbook[[#This Row],[UDC]],TableMJRPEDUSC[],7,FALSE),"")</f>
        <v/>
      </c>
      <c r="AI83" s="225" t="str">
        <f>IFERROR(VLOOKUP(TableHandbook[[#This Row],[UDC]],TableMCEDUC[],7,FALSE),"")</f>
        <v/>
      </c>
      <c r="AJ83" s="225" t="str">
        <f>IFERROR(VLOOKUP(TableHandbook[[#This Row],[UDC]],TableSPPECULIN[],7,FALSE),"")</f>
        <v/>
      </c>
      <c r="AK83" s="225" t="str">
        <f>IFERROR(VLOOKUP(TableHandbook[[#This Row],[UDC]],TableSPPELNTCH[],7,FALSE),"")</f>
        <v/>
      </c>
      <c r="AL83" s="227" t="str">
        <f>IFERROR(VLOOKUP(TableHandbook[[#This Row],[UDC]],TableSPPESTEME[],7,FALSE),"")</f>
        <v/>
      </c>
    </row>
    <row r="84" spans="1:38" x14ac:dyDescent="0.25">
      <c r="A84" s="3" t="s">
        <v>155</v>
      </c>
      <c r="B84" s="4">
        <v>2</v>
      </c>
      <c r="C84" s="3"/>
      <c r="D84" s="3" t="s">
        <v>14</v>
      </c>
      <c r="E84" s="4">
        <v>400</v>
      </c>
      <c r="F84" s="81" t="s">
        <v>174</v>
      </c>
      <c r="G84" s="33" t="str">
        <f>IFERROR(IF(VLOOKUP(TableHandbook[[#This Row],[UDC]],TableAvailabilities[],2,FALSE)&gt;0,"Y",""),"")</f>
        <v/>
      </c>
      <c r="H84" s="82" t="str">
        <f>IFERROR(IF(VLOOKUP(TableHandbook[[#This Row],[UDC]],TableAvailabilities[],3,FALSE)&gt;0,"Y",""),"")</f>
        <v/>
      </c>
      <c r="I84" s="82" t="str">
        <f>IFERROR(IF(VLOOKUP(TableHandbook[[#This Row],[UDC]],TableAvailabilities[],4,FALSE)&gt;0,"Y",""),"")</f>
        <v/>
      </c>
      <c r="J84" s="82" t="str">
        <f>IFERROR(IF(VLOOKUP(TableHandbook[[#This Row],[UDC]],TableAvailabilities[],5,FALSE)&gt;0,"Y",""),"")</f>
        <v/>
      </c>
      <c r="K84" s="82" t="str">
        <f>IFERROR(IF(VLOOKUP(TableHandbook[[#This Row],[UDC]],TableAvailabilities[],6,FALSE)&gt;0,"Y",""),"")</f>
        <v/>
      </c>
      <c r="L84" s="82" t="str">
        <f>IFERROR(IF(VLOOKUP(TableHandbook[[#This Row],[UDC]],TableAvailabilities[],7,FALSE)&gt;0,"Y",""),"")</f>
        <v/>
      </c>
      <c r="M84" s="83" t="str">
        <f>IFERROR(IF(VLOOKUP(TableHandbook[[#This Row],[UDC]],TableAvailabilities[],8,FALSE)&gt;0,"Y",""),"")</f>
        <v/>
      </c>
      <c r="N84" s="82" t="str">
        <f>IFERROR(IF(VLOOKUP(TableHandbook[[#This Row],[UDC]],TableAvailabilities[],9,FALSE)&gt;0,"Y",""),"")</f>
        <v/>
      </c>
      <c r="O84" s="192"/>
      <c r="P84" s="85" t="str">
        <f>IFERROR(VLOOKUP(TableHandbook[[#This Row],[UDC]],TableMCTEACH[],7,FALSE),"")</f>
        <v>Core</v>
      </c>
      <c r="Q84" s="85" t="str">
        <f>IFERROR(VLOOKUP(TableHandbook[[#This Row],[UDC]],TableMJRPTCHEC[],7,FALSE),"")</f>
        <v/>
      </c>
      <c r="R84" s="225" t="str">
        <f>IFERROR(VLOOKUP(TableHandbook[[#This Row],[UDC]],TableMJRPTCHPR[],7,FALSE),"")</f>
        <v/>
      </c>
      <c r="S84" s="225" t="str">
        <f>IFERROR(VLOOKUP(TableHandbook[[#This Row],[UDC]],TableMJRPTCHSC[],7,FALSE),"")</f>
        <v/>
      </c>
      <c r="T84" s="225" t="str">
        <f>IFERROR(VLOOKUP(TableHandbook[[#This Row],[UDC]],TableSTRPSCART[],7,FALSE),"")</f>
        <v/>
      </c>
      <c r="U84" s="225" t="str">
        <f>IFERROR(VLOOKUP(TableHandbook[[#This Row],[UDC]],TableSTRPSCENG[],7,FALSE),"")</f>
        <v/>
      </c>
      <c r="V84" s="225" t="str">
        <f>IFERROR(VLOOKUP(TableHandbook[[#This Row],[UDC]],TableSTRPSCHLP[],7,FALSE),"")</f>
        <v/>
      </c>
      <c r="W84" s="225" t="str">
        <f>IFERROR(VLOOKUP(TableHandbook[[#This Row],[UDC]],TableSTRPSCHUS[],7,FALSE),"")</f>
        <v/>
      </c>
      <c r="X84" s="225" t="str">
        <f>IFERROR(VLOOKUP(TableHandbook[[#This Row],[UDC]],TableSTRPSCMAT[],7,FALSE),"")</f>
        <v/>
      </c>
      <c r="Y84" s="225" t="str">
        <f>IFERROR(VLOOKUP(TableHandbook[[#This Row],[UDC]],TableSTRPSCSCI[],7,FALSE),"")</f>
        <v/>
      </c>
      <c r="Z84" s="227" t="str">
        <f>IFERROR(VLOOKUP(TableHandbook[[#This Row],[UDC]],TableSTRPSCFON[],7,FALSE),"")</f>
        <v/>
      </c>
      <c r="AA84" s="228" t="str">
        <f>IFERROR(VLOOKUP(TableHandbook[[#This Row],[UDC]],TableGCTESOL[],7,FALSE),"")</f>
        <v/>
      </c>
      <c r="AB84" s="225" t="str">
        <f>IFERROR(VLOOKUP(TableHandbook[[#This Row],[UDC]],TableMCTESOL[],7,FALSE),"")</f>
        <v/>
      </c>
      <c r="AC84" s="227" t="str">
        <f>IFERROR(VLOOKUP(TableHandbook[[#This Row],[UDC]],TableMCAPLING[],7,FALSE),"")</f>
        <v/>
      </c>
      <c r="AD84" s="218" t="str">
        <f>IFERROR(VLOOKUP(TableHandbook[[#This Row],[UDC]],TableGCEDHE[],7,FALSE),"")</f>
        <v/>
      </c>
      <c r="AE84" s="228" t="str">
        <f>IFERROR(VLOOKUP(TableHandbook[[#This Row],[UDC]],TableGCEDUC[],7,FALSE),"")</f>
        <v/>
      </c>
      <c r="AF84" s="223" t="str">
        <f>IFERROR(VLOOKUP(TableHandbook[[#This Row],[UDC]],TableGDEDUC[],7,FALSE),"")</f>
        <v/>
      </c>
      <c r="AG84" s="223" t="str">
        <f>IFERROR(VLOOKUP(TableHandbook[[#This Row],[UDC]],TableMJRPEDUPR[],7,FALSE),"")</f>
        <v/>
      </c>
      <c r="AH84" s="223" t="str">
        <f>IFERROR(VLOOKUP(TableHandbook[[#This Row],[UDC]],TableMJRPEDUSC[],7,FALSE),"")</f>
        <v/>
      </c>
      <c r="AI84" s="225" t="str">
        <f>IFERROR(VLOOKUP(TableHandbook[[#This Row],[UDC]],TableMCEDUC[],7,FALSE),"")</f>
        <v/>
      </c>
      <c r="AJ84" s="225" t="str">
        <f>IFERROR(VLOOKUP(TableHandbook[[#This Row],[UDC]],TableSPPECULIN[],7,FALSE),"")</f>
        <v/>
      </c>
      <c r="AK84" s="225" t="str">
        <f>IFERROR(VLOOKUP(TableHandbook[[#This Row],[UDC]],TableSPPELNTCH[],7,FALSE),"")</f>
        <v/>
      </c>
      <c r="AL84" s="227" t="str">
        <f>IFERROR(VLOOKUP(TableHandbook[[#This Row],[UDC]],TableSPPESTEME[],7,FALSE),"")</f>
        <v/>
      </c>
    </row>
    <row r="85" spans="1:38" x14ac:dyDescent="0.25">
      <c r="A85" s="3" t="s">
        <v>161</v>
      </c>
      <c r="B85" s="4">
        <v>2</v>
      </c>
      <c r="C85" s="3"/>
      <c r="D85" s="3" t="s">
        <v>160</v>
      </c>
      <c r="E85" s="4">
        <v>400</v>
      </c>
      <c r="F85" s="81" t="s">
        <v>174</v>
      </c>
      <c r="G85" s="33" t="str">
        <f>IFERROR(IF(VLOOKUP(TableHandbook[[#This Row],[UDC]],TableAvailabilities[],2,FALSE)&gt;0,"Y",""),"")</f>
        <v/>
      </c>
      <c r="H85" s="82" t="str">
        <f>IFERROR(IF(VLOOKUP(TableHandbook[[#This Row],[UDC]],TableAvailabilities[],3,FALSE)&gt;0,"Y",""),"")</f>
        <v/>
      </c>
      <c r="I85" s="82" t="str">
        <f>IFERROR(IF(VLOOKUP(TableHandbook[[#This Row],[UDC]],TableAvailabilities[],4,FALSE)&gt;0,"Y",""),"")</f>
        <v/>
      </c>
      <c r="J85" s="82" t="str">
        <f>IFERROR(IF(VLOOKUP(TableHandbook[[#This Row],[UDC]],TableAvailabilities[],5,FALSE)&gt;0,"Y",""),"")</f>
        <v/>
      </c>
      <c r="K85" s="82" t="str">
        <f>IFERROR(IF(VLOOKUP(TableHandbook[[#This Row],[UDC]],TableAvailabilities[],6,FALSE)&gt;0,"Y",""),"")</f>
        <v/>
      </c>
      <c r="L85" s="82" t="str">
        <f>IFERROR(IF(VLOOKUP(TableHandbook[[#This Row],[UDC]],TableAvailabilities[],7,FALSE)&gt;0,"Y",""),"")</f>
        <v/>
      </c>
      <c r="M85" s="83" t="str">
        <f>IFERROR(IF(VLOOKUP(TableHandbook[[#This Row],[UDC]],TableAvailabilities[],8,FALSE)&gt;0,"Y",""),"")</f>
        <v/>
      </c>
      <c r="N85" s="82" t="str">
        <f>IFERROR(IF(VLOOKUP(TableHandbook[[#This Row],[UDC]],TableAvailabilities[],9,FALSE)&gt;0,"Y",""),"")</f>
        <v/>
      </c>
      <c r="O85" s="201"/>
      <c r="P85" s="202" t="str">
        <f>IFERROR(VLOOKUP(TableHandbook[[#This Row],[UDC]],TableMCTEACH[],7,FALSE),"")</f>
        <v>Core</v>
      </c>
      <c r="Q85" s="202" t="str">
        <f>IFERROR(VLOOKUP(TableHandbook[[#This Row],[UDC]],TableMJRPTCHEC[],7,FALSE),"")</f>
        <v/>
      </c>
      <c r="R85" s="225" t="str">
        <f>IFERROR(VLOOKUP(TableHandbook[[#This Row],[UDC]],TableMJRPTCHPR[],7,FALSE),"")</f>
        <v/>
      </c>
      <c r="S85" s="225" t="str">
        <f>IFERROR(VLOOKUP(TableHandbook[[#This Row],[UDC]],TableMJRPTCHSC[],7,FALSE),"")</f>
        <v/>
      </c>
      <c r="T85" s="225" t="str">
        <f>IFERROR(VLOOKUP(TableHandbook[[#This Row],[UDC]],TableSTRPSCART[],7,FALSE),"")</f>
        <v/>
      </c>
      <c r="U85" s="225" t="str">
        <f>IFERROR(VLOOKUP(TableHandbook[[#This Row],[UDC]],TableSTRPSCENG[],7,FALSE),"")</f>
        <v/>
      </c>
      <c r="V85" s="225" t="str">
        <f>IFERROR(VLOOKUP(TableHandbook[[#This Row],[UDC]],TableSTRPSCHLP[],7,FALSE),"")</f>
        <v/>
      </c>
      <c r="W85" s="225" t="str">
        <f>IFERROR(VLOOKUP(TableHandbook[[#This Row],[UDC]],TableSTRPSCHUS[],7,FALSE),"")</f>
        <v/>
      </c>
      <c r="X85" s="225" t="str">
        <f>IFERROR(VLOOKUP(TableHandbook[[#This Row],[UDC]],TableSTRPSCMAT[],7,FALSE),"")</f>
        <v/>
      </c>
      <c r="Y85" s="225" t="str">
        <f>IFERROR(VLOOKUP(TableHandbook[[#This Row],[UDC]],TableSTRPSCSCI[],7,FALSE),"")</f>
        <v/>
      </c>
      <c r="Z85" s="227" t="str">
        <f>IFERROR(VLOOKUP(TableHandbook[[#This Row],[UDC]],TableSTRPSCFON[],7,FALSE),"")</f>
        <v/>
      </c>
      <c r="AA85" s="228" t="str">
        <f>IFERROR(VLOOKUP(TableHandbook[[#This Row],[UDC]],TableGCTESOL[],7,FALSE),"")</f>
        <v/>
      </c>
      <c r="AB85" s="225" t="str">
        <f>IFERROR(VLOOKUP(TableHandbook[[#This Row],[UDC]],TableMCTESOL[],7,FALSE),"")</f>
        <v/>
      </c>
      <c r="AC85" s="227" t="str">
        <f>IFERROR(VLOOKUP(TableHandbook[[#This Row],[UDC]],TableMCAPLING[],7,FALSE),"")</f>
        <v/>
      </c>
      <c r="AD85" s="218" t="str">
        <f>IFERROR(VLOOKUP(TableHandbook[[#This Row],[UDC]],TableGCEDHE[],7,FALSE),"")</f>
        <v/>
      </c>
      <c r="AE85" s="228" t="str">
        <f>IFERROR(VLOOKUP(TableHandbook[[#This Row],[UDC]],TableGCEDUC[],7,FALSE),"")</f>
        <v/>
      </c>
      <c r="AF85" s="223" t="str">
        <f>IFERROR(VLOOKUP(TableHandbook[[#This Row],[UDC]],TableGDEDUC[],7,FALSE),"")</f>
        <v/>
      </c>
      <c r="AG85" s="223" t="str">
        <f>IFERROR(VLOOKUP(TableHandbook[[#This Row],[UDC]],TableMJRPEDUPR[],7,FALSE),"")</f>
        <v/>
      </c>
      <c r="AH85" s="223" t="str">
        <f>IFERROR(VLOOKUP(TableHandbook[[#This Row],[UDC]],TableMJRPEDUSC[],7,FALSE),"")</f>
        <v/>
      </c>
      <c r="AI85" s="225" t="str">
        <f>IFERROR(VLOOKUP(TableHandbook[[#This Row],[UDC]],TableMCEDUC[],7,FALSE),"")</f>
        <v/>
      </c>
      <c r="AJ85" s="225" t="str">
        <f>IFERROR(VLOOKUP(TableHandbook[[#This Row],[UDC]],TableSPPECULIN[],7,FALSE),"")</f>
        <v/>
      </c>
      <c r="AK85" s="225" t="str">
        <f>IFERROR(VLOOKUP(TableHandbook[[#This Row],[UDC]],TableSPPELNTCH[],7,FALSE),"")</f>
        <v/>
      </c>
      <c r="AL85" s="227" t="str">
        <f>IFERROR(VLOOKUP(TableHandbook[[#This Row],[UDC]],TableSPPESTEME[],7,FALSE),"")</f>
        <v/>
      </c>
    </row>
    <row r="86" spans="1:38" x14ac:dyDescent="0.25">
      <c r="A86" s="3" t="s">
        <v>168</v>
      </c>
      <c r="B86" s="4">
        <v>2</v>
      </c>
      <c r="C86" s="3"/>
      <c r="D86" s="3" t="s">
        <v>167</v>
      </c>
      <c r="E86" s="4">
        <v>400</v>
      </c>
      <c r="F86" s="81" t="s">
        <v>174</v>
      </c>
      <c r="G86" s="33" t="str">
        <f>IFERROR(IF(VLOOKUP(TableHandbook[[#This Row],[UDC]],TableAvailabilities[],2,FALSE)&gt;0,"Y",""),"")</f>
        <v/>
      </c>
      <c r="H86" s="82" t="str">
        <f>IFERROR(IF(VLOOKUP(TableHandbook[[#This Row],[UDC]],TableAvailabilities[],3,FALSE)&gt;0,"Y",""),"")</f>
        <v/>
      </c>
      <c r="I86" s="82" t="str">
        <f>IFERROR(IF(VLOOKUP(TableHandbook[[#This Row],[UDC]],TableAvailabilities[],4,FALSE)&gt;0,"Y",""),"")</f>
        <v/>
      </c>
      <c r="J86" s="82" t="str">
        <f>IFERROR(IF(VLOOKUP(TableHandbook[[#This Row],[UDC]],TableAvailabilities[],5,FALSE)&gt;0,"Y",""),"")</f>
        <v/>
      </c>
      <c r="K86" s="82" t="str">
        <f>IFERROR(IF(VLOOKUP(TableHandbook[[#This Row],[UDC]],TableAvailabilities[],6,FALSE)&gt;0,"Y",""),"")</f>
        <v/>
      </c>
      <c r="L86" s="82" t="str">
        <f>IFERROR(IF(VLOOKUP(TableHandbook[[#This Row],[UDC]],TableAvailabilities[],7,FALSE)&gt;0,"Y",""),"")</f>
        <v/>
      </c>
      <c r="M86" s="83" t="str">
        <f>IFERROR(IF(VLOOKUP(TableHandbook[[#This Row],[UDC]],TableAvailabilities[],8,FALSE)&gt;0,"Y",""),"")</f>
        <v/>
      </c>
      <c r="N86" s="82" t="str">
        <f>IFERROR(IF(VLOOKUP(TableHandbook[[#This Row],[UDC]],TableAvailabilities[],9,FALSE)&gt;0,"Y",""),"")</f>
        <v/>
      </c>
      <c r="O86" s="201"/>
      <c r="P86" s="202" t="str">
        <f>IFERROR(VLOOKUP(TableHandbook[[#This Row],[UDC]],TableMCTEACH[],7,FALSE),"")</f>
        <v>Core</v>
      </c>
      <c r="Q86" s="202" t="str">
        <f>IFERROR(VLOOKUP(TableHandbook[[#This Row],[UDC]],TableMJRPTCHEC[],7,FALSE),"")</f>
        <v/>
      </c>
      <c r="R86" s="225" t="str">
        <f>IFERROR(VLOOKUP(TableHandbook[[#This Row],[UDC]],TableMJRPTCHPR[],7,FALSE),"")</f>
        <v/>
      </c>
      <c r="S86" s="225" t="str">
        <f>IFERROR(VLOOKUP(TableHandbook[[#This Row],[UDC]],TableMJRPTCHSC[],7,FALSE),"")</f>
        <v/>
      </c>
      <c r="T86" s="225" t="str">
        <f>IFERROR(VLOOKUP(TableHandbook[[#This Row],[UDC]],TableSTRPSCART[],7,FALSE),"")</f>
        <v/>
      </c>
      <c r="U86" s="225" t="str">
        <f>IFERROR(VLOOKUP(TableHandbook[[#This Row],[UDC]],TableSTRPSCENG[],7,FALSE),"")</f>
        <v/>
      </c>
      <c r="V86" s="225" t="str">
        <f>IFERROR(VLOOKUP(TableHandbook[[#This Row],[UDC]],TableSTRPSCHLP[],7,FALSE),"")</f>
        <v/>
      </c>
      <c r="W86" s="225" t="str">
        <f>IFERROR(VLOOKUP(TableHandbook[[#This Row],[UDC]],TableSTRPSCHUS[],7,FALSE),"")</f>
        <v/>
      </c>
      <c r="X86" s="225" t="str">
        <f>IFERROR(VLOOKUP(TableHandbook[[#This Row],[UDC]],TableSTRPSCMAT[],7,FALSE),"")</f>
        <v/>
      </c>
      <c r="Y86" s="225" t="str">
        <f>IFERROR(VLOOKUP(TableHandbook[[#This Row],[UDC]],TableSTRPSCSCI[],7,FALSE),"")</f>
        <v/>
      </c>
      <c r="Z86" s="227" t="str">
        <f>IFERROR(VLOOKUP(TableHandbook[[#This Row],[UDC]],TableSTRPSCFON[],7,FALSE),"")</f>
        <v/>
      </c>
      <c r="AA86" s="228" t="str">
        <f>IFERROR(VLOOKUP(TableHandbook[[#This Row],[UDC]],TableGCTESOL[],7,FALSE),"")</f>
        <v/>
      </c>
      <c r="AB86" s="225" t="str">
        <f>IFERROR(VLOOKUP(TableHandbook[[#This Row],[UDC]],TableMCTESOL[],7,FALSE),"")</f>
        <v/>
      </c>
      <c r="AC86" s="227" t="str">
        <f>IFERROR(VLOOKUP(TableHandbook[[#This Row],[UDC]],TableMCAPLING[],7,FALSE),"")</f>
        <v/>
      </c>
      <c r="AD86" s="218" t="str">
        <f>IFERROR(VLOOKUP(TableHandbook[[#This Row],[UDC]],TableGCEDHE[],7,FALSE),"")</f>
        <v/>
      </c>
      <c r="AE86" s="228" t="str">
        <f>IFERROR(VLOOKUP(TableHandbook[[#This Row],[UDC]],TableGCEDUC[],7,FALSE),"")</f>
        <v/>
      </c>
      <c r="AF86" s="223" t="str">
        <f>IFERROR(VLOOKUP(TableHandbook[[#This Row],[UDC]],TableGDEDUC[],7,FALSE),"")</f>
        <v/>
      </c>
      <c r="AG86" s="223" t="str">
        <f>IFERROR(VLOOKUP(TableHandbook[[#This Row],[UDC]],TableMJRPEDUPR[],7,FALSE),"")</f>
        <v/>
      </c>
      <c r="AH86" s="223" t="str">
        <f>IFERROR(VLOOKUP(TableHandbook[[#This Row],[UDC]],TableMJRPEDUSC[],7,FALSE),"")</f>
        <v/>
      </c>
      <c r="AI86" s="225" t="str">
        <f>IFERROR(VLOOKUP(TableHandbook[[#This Row],[UDC]],TableMCEDUC[],7,FALSE),"")</f>
        <v/>
      </c>
      <c r="AJ86" s="225" t="str">
        <f>IFERROR(VLOOKUP(TableHandbook[[#This Row],[UDC]],TableSPPECULIN[],7,FALSE),"")</f>
        <v/>
      </c>
      <c r="AK86" s="225" t="str">
        <f>IFERROR(VLOOKUP(TableHandbook[[#This Row],[UDC]],TableSPPELNTCH[],7,FALSE),"")</f>
        <v/>
      </c>
      <c r="AL86" s="227" t="str">
        <f>IFERROR(VLOOKUP(TableHandbook[[#This Row],[UDC]],TableSPPESTEME[],7,FALSE),"")</f>
        <v/>
      </c>
    </row>
    <row r="87" spans="1:38" x14ac:dyDescent="0.25">
      <c r="A87" s="221" t="s">
        <v>428</v>
      </c>
      <c r="B87" s="216">
        <v>0</v>
      </c>
      <c r="C87" s="215"/>
      <c r="D87" s="215" t="s">
        <v>465</v>
      </c>
      <c r="E87" s="216"/>
      <c r="F87" s="217"/>
      <c r="G87" s="212" t="str">
        <f>IFERROR(IF(VLOOKUP(TableHandbook[[#This Row],[UDC]],TableAvailabilities[],2,FALSE)&gt;0,"Y",""),"")</f>
        <v/>
      </c>
      <c r="H87" s="218" t="str">
        <f>IFERROR(IF(VLOOKUP(TableHandbook[[#This Row],[UDC]],TableAvailabilities[],3,FALSE)&gt;0,"Y",""),"")</f>
        <v/>
      </c>
      <c r="I87" s="218" t="str">
        <f>IFERROR(IF(VLOOKUP(TableHandbook[[#This Row],[UDC]],TableAvailabilities[],4,FALSE)&gt;0,"Y",""),"")</f>
        <v/>
      </c>
      <c r="J87" s="218" t="str">
        <f>IFERROR(IF(VLOOKUP(TableHandbook[[#This Row],[UDC]],TableAvailabilities[],5,FALSE)&gt;0,"Y",""),"")</f>
        <v/>
      </c>
      <c r="K87" s="218" t="str">
        <f>IFERROR(IF(VLOOKUP(TableHandbook[[#This Row],[UDC]],TableAvailabilities[],6,FALSE)&gt;0,"Y",""),"")</f>
        <v/>
      </c>
      <c r="L87" s="218" t="str">
        <f>IFERROR(IF(VLOOKUP(TableHandbook[[#This Row],[UDC]],TableAvailabilities[],7,FALSE)&gt;0,"Y",""),"")</f>
        <v/>
      </c>
      <c r="M87" s="219" t="str">
        <f>IFERROR(IF(VLOOKUP(TableHandbook[[#This Row],[UDC]],TableAvailabilities[],8,FALSE)&gt;0,"Y",""),"")</f>
        <v/>
      </c>
      <c r="N87" s="218" t="str">
        <f>IFERROR(IF(VLOOKUP(TableHandbook[[#This Row],[UDC]],TableAvailabilities[],9,FALSE)&gt;0,"Y",""),"")</f>
        <v/>
      </c>
      <c r="O87" s="213"/>
      <c r="P87" s="214" t="str">
        <f>IFERROR(VLOOKUP(TableHandbook[[#This Row],[UDC]],TableMCTEACH[],7,FALSE),"")</f>
        <v/>
      </c>
      <c r="Q87" s="214" t="str">
        <f>IFERROR(VLOOKUP(TableHandbook[[#This Row],[UDC]],TableMJRPTCHEC[],7,FALSE),"")</f>
        <v/>
      </c>
      <c r="R87" s="225" t="str">
        <f>IFERROR(VLOOKUP(TableHandbook[[#This Row],[UDC]],TableMJRPTCHPR[],7,FALSE),"")</f>
        <v/>
      </c>
      <c r="S87" s="225" t="str">
        <f>IFERROR(VLOOKUP(TableHandbook[[#This Row],[UDC]],TableMJRPTCHSC[],7,FALSE),"")</f>
        <v>Option</v>
      </c>
      <c r="T87" s="225" t="str">
        <f>IFERROR(VLOOKUP(TableHandbook[[#This Row],[UDC]],TableSTRPSCART[],7,FALSE),"")</f>
        <v/>
      </c>
      <c r="U87" s="225" t="str">
        <f>IFERROR(VLOOKUP(TableHandbook[[#This Row],[UDC]],TableSTRPSCENG[],7,FALSE),"")</f>
        <v/>
      </c>
      <c r="V87" s="225" t="str">
        <f>IFERROR(VLOOKUP(TableHandbook[[#This Row],[UDC]],TableSTRPSCHLP[],7,FALSE),"")</f>
        <v/>
      </c>
      <c r="W87" s="225" t="str">
        <f>IFERROR(VLOOKUP(TableHandbook[[#This Row],[UDC]],TableSTRPSCHUS[],7,FALSE),"")</f>
        <v/>
      </c>
      <c r="X87" s="225" t="str">
        <f>IFERROR(VLOOKUP(TableHandbook[[#This Row],[UDC]],TableSTRPSCMAT[],7,FALSE),"")</f>
        <v/>
      </c>
      <c r="Y87" s="225" t="str">
        <f>IFERROR(VLOOKUP(TableHandbook[[#This Row],[UDC]],TableSTRPSCSCI[],7,FALSE),"")</f>
        <v/>
      </c>
      <c r="Z87" s="227" t="str">
        <f>IFERROR(VLOOKUP(TableHandbook[[#This Row],[UDC]],TableSTRPSCFON[],7,FALSE),"")</f>
        <v/>
      </c>
      <c r="AA87" s="228" t="str">
        <f>IFERROR(VLOOKUP(TableHandbook[[#This Row],[UDC]],TableGCTESOL[],7,FALSE),"")</f>
        <v/>
      </c>
      <c r="AB87" s="225" t="str">
        <f>IFERROR(VLOOKUP(TableHandbook[[#This Row],[UDC]],TableMCTESOL[],7,FALSE),"")</f>
        <v/>
      </c>
      <c r="AC87" s="227" t="str">
        <f>IFERROR(VLOOKUP(TableHandbook[[#This Row],[UDC]],TableMCAPLING[],7,FALSE),"")</f>
        <v/>
      </c>
      <c r="AD87" s="218" t="str">
        <f>IFERROR(VLOOKUP(TableHandbook[[#This Row],[UDC]],TableGCEDHE[],7,FALSE),"")</f>
        <v/>
      </c>
      <c r="AE87" s="228" t="str">
        <f>IFERROR(VLOOKUP(TableHandbook[[#This Row],[UDC]],TableGCEDUC[],7,FALSE),"")</f>
        <v>Option</v>
      </c>
      <c r="AF87" s="223" t="str">
        <f>IFERROR(VLOOKUP(TableHandbook[[#This Row],[UDC]],TableGDEDUC[],7,FALSE),"")</f>
        <v/>
      </c>
      <c r="AG87" s="223" t="str">
        <f>IFERROR(VLOOKUP(TableHandbook[[#This Row],[UDC]],TableMJRPEDUPR[],7,FALSE),"")</f>
        <v/>
      </c>
      <c r="AH87" s="223" t="str">
        <f>IFERROR(VLOOKUP(TableHandbook[[#This Row],[UDC]],TableMJRPEDUSC[],7,FALSE),"")</f>
        <v>Option</v>
      </c>
      <c r="AI87" s="225" t="str">
        <f>IFERROR(VLOOKUP(TableHandbook[[#This Row],[UDC]],TableMCEDUC[],7,FALSE),"")</f>
        <v/>
      </c>
      <c r="AJ87" s="225" t="str">
        <f>IFERROR(VLOOKUP(TableHandbook[[#This Row],[UDC]],TableSPPECULIN[],7,FALSE),"")</f>
        <v/>
      </c>
      <c r="AK87" s="225" t="str">
        <f>IFERROR(VLOOKUP(TableHandbook[[#This Row],[UDC]],TableSPPELNTCH[],7,FALSE),"")</f>
        <v/>
      </c>
      <c r="AL87" s="227" t="str">
        <f>IFERROR(VLOOKUP(TableHandbook[[#This Row],[UDC]],TableSPPESTEME[],7,FALSE),"")</f>
        <v/>
      </c>
    </row>
    <row r="88" spans="1:38" x14ac:dyDescent="0.25">
      <c r="A88" s="3" t="s">
        <v>207</v>
      </c>
      <c r="B88" s="4">
        <v>0</v>
      </c>
      <c r="C88" s="3"/>
      <c r="D88" s="3" t="s">
        <v>397</v>
      </c>
      <c r="E88" s="4">
        <v>25</v>
      </c>
      <c r="F88" s="81" t="s">
        <v>388</v>
      </c>
      <c r="G88" s="33" t="str">
        <f>IFERROR(IF(VLOOKUP(TableHandbook[[#This Row],[UDC]],TableAvailabilities[],2,FALSE)&gt;0,"Y",""),"")</f>
        <v/>
      </c>
      <c r="H88" s="82" t="str">
        <f>IFERROR(IF(VLOOKUP(TableHandbook[[#This Row],[UDC]],TableAvailabilities[],3,FALSE)&gt;0,"Y",""),"")</f>
        <v/>
      </c>
      <c r="I88" s="82" t="str">
        <f>IFERROR(IF(VLOOKUP(TableHandbook[[#This Row],[UDC]],TableAvailabilities[],4,FALSE)&gt;0,"Y",""),"")</f>
        <v/>
      </c>
      <c r="J88" s="82" t="str">
        <f>IFERROR(IF(VLOOKUP(TableHandbook[[#This Row],[UDC]],TableAvailabilities[],5,FALSE)&gt;0,"Y",""),"")</f>
        <v/>
      </c>
      <c r="K88" s="82" t="str">
        <f>IFERROR(IF(VLOOKUP(TableHandbook[[#This Row],[UDC]],TableAvailabilities[],6,FALSE)&gt;0,"Y",""),"")</f>
        <v/>
      </c>
      <c r="L88" s="82" t="str">
        <f>IFERROR(IF(VLOOKUP(TableHandbook[[#This Row],[UDC]],TableAvailabilities[],7,FALSE)&gt;0,"Y",""),"")</f>
        <v/>
      </c>
      <c r="M88" s="83" t="str">
        <f>IFERROR(IF(VLOOKUP(TableHandbook[[#This Row],[UDC]],TableAvailabilities[],8,FALSE)&gt;0,"Y",""),"")</f>
        <v/>
      </c>
      <c r="N88" s="82" t="str">
        <f>IFERROR(IF(VLOOKUP(TableHandbook[[#This Row],[UDC]],TableAvailabilities[],9,FALSE)&gt;0,"Y",""),"")</f>
        <v/>
      </c>
      <c r="O88" s="201"/>
      <c r="P88" s="202" t="str">
        <f>IFERROR(VLOOKUP(TableHandbook[[#This Row],[UDC]],TableMCTEACH[],7,FALSE),"")</f>
        <v/>
      </c>
      <c r="Q88" s="202" t="str">
        <f>IFERROR(VLOOKUP(TableHandbook[[#This Row],[UDC]],TableMJRPTCHEC[],7,FALSE),"")</f>
        <v/>
      </c>
      <c r="R88" s="225" t="str">
        <f>IFERROR(VLOOKUP(TableHandbook[[#This Row],[UDC]],TableMJRPTCHPR[],7,FALSE),"")</f>
        <v/>
      </c>
      <c r="S88" s="225" t="str">
        <f>IFERROR(VLOOKUP(TableHandbook[[#This Row],[UDC]],TableMJRPTCHSC[],7,FALSE),"")</f>
        <v/>
      </c>
      <c r="T88" s="225" t="str">
        <f>IFERROR(VLOOKUP(TableHandbook[[#This Row],[UDC]],TableSTRPSCART[],7,FALSE),"")</f>
        <v/>
      </c>
      <c r="U88" s="225" t="str">
        <f>IFERROR(VLOOKUP(TableHandbook[[#This Row],[UDC]],TableSTRPSCENG[],7,FALSE),"")</f>
        <v/>
      </c>
      <c r="V88" s="225" t="str">
        <f>IFERROR(VLOOKUP(TableHandbook[[#This Row],[UDC]],TableSTRPSCHLP[],7,FALSE),"")</f>
        <v/>
      </c>
      <c r="W88" s="225" t="str">
        <f>IFERROR(VLOOKUP(TableHandbook[[#This Row],[UDC]],TableSTRPSCHUS[],7,FALSE),"")</f>
        <v/>
      </c>
      <c r="X88" s="225" t="str">
        <f>IFERROR(VLOOKUP(TableHandbook[[#This Row],[UDC]],TableSTRPSCMAT[],7,FALSE),"")</f>
        <v/>
      </c>
      <c r="Y88" s="225" t="str">
        <f>IFERROR(VLOOKUP(TableHandbook[[#This Row],[UDC]],TableSTRPSCSCI[],7,FALSE),"")</f>
        <v/>
      </c>
      <c r="Z88" s="227" t="str">
        <f>IFERROR(VLOOKUP(TableHandbook[[#This Row],[UDC]],TableSTRPSCFON[],7,FALSE),"")</f>
        <v/>
      </c>
      <c r="AA88" s="228" t="str">
        <f>IFERROR(VLOOKUP(TableHandbook[[#This Row],[UDC]],TableGCTESOL[],7,FALSE),"")</f>
        <v/>
      </c>
      <c r="AB88" s="225" t="str">
        <f>IFERROR(VLOOKUP(TableHandbook[[#This Row],[UDC]],TableMCTESOL[],7,FALSE),"")</f>
        <v/>
      </c>
      <c r="AC88" s="227" t="str">
        <f>IFERROR(VLOOKUP(TableHandbook[[#This Row],[UDC]],TableMCAPLING[],7,FALSE),"")</f>
        <v/>
      </c>
      <c r="AD88" s="218" t="str">
        <f>IFERROR(VLOOKUP(TableHandbook[[#This Row],[UDC]],TableGCEDHE[],7,FALSE),"")</f>
        <v/>
      </c>
      <c r="AE88" s="228" t="str">
        <f>IFERROR(VLOOKUP(TableHandbook[[#This Row],[UDC]],TableGCEDUC[],7,FALSE),"")</f>
        <v/>
      </c>
      <c r="AF88" s="223" t="str">
        <f>IFERROR(VLOOKUP(TableHandbook[[#This Row],[UDC]],TableGDEDUC[],7,FALSE),"")</f>
        <v/>
      </c>
      <c r="AG88" s="223" t="str">
        <f>IFERROR(VLOOKUP(TableHandbook[[#This Row],[UDC]],TableMJRPEDUPR[],7,FALSE),"")</f>
        <v/>
      </c>
      <c r="AH88" s="223" t="str">
        <f>IFERROR(VLOOKUP(TableHandbook[[#This Row],[UDC]],TableMJRPEDUSC[],7,FALSE),"")</f>
        <v/>
      </c>
      <c r="AI88" s="225" t="str">
        <f>IFERROR(VLOOKUP(TableHandbook[[#This Row],[UDC]],TableMCEDUC[],7,FALSE),"")</f>
        <v/>
      </c>
      <c r="AJ88" s="225" t="str">
        <f>IFERROR(VLOOKUP(TableHandbook[[#This Row],[UDC]],TableSPPECULIN[],7,FALSE),"")</f>
        <v/>
      </c>
      <c r="AK88" s="225" t="str">
        <f>IFERROR(VLOOKUP(TableHandbook[[#This Row],[UDC]],TableSPPELNTCH[],7,FALSE),"")</f>
        <v/>
      </c>
      <c r="AL88" s="227" t="str">
        <f>IFERROR(VLOOKUP(TableHandbook[[#This Row],[UDC]],TableSPPESTEME[],7,FALSE),"")</f>
        <v/>
      </c>
    </row>
    <row r="89" spans="1:38" x14ac:dyDescent="0.25">
      <c r="A89" s="3" t="s">
        <v>177</v>
      </c>
      <c r="B89" s="4">
        <v>1</v>
      </c>
      <c r="C89" s="3"/>
      <c r="D89" s="3" t="s">
        <v>176</v>
      </c>
      <c r="E89" s="4">
        <v>100</v>
      </c>
      <c r="F89" s="81"/>
      <c r="G89" s="33" t="str">
        <f>IFERROR(IF(VLOOKUP(TableHandbook[[#This Row],[UDC]],TableAvailabilities[],2,FALSE)&gt;0,"Y",""),"")</f>
        <v/>
      </c>
      <c r="H89" s="82" t="str">
        <f>IFERROR(IF(VLOOKUP(TableHandbook[[#This Row],[UDC]],TableAvailabilities[],3,FALSE)&gt;0,"Y",""),"")</f>
        <v/>
      </c>
      <c r="I89" s="82" t="str">
        <f>IFERROR(IF(VLOOKUP(TableHandbook[[#This Row],[UDC]],TableAvailabilities[],4,FALSE)&gt;0,"Y",""),"")</f>
        <v/>
      </c>
      <c r="J89" s="82" t="str">
        <f>IFERROR(IF(VLOOKUP(TableHandbook[[#This Row],[UDC]],TableAvailabilities[],5,FALSE)&gt;0,"Y",""),"")</f>
        <v/>
      </c>
      <c r="K89" s="82" t="str">
        <f>IFERROR(IF(VLOOKUP(TableHandbook[[#This Row],[UDC]],TableAvailabilities[],6,FALSE)&gt;0,"Y",""),"")</f>
        <v/>
      </c>
      <c r="L89" s="82" t="str">
        <f>IFERROR(IF(VLOOKUP(TableHandbook[[#This Row],[UDC]],TableAvailabilities[],7,FALSE)&gt;0,"Y",""),"")</f>
        <v/>
      </c>
      <c r="M89" s="83" t="str">
        <f>IFERROR(IF(VLOOKUP(TableHandbook[[#This Row],[UDC]],TableAvailabilities[],8,FALSE)&gt;0,"Y",""),"")</f>
        <v/>
      </c>
      <c r="N89" s="82" t="str">
        <f>IFERROR(IF(VLOOKUP(TableHandbook[[#This Row],[UDC]],TableAvailabilities[],9,FALSE)&gt;0,"Y",""),"")</f>
        <v/>
      </c>
      <c r="O89" s="201"/>
      <c r="P89" s="202" t="str">
        <f>IFERROR(VLOOKUP(TableHandbook[[#This Row],[UDC]],TableMCTEACH[],7,FALSE),"")</f>
        <v/>
      </c>
      <c r="Q89" s="202" t="str">
        <f>IFERROR(VLOOKUP(TableHandbook[[#This Row],[UDC]],TableMJRPTCHEC[],7,FALSE),"")</f>
        <v/>
      </c>
      <c r="R89" s="225" t="str">
        <f>IFERROR(VLOOKUP(TableHandbook[[#This Row],[UDC]],TableMJRPTCHPR[],7,FALSE),"")</f>
        <v/>
      </c>
      <c r="S89" s="225" t="str">
        <f>IFERROR(VLOOKUP(TableHandbook[[#This Row],[UDC]],TableMJRPTCHSC[],7,FALSE),"")</f>
        <v/>
      </c>
      <c r="T89" s="225" t="str">
        <f>IFERROR(VLOOKUP(TableHandbook[[#This Row],[UDC]],TableSTRPSCART[],7,FALSE),"")</f>
        <v/>
      </c>
      <c r="U89" s="225" t="str">
        <f>IFERROR(VLOOKUP(TableHandbook[[#This Row],[UDC]],TableSTRPSCENG[],7,FALSE),"")</f>
        <v/>
      </c>
      <c r="V89" s="225" t="str">
        <f>IFERROR(VLOOKUP(TableHandbook[[#This Row],[UDC]],TableSTRPSCHLP[],7,FALSE),"")</f>
        <v/>
      </c>
      <c r="W89" s="225" t="str">
        <f>IFERROR(VLOOKUP(TableHandbook[[#This Row],[UDC]],TableSTRPSCHUS[],7,FALSE),"")</f>
        <v/>
      </c>
      <c r="X89" s="225" t="str">
        <f>IFERROR(VLOOKUP(TableHandbook[[#This Row],[UDC]],TableSTRPSCMAT[],7,FALSE),"")</f>
        <v/>
      </c>
      <c r="Y89" s="225" t="str">
        <f>IFERROR(VLOOKUP(TableHandbook[[#This Row],[UDC]],TableSTRPSCSCI[],7,FALSE),"")</f>
        <v/>
      </c>
      <c r="Z89" s="227" t="str">
        <f>IFERROR(VLOOKUP(TableHandbook[[#This Row],[UDC]],TableSTRPSCFON[],7,FALSE),"")</f>
        <v/>
      </c>
      <c r="AA89" s="228" t="str">
        <f>IFERROR(VLOOKUP(TableHandbook[[#This Row],[UDC]],TableGCTESOL[],7,FALSE),"")</f>
        <v/>
      </c>
      <c r="AB89" s="225" t="str">
        <f>IFERROR(VLOOKUP(TableHandbook[[#This Row],[UDC]],TableMCTESOL[],7,FALSE),"")</f>
        <v/>
      </c>
      <c r="AC89" s="227" t="str">
        <f>IFERROR(VLOOKUP(TableHandbook[[#This Row],[UDC]],TableMCAPLING[],7,FALSE),"")</f>
        <v/>
      </c>
      <c r="AD89" s="218" t="str">
        <f>IFERROR(VLOOKUP(TableHandbook[[#This Row],[UDC]],TableGCEDHE[],7,FALSE),"")</f>
        <v/>
      </c>
      <c r="AE89" s="228" t="str">
        <f>IFERROR(VLOOKUP(TableHandbook[[#This Row],[UDC]],TableGCEDUC[],7,FALSE),"")</f>
        <v/>
      </c>
      <c r="AF89" s="223" t="str">
        <f>IFERROR(VLOOKUP(TableHandbook[[#This Row],[UDC]],TableGDEDUC[],7,FALSE),"")</f>
        <v/>
      </c>
      <c r="AG89" s="223" t="str">
        <f>IFERROR(VLOOKUP(TableHandbook[[#This Row],[UDC]],TableMJRPEDUPR[],7,FALSE),"")</f>
        <v/>
      </c>
      <c r="AH89" s="223" t="str">
        <f>IFERROR(VLOOKUP(TableHandbook[[#This Row],[UDC]],TableMJRPEDUSC[],7,FALSE),"")</f>
        <v/>
      </c>
      <c r="AI89" s="225" t="str">
        <f>IFERROR(VLOOKUP(TableHandbook[[#This Row],[UDC]],TableMCEDUC[],7,FALSE),"")</f>
        <v>Option</v>
      </c>
      <c r="AJ89" s="225" t="str">
        <f>IFERROR(VLOOKUP(TableHandbook[[#This Row],[UDC]],TableSPPECULIN[],7,FALSE),"")</f>
        <v/>
      </c>
      <c r="AK89" s="225" t="str">
        <f>IFERROR(VLOOKUP(TableHandbook[[#This Row],[UDC]],TableSPPELNTCH[],7,FALSE),"")</f>
        <v/>
      </c>
      <c r="AL89" s="227" t="str">
        <f>IFERROR(VLOOKUP(TableHandbook[[#This Row],[UDC]],TableSPPESTEME[],7,FALSE),"")</f>
        <v/>
      </c>
    </row>
    <row r="90" spans="1:38" x14ac:dyDescent="0.25">
      <c r="A90" s="3" t="s">
        <v>179</v>
      </c>
      <c r="B90" s="4">
        <v>1</v>
      </c>
      <c r="C90" s="3"/>
      <c r="D90" s="3" t="s">
        <v>178</v>
      </c>
      <c r="E90" s="4">
        <v>100</v>
      </c>
      <c r="F90" s="81"/>
      <c r="G90" s="33" t="str">
        <f>IFERROR(IF(VLOOKUP(TableHandbook[[#This Row],[UDC]],TableAvailabilities[],2,FALSE)&gt;0,"Y",""),"")</f>
        <v/>
      </c>
      <c r="H90" s="82" t="str">
        <f>IFERROR(IF(VLOOKUP(TableHandbook[[#This Row],[UDC]],TableAvailabilities[],3,FALSE)&gt;0,"Y",""),"")</f>
        <v/>
      </c>
      <c r="I90" s="82" t="str">
        <f>IFERROR(IF(VLOOKUP(TableHandbook[[#This Row],[UDC]],TableAvailabilities[],4,FALSE)&gt;0,"Y",""),"")</f>
        <v/>
      </c>
      <c r="J90" s="82" t="str">
        <f>IFERROR(IF(VLOOKUP(TableHandbook[[#This Row],[UDC]],TableAvailabilities[],5,FALSE)&gt;0,"Y",""),"")</f>
        <v/>
      </c>
      <c r="K90" s="82" t="str">
        <f>IFERROR(IF(VLOOKUP(TableHandbook[[#This Row],[UDC]],TableAvailabilities[],6,FALSE)&gt;0,"Y",""),"")</f>
        <v/>
      </c>
      <c r="L90" s="82" t="str">
        <f>IFERROR(IF(VLOOKUP(TableHandbook[[#This Row],[UDC]],TableAvailabilities[],7,FALSE)&gt;0,"Y",""),"")</f>
        <v/>
      </c>
      <c r="M90" s="83" t="str">
        <f>IFERROR(IF(VLOOKUP(TableHandbook[[#This Row],[UDC]],TableAvailabilities[],8,FALSE)&gt;0,"Y",""),"")</f>
        <v/>
      </c>
      <c r="N90" s="82" t="str">
        <f>IFERROR(IF(VLOOKUP(TableHandbook[[#This Row],[UDC]],TableAvailabilities[],9,FALSE)&gt;0,"Y",""),"")</f>
        <v/>
      </c>
      <c r="O90" s="201"/>
      <c r="P90" s="202" t="str">
        <f>IFERROR(VLOOKUP(TableHandbook[[#This Row],[UDC]],TableMCTEACH[],7,FALSE),"")</f>
        <v/>
      </c>
      <c r="Q90" s="202" t="str">
        <f>IFERROR(VLOOKUP(TableHandbook[[#This Row],[UDC]],TableMJRPTCHEC[],7,FALSE),"")</f>
        <v/>
      </c>
      <c r="R90" s="225" t="str">
        <f>IFERROR(VLOOKUP(TableHandbook[[#This Row],[UDC]],TableMJRPTCHPR[],7,FALSE),"")</f>
        <v/>
      </c>
      <c r="S90" s="225" t="str">
        <f>IFERROR(VLOOKUP(TableHandbook[[#This Row],[UDC]],TableMJRPTCHSC[],7,FALSE),"")</f>
        <v/>
      </c>
      <c r="T90" s="225" t="str">
        <f>IFERROR(VLOOKUP(TableHandbook[[#This Row],[UDC]],TableSTRPSCART[],7,FALSE),"")</f>
        <v/>
      </c>
      <c r="U90" s="225" t="str">
        <f>IFERROR(VLOOKUP(TableHandbook[[#This Row],[UDC]],TableSTRPSCENG[],7,FALSE),"")</f>
        <v/>
      </c>
      <c r="V90" s="225" t="str">
        <f>IFERROR(VLOOKUP(TableHandbook[[#This Row],[UDC]],TableSTRPSCHLP[],7,FALSE),"")</f>
        <v/>
      </c>
      <c r="W90" s="225" t="str">
        <f>IFERROR(VLOOKUP(TableHandbook[[#This Row],[UDC]],TableSTRPSCHUS[],7,FALSE),"")</f>
        <v/>
      </c>
      <c r="X90" s="225" t="str">
        <f>IFERROR(VLOOKUP(TableHandbook[[#This Row],[UDC]],TableSTRPSCMAT[],7,FALSE),"")</f>
        <v/>
      </c>
      <c r="Y90" s="225" t="str">
        <f>IFERROR(VLOOKUP(TableHandbook[[#This Row],[UDC]],TableSTRPSCSCI[],7,FALSE),"")</f>
        <v/>
      </c>
      <c r="Z90" s="227" t="str">
        <f>IFERROR(VLOOKUP(TableHandbook[[#This Row],[UDC]],TableSTRPSCFON[],7,FALSE),"")</f>
        <v/>
      </c>
      <c r="AA90" s="228" t="str">
        <f>IFERROR(VLOOKUP(TableHandbook[[#This Row],[UDC]],TableGCTESOL[],7,FALSE),"")</f>
        <v/>
      </c>
      <c r="AB90" s="225" t="str">
        <f>IFERROR(VLOOKUP(TableHandbook[[#This Row],[UDC]],TableMCTESOL[],7,FALSE),"")</f>
        <v/>
      </c>
      <c r="AC90" s="227" t="str">
        <f>IFERROR(VLOOKUP(TableHandbook[[#This Row],[UDC]],TableMCAPLING[],7,FALSE),"")</f>
        <v/>
      </c>
      <c r="AD90" s="218" t="str">
        <f>IFERROR(VLOOKUP(TableHandbook[[#This Row],[UDC]],TableGCEDHE[],7,FALSE),"")</f>
        <v/>
      </c>
      <c r="AE90" s="228" t="str">
        <f>IFERROR(VLOOKUP(TableHandbook[[#This Row],[UDC]],TableGCEDUC[],7,FALSE),"")</f>
        <v/>
      </c>
      <c r="AF90" s="223" t="str">
        <f>IFERROR(VLOOKUP(TableHandbook[[#This Row],[UDC]],TableGDEDUC[],7,FALSE),"")</f>
        <v/>
      </c>
      <c r="AG90" s="223" t="str">
        <f>IFERROR(VLOOKUP(TableHandbook[[#This Row],[UDC]],TableMJRPEDUPR[],7,FALSE),"")</f>
        <v/>
      </c>
      <c r="AH90" s="223" t="str">
        <f>IFERROR(VLOOKUP(TableHandbook[[#This Row],[UDC]],TableMJRPEDUSC[],7,FALSE),"")</f>
        <v/>
      </c>
      <c r="AI90" s="225" t="str">
        <f>IFERROR(VLOOKUP(TableHandbook[[#This Row],[UDC]],TableMCEDUC[],7,FALSE),"")</f>
        <v>Option</v>
      </c>
      <c r="AJ90" s="225" t="str">
        <f>IFERROR(VLOOKUP(TableHandbook[[#This Row],[UDC]],TableSPPECULIN[],7,FALSE),"")</f>
        <v/>
      </c>
      <c r="AK90" s="225" t="str">
        <f>IFERROR(VLOOKUP(TableHandbook[[#This Row],[UDC]],TableSPPELNTCH[],7,FALSE),"")</f>
        <v/>
      </c>
      <c r="AL90" s="227" t="str">
        <f>IFERROR(VLOOKUP(TableHandbook[[#This Row],[UDC]],TableSPPESTEME[],7,FALSE),"")</f>
        <v/>
      </c>
    </row>
    <row r="91" spans="1:38" x14ac:dyDescent="0.25">
      <c r="A91" s="3" t="s">
        <v>181</v>
      </c>
      <c r="B91" s="4">
        <v>1</v>
      </c>
      <c r="C91" s="3"/>
      <c r="D91" s="3" t="s">
        <v>180</v>
      </c>
      <c r="E91" s="4">
        <v>100</v>
      </c>
      <c r="F91" s="81"/>
      <c r="G91" s="33" t="str">
        <f>IFERROR(IF(VLOOKUP(TableHandbook[[#This Row],[UDC]],TableAvailabilities[],2,FALSE)&gt;0,"Y",""),"")</f>
        <v/>
      </c>
      <c r="H91" s="82" t="str">
        <f>IFERROR(IF(VLOOKUP(TableHandbook[[#This Row],[UDC]],TableAvailabilities[],3,FALSE)&gt;0,"Y",""),"")</f>
        <v/>
      </c>
      <c r="I91" s="82" t="str">
        <f>IFERROR(IF(VLOOKUP(TableHandbook[[#This Row],[UDC]],TableAvailabilities[],4,FALSE)&gt;0,"Y",""),"")</f>
        <v/>
      </c>
      <c r="J91" s="82" t="str">
        <f>IFERROR(IF(VLOOKUP(TableHandbook[[#This Row],[UDC]],TableAvailabilities[],5,FALSE)&gt;0,"Y",""),"")</f>
        <v/>
      </c>
      <c r="K91" s="82" t="str">
        <f>IFERROR(IF(VLOOKUP(TableHandbook[[#This Row],[UDC]],TableAvailabilities[],6,FALSE)&gt;0,"Y",""),"")</f>
        <v/>
      </c>
      <c r="L91" s="82" t="str">
        <f>IFERROR(IF(VLOOKUP(TableHandbook[[#This Row],[UDC]],TableAvailabilities[],7,FALSE)&gt;0,"Y",""),"")</f>
        <v/>
      </c>
      <c r="M91" s="83" t="str">
        <f>IFERROR(IF(VLOOKUP(TableHandbook[[#This Row],[UDC]],TableAvailabilities[],8,FALSE)&gt;0,"Y",""),"")</f>
        <v/>
      </c>
      <c r="N91" s="82" t="str">
        <f>IFERROR(IF(VLOOKUP(TableHandbook[[#This Row],[UDC]],TableAvailabilities[],9,FALSE)&gt;0,"Y",""),"")</f>
        <v/>
      </c>
      <c r="O91" s="201"/>
      <c r="P91" s="202" t="str">
        <f>IFERROR(VLOOKUP(TableHandbook[[#This Row],[UDC]],TableMCTEACH[],7,FALSE),"")</f>
        <v/>
      </c>
      <c r="Q91" s="202" t="str">
        <f>IFERROR(VLOOKUP(TableHandbook[[#This Row],[UDC]],TableMJRPTCHEC[],7,FALSE),"")</f>
        <v/>
      </c>
      <c r="R91" s="225" t="str">
        <f>IFERROR(VLOOKUP(TableHandbook[[#This Row],[UDC]],TableMJRPTCHPR[],7,FALSE),"")</f>
        <v/>
      </c>
      <c r="S91" s="225" t="str">
        <f>IFERROR(VLOOKUP(TableHandbook[[#This Row],[UDC]],TableMJRPTCHSC[],7,FALSE),"")</f>
        <v/>
      </c>
      <c r="T91" s="225" t="str">
        <f>IFERROR(VLOOKUP(TableHandbook[[#This Row],[UDC]],TableSTRPSCART[],7,FALSE),"")</f>
        <v/>
      </c>
      <c r="U91" s="225" t="str">
        <f>IFERROR(VLOOKUP(TableHandbook[[#This Row],[UDC]],TableSTRPSCENG[],7,FALSE),"")</f>
        <v/>
      </c>
      <c r="V91" s="225" t="str">
        <f>IFERROR(VLOOKUP(TableHandbook[[#This Row],[UDC]],TableSTRPSCHLP[],7,FALSE),"")</f>
        <v/>
      </c>
      <c r="W91" s="225" t="str">
        <f>IFERROR(VLOOKUP(TableHandbook[[#This Row],[UDC]],TableSTRPSCHUS[],7,FALSE),"")</f>
        <v/>
      </c>
      <c r="X91" s="225" t="str">
        <f>IFERROR(VLOOKUP(TableHandbook[[#This Row],[UDC]],TableSTRPSCMAT[],7,FALSE),"")</f>
        <v/>
      </c>
      <c r="Y91" s="225" t="str">
        <f>IFERROR(VLOOKUP(TableHandbook[[#This Row],[UDC]],TableSTRPSCSCI[],7,FALSE),"")</f>
        <v/>
      </c>
      <c r="Z91" s="227" t="str">
        <f>IFERROR(VLOOKUP(TableHandbook[[#This Row],[UDC]],TableSTRPSCFON[],7,FALSE),"")</f>
        <v/>
      </c>
      <c r="AA91" s="228" t="str">
        <f>IFERROR(VLOOKUP(TableHandbook[[#This Row],[UDC]],TableGCTESOL[],7,FALSE),"")</f>
        <v/>
      </c>
      <c r="AB91" s="225" t="str">
        <f>IFERROR(VLOOKUP(TableHandbook[[#This Row],[UDC]],TableMCTESOL[],7,FALSE),"")</f>
        <v/>
      </c>
      <c r="AC91" s="227" t="str">
        <f>IFERROR(VLOOKUP(TableHandbook[[#This Row],[UDC]],TableMCAPLING[],7,FALSE),"")</f>
        <v/>
      </c>
      <c r="AD91" s="218" t="str">
        <f>IFERROR(VLOOKUP(TableHandbook[[#This Row],[UDC]],TableGCEDHE[],7,FALSE),"")</f>
        <v/>
      </c>
      <c r="AE91" s="228" t="str">
        <f>IFERROR(VLOOKUP(TableHandbook[[#This Row],[UDC]],TableGCEDUC[],7,FALSE),"")</f>
        <v/>
      </c>
      <c r="AF91" s="223" t="str">
        <f>IFERROR(VLOOKUP(TableHandbook[[#This Row],[UDC]],TableGDEDUC[],7,FALSE),"")</f>
        <v/>
      </c>
      <c r="AG91" s="223" t="str">
        <f>IFERROR(VLOOKUP(TableHandbook[[#This Row],[UDC]],TableMJRPEDUPR[],7,FALSE),"")</f>
        <v/>
      </c>
      <c r="AH91" s="223" t="str">
        <f>IFERROR(VLOOKUP(TableHandbook[[#This Row],[UDC]],TableMJRPEDUSC[],7,FALSE),"")</f>
        <v/>
      </c>
      <c r="AI91" s="225" t="str">
        <f>IFERROR(VLOOKUP(TableHandbook[[#This Row],[UDC]],TableMCEDUC[],7,FALSE),"")</f>
        <v>Option</v>
      </c>
      <c r="AJ91" s="225" t="str">
        <f>IFERROR(VLOOKUP(TableHandbook[[#This Row],[UDC]],TableSPPECULIN[],7,FALSE),"")</f>
        <v/>
      </c>
      <c r="AK91" s="225" t="str">
        <f>IFERROR(VLOOKUP(TableHandbook[[#This Row],[UDC]],TableSPPELNTCH[],7,FALSE),"")</f>
        <v/>
      </c>
      <c r="AL91" s="227" t="str">
        <f>IFERROR(VLOOKUP(TableHandbook[[#This Row],[UDC]],TableSPPESTEME[],7,FALSE),"")</f>
        <v/>
      </c>
    </row>
    <row r="92" spans="1:38" x14ac:dyDescent="0.25">
      <c r="A92" s="3" t="s">
        <v>286</v>
      </c>
      <c r="B92" s="4"/>
      <c r="C92" s="3"/>
      <c r="D92" s="3" t="s">
        <v>398</v>
      </c>
      <c r="E92" s="4"/>
      <c r="F92" s="81"/>
      <c r="G92" s="33" t="str">
        <f>IFERROR(IF(VLOOKUP(TableHandbook[[#This Row],[UDC]],TableAvailabilities[],2,FALSE)&gt;0,"Y",""),"")</f>
        <v/>
      </c>
      <c r="H92" s="82" t="str">
        <f>IFERROR(IF(VLOOKUP(TableHandbook[[#This Row],[UDC]],TableAvailabilities[],3,FALSE)&gt;0,"Y",""),"")</f>
        <v/>
      </c>
      <c r="I92" s="82" t="str">
        <f>IFERROR(IF(VLOOKUP(TableHandbook[[#This Row],[UDC]],TableAvailabilities[],4,FALSE)&gt;0,"Y",""),"")</f>
        <v/>
      </c>
      <c r="J92" s="82" t="str">
        <f>IFERROR(IF(VLOOKUP(TableHandbook[[#This Row],[UDC]],TableAvailabilities[],5,FALSE)&gt;0,"Y",""),"")</f>
        <v/>
      </c>
      <c r="K92" s="82" t="str">
        <f>IFERROR(IF(VLOOKUP(TableHandbook[[#This Row],[UDC]],TableAvailabilities[],6,FALSE)&gt;0,"Y",""),"")</f>
        <v/>
      </c>
      <c r="L92" s="82" t="str">
        <f>IFERROR(IF(VLOOKUP(TableHandbook[[#This Row],[UDC]],TableAvailabilities[],7,FALSE)&gt;0,"Y",""),"")</f>
        <v/>
      </c>
      <c r="M92" s="83" t="str">
        <f>IFERROR(IF(VLOOKUP(TableHandbook[[#This Row],[UDC]],TableAvailabilities[],8,FALSE)&gt;0,"Y",""),"")</f>
        <v/>
      </c>
      <c r="N92" s="82" t="str">
        <f>IFERROR(IF(VLOOKUP(TableHandbook[[#This Row],[UDC]],TableAvailabilities[],9,FALSE)&gt;0,"Y",""),"")</f>
        <v/>
      </c>
      <c r="O92" s="201"/>
      <c r="P92" s="202" t="str">
        <f>IFERROR(VLOOKUP(TableHandbook[[#This Row],[UDC]],TableMCTEACH[],7,FALSE),"")</f>
        <v/>
      </c>
      <c r="Q92" s="202" t="str">
        <f>IFERROR(VLOOKUP(TableHandbook[[#This Row],[UDC]],TableMJRPTCHEC[],7,FALSE),"")</f>
        <v/>
      </c>
      <c r="R92" s="225" t="str">
        <f>IFERROR(VLOOKUP(TableHandbook[[#This Row],[UDC]],TableMJRPTCHPR[],7,FALSE),"")</f>
        <v/>
      </c>
      <c r="S92" s="225" t="str">
        <f>IFERROR(VLOOKUP(TableHandbook[[#This Row],[UDC]],TableMJRPTCHSC[],7,FALSE),"")</f>
        <v/>
      </c>
      <c r="T92" s="225" t="str">
        <f>IFERROR(VLOOKUP(TableHandbook[[#This Row],[UDC]],TableSTRPSCART[],7,FALSE),"")</f>
        <v/>
      </c>
      <c r="U92" s="225" t="str">
        <f>IFERROR(VLOOKUP(TableHandbook[[#This Row],[UDC]],TableSTRPSCENG[],7,FALSE),"")</f>
        <v/>
      </c>
      <c r="V92" s="225" t="str">
        <f>IFERROR(VLOOKUP(TableHandbook[[#This Row],[UDC]],TableSTRPSCHLP[],7,FALSE),"")</f>
        <v/>
      </c>
      <c r="W92" s="225" t="str">
        <f>IFERROR(VLOOKUP(TableHandbook[[#This Row],[UDC]],TableSTRPSCHUS[],7,FALSE),"")</f>
        <v/>
      </c>
      <c r="X92" s="225" t="str">
        <f>IFERROR(VLOOKUP(TableHandbook[[#This Row],[UDC]],TableSTRPSCMAT[],7,FALSE),"")</f>
        <v/>
      </c>
      <c r="Y92" s="225" t="str">
        <f>IFERROR(VLOOKUP(TableHandbook[[#This Row],[UDC]],TableSTRPSCSCI[],7,FALSE),"")</f>
        <v/>
      </c>
      <c r="Z92" s="227" t="str">
        <f>IFERROR(VLOOKUP(TableHandbook[[#This Row],[UDC]],TableSTRPSCFON[],7,FALSE),"")</f>
        <v/>
      </c>
      <c r="AA92" s="228" t="str">
        <f>IFERROR(VLOOKUP(TableHandbook[[#This Row],[UDC]],TableGCTESOL[],7,FALSE),"")</f>
        <v/>
      </c>
      <c r="AB92" s="225" t="str">
        <f>IFERROR(VLOOKUP(TableHandbook[[#This Row],[UDC]],TableMCTESOL[],7,FALSE),"")</f>
        <v/>
      </c>
      <c r="AC92" s="227" t="str">
        <f>IFERROR(VLOOKUP(TableHandbook[[#This Row],[UDC]],TableMCAPLING[],7,FALSE),"")</f>
        <v/>
      </c>
      <c r="AD92" s="218" t="str">
        <f>IFERROR(VLOOKUP(TableHandbook[[#This Row],[UDC]],TableGCEDHE[],7,FALSE),"")</f>
        <v/>
      </c>
      <c r="AE92" s="228" t="str">
        <f>IFERROR(VLOOKUP(TableHandbook[[#This Row],[UDC]],TableGCEDUC[],7,FALSE),"")</f>
        <v/>
      </c>
      <c r="AF92" s="223" t="str">
        <f>IFERROR(VLOOKUP(TableHandbook[[#This Row],[UDC]],TableGDEDUC[],7,FALSE),"")</f>
        <v/>
      </c>
      <c r="AG92" s="223" t="str">
        <f>IFERROR(VLOOKUP(TableHandbook[[#This Row],[UDC]],TableMJRPEDUPR[],7,FALSE),"")</f>
        <v/>
      </c>
      <c r="AH92" s="223" t="str">
        <f>IFERROR(VLOOKUP(TableHandbook[[#This Row],[UDC]],TableMJRPEDUSC[],7,FALSE),"")</f>
        <v/>
      </c>
      <c r="AI92" s="225" t="str">
        <f>IFERROR(VLOOKUP(TableHandbook[[#This Row],[UDC]],TableMCEDUC[],7,FALSE),"")</f>
        <v/>
      </c>
      <c r="AJ92" s="225" t="str">
        <f>IFERROR(VLOOKUP(TableHandbook[[#This Row],[UDC]],TableSPPECULIN[],7,FALSE),"")</f>
        <v/>
      </c>
      <c r="AK92" s="225" t="str">
        <f>IFERROR(VLOOKUP(TableHandbook[[#This Row],[UDC]],TableSPPELNTCH[],7,FALSE),"")</f>
        <v/>
      </c>
      <c r="AL92" s="227" t="str">
        <f>IFERROR(VLOOKUP(TableHandbook[[#This Row],[UDC]],TableSPPESTEME[],7,FALSE),"")</f>
        <v/>
      </c>
    </row>
    <row r="93" spans="1:38" x14ac:dyDescent="0.25">
      <c r="A93" s="3" t="s">
        <v>253</v>
      </c>
      <c r="B93" s="4"/>
      <c r="C93" s="3"/>
      <c r="D93" s="3" t="s">
        <v>399</v>
      </c>
      <c r="E93" s="4">
        <v>25</v>
      </c>
      <c r="F93" s="81" t="s">
        <v>388</v>
      </c>
      <c r="G93" s="33" t="str">
        <f>IFERROR(IF(VLOOKUP(TableHandbook[[#This Row],[UDC]],TableAvailabilities[],2,FALSE)&gt;0,"Y",""),"")</f>
        <v/>
      </c>
      <c r="H93" s="82" t="str">
        <f>IFERROR(IF(VLOOKUP(TableHandbook[[#This Row],[UDC]],TableAvailabilities[],3,FALSE)&gt;0,"Y",""),"")</f>
        <v/>
      </c>
      <c r="I93" s="82" t="str">
        <f>IFERROR(IF(VLOOKUP(TableHandbook[[#This Row],[UDC]],TableAvailabilities[],4,FALSE)&gt;0,"Y",""),"")</f>
        <v/>
      </c>
      <c r="J93" s="82" t="str">
        <f>IFERROR(IF(VLOOKUP(TableHandbook[[#This Row],[UDC]],TableAvailabilities[],5,FALSE)&gt;0,"Y",""),"")</f>
        <v/>
      </c>
      <c r="K93" s="82" t="str">
        <f>IFERROR(IF(VLOOKUP(TableHandbook[[#This Row],[UDC]],TableAvailabilities[],6,FALSE)&gt;0,"Y",""),"")</f>
        <v/>
      </c>
      <c r="L93" s="82" t="str">
        <f>IFERROR(IF(VLOOKUP(TableHandbook[[#This Row],[UDC]],TableAvailabilities[],7,FALSE)&gt;0,"Y",""),"")</f>
        <v/>
      </c>
      <c r="M93" s="83" t="str">
        <f>IFERROR(IF(VLOOKUP(TableHandbook[[#This Row],[UDC]],TableAvailabilities[],8,FALSE)&gt;0,"Y",""),"")</f>
        <v/>
      </c>
      <c r="N93" s="82" t="str">
        <f>IFERROR(IF(VLOOKUP(TableHandbook[[#This Row],[UDC]],TableAvailabilities[],9,FALSE)&gt;0,"Y",""),"")</f>
        <v/>
      </c>
      <c r="O93" s="201"/>
      <c r="P93" s="202" t="str">
        <f>IFERROR(VLOOKUP(TableHandbook[[#This Row],[UDC]],TableMCTEACH[],7,FALSE),"")</f>
        <v/>
      </c>
      <c r="Q93" s="202" t="str">
        <f>IFERROR(VLOOKUP(TableHandbook[[#This Row],[UDC]],TableMJRPTCHEC[],7,FALSE),"")</f>
        <v/>
      </c>
      <c r="R93" s="225" t="str">
        <f>IFERROR(VLOOKUP(TableHandbook[[#This Row],[UDC]],TableMJRPTCHPR[],7,FALSE),"")</f>
        <v/>
      </c>
      <c r="S93" s="225" t="str">
        <f>IFERROR(VLOOKUP(TableHandbook[[#This Row],[UDC]],TableMJRPTCHSC[],7,FALSE),"")</f>
        <v/>
      </c>
      <c r="T93" s="225" t="str">
        <f>IFERROR(VLOOKUP(TableHandbook[[#This Row],[UDC]],TableSTRPSCART[],7,FALSE),"")</f>
        <v/>
      </c>
      <c r="U93" s="225" t="str">
        <f>IFERROR(VLOOKUP(TableHandbook[[#This Row],[UDC]],TableSTRPSCENG[],7,FALSE),"")</f>
        <v/>
      </c>
      <c r="V93" s="225" t="str">
        <f>IFERROR(VLOOKUP(TableHandbook[[#This Row],[UDC]],TableSTRPSCHLP[],7,FALSE),"")</f>
        <v/>
      </c>
      <c r="W93" s="225" t="str">
        <f>IFERROR(VLOOKUP(TableHandbook[[#This Row],[UDC]],TableSTRPSCHUS[],7,FALSE),"")</f>
        <v/>
      </c>
      <c r="X93" s="225" t="str">
        <f>IFERROR(VLOOKUP(TableHandbook[[#This Row],[UDC]],TableSTRPSCMAT[],7,FALSE),"")</f>
        <v/>
      </c>
      <c r="Y93" s="225" t="str">
        <f>IFERROR(VLOOKUP(TableHandbook[[#This Row],[UDC]],TableSTRPSCSCI[],7,FALSE),"")</f>
        <v/>
      </c>
      <c r="Z93" s="227" t="str">
        <f>IFERROR(VLOOKUP(TableHandbook[[#This Row],[UDC]],TableSTRPSCFON[],7,FALSE),"")</f>
        <v/>
      </c>
      <c r="AA93" s="228" t="str">
        <f>IFERROR(VLOOKUP(TableHandbook[[#This Row],[UDC]],TableGCTESOL[],7,FALSE),"")</f>
        <v/>
      </c>
      <c r="AB93" s="225" t="str">
        <f>IFERROR(VLOOKUP(TableHandbook[[#This Row],[UDC]],TableMCTESOL[],7,FALSE),"")</f>
        <v/>
      </c>
      <c r="AC93" s="227" t="str">
        <f>IFERROR(VLOOKUP(TableHandbook[[#This Row],[UDC]],TableMCAPLING[],7,FALSE),"")</f>
        <v/>
      </c>
      <c r="AD93" s="218" t="str">
        <f>IFERROR(VLOOKUP(TableHandbook[[#This Row],[UDC]],TableGCEDHE[],7,FALSE),"")</f>
        <v/>
      </c>
      <c r="AE93" s="228" t="str">
        <f>IFERROR(VLOOKUP(TableHandbook[[#This Row],[UDC]],TableGCEDUC[],7,FALSE),"")</f>
        <v/>
      </c>
      <c r="AF93" s="223" t="str">
        <f>IFERROR(VLOOKUP(TableHandbook[[#This Row],[UDC]],TableGDEDUC[],7,FALSE),"")</f>
        <v/>
      </c>
      <c r="AG93" s="223" t="str">
        <f>IFERROR(VLOOKUP(TableHandbook[[#This Row],[UDC]],TableMJRPEDUPR[],7,FALSE),"")</f>
        <v/>
      </c>
      <c r="AH93" s="223" t="str">
        <f>IFERROR(VLOOKUP(TableHandbook[[#This Row],[UDC]],TableMJRPEDUSC[],7,FALSE),"")</f>
        <v/>
      </c>
      <c r="AI93" s="225" t="str">
        <f>IFERROR(VLOOKUP(TableHandbook[[#This Row],[UDC]],TableMCEDUC[],7,FALSE),"")</f>
        <v/>
      </c>
      <c r="AJ93" s="225" t="str">
        <f>IFERROR(VLOOKUP(TableHandbook[[#This Row],[UDC]],TableSPPECULIN[],7,FALSE),"")</f>
        <v/>
      </c>
      <c r="AK93" s="225" t="str">
        <f>IFERROR(VLOOKUP(TableHandbook[[#This Row],[UDC]],TableSPPELNTCH[],7,FALSE),"")</f>
        <v/>
      </c>
      <c r="AL93" s="227" t="str">
        <f>IFERROR(VLOOKUP(TableHandbook[[#This Row],[UDC]],TableSPPESTEME[],7,FALSE),"")</f>
        <v/>
      </c>
    </row>
    <row r="94" spans="1:38" x14ac:dyDescent="0.25">
      <c r="A94" s="3" t="s">
        <v>400</v>
      </c>
      <c r="B94" s="4">
        <v>0</v>
      </c>
      <c r="C94" s="3"/>
      <c r="D94" s="3" t="s">
        <v>401</v>
      </c>
      <c r="E94" s="4">
        <v>50</v>
      </c>
      <c r="F94" s="81" t="s">
        <v>174</v>
      </c>
      <c r="G94" s="33" t="str">
        <f>IFERROR(IF(VLOOKUP(TableHandbook[[#This Row],[UDC]],TableAvailabilities[],2,FALSE)&gt;0,"Y",""),"")</f>
        <v/>
      </c>
      <c r="H94" s="82" t="str">
        <f>IFERROR(IF(VLOOKUP(TableHandbook[[#This Row],[UDC]],TableAvailabilities[],3,FALSE)&gt;0,"Y",""),"")</f>
        <v/>
      </c>
      <c r="I94" s="82" t="str">
        <f>IFERROR(IF(VLOOKUP(TableHandbook[[#This Row],[UDC]],TableAvailabilities[],4,FALSE)&gt;0,"Y",""),"")</f>
        <v/>
      </c>
      <c r="J94" s="82" t="str">
        <f>IFERROR(IF(VLOOKUP(TableHandbook[[#This Row],[UDC]],TableAvailabilities[],5,FALSE)&gt;0,"Y",""),"")</f>
        <v/>
      </c>
      <c r="K94" s="82" t="str">
        <f>IFERROR(IF(VLOOKUP(TableHandbook[[#This Row],[UDC]],TableAvailabilities[],6,FALSE)&gt;0,"Y",""),"")</f>
        <v/>
      </c>
      <c r="L94" s="82" t="str">
        <f>IFERROR(IF(VLOOKUP(TableHandbook[[#This Row],[UDC]],TableAvailabilities[],7,FALSE)&gt;0,"Y",""),"")</f>
        <v/>
      </c>
      <c r="M94" s="83" t="str">
        <f>IFERROR(IF(VLOOKUP(TableHandbook[[#This Row],[UDC]],TableAvailabilities[],8,FALSE)&gt;0,"Y",""),"")</f>
        <v/>
      </c>
      <c r="N94" s="82" t="str">
        <f>IFERROR(IF(VLOOKUP(TableHandbook[[#This Row],[UDC]],TableAvailabilities[],9,FALSE)&gt;0,"Y",""),"")</f>
        <v/>
      </c>
      <c r="O94" s="201"/>
      <c r="P94" s="202" t="str">
        <f>IFERROR(VLOOKUP(TableHandbook[[#This Row],[UDC]],TableMCTEACH[],7,FALSE),"")</f>
        <v/>
      </c>
      <c r="Q94" s="202" t="str">
        <f>IFERROR(VLOOKUP(TableHandbook[[#This Row],[UDC]],TableMJRPTCHEC[],7,FALSE),"")</f>
        <v/>
      </c>
      <c r="R94" s="225" t="str">
        <f>IFERROR(VLOOKUP(TableHandbook[[#This Row],[UDC]],TableMJRPTCHPR[],7,FALSE),"")</f>
        <v/>
      </c>
      <c r="S94" s="225" t="str">
        <f>IFERROR(VLOOKUP(TableHandbook[[#This Row],[UDC]],TableMJRPTCHSC[],7,FALSE),"")</f>
        <v/>
      </c>
      <c r="T94" s="225" t="str">
        <f>IFERROR(VLOOKUP(TableHandbook[[#This Row],[UDC]],TableSTRPSCART[],7,FALSE),"")</f>
        <v/>
      </c>
      <c r="U94" s="225" t="str">
        <f>IFERROR(VLOOKUP(TableHandbook[[#This Row],[UDC]],TableSTRPSCENG[],7,FALSE),"")</f>
        <v/>
      </c>
      <c r="V94" s="225" t="str">
        <f>IFERROR(VLOOKUP(TableHandbook[[#This Row],[UDC]],TableSTRPSCHLP[],7,FALSE),"")</f>
        <v/>
      </c>
      <c r="W94" s="225" t="str">
        <f>IFERROR(VLOOKUP(TableHandbook[[#This Row],[UDC]],TableSTRPSCHUS[],7,FALSE),"")</f>
        <v/>
      </c>
      <c r="X94" s="225" t="str">
        <f>IFERROR(VLOOKUP(TableHandbook[[#This Row],[UDC]],TableSTRPSCMAT[],7,FALSE),"")</f>
        <v/>
      </c>
      <c r="Y94" s="225" t="str">
        <f>IFERROR(VLOOKUP(TableHandbook[[#This Row],[UDC]],TableSTRPSCSCI[],7,FALSE),"")</f>
        <v/>
      </c>
      <c r="Z94" s="227" t="str">
        <f>IFERROR(VLOOKUP(TableHandbook[[#This Row],[UDC]],TableSTRPSCFON[],7,FALSE),"")</f>
        <v/>
      </c>
      <c r="AA94" s="228" t="str">
        <f>IFERROR(VLOOKUP(TableHandbook[[#This Row],[UDC]],TableGCTESOL[],7,FALSE),"")</f>
        <v/>
      </c>
      <c r="AB94" s="225" t="str">
        <f>IFERROR(VLOOKUP(TableHandbook[[#This Row],[UDC]],TableMCTESOL[],7,FALSE),"")</f>
        <v/>
      </c>
      <c r="AC94" s="227" t="str">
        <f>IFERROR(VLOOKUP(TableHandbook[[#This Row],[UDC]],TableMCAPLING[],7,FALSE),"")</f>
        <v/>
      </c>
      <c r="AD94" s="218" t="str">
        <f>IFERROR(VLOOKUP(TableHandbook[[#This Row],[UDC]],TableGCEDHE[],7,FALSE),"")</f>
        <v/>
      </c>
      <c r="AE94" s="228" t="str">
        <f>IFERROR(VLOOKUP(TableHandbook[[#This Row],[UDC]],TableGCEDUC[],7,FALSE),"")</f>
        <v/>
      </c>
      <c r="AF94" s="223" t="str">
        <f>IFERROR(VLOOKUP(TableHandbook[[#This Row],[UDC]],TableGDEDUC[],7,FALSE),"")</f>
        <v/>
      </c>
      <c r="AG94" s="223" t="str">
        <f>IFERROR(VLOOKUP(TableHandbook[[#This Row],[UDC]],TableMJRPEDUPR[],7,FALSE),"")</f>
        <v/>
      </c>
      <c r="AH94" s="223" t="str">
        <f>IFERROR(VLOOKUP(TableHandbook[[#This Row],[UDC]],TableMJRPEDUSC[],7,FALSE),"")</f>
        <v/>
      </c>
      <c r="AI94" s="225" t="str">
        <f>IFERROR(VLOOKUP(TableHandbook[[#This Row],[UDC]],TableMCEDUC[],7,FALSE),"")</f>
        <v/>
      </c>
      <c r="AJ94" s="225" t="str">
        <f>IFERROR(VLOOKUP(TableHandbook[[#This Row],[UDC]],TableSPPECULIN[],7,FALSE),"")</f>
        <v/>
      </c>
      <c r="AK94" s="225" t="str">
        <f>IFERROR(VLOOKUP(TableHandbook[[#This Row],[UDC]],TableSPPELNTCH[],7,FALSE),"")</f>
        <v/>
      </c>
      <c r="AL94" s="227" t="str">
        <f>IFERROR(VLOOKUP(TableHandbook[[#This Row],[UDC]],TableSPPESTEME[],7,FALSE),"")</f>
        <v/>
      </c>
    </row>
    <row r="95" spans="1:38" x14ac:dyDescent="0.25">
      <c r="A95" s="3" t="s">
        <v>265</v>
      </c>
      <c r="B95" s="4"/>
      <c r="C95" s="3"/>
      <c r="D95" s="3" t="s">
        <v>402</v>
      </c>
      <c r="E95" s="4">
        <v>25</v>
      </c>
      <c r="F95" s="81" t="s">
        <v>388</v>
      </c>
      <c r="G95" s="33" t="str">
        <f>IFERROR(IF(VLOOKUP(TableHandbook[[#This Row],[UDC]],TableAvailabilities[],2,FALSE)&gt;0,"Y",""),"")</f>
        <v/>
      </c>
      <c r="H95" s="82" t="str">
        <f>IFERROR(IF(VLOOKUP(TableHandbook[[#This Row],[UDC]],TableAvailabilities[],3,FALSE)&gt;0,"Y",""),"")</f>
        <v/>
      </c>
      <c r="I95" s="82" t="str">
        <f>IFERROR(IF(VLOOKUP(TableHandbook[[#This Row],[UDC]],TableAvailabilities[],4,FALSE)&gt;0,"Y",""),"")</f>
        <v/>
      </c>
      <c r="J95" s="82" t="str">
        <f>IFERROR(IF(VLOOKUP(TableHandbook[[#This Row],[UDC]],TableAvailabilities[],5,FALSE)&gt;0,"Y",""),"")</f>
        <v/>
      </c>
      <c r="K95" s="82" t="str">
        <f>IFERROR(IF(VLOOKUP(TableHandbook[[#This Row],[UDC]],TableAvailabilities[],6,FALSE)&gt;0,"Y",""),"")</f>
        <v/>
      </c>
      <c r="L95" s="82" t="str">
        <f>IFERROR(IF(VLOOKUP(TableHandbook[[#This Row],[UDC]],TableAvailabilities[],7,FALSE)&gt;0,"Y",""),"")</f>
        <v/>
      </c>
      <c r="M95" s="83" t="str">
        <f>IFERROR(IF(VLOOKUP(TableHandbook[[#This Row],[UDC]],TableAvailabilities[],8,FALSE)&gt;0,"Y",""),"")</f>
        <v/>
      </c>
      <c r="N95" s="82" t="str">
        <f>IFERROR(IF(VLOOKUP(TableHandbook[[#This Row],[UDC]],TableAvailabilities[],9,FALSE)&gt;0,"Y",""),"")</f>
        <v/>
      </c>
      <c r="O95" s="201"/>
      <c r="P95" s="202" t="str">
        <f>IFERROR(VLOOKUP(TableHandbook[[#This Row],[UDC]],TableMCTEACH[],7,FALSE),"")</f>
        <v/>
      </c>
      <c r="Q95" s="202" t="str">
        <f>IFERROR(VLOOKUP(TableHandbook[[#This Row],[UDC]],TableMJRPTCHEC[],7,FALSE),"")</f>
        <v/>
      </c>
      <c r="R95" s="225" t="str">
        <f>IFERROR(VLOOKUP(TableHandbook[[#This Row],[UDC]],TableMJRPTCHPR[],7,FALSE),"")</f>
        <v/>
      </c>
      <c r="S95" s="225" t="str">
        <f>IFERROR(VLOOKUP(TableHandbook[[#This Row],[UDC]],TableMJRPTCHSC[],7,FALSE),"")</f>
        <v/>
      </c>
      <c r="T95" s="225" t="str">
        <f>IFERROR(VLOOKUP(TableHandbook[[#This Row],[UDC]],TableSTRPSCART[],7,FALSE),"")</f>
        <v/>
      </c>
      <c r="U95" s="225" t="str">
        <f>IFERROR(VLOOKUP(TableHandbook[[#This Row],[UDC]],TableSTRPSCENG[],7,FALSE),"")</f>
        <v/>
      </c>
      <c r="V95" s="225" t="str">
        <f>IFERROR(VLOOKUP(TableHandbook[[#This Row],[UDC]],TableSTRPSCHLP[],7,FALSE),"")</f>
        <v/>
      </c>
      <c r="W95" s="225" t="str">
        <f>IFERROR(VLOOKUP(TableHandbook[[#This Row],[UDC]],TableSTRPSCHUS[],7,FALSE),"")</f>
        <v/>
      </c>
      <c r="X95" s="225" t="str">
        <f>IFERROR(VLOOKUP(TableHandbook[[#This Row],[UDC]],TableSTRPSCMAT[],7,FALSE),"")</f>
        <v/>
      </c>
      <c r="Y95" s="225" t="str">
        <f>IFERROR(VLOOKUP(TableHandbook[[#This Row],[UDC]],TableSTRPSCSCI[],7,FALSE),"")</f>
        <v/>
      </c>
      <c r="Z95" s="227" t="str">
        <f>IFERROR(VLOOKUP(TableHandbook[[#This Row],[UDC]],TableSTRPSCFON[],7,FALSE),"")</f>
        <v/>
      </c>
      <c r="AA95" s="228" t="str">
        <f>IFERROR(VLOOKUP(TableHandbook[[#This Row],[UDC]],TableGCTESOL[],7,FALSE),"")</f>
        <v/>
      </c>
      <c r="AB95" s="225" t="str">
        <f>IFERROR(VLOOKUP(TableHandbook[[#This Row],[UDC]],TableMCTESOL[],7,FALSE),"")</f>
        <v/>
      </c>
      <c r="AC95" s="227" t="str">
        <f>IFERROR(VLOOKUP(TableHandbook[[#This Row],[UDC]],TableMCAPLING[],7,FALSE),"")</f>
        <v/>
      </c>
      <c r="AD95" s="218" t="str">
        <f>IFERROR(VLOOKUP(TableHandbook[[#This Row],[UDC]],TableGCEDHE[],7,FALSE),"")</f>
        <v/>
      </c>
      <c r="AE95" s="228" t="str">
        <f>IFERROR(VLOOKUP(TableHandbook[[#This Row],[UDC]],TableGCEDUC[],7,FALSE),"")</f>
        <v/>
      </c>
      <c r="AF95" s="223" t="str">
        <f>IFERROR(VLOOKUP(TableHandbook[[#This Row],[UDC]],TableGDEDUC[],7,FALSE),"")</f>
        <v/>
      </c>
      <c r="AG95" s="223" t="str">
        <f>IFERROR(VLOOKUP(TableHandbook[[#This Row],[UDC]],TableMJRPEDUPR[],7,FALSE),"")</f>
        <v/>
      </c>
      <c r="AH95" s="223" t="str">
        <f>IFERROR(VLOOKUP(TableHandbook[[#This Row],[UDC]],TableMJRPEDUSC[],7,FALSE),"")</f>
        <v/>
      </c>
      <c r="AI95" s="225" t="str">
        <f>IFERROR(VLOOKUP(TableHandbook[[#This Row],[UDC]],TableMCEDUC[],7,FALSE),"")</f>
        <v/>
      </c>
      <c r="AJ95" s="225" t="str">
        <f>IFERROR(VLOOKUP(TableHandbook[[#This Row],[UDC]],TableSPPECULIN[],7,FALSE),"")</f>
        <v/>
      </c>
      <c r="AK95" s="225" t="str">
        <f>IFERROR(VLOOKUP(TableHandbook[[#This Row],[UDC]],TableSPPELNTCH[],7,FALSE),"")</f>
        <v/>
      </c>
      <c r="AL95" s="227" t="str">
        <f>IFERROR(VLOOKUP(TableHandbook[[#This Row],[UDC]],TableSPPESTEME[],7,FALSE),"")</f>
        <v/>
      </c>
    </row>
    <row r="96" spans="1:38" x14ac:dyDescent="0.25">
      <c r="A96" s="3" t="s">
        <v>46</v>
      </c>
      <c r="B96" s="4" t="s">
        <v>403</v>
      </c>
      <c r="C96" s="3"/>
      <c r="D96" s="3" t="s">
        <v>404</v>
      </c>
      <c r="E96" s="4" t="s">
        <v>405</v>
      </c>
      <c r="F96" s="81" t="s">
        <v>174</v>
      </c>
      <c r="G96" s="33" t="str">
        <f>IFERROR(IF(VLOOKUP(TableHandbook[[#This Row],[UDC]],TableAvailabilities[],2,FALSE)&gt;0,"Y",""),"")</f>
        <v/>
      </c>
      <c r="H96" s="82" t="str">
        <f>IFERROR(IF(VLOOKUP(TableHandbook[[#This Row],[UDC]],TableAvailabilities[],3,FALSE)&gt;0,"Y",""),"")</f>
        <v/>
      </c>
      <c r="I96" s="82" t="str">
        <f>IFERROR(IF(VLOOKUP(TableHandbook[[#This Row],[UDC]],TableAvailabilities[],4,FALSE)&gt;0,"Y",""),"")</f>
        <v/>
      </c>
      <c r="J96" s="82" t="str">
        <f>IFERROR(IF(VLOOKUP(TableHandbook[[#This Row],[UDC]],TableAvailabilities[],5,FALSE)&gt;0,"Y",""),"")</f>
        <v/>
      </c>
      <c r="K96" s="82" t="str">
        <f>IFERROR(IF(VLOOKUP(TableHandbook[[#This Row],[UDC]],TableAvailabilities[],6,FALSE)&gt;0,"Y",""),"")</f>
        <v/>
      </c>
      <c r="L96" s="82" t="str">
        <f>IFERROR(IF(VLOOKUP(TableHandbook[[#This Row],[UDC]],TableAvailabilities[],7,FALSE)&gt;0,"Y",""),"")</f>
        <v/>
      </c>
      <c r="M96" s="83" t="str">
        <f>IFERROR(IF(VLOOKUP(TableHandbook[[#This Row],[UDC]],TableAvailabilities[],8,FALSE)&gt;0,"Y",""),"")</f>
        <v/>
      </c>
      <c r="N96" s="82" t="str">
        <f>IFERROR(IF(VLOOKUP(TableHandbook[[#This Row],[UDC]],TableAvailabilities[],9,FALSE)&gt;0,"Y",""),"")</f>
        <v/>
      </c>
      <c r="O96" s="201"/>
      <c r="P96" s="202" t="str">
        <f>IFERROR(VLOOKUP(TableHandbook[[#This Row],[UDC]],TableMCTEACH[],7,FALSE),"")</f>
        <v/>
      </c>
      <c r="Q96" s="202" t="str">
        <f>IFERROR(VLOOKUP(TableHandbook[[#This Row],[UDC]],TableMJRPTCHEC[],7,FALSE),"")</f>
        <v/>
      </c>
      <c r="R96" s="225" t="str">
        <f>IFERROR(VLOOKUP(TableHandbook[[#This Row],[UDC]],TableMJRPTCHPR[],7,FALSE),"")</f>
        <v/>
      </c>
      <c r="S96" s="225" t="str">
        <f>IFERROR(VLOOKUP(TableHandbook[[#This Row],[UDC]],TableMJRPTCHSC[],7,FALSE),"")</f>
        <v>Option</v>
      </c>
      <c r="T96" s="225" t="str">
        <f>IFERROR(VLOOKUP(TableHandbook[[#This Row],[UDC]],TableSTRPSCART[],7,FALSE),"")</f>
        <v/>
      </c>
      <c r="U96" s="225" t="str">
        <f>IFERROR(VLOOKUP(TableHandbook[[#This Row],[UDC]],TableSTRPSCENG[],7,FALSE),"")</f>
        <v/>
      </c>
      <c r="V96" s="225" t="str">
        <f>IFERROR(VLOOKUP(TableHandbook[[#This Row],[UDC]],TableSTRPSCHLP[],7,FALSE),"")</f>
        <v/>
      </c>
      <c r="W96" s="225" t="str">
        <f>IFERROR(VLOOKUP(TableHandbook[[#This Row],[UDC]],TableSTRPSCHUS[],7,FALSE),"")</f>
        <v/>
      </c>
      <c r="X96" s="225" t="str">
        <f>IFERROR(VLOOKUP(TableHandbook[[#This Row],[UDC]],TableSTRPSCMAT[],7,FALSE),"")</f>
        <v/>
      </c>
      <c r="Y96" s="225" t="str">
        <f>IFERROR(VLOOKUP(TableHandbook[[#This Row],[UDC]],TableSTRPSCSCI[],7,FALSE),"")</f>
        <v/>
      </c>
      <c r="Z96" s="227" t="str">
        <f>IFERROR(VLOOKUP(TableHandbook[[#This Row],[UDC]],TableSTRPSCFON[],7,FALSE),"")</f>
        <v/>
      </c>
      <c r="AA96" s="228" t="str">
        <f>IFERROR(VLOOKUP(TableHandbook[[#This Row],[UDC]],TableGCTESOL[],7,FALSE),"")</f>
        <v/>
      </c>
      <c r="AB96" s="225" t="str">
        <f>IFERROR(VLOOKUP(TableHandbook[[#This Row],[UDC]],TableMCTESOL[],7,FALSE),"")</f>
        <v/>
      </c>
      <c r="AC96" s="227" t="str">
        <f>IFERROR(VLOOKUP(TableHandbook[[#This Row],[UDC]],TableMCAPLING[],7,FALSE),"")</f>
        <v/>
      </c>
      <c r="AD96" s="218" t="str">
        <f>IFERROR(VLOOKUP(TableHandbook[[#This Row],[UDC]],TableGCEDHE[],7,FALSE),"")</f>
        <v/>
      </c>
      <c r="AE96" s="228" t="str">
        <f>IFERROR(VLOOKUP(TableHandbook[[#This Row],[UDC]],TableGCEDUC[],7,FALSE),"")</f>
        <v/>
      </c>
      <c r="AF96" s="223" t="str">
        <f>IFERROR(VLOOKUP(TableHandbook[[#This Row],[UDC]],TableGDEDUC[],7,FALSE),"")</f>
        <v/>
      </c>
      <c r="AG96" s="223" t="str">
        <f>IFERROR(VLOOKUP(TableHandbook[[#This Row],[UDC]],TableMJRPEDUPR[],7,FALSE),"")</f>
        <v/>
      </c>
      <c r="AH96" s="223" t="str">
        <f>IFERROR(VLOOKUP(TableHandbook[[#This Row],[UDC]],TableMJRPEDUSC[],7,FALSE),"")</f>
        <v>Option</v>
      </c>
      <c r="AI96" s="225" t="str">
        <f>IFERROR(VLOOKUP(TableHandbook[[#This Row],[UDC]],TableMCEDUC[],7,FALSE),"")</f>
        <v/>
      </c>
      <c r="AJ96" s="225" t="str">
        <f>IFERROR(VLOOKUP(TableHandbook[[#This Row],[UDC]],TableSPPECULIN[],7,FALSE),"")</f>
        <v/>
      </c>
      <c r="AK96" s="225" t="str">
        <f>IFERROR(VLOOKUP(TableHandbook[[#This Row],[UDC]],TableSPPELNTCH[],7,FALSE),"")</f>
        <v/>
      </c>
      <c r="AL96" s="227" t="str">
        <f>IFERROR(VLOOKUP(TableHandbook[[#This Row],[UDC]],TableSPPESTEME[],7,FALSE),"")</f>
        <v/>
      </c>
    </row>
    <row r="97" spans="1:38" x14ac:dyDescent="0.25">
      <c r="A97" s="3" t="s">
        <v>252</v>
      </c>
      <c r="B97" s="4" t="s">
        <v>403</v>
      </c>
      <c r="C97" s="3"/>
      <c r="D97" s="3" t="s">
        <v>406</v>
      </c>
      <c r="E97" s="4" t="s">
        <v>405</v>
      </c>
      <c r="F97" s="81" t="s">
        <v>174</v>
      </c>
      <c r="G97" s="33" t="str">
        <f>IFERROR(IF(VLOOKUP(TableHandbook[[#This Row],[UDC]],TableAvailabilities[],2,FALSE)&gt;0,"Y",""),"")</f>
        <v/>
      </c>
      <c r="H97" s="82" t="str">
        <f>IFERROR(IF(VLOOKUP(TableHandbook[[#This Row],[UDC]],TableAvailabilities[],3,FALSE)&gt;0,"Y",""),"")</f>
        <v/>
      </c>
      <c r="I97" s="82" t="str">
        <f>IFERROR(IF(VLOOKUP(TableHandbook[[#This Row],[UDC]],TableAvailabilities[],4,FALSE)&gt;0,"Y",""),"")</f>
        <v/>
      </c>
      <c r="J97" s="82" t="str">
        <f>IFERROR(IF(VLOOKUP(TableHandbook[[#This Row],[UDC]],TableAvailabilities[],5,FALSE)&gt;0,"Y",""),"")</f>
        <v/>
      </c>
      <c r="K97" s="82" t="str">
        <f>IFERROR(IF(VLOOKUP(TableHandbook[[#This Row],[UDC]],TableAvailabilities[],6,FALSE)&gt;0,"Y",""),"")</f>
        <v/>
      </c>
      <c r="L97" s="82" t="str">
        <f>IFERROR(IF(VLOOKUP(TableHandbook[[#This Row],[UDC]],TableAvailabilities[],7,FALSE)&gt;0,"Y",""),"")</f>
        <v/>
      </c>
      <c r="M97" s="83" t="str">
        <f>IFERROR(IF(VLOOKUP(TableHandbook[[#This Row],[UDC]],TableAvailabilities[],8,FALSE)&gt;0,"Y",""),"")</f>
        <v/>
      </c>
      <c r="N97" s="82" t="str">
        <f>IFERROR(IF(VLOOKUP(TableHandbook[[#This Row],[UDC]],TableAvailabilities[],9,FALSE)&gt;0,"Y",""),"")</f>
        <v/>
      </c>
      <c r="O97" s="201"/>
      <c r="P97" s="202" t="str">
        <f>IFERROR(VLOOKUP(TableHandbook[[#This Row],[UDC]],TableMCTEACH[],7,FALSE),"")</f>
        <v/>
      </c>
      <c r="Q97" s="202" t="str">
        <f>IFERROR(VLOOKUP(TableHandbook[[#This Row],[UDC]],TableMJRPTCHEC[],7,FALSE),"")</f>
        <v/>
      </c>
      <c r="R97" s="225" t="str">
        <f>IFERROR(VLOOKUP(TableHandbook[[#This Row],[UDC]],TableMJRPTCHPR[],7,FALSE),"")</f>
        <v/>
      </c>
      <c r="S97" s="225" t="str">
        <f>IFERROR(VLOOKUP(TableHandbook[[#This Row],[UDC]],TableMJRPTCHSC[],7,FALSE),"")</f>
        <v>Option</v>
      </c>
      <c r="T97" s="225" t="str">
        <f>IFERROR(VLOOKUP(TableHandbook[[#This Row],[UDC]],TableSTRPSCART[],7,FALSE),"")</f>
        <v/>
      </c>
      <c r="U97" s="225" t="str">
        <f>IFERROR(VLOOKUP(TableHandbook[[#This Row],[UDC]],TableSTRPSCENG[],7,FALSE),"")</f>
        <v/>
      </c>
      <c r="V97" s="225" t="str">
        <f>IFERROR(VLOOKUP(TableHandbook[[#This Row],[UDC]],TableSTRPSCHLP[],7,FALSE),"")</f>
        <v/>
      </c>
      <c r="W97" s="225" t="str">
        <f>IFERROR(VLOOKUP(TableHandbook[[#This Row],[UDC]],TableSTRPSCHUS[],7,FALSE),"")</f>
        <v/>
      </c>
      <c r="X97" s="225" t="str">
        <f>IFERROR(VLOOKUP(TableHandbook[[#This Row],[UDC]],TableSTRPSCMAT[],7,FALSE),"")</f>
        <v/>
      </c>
      <c r="Y97" s="225" t="str">
        <f>IFERROR(VLOOKUP(TableHandbook[[#This Row],[UDC]],TableSTRPSCSCI[],7,FALSE),"")</f>
        <v/>
      </c>
      <c r="Z97" s="227" t="str">
        <f>IFERROR(VLOOKUP(TableHandbook[[#This Row],[UDC]],TableSTRPSCFON[],7,FALSE),"")</f>
        <v/>
      </c>
      <c r="AA97" s="228" t="str">
        <f>IFERROR(VLOOKUP(TableHandbook[[#This Row],[UDC]],TableGCTESOL[],7,FALSE),"")</f>
        <v/>
      </c>
      <c r="AB97" s="225" t="str">
        <f>IFERROR(VLOOKUP(TableHandbook[[#This Row],[UDC]],TableMCTESOL[],7,FALSE),"")</f>
        <v/>
      </c>
      <c r="AC97" s="227" t="str">
        <f>IFERROR(VLOOKUP(TableHandbook[[#This Row],[UDC]],TableMCAPLING[],7,FALSE),"")</f>
        <v/>
      </c>
      <c r="AD97" s="218" t="str">
        <f>IFERROR(VLOOKUP(TableHandbook[[#This Row],[UDC]],TableGCEDHE[],7,FALSE),"")</f>
        <v/>
      </c>
      <c r="AE97" s="228" t="str">
        <f>IFERROR(VLOOKUP(TableHandbook[[#This Row],[UDC]],TableGCEDUC[],7,FALSE),"")</f>
        <v/>
      </c>
      <c r="AF97" s="223" t="str">
        <f>IFERROR(VLOOKUP(TableHandbook[[#This Row],[UDC]],TableGDEDUC[],7,FALSE),"")</f>
        <v/>
      </c>
      <c r="AG97" s="223" t="str">
        <f>IFERROR(VLOOKUP(TableHandbook[[#This Row],[UDC]],TableMJRPEDUPR[],7,FALSE),"")</f>
        <v/>
      </c>
      <c r="AH97" s="223" t="str">
        <f>IFERROR(VLOOKUP(TableHandbook[[#This Row],[UDC]],TableMJRPEDUSC[],7,FALSE),"")</f>
        <v>Option</v>
      </c>
      <c r="AI97" s="225" t="str">
        <f>IFERROR(VLOOKUP(TableHandbook[[#This Row],[UDC]],TableMCEDUC[],7,FALSE),"")</f>
        <v/>
      </c>
      <c r="AJ97" s="225" t="str">
        <f>IFERROR(VLOOKUP(TableHandbook[[#This Row],[UDC]],TableSPPECULIN[],7,FALSE),"")</f>
        <v/>
      </c>
      <c r="AK97" s="225" t="str">
        <f>IFERROR(VLOOKUP(TableHandbook[[#This Row],[UDC]],TableSPPELNTCH[],7,FALSE),"")</f>
        <v/>
      </c>
      <c r="AL97" s="227" t="str">
        <f>IFERROR(VLOOKUP(TableHandbook[[#This Row],[UDC]],TableSPPESTEME[],7,FALSE),"")</f>
        <v/>
      </c>
    </row>
    <row r="98" spans="1:38" x14ac:dyDescent="0.25">
      <c r="A98" s="3" t="s">
        <v>250</v>
      </c>
      <c r="B98" s="4" t="s">
        <v>403</v>
      </c>
      <c r="C98" s="3"/>
      <c r="D98" s="3" t="s">
        <v>407</v>
      </c>
      <c r="E98" s="4" t="s">
        <v>405</v>
      </c>
      <c r="F98" s="81" t="s">
        <v>174</v>
      </c>
      <c r="G98" s="33" t="str">
        <f>IFERROR(IF(VLOOKUP(TableHandbook[[#This Row],[UDC]],TableAvailabilities[],2,FALSE)&gt;0,"Y",""),"")</f>
        <v/>
      </c>
      <c r="H98" s="82" t="str">
        <f>IFERROR(IF(VLOOKUP(TableHandbook[[#This Row],[UDC]],TableAvailabilities[],3,FALSE)&gt;0,"Y",""),"")</f>
        <v/>
      </c>
      <c r="I98" s="82" t="str">
        <f>IFERROR(IF(VLOOKUP(TableHandbook[[#This Row],[UDC]],TableAvailabilities[],4,FALSE)&gt;0,"Y",""),"")</f>
        <v/>
      </c>
      <c r="J98" s="82" t="str">
        <f>IFERROR(IF(VLOOKUP(TableHandbook[[#This Row],[UDC]],TableAvailabilities[],5,FALSE)&gt;0,"Y",""),"")</f>
        <v/>
      </c>
      <c r="K98" s="82" t="str">
        <f>IFERROR(IF(VLOOKUP(TableHandbook[[#This Row],[UDC]],TableAvailabilities[],6,FALSE)&gt;0,"Y",""),"")</f>
        <v/>
      </c>
      <c r="L98" s="82" t="str">
        <f>IFERROR(IF(VLOOKUP(TableHandbook[[#This Row],[UDC]],TableAvailabilities[],7,FALSE)&gt;0,"Y",""),"")</f>
        <v/>
      </c>
      <c r="M98" s="83" t="str">
        <f>IFERROR(IF(VLOOKUP(TableHandbook[[#This Row],[UDC]],TableAvailabilities[],8,FALSE)&gt;0,"Y",""),"")</f>
        <v/>
      </c>
      <c r="N98" s="82" t="str">
        <f>IFERROR(IF(VLOOKUP(TableHandbook[[#This Row],[UDC]],TableAvailabilities[],9,FALSE)&gt;0,"Y",""),"")</f>
        <v/>
      </c>
      <c r="O98" s="201"/>
      <c r="P98" s="202" t="str">
        <f>IFERROR(VLOOKUP(TableHandbook[[#This Row],[UDC]],TableMCTEACH[],7,FALSE),"")</f>
        <v/>
      </c>
      <c r="Q98" s="202" t="str">
        <f>IFERROR(VLOOKUP(TableHandbook[[#This Row],[UDC]],TableMJRPTCHEC[],7,FALSE),"")</f>
        <v/>
      </c>
      <c r="R98" s="225" t="str">
        <f>IFERROR(VLOOKUP(TableHandbook[[#This Row],[UDC]],TableMJRPTCHPR[],7,FALSE),"")</f>
        <v/>
      </c>
      <c r="S98" s="225" t="str">
        <f>IFERROR(VLOOKUP(TableHandbook[[#This Row],[UDC]],TableMJRPTCHSC[],7,FALSE),"")</f>
        <v>Option</v>
      </c>
      <c r="T98" s="225" t="str">
        <f>IFERROR(VLOOKUP(TableHandbook[[#This Row],[UDC]],TableSTRPSCART[],7,FALSE),"")</f>
        <v/>
      </c>
      <c r="U98" s="225" t="str">
        <f>IFERROR(VLOOKUP(TableHandbook[[#This Row],[UDC]],TableSTRPSCENG[],7,FALSE),"")</f>
        <v/>
      </c>
      <c r="V98" s="225" t="str">
        <f>IFERROR(VLOOKUP(TableHandbook[[#This Row],[UDC]],TableSTRPSCHLP[],7,FALSE),"")</f>
        <v/>
      </c>
      <c r="W98" s="225" t="str">
        <f>IFERROR(VLOOKUP(TableHandbook[[#This Row],[UDC]],TableSTRPSCHUS[],7,FALSE),"")</f>
        <v/>
      </c>
      <c r="X98" s="225" t="str">
        <f>IFERROR(VLOOKUP(TableHandbook[[#This Row],[UDC]],TableSTRPSCMAT[],7,FALSE),"")</f>
        <v/>
      </c>
      <c r="Y98" s="225" t="str">
        <f>IFERROR(VLOOKUP(TableHandbook[[#This Row],[UDC]],TableSTRPSCSCI[],7,FALSE),"")</f>
        <v/>
      </c>
      <c r="Z98" s="227" t="str">
        <f>IFERROR(VLOOKUP(TableHandbook[[#This Row],[UDC]],TableSTRPSCFON[],7,FALSE),"")</f>
        <v/>
      </c>
      <c r="AA98" s="228" t="str">
        <f>IFERROR(VLOOKUP(TableHandbook[[#This Row],[UDC]],TableGCTESOL[],7,FALSE),"")</f>
        <v/>
      </c>
      <c r="AB98" s="225" t="str">
        <f>IFERROR(VLOOKUP(TableHandbook[[#This Row],[UDC]],TableMCTESOL[],7,FALSE),"")</f>
        <v/>
      </c>
      <c r="AC98" s="227" t="str">
        <f>IFERROR(VLOOKUP(TableHandbook[[#This Row],[UDC]],TableMCAPLING[],7,FALSE),"")</f>
        <v/>
      </c>
      <c r="AD98" s="218" t="str">
        <f>IFERROR(VLOOKUP(TableHandbook[[#This Row],[UDC]],TableGCEDHE[],7,FALSE),"")</f>
        <v/>
      </c>
      <c r="AE98" s="228" t="str">
        <f>IFERROR(VLOOKUP(TableHandbook[[#This Row],[UDC]],TableGCEDUC[],7,FALSE),"")</f>
        <v/>
      </c>
      <c r="AF98" s="223" t="str">
        <f>IFERROR(VLOOKUP(TableHandbook[[#This Row],[UDC]],TableGDEDUC[],7,FALSE),"")</f>
        <v/>
      </c>
      <c r="AG98" s="223" t="str">
        <f>IFERROR(VLOOKUP(TableHandbook[[#This Row],[UDC]],TableMJRPEDUPR[],7,FALSE),"")</f>
        <v/>
      </c>
      <c r="AH98" s="223" t="str">
        <f>IFERROR(VLOOKUP(TableHandbook[[#This Row],[UDC]],TableMJRPEDUSC[],7,FALSE),"")</f>
        <v/>
      </c>
      <c r="AI98" s="225" t="str">
        <f>IFERROR(VLOOKUP(TableHandbook[[#This Row],[UDC]],TableMCEDUC[],7,FALSE),"")</f>
        <v/>
      </c>
      <c r="AJ98" s="225" t="str">
        <f>IFERROR(VLOOKUP(TableHandbook[[#This Row],[UDC]],TableSPPECULIN[],7,FALSE),"")</f>
        <v/>
      </c>
      <c r="AK98" s="225" t="str">
        <f>IFERROR(VLOOKUP(TableHandbook[[#This Row],[UDC]],TableSPPELNTCH[],7,FALSE),"")</f>
        <v/>
      </c>
      <c r="AL98" s="227" t="str">
        <f>IFERROR(VLOOKUP(TableHandbook[[#This Row],[UDC]],TableSPPESTEME[],7,FALSE),"")</f>
        <v/>
      </c>
    </row>
    <row r="99" spans="1:38" x14ac:dyDescent="0.25">
      <c r="A99" s="3" t="s">
        <v>254</v>
      </c>
      <c r="B99" s="4" t="s">
        <v>403</v>
      </c>
      <c r="C99" s="3"/>
      <c r="D99" s="3" t="s">
        <v>408</v>
      </c>
      <c r="E99" s="4" t="s">
        <v>405</v>
      </c>
      <c r="F99" s="81" t="s">
        <v>174</v>
      </c>
      <c r="G99" s="33" t="str">
        <f>IFERROR(IF(VLOOKUP(TableHandbook[[#This Row],[UDC]],TableAvailabilities[],2,FALSE)&gt;0,"Y",""),"")</f>
        <v/>
      </c>
      <c r="H99" s="82" t="str">
        <f>IFERROR(IF(VLOOKUP(TableHandbook[[#This Row],[UDC]],TableAvailabilities[],3,FALSE)&gt;0,"Y",""),"")</f>
        <v/>
      </c>
      <c r="I99" s="82" t="str">
        <f>IFERROR(IF(VLOOKUP(TableHandbook[[#This Row],[UDC]],TableAvailabilities[],4,FALSE)&gt;0,"Y",""),"")</f>
        <v/>
      </c>
      <c r="J99" s="82" t="str">
        <f>IFERROR(IF(VLOOKUP(TableHandbook[[#This Row],[UDC]],TableAvailabilities[],5,FALSE)&gt;0,"Y",""),"")</f>
        <v/>
      </c>
      <c r="K99" s="82" t="str">
        <f>IFERROR(IF(VLOOKUP(TableHandbook[[#This Row],[UDC]],TableAvailabilities[],6,FALSE)&gt;0,"Y",""),"")</f>
        <v/>
      </c>
      <c r="L99" s="82" t="str">
        <f>IFERROR(IF(VLOOKUP(TableHandbook[[#This Row],[UDC]],TableAvailabilities[],7,FALSE)&gt;0,"Y",""),"")</f>
        <v/>
      </c>
      <c r="M99" s="83" t="str">
        <f>IFERROR(IF(VLOOKUP(TableHandbook[[#This Row],[UDC]],TableAvailabilities[],8,FALSE)&gt;0,"Y",""),"")</f>
        <v/>
      </c>
      <c r="N99" s="82" t="str">
        <f>IFERROR(IF(VLOOKUP(TableHandbook[[#This Row],[UDC]],TableAvailabilities[],9,FALSE)&gt;0,"Y",""),"")</f>
        <v/>
      </c>
      <c r="O99" s="201"/>
      <c r="P99" s="202" t="str">
        <f>IFERROR(VLOOKUP(TableHandbook[[#This Row],[UDC]],TableMCTEACH[],7,FALSE),"")</f>
        <v/>
      </c>
      <c r="Q99" s="202" t="str">
        <f>IFERROR(VLOOKUP(TableHandbook[[#This Row],[UDC]],TableMJRPTCHEC[],7,FALSE),"")</f>
        <v/>
      </c>
      <c r="R99" s="225" t="str">
        <f>IFERROR(VLOOKUP(TableHandbook[[#This Row],[UDC]],TableMJRPTCHPR[],7,FALSE),"")</f>
        <v/>
      </c>
      <c r="S99" s="225" t="str">
        <f>IFERROR(VLOOKUP(TableHandbook[[#This Row],[UDC]],TableMJRPTCHSC[],7,FALSE),"")</f>
        <v>Option</v>
      </c>
      <c r="T99" s="225" t="str">
        <f>IFERROR(VLOOKUP(TableHandbook[[#This Row],[UDC]],TableSTRPSCART[],7,FALSE),"")</f>
        <v/>
      </c>
      <c r="U99" s="225" t="str">
        <f>IFERROR(VLOOKUP(TableHandbook[[#This Row],[UDC]],TableSTRPSCENG[],7,FALSE),"")</f>
        <v/>
      </c>
      <c r="V99" s="225" t="str">
        <f>IFERROR(VLOOKUP(TableHandbook[[#This Row],[UDC]],TableSTRPSCHLP[],7,FALSE),"")</f>
        <v/>
      </c>
      <c r="W99" s="225" t="str">
        <f>IFERROR(VLOOKUP(TableHandbook[[#This Row],[UDC]],TableSTRPSCHUS[],7,FALSE),"")</f>
        <v/>
      </c>
      <c r="X99" s="225" t="str">
        <f>IFERROR(VLOOKUP(TableHandbook[[#This Row],[UDC]],TableSTRPSCMAT[],7,FALSE),"")</f>
        <v/>
      </c>
      <c r="Y99" s="225" t="str">
        <f>IFERROR(VLOOKUP(TableHandbook[[#This Row],[UDC]],TableSTRPSCSCI[],7,FALSE),"")</f>
        <v/>
      </c>
      <c r="Z99" s="227" t="str">
        <f>IFERROR(VLOOKUP(TableHandbook[[#This Row],[UDC]],TableSTRPSCFON[],7,FALSE),"")</f>
        <v/>
      </c>
      <c r="AA99" s="228" t="str">
        <f>IFERROR(VLOOKUP(TableHandbook[[#This Row],[UDC]],TableGCTESOL[],7,FALSE),"")</f>
        <v/>
      </c>
      <c r="AB99" s="225" t="str">
        <f>IFERROR(VLOOKUP(TableHandbook[[#This Row],[UDC]],TableMCTESOL[],7,FALSE),"")</f>
        <v/>
      </c>
      <c r="AC99" s="227" t="str">
        <f>IFERROR(VLOOKUP(TableHandbook[[#This Row],[UDC]],TableMCAPLING[],7,FALSE),"")</f>
        <v/>
      </c>
      <c r="AD99" s="218" t="str">
        <f>IFERROR(VLOOKUP(TableHandbook[[#This Row],[UDC]],TableGCEDHE[],7,FALSE),"")</f>
        <v/>
      </c>
      <c r="AE99" s="228" t="str">
        <f>IFERROR(VLOOKUP(TableHandbook[[#This Row],[UDC]],TableGCEDUC[],7,FALSE),"")</f>
        <v/>
      </c>
      <c r="AF99" s="223" t="str">
        <f>IFERROR(VLOOKUP(TableHandbook[[#This Row],[UDC]],TableGDEDUC[],7,FALSE),"")</f>
        <v/>
      </c>
      <c r="AG99" s="223" t="str">
        <f>IFERROR(VLOOKUP(TableHandbook[[#This Row],[UDC]],TableMJRPEDUPR[],7,FALSE),"")</f>
        <v/>
      </c>
      <c r="AH99" s="223" t="str">
        <f>IFERROR(VLOOKUP(TableHandbook[[#This Row],[UDC]],TableMJRPEDUSC[],7,FALSE),"")</f>
        <v>Option</v>
      </c>
      <c r="AI99" s="225" t="str">
        <f>IFERROR(VLOOKUP(TableHandbook[[#This Row],[UDC]],TableMCEDUC[],7,FALSE),"")</f>
        <v/>
      </c>
      <c r="AJ99" s="225" t="str">
        <f>IFERROR(VLOOKUP(TableHandbook[[#This Row],[UDC]],TableSPPECULIN[],7,FALSE),"")</f>
        <v/>
      </c>
      <c r="AK99" s="225" t="str">
        <f>IFERROR(VLOOKUP(TableHandbook[[#This Row],[UDC]],TableSPPELNTCH[],7,FALSE),"")</f>
        <v/>
      </c>
      <c r="AL99" s="227" t="str">
        <f>IFERROR(VLOOKUP(TableHandbook[[#This Row],[UDC]],TableSPPESTEME[],7,FALSE),"")</f>
        <v/>
      </c>
    </row>
    <row r="100" spans="1:38" x14ac:dyDescent="0.25">
      <c r="A100" s="3" t="s">
        <v>257</v>
      </c>
      <c r="B100" s="4" t="s">
        <v>403</v>
      </c>
      <c r="C100" s="3"/>
      <c r="D100" s="3" t="s">
        <v>409</v>
      </c>
      <c r="E100" s="4" t="s">
        <v>405</v>
      </c>
      <c r="F100" s="81" t="s">
        <v>174</v>
      </c>
      <c r="G100" s="33" t="str">
        <f>IFERROR(IF(VLOOKUP(TableHandbook[[#This Row],[UDC]],TableAvailabilities[],2,FALSE)&gt;0,"Y",""),"")</f>
        <v/>
      </c>
      <c r="H100" s="82" t="str">
        <f>IFERROR(IF(VLOOKUP(TableHandbook[[#This Row],[UDC]],TableAvailabilities[],3,FALSE)&gt;0,"Y",""),"")</f>
        <v/>
      </c>
      <c r="I100" s="82" t="str">
        <f>IFERROR(IF(VLOOKUP(TableHandbook[[#This Row],[UDC]],TableAvailabilities[],4,FALSE)&gt;0,"Y",""),"")</f>
        <v/>
      </c>
      <c r="J100" s="82" t="str">
        <f>IFERROR(IF(VLOOKUP(TableHandbook[[#This Row],[UDC]],TableAvailabilities[],5,FALSE)&gt;0,"Y",""),"")</f>
        <v/>
      </c>
      <c r="K100" s="82" t="str">
        <f>IFERROR(IF(VLOOKUP(TableHandbook[[#This Row],[UDC]],TableAvailabilities[],6,FALSE)&gt;0,"Y",""),"")</f>
        <v/>
      </c>
      <c r="L100" s="82" t="str">
        <f>IFERROR(IF(VLOOKUP(TableHandbook[[#This Row],[UDC]],TableAvailabilities[],7,FALSE)&gt;0,"Y",""),"")</f>
        <v/>
      </c>
      <c r="M100" s="83" t="str">
        <f>IFERROR(IF(VLOOKUP(TableHandbook[[#This Row],[UDC]],TableAvailabilities[],8,FALSE)&gt;0,"Y",""),"")</f>
        <v/>
      </c>
      <c r="N100" s="82" t="str">
        <f>IFERROR(IF(VLOOKUP(TableHandbook[[#This Row],[UDC]],TableAvailabilities[],9,FALSE)&gt;0,"Y",""),"")</f>
        <v/>
      </c>
      <c r="O100" s="201"/>
      <c r="P100" s="202" t="str">
        <f>IFERROR(VLOOKUP(TableHandbook[[#This Row],[UDC]],TableMCTEACH[],7,FALSE),"")</f>
        <v/>
      </c>
      <c r="Q100" s="202" t="str">
        <f>IFERROR(VLOOKUP(TableHandbook[[#This Row],[UDC]],TableMJRPTCHEC[],7,FALSE),"")</f>
        <v/>
      </c>
      <c r="R100" s="225" t="str">
        <f>IFERROR(VLOOKUP(TableHandbook[[#This Row],[UDC]],TableMJRPTCHPR[],7,FALSE),"")</f>
        <v/>
      </c>
      <c r="S100" s="225" t="str">
        <f>IFERROR(VLOOKUP(TableHandbook[[#This Row],[UDC]],TableMJRPTCHSC[],7,FALSE),"")</f>
        <v>Option</v>
      </c>
      <c r="T100" s="225" t="str">
        <f>IFERROR(VLOOKUP(TableHandbook[[#This Row],[UDC]],TableSTRPSCART[],7,FALSE),"")</f>
        <v/>
      </c>
      <c r="U100" s="225" t="str">
        <f>IFERROR(VLOOKUP(TableHandbook[[#This Row],[UDC]],TableSTRPSCENG[],7,FALSE),"")</f>
        <v/>
      </c>
      <c r="V100" s="225" t="str">
        <f>IFERROR(VLOOKUP(TableHandbook[[#This Row],[UDC]],TableSTRPSCHLP[],7,FALSE),"")</f>
        <v/>
      </c>
      <c r="W100" s="225" t="str">
        <f>IFERROR(VLOOKUP(TableHandbook[[#This Row],[UDC]],TableSTRPSCHUS[],7,FALSE),"")</f>
        <v/>
      </c>
      <c r="X100" s="225" t="str">
        <f>IFERROR(VLOOKUP(TableHandbook[[#This Row],[UDC]],TableSTRPSCMAT[],7,FALSE),"")</f>
        <v/>
      </c>
      <c r="Y100" s="225" t="str">
        <f>IFERROR(VLOOKUP(TableHandbook[[#This Row],[UDC]],TableSTRPSCSCI[],7,FALSE),"")</f>
        <v/>
      </c>
      <c r="Z100" s="227" t="str">
        <f>IFERROR(VLOOKUP(TableHandbook[[#This Row],[UDC]],TableSTRPSCFON[],7,FALSE),"")</f>
        <v/>
      </c>
      <c r="AA100" s="228" t="str">
        <f>IFERROR(VLOOKUP(TableHandbook[[#This Row],[UDC]],TableGCTESOL[],7,FALSE),"")</f>
        <v/>
      </c>
      <c r="AB100" s="225" t="str">
        <f>IFERROR(VLOOKUP(TableHandbook[[#This Row],[UDC]],TableMCTESOL[],7,FALSE),"")</f>
        <v/>
      </c>
      <c r="AC100" s="227" t="str">
        <f>IFERROR(VLOOKUP(TableHandbook[[#This Row],[UDC]],TableMCAPLING[],7,FALSE),"")</f>
        <v/>
      </c>
      <c r="AD100" s="218" t="str">
        <f>IFERROR(VLOOKUP(TableHandbook[[#This Row],[UDC]],TableGCEDHE[],7,FALSE),"")</f>
        <v/>
      </c>
      <c r="AE100" s="228" t="str">
        <f>IFERROR(VLOOKUP(TableHandbook[[#This Row],[UDC]],TableGCEDUC[],7,FALSE),"")</f>
        <v/>
      </c>
      <c r="AF100" s="223" t="str">
        <f>IFERROR(VLOOKUP(TableHandbook[[#This Row],[UDC]],TableGDEDUC[],7,FALSE),"")</f>
        <v/>
      </c>
      <c r="AG100" s="223" t="str">
        <f>IFERROR(VLOOKUP(TableHandbook[[#This Row],[UDC]],TableMJRPEDUPR[],7,FALSE),"")</f>
        <v/>
      </c>
      <c r="AH100" s="223" t="str">
        <f>IFERROR(VLOOKUP(TableHandbook[[#This Row],[UDC]],TableMJRPEDUSC[],7,FALSE),"")</f>
        <v>Option</v>
      </c>
      <c r="AI100" s="225" t="str">
        <f>IFERROR(VLOOKUP(TableHandbook[[#This Row],[UDC]],TableMCEDUC[],7,FALSE),"")</f>
        <v/>
      </c>
      <c r="AJ100" s="225" t="str">
        <f>IFERROR(VLOOKUP(TableHandbook[[#This Row],[UDC]],TableSPPECULIN[],7,FALSE),"")</f>
        <v/>
      </c>
      <c r="AK100" s="225" t="str">
        <f>IFERROR(VLOOKUP(TableHandbook[[#This Row],[UDC]],TableSPPELNTCH[],7,FALSE),"")</f>
        <v/>
      </c>
      <c r="AL100" s="227" t="str">
        <f>IFERROR(VLOOKUP(TableHandbook[[#This Row],[UDC]],TableSPPESTEME[],7,FALSE),"")</f>
        <v/>
      </c>
    </row>
    <row r="101" spans="1:38" x14ac:dyDescent="0.25">
      <c r="A101" s="3" t="s">
        <v>259</v>
      </c>
      <c r="B101" s="4" t="s">
        <v>403</v>
      </c>
      <c r="C101" s="3"/>
      <c r="D101" s="3" t="s">
        <v>410</v>
      </c>
      <c r="E101" s="4" t="s">
        <v>405</v>
      </c>
      <c r="F101" s="81" t="s">
        <v>174</v>
      </c>
      <c r="G101" s="33" t="str">
        <f>IFERROR(IF(VLOOKUP(TableHandbook[[#This Row],[UDC]],TableAvailabilities[],2,FALSE)&gt;0,"Y",""),"")</f>
        <v/>
      </c>
      <c r="H101" s="82" t="str">
        <f>IFERROR(IF(VLOOKUP(TableHandbook[[#This Row],[UDC]],TableAvailabilities[],3,FALSE)&gt;0,"Y",""),"")</f>
        <v/>
      </c>
      <c r="I101" s="82" t="str">
        <f>IFERROR(IF(VLOOKUP(TableHandbook[[#This Row],[UDC]],TableAvailabilities[],4,FALSE)&gt;0,"Y",""),"")</f>
        <v/>
      </c>
      <c r="J101" s="82" t="str">
        <f>IFERROR(IF(VLOOKUP(TableHandbook[[#This Row],[UDC]],TableAvailabilities[],5,FALSE)&gt;0,"Y",""),"")</f>
        <v/>
      </c>
      <c r="K101" s="82" t="str">
        <f>IFERROR(IF(VLOOKUP(TableHandbook[[#This Row],[UDC]],TableAvailabilities[],6,FALSE)&gt;0,"Y",""),"")</f>
        <v/>
      </c>
      <c r="L101" s="82" t="str">
        <f>IFERROR(IF(VLOOKUP(TableHandbook[[#This Row],[UDC]],TableAvailabilities[],7,FALSE)&gt;0,"Y",""),"")</f>
        <v/>
      </c>
      <c r="M101" s="83" t="str">
        <f>IFERROR(IF(VLOOKUP(TableHandbook[[#This Row],[UDC]],TableAvailabilities[],8,FALSE)&gt;0,"Y",""),"")</f>
        <v/>
      </c>
      <c r="N101" s="82" t="str">
        <f>IFERROR(IF(VLOOKUP(TableHandbook[[#This Row],[UDC]],TableAvailabilities[],9,FALSE)&gt;0,"Y",""),"")</f>
        <v/>
      </c>
      <c r="O101" s="201"/>
      <c r="P101" s="202" t="str">
        <f>IFERROR(VLOOKUP(TableHandbook[[#This Row],[UDC]],TableMCTEACH[],7,FALSE),"")</f>
        <v/>
      </c>
      <c r="Q101" s="202" t="str">
        <f>IFERROR(VLOOKUP(TableHandbook[[#This Row],[UDC]],TableMJRPTCHEC[],7,FALSE),"")</f>
        <v/>
      </c>
      <c r="R101" s="225" t="str">
        <f>IFERROR(VLOOKUP(TableHandbook[[#This Row],[UDC]],TableMJRPTCHPR[],7,FALSE),"")</f>
        <v/>
      </c>
      <c r="S101" s="225" t="str">
        <f>IFERROR(VLOOKUP(TableHandbook[[#This Row],[UDC]],TableMJRPTCHSC[],7,FALSE),"")</f>
        <v>Option</v>
      </c>
      <c r="T101" s="225" t="str">
        <f>IFERROR(VLOOKUP(TableHandbook[[#This Row],[UDC]],TableSTRPSCART[],7,FALSE),"")</f>
        <v/>
      </c>
      <c r="U101" s="225" t="str">
        <f>IFERROR(VLOOKUP(TableHandbook[[#This Row],[UDC]],TableSTRPSCENG[],7,FALSE),"")</f>
        <v/>
      </c>
      <c r="V101" s="225" t="str">
        <f>IFERROR(VLOOKUP(TableHandbook[[#This Row],[UDC]],TableSTRPSCHLP[],7,FALSE),"")</f>
        <v/>
      </c>
      <c r="W101" s="225" t="str">
        <f>IFERROR(VLOOKUP(TableHandbook[[#This Row],[UDC]],TableSTRPSCHUS[],7,FALSE),"")</f>
        <v/>
      </c>
      <c r="X101" s="225" t="str">
        <f>IFERROR(VLOOKUP(TableHandbook[[#This Row],[UDC]],TableSTRPSCMAT[],7,FALSE),"")</f>
        <v/>
      </c>
      <c r="Y101" s="225" t="str">
        <f>IFERROR(VLOOKUP(TableHandbook[[#This Row],[UDC]],TableSTRPSCSCI[],7,FALSE),"")</f>
        <v/>
      </c>
      <c r="Z101" s="227" t="str">
        <f>IFERROR(VLOOKUP(TableHandbook[[#This Row],[UDC]],TableSTRPSCFON[],7,FALSE),"")</f>
        <v/>
      </c>
      <c r="AA101" s="228" t="str">
        <f>IFERROR(VLOOKUP(TableHandbook[[#This Row],[UDC]],TableGCTESOL[],7,FALSE),"")</f>
        <v/>
      </c>
      <c r="AB101" s="225" t="str">
        <f>IFERROR(VLOOKUP(TableHandbook[[#This Row],[UDC]],TableMCTESOL[],7,FALSE),"")</f>
        <v/>
      </c>
      <c r="AC101" s="227" t="str">
        <f>IFERROR(VLOOKUP(TableHandbook[[#This Row],[UDC]],TableMCAPLING[],7,FALSE),"")</f>
        <v/>
      </c>
      <c r="AD101" s="218" t="str">
        <f>IFERROR(VLOOKUP(TableHandbook[[#This Row],[UDC]],TableGCEDHE[],7,FALSE),"")</f>
        <v/>
      </c>
      <c r="AE101" s="228" t="str">
        <f>IFERROR(VLOOKUP(TableHandbook[[#This Row],[UDC]],TableGCEDUC[],7,FALSE),"")</f>
        <v/>
      </c>
      <c r="AF101" s="223" t="str">
        <f>IFERROR(VLOOKUP(TableHandbook[[#This Row],[UDC]],TableGDEDUC[],7,FALSE),"")</f>
        <v/>
      </c>
      <c r="AG101" s="223" t="str">
        <f>IFERROR(VLOOKUP(TableHandbook[[#This Row],[UDC]],TableMJRPEDUPR[],7,FALSE),"")</f>
        <v/>
      </c>
      <c r="AH101" s="223" t="str">
        <f>IFERROR(VLOOKUP(TableHandbook[[#This Row],[UDC]],TableMJRPEDUSC[],7,FALSE),"")</f>
        <v>Option</v>
      </c>
      <c r="AI101" s="225" t="str">
        <f>IFERROR(VLOOKUP(TableHandbook[[#This Row],[UDC]],TableMCEDUC[],7,FALSE),"")</f>
        <v/>
      </c>
      <c r="AJ101" s="225" t="str">
        <f>IFERROR(VLOOKUP(TableHandbook[[#This Row],[UDC]],TableSPPECULIN[],7,FALSE),"")</f>
        <v/>
      </c>
      <c r="AK101" s="225" t="str">
        <f>IFERROR(VLOOKUP(TableHandbook[[#This Row],[UDC]],TableSPPELNTCH[],7,FALSE),"")</f>
        <v/>
      </c>
      <c r="AL101" s="227" t="str">
        <f>IFERROR(VLOOKUP(TableHandbook[[#This Row],[UDC]],TableSPPESTEME[],7,FALSE),"")</f>
        <v/>
      </c>
    </row>
    <row r="102" spans="1:38" x14ac:dyDescent="0.25">
      <c r="A102" s="3" t="s">
        <v>261</v>
      </c>
      <c r="B102" s="4" t="s">
        <v>403</v>
      </c>
      <c r="C102" s="3"/>
      <c r="D102" s="3" t="s">
        <v>411</v>
      </c>
      <c r="E102" s="4" t="s">
        <v>405</v>
      </c>
      <c r="F102" s="81" t="s">
        <v>174</v>
      </c>
      <c r="G102" s="33" t="str">
        <f>IFERROR(IF(VLOOKUP(TableHandbook[[#This Row],[UDC]],TableAvailabilities[],2,FALSE)&gt;0,"Y",""),"")</f>
        <v/>
      </c>
      <c r="H102" s="82" t="str">
        <f>IFERROR(IF(VLOOKUP(TableHandbook[[#This Row],[UDC]],TableAvailabilities[],3,FALSE)&gt;0,"Y",""),"")</f>
        <v/>
      </c>
      <c r="I102" s="82" t="str">
        <f>IFERROR(IF(VLOOKUP(TableHandbook[[#This Row],[UDC]],TableAvailabilities[],4,FALSE)&gt;0,"Y",""),"")</f>
        <v/>
      </c>
      <c r="J102" s="82" t="str">
        <f>IFERROR(IF(VLOOKUP(TableHandbook[[#This Row],[UDC]],TableAvailabilities[],5,FALSE)&gt;0,"Y",""),"")</f>
        <v/>
      </c>
      <c r="K102" s="82" t="str">
        <f>IFERROR(IF(VLOOKUP(TableHandbook[[#This Row],[UDC]],TableAvailabilities[],6,FALSE)&gt;0,"Y",""),"")</f>
        <v/>
      </c>
      <c r="L102" s="82" t="str">
        <f>IFERROR(IF(VLOOKUP(TableHandbook[[#This Row],[UDC]],TableAvailabilities[],7,FALSE)&gt;0,"Y",""),"")</f>
        <v/>
      </c>
      <c r="M102" s="83" t="str">
        <f>IFERROR(IF(VLOOKUP(TableHandbook[[#This Row],[UDC]],TableAvailabilities[],8,FALSE)&gt;0,"Y",""),"")</f>
        <v/>
      </c>
      <c r="N102" s="82" t="str">
        <f>IFERROR(IF(VLOOKUP(TableHandbook[[#This Row],[UDC]],TableAvailabilities[],9,FALSE)&gt;0,"Y",""),"")</f>
        <v/>
      </c>
      <c r="O102" s="201"/>
      <c r="P102" s="202" t="str">
        <f>IFERROR(VLOOKUP(TableHandbook[[#This Row],[UDC]],TableMCTEACH[],7,FALSE),"")</f>
        <v/>
      </c>
      <c r="Q102" s="202" t="str">
        <f>IFERROR(VLOOKUP(TableHandbook[[#This Row],[UDC]],TableMJRPTCHEC[],7,FALSE),"")</f>
        <v/>
      </c>
      <c r="R102" s="225" t="str">
        <f>IFERROR(VLOOKUP(TableHandbook[[#This Row],[UDC]],TableMJRPTCHPR[],7,FALSE),"")</f>
        <v/>
      </c>
      <c r="S102" s="225" t="str">
        <f>IFERROR(VLOOKUP(TableHandbook[[#This Row],[UDC]],TableMJRPTCHSC[],7,FALSE),"")</f>
        <v>Option</v>
      </c>
      <c r="T102" s="225" t="str">
        <f>IFERROR(VLOOKUP(TableHandbook[[#This Row],[UDC]],TableSTRPSCART[],7,FALSE),"")</f>
        <v/>
      </c>
      <c r="U102" s="225" t="str">
        <f>IFERROR(VLOOKUP(TableHandbook[[#This Row],[UDC]],TableSTRPSCENG[],7,FALSE),"")</f>
        <v/>
      </c>
      <c r="V102" s="225" t="str">
        <f>IFERROR(VLOOKUP(TableHandbook[[#This Row],[UDC]],TableSTRPSCHLP[],7,FALSE),"")</f>
        <v/>
      </c>
      <c r="W102" s="225" t="str">
        <f>IFERROR(VLOOKUP(TableHandbook[[#This Row],[UDC]],TableSTRPSCHUS[],7,FALSE),"")</f>
        <v/>
      </c>
      <c r="X102" s="225" t="str">
        <f>IFERROR(VLOOKUP(TableHandbook[[#This Row],[UDC]],TableSTRPSCMAT[],7,FALSE),"")</f>
        <v/>
      </c>
      <c r="Y102" s="225" t="str">
        <f>IFERROR(VLOOKUP(TableHandbook[[#This Row],[UDC]],TableSTRPSCSCI[],7,FALSE),"")</f>
        <v/>
      </c>
      <c r="Z102" s="227" t="str">
        <f>IFERROR(VLOOKUP(TableHandbook[[#This Row],[UDC]],TableSTRPSCFON[],7,FALSE),"")</f>
        <v/>
      </c>
      <c r="AA102" s="228" t="str">
        <f>IFERROR(VLOOKUP(TableHandbook[[#This Row],[UDC]],TableGCTESOL[],7,FALSE),"")</f>
        <v/>
      </c>
      <c r="AB102" s="225" t="str">
        <f>IFERROR(VLOOKUP(TableHandbook[[#This Row],[UDC]],TableMCTESOL[],7,FALSE),"")</f>
        <v/>
      </c>
      <c r="AC102" s="227" t="str">
        <f>IFERROR(VLOOKUP(TableHandbook[[#This Row],[UDC]],TableMCAPLING[],7,FALSE),"")</f>
        <v/>
      </c>
      <c r="AD102" s="218" t="str">
        <f>IFERROR(VLOOKUP(TableHandbook[[#This Row],[UDC]],TableGCEDHE[],7,FALSE),"")</f>
        <v/>
      </c>
      <c r="AE102" s="228" t="str">
        <f>IFERROR(VLOOKUP(TableHandbook[[#This Row],[UDC]],TableGCEDUC[],7,FALSE),"")</f>
        <v/>
      </c>
      <c r="AF102" s="223" t="str">
        <f>IFERROR(VLOOKUP(TableHandbook[[#This Row],[UDC]],TableGDEDUC[],7,FALSE),"")</f>
        <v/>
      </c>
      <c r="AG102" s="223" t="str">
        <f>IFERROR(VLOOKUP(TableHandbook[[#This Row],[UDC]],TableMJRPEDUPR[],7,FALSE),"")</f>
        <v/>
      </c>
      <c r="AH102" s="223" t="str">
        <f>IFERROR(VLOOKUP(TableHandbook[[#This Row],[UDC]],TableMJRPEDUSC[],7,FALSE),"")</f>
        <v>Option</v>
      </c>
      <c r="AI102" s="225" t="str">
        <f>IFERROR(VLOOKUP(TableHandbook[[#This Row],[UDC]],TableMCEDUC[],7,FALSE),"")</f>
        <v/>
      </c>
      <c r="AJ102" s="225" t="str">
        <f>IFERROR(VLOOKUP(TableHandbook[[#This Row],[UDC]],TableSPPECULIN[],7,FALSE),"")</f>
        <v/>
      </c>
      <c r="AK102" s="225" t="str">
        <f>IFERROR(VLOOKUP(TableHandbook[[#This Row],[UDC]],TableSPPELNTCH[],7,FALSE),"")</f>
        <v/>
      </c>
      <c r="AL102" s="227" t="str">
        <f>IFERROR(VLOOKUP(TableHandbook[[#This Row],[UDC]],TableSPPESTEME[],7,FALSE),"")</f>
        <v/>
      </c>
    </row>
  </sheetData>
  <sortState ref="A25:D38">
    <sortCondition ref="A25"/>
  </sortState>
  <conditionalFormatting sqref="A82">
    <cfRule type="duplicateValues" dxfId="370" priority="2"/>
  </conditionalFormatting>
  <conditionalFormatting sqref="A84">
    <cfRule type="duplicateValues" dxfId="369" priority="1"/>
  </conditionalFormatting>
  <conditionalFormatting sqref="A4:A102">
    <cfRule type="duplicateValues" dxfId="368" priority="210"/>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
  <sheetViews>
    <sheetView zoomScale="70" zoomScaleNormal="70" workbookViewId="0">
      <pane ySplit="1" topLeftCell="A164" activePane="bottomLeft" state="frozen"/>
      <selection activeCell="J6" sqref="J6"/>
      <selection pane="bottomLeft" activeCell="J6" sqref="J6"/>
    </sheetView>
  </sheetViews>
  <sheetFormatPr defaultRowHeight="15.75" x14ac:dyDescent="0.25"/>
  <cols>
    <col min="1" max="1" width="13.5" customWidth="1"/>
    <col min="2" max="2" width="12.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0.625" bestFit="1" customWidth="1"/>
    <col min="15" max="15" width="11.25" bestFit="1" customWidth="1"/>
    <col min="17" max="18" width="11.5" bestFit="1" customWidth="1"/>
  </cols>
  <sheetData>
    <row r="1" spans="1:18" x14ac:dyDescent="0.25">
      <c r="A1" s="38" t="s">
        <v>412</v>
      </c>
    </row>
    <row r="2" spans="1:18" x14ac:dyDescent="0.25">
      <c r="B2"/>
      <c r="E2"/>
      <c r="F2" s="77"/>
      <c r="G2" s="78" t="s">
        <v>413</v>
      </c>
      <c r="H2" s="171">
        <v>44562</v>
      </c>
      <c r="I2" s="77"/>
      <c r="J2" s="170" t="s">
        <v>103</v>
      </c>
      <c r="K2" s="79" t="s">
        <v>91</v>
      </c>
      <c r="L2" s="77" t="s">
        <v>11</v>
      </c>
    </row>
    <row r="3" spans="1:18" x14ac:dyDescent="0.25">
      <c r="A3" t="s">
        <v>0</v>
      </c>
      <c r="B3" s="1" t="s">
        <v>73</v>
      </c>
      <c r="C3" t="s">
        <v>414</v>
      </c>
      <c r="D3" t="s">
        <v>3</v>
      </c>
      <c r="E3" s="80" t="s">
        <v>415</v>
      </c>
      <c r="F3" t="s">
        <v>416</v>
      </c>
      <c r="G3" t="s">
        <v>417</v>
      </c>
      <c r="H3" t="s">
        <v>418</v>
      </c>
      <c r="I3" t="s">
        <v>21</v>
      </c>
      <c r="J3" t="s">
        <v>419</v>
      </c>
      <c r="K3" s="1" t="s">
        <v>1</v>
      </c>
      <c r="L3" t="s">
        <v>56</v>
      </c>
      <c r="M3" t="s">
        <v>74</v>
      </c>
      <c r="N3" s="168" t="s">
        <v>420</v>
      </c>
      <c r="O3" s="168" t="s">
        <v>421</v>
      </c>
      <c r="Q3" t="s">
        <v>422</v>
      </c>
      <c r="R3" t="s">
        <v>423</v>
      </c>
    </row>
    <row r="4" spans="1:18" x14ac:dyDescent="0.25">
      <c r="A4" t="str">
        <f>TableMCTEACH[[#This Row],[Study Package Code]]</f>
        <v/>
      </c>
      <c r="B4" s="1">
        <f>TableMCTEACH[[#This Row],[Ver]]</f>
        <v>0</v>
      </c>
      <c r="D4" t="str">
        <f>TableMCTEACH[[#This Row],[Structure Line]]</f>
        <v>Majors</v>
      </c>
      <c r="E4" s="80">
        <f>TableMCTEACH[[#This Row],[Credit Points]]</f>
        <v>400</v>
      </c>
      <c r="F4">
        <v>1</v>
      </c>
      <c r="G4" t="s">
        <v>424</v>
      </c>
      <c r="H4">
        <v>1</v>
      </c>
      <c r="I4" t="s">
        <v>425</v>
      </c>
      <c r="J4" t="s">
        <v>426</v>
      </c>
      <c r="K4" s="1">
        <v>0</v>
      </c>
      <c r="L4" t="s">
        <v>427</v>
      </c>
      <c r="M4">
        <v>400</v>
      </c>
      <c r="N4" s="147"/>
      <c r="O4" s="147"/>
      <c r="Q4" t="s">
        <v>426</v>
      </c>
      <c r="R4">
        <v>0</v>
      </c>
    </row>
    <row r="5" spans="1:18" x14ac:dyDescent="0.25">
      <c r="A5" t="str">
        <f>TableMCTEACH[[#This Row],[Study Package Code]]</f>
        <v>MJRP-TCHEC</v>
      </c>
      <c r="B5" s="1">
        <f>TableMCTEACH[[#This Row],[Ver]]</f>
        <v>2</v>
      </c>
      <c r="D5" t="str">
        <f>TableMCTEACH[[#This Row],[Structure Line]]</f>
        <v>Early Childhood Education Major (MTeach)</v>
      </c>
      <c r="E5" s="80">
        <f>TableMCTEACH[[#This Row],[Credit Points]]</f>
        <v>400</v>
      </c>
      <c r="F5">
        <v>1</v>
      </c>
      <c r="G5" t="s">
        <v>424</v>
      </c>
      <c r="H5">
        <v>1</v>
      </c>
      <c r="I5" t="s">
        <v>425</v>
      </c>
      <c r="J5" t="s">
        <v>155</v>
      </c>
      <c r="K5" s="1">
        <v>2</v>
      </c>
      <c r="L5" t="s">
        <v>14</v>
      </c>
      <c r="M5">
        <v>400</v>
      </c>
      <c r="N5" s="147">
        <v>44562</v>
      </c>
      <c r="O5" s="147"/>
      <c r="Q5" t="s">
        <v>155</v>
      </c>
      <c r="R5">
        <v>2</v>
      </c>
    </row>
    <row r="6" spans="1:18" x14ac:dyDescent="0.25">
      <c r="A6" t="str">
        <f>TableMCTEACH[[#This Row],[Study Package Code]]</f>
        <v>MJRP-TCHPR</v>
      </c>
      <c r="B6" s="1">
        <f>TableMCTEACH[[#This Row],[Ver]]</f>
        <v>2</v>
      </c>
      <c r="D6" t="str">
        <f>TableMCTEACH[[#This Row],[Structure Line]]</f>
        <v>Primary Education Major (MTeach)</v>
      </c>
      <c r="E6" s="80">
        <f>TableMCTEACH[[#This Row],[Credit Points]]</f>
        <v>400</v>
      </c>
      <c r="F6">
        <v>1</v>
      </c>
      <c r="G6" t="s">
        <v>424</v>
      </c>
      <c r="H6">
        <v>1</v>
      </c>
      <c r="I6" t="s">
        <v>425</v>
      </c>
      <c r="J6" t="s">
        <v>161</v>
      </c>
      <c r="K6" s="1">
        <v>2</v>
      </c>
      <c r="L6" t="s">
        <v>160</v>
      </c>
      <c r="M6">
        <v>400</v>
      </c>
      <c r="N6" s="147">
        <v>44562</v>
      </c>
      <c r="O6" s="147"/>
      <c r="Q6" t="s">
        <v>161</v>
      </c>
      <c r="R6">
        <v>2</v>
      </c>
    </row>
    <row r="7" spans="1:18" x14ac:dyDescent="0.25">
      <c r="A7" t="str">
        <f>TableMCTEACH[[#This Row],[Study Package Code]]</f>
        <v>MJRP-TCHSC</v>
      </c>
      <c r="B7" s="1">
        <f>TableMCTEACH[[#This Row],[Ver]]</f>
        <v>2</v>
      </c>
      <c r="D7" t="str">
        <f>TableMCTEACH[[#This Row],[Structure Line]]</f>
        <v>Secondary Education Major (MTeach)</v>
      </c>
      <c r="E7" s="80">
        <f>TableMCTEACH[[#This Row],[Credit Points]]</f>
        <v>400</v>
      </c>
      <c r="F7">
        <v>1</v>
      </c>
      <c r="G7" t="s">
        <v>424</v>
      </c>
      <c r="H7">
        <v>1</v>
      </c>
      <c r="I7" t="s">
        <v>425</v>
      </c>
      <c r="J7" t="s">
        <v>168</v>
      </c>
      <c r="K7" s="1">
        <v>2</v>
      </c>
      <c r="L7" t="s">
        <v>167</v>
      </c>
      <c r="M7">
        <v>400</v>
      </c>
      <c r="N7" s="147">
        <v>44562</v>
      </c>
      <c r="O7" s="147"/>
      <c r="Q7" t="s">
        <v>168</v>
      </c>
      <c r="R7">
        <v>2</v>
      </c>
    </row>
    <row r="8" spans="1:18" x14ac:dyDescent="0.25">
      <c r="B8"/>
      <c r="E8"/>
      <c r="F8" s="77"/>
      <c r="G8" s="78" t="s">
        <v>413</v>
      </c>
      <c r="H8" s="171">
        <v>44562</v>
      </c>
      <c r="J8" s="170" t="s">
        <v>155</v>
      </c>
      <c r="K8" s="79" t="s">
        <v>91</v>
      </c>
      <c r="L8" s="77" t="s">
        <v>14</v>
      </c>
    </row>
    <row r="9" spans="1:18" x14ac:dyDescent="0.25">
      <c r="A9" t="s">
        <v>0</v>
      </c>
      <c r="B9" s="1" t="s">
        <v>73</v>
      </c>
      <c r="C9" t="s">
        <v>414</v>
      </c>
      <c r="D9" t="s">
        <v>3</v>
      </c>
      <c r="E9" s="80" t="s">
        <v>415</v>
      </c>
      <c r="F9" t="s">
        <v>416</v>
      </c>
      <c r="G9" t="s">
        <v>417</v>
      </c>
      <c r="H9" t="s">
        <v>418</v>
      </c>
      <c r="I9" t="s">
        <v>21</v>
      </c>
      <c r="J9" t="s">
        <v>419</v>
      </c>
      <c r="K9" s="1" t="s">
        <v>1</v>
      </c>
      <c r="L9" t="s">
        <v>56</v>
      </c>
      <c r="M9" t="s">
        <v>74</v>
      </c>
      <c r="N9" s="168" t="s">
        <v>420</v>
      </c>
      <c r="O9" s="168" t="s">
        <v>421</v>
      </c>
      <c r="Q9" t="s">
        <v>422</v>
      </c>
      <c r="R9" t="s">
        <v>423</v>
      </c>
    </row>
    <row r="10" spans="1:18" x14ac:dyDescent="0.25">
      <c r="A10" t="str">
        <f>TableMJRPTCHEC[[#This Row],[Study Package Code]]</f>
        <v>EDUC5011</v>
      </c>
      <c r="B10" s="1">
        <f>TableMJRPTCHEC[[#This Row],[Ver]]</f>
        <v>1</v>
      </c>
      <c r="D10" t="str">
        <f>TableMJRPTCHEC[[#This Row],[Structure Line]]</f>
        <v>Developing Positive Learning Environments</v>
      </c>
      <c r="E10" s="80">
        <f>TableMJRPTCHEC[[#This Row],[Credit Points]]</f>
        <v>25</v>
      </c>
      <c r="F10">
        <v>1</v>
      </c>
      <c r="G10" t="s">
        <v>424</v>
      </c>
      <c r="H10">
        <v>1</v>
      </c>
      <c r="I10" t="s">
        <v>425</v>
      </c>
      <c r="J10" t="s">
        <v>64</v>
      </c>
      <c r="K10" s="1">
        <v>1</v>
      </c>
      <c r="L10" t="s">
        <v>360</v>
      </c>
      <c r="M10">
        <v>25</v>
      </c>
      <c r="N10" s="147">
        <v>43101</v>
      </c>
      <c r="O10" s="147"/>
      <c r="Q10" t="s">
        <v>64</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80">
        <f>TableMJRPTCHEC[[#This Row],[Credit Points]]</f>
        <v>25</v>
      </c>
      <c r="F11">
        <v>2</v>
      </c>
      <c r="G11" t="s">
        <v>424</v>
      </c>
      <c r="H11">
        <v>1</v>
      </c>
      <c r="I11" t="s">
        <v>425</v>
      </c>
      <c r="J11" t="s">
        <v>82</v>
      </c>
      <c r="K11" s="1">
        <v>1</v>
      </c>
      <c r="L11" t="s">
        <v>311</v>
      </c>
      <c r="M11">
        <v>25</v>
      </c>
      <c r="N11" s="147">
        <v>43101</v>
      </c>
      <c r="O11" s="147"/>
      <c r="Q11" t="s">
        <v>82</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80">
        <f>TableMJRPTCHEC[[#This Row],[Credit Points]]</f>
        <v>25</v>
      </c>
      <c r="F12">
        <v>3</v>
      </c>
      <c r="G12" t="s">
        <v>424</v>
      </c>
      <c r="H12">
        <v>1</v>
      </c>
      <c r="I12" t="s">
        <v>425</v>
      </c>
      <c r="J12" t="s">
        <v>93</v>
      </c>
      <c r="K12" s="1">
        <v>2</v>
      </c>
      <c r="L12" t="s">
        <v>312</v>
      </c>
      <c r="M12">
        <v>25</v>
      </c>
      <c r="N12" s="147">
        <v>44562</v>
      </c>
      <c r="O12" s="147"/>
      <c r="Q12" t="s">
        <v>93</v>
      </c>
      <c r="R12">
        <v>2</v>
      </c>
    </row>
    <row r="13" spans="1:18" x14ac:dyDescent="0.25">
      <c r="A13" t="str">
        <f>TableMJRPTCHEC[[#This Row],[Study Package Code]]</f>
        <v>EDEC5010</v>
      </c>
      <c r="B13" s="1">
        <f>TableMJRPTCHEC[[#This Row],[Ver]]</f>
        <v>1</v>
      </c>
      <c r="D13" t="str">
        <f>TableMJRPTCHEC[[#This Row],[Structure Line]]</f>
        <v>Family and Community Contexts</v>
      </c>
      <c r="E13" s="80">
        <f>TableMJRPTCHEC[[#This Row],[Credit Points]]</f>
        <v>25</v>
      </c>
      <c r="F13">
        <v>4</v>
      </c>
      <c r="G13" t="s">
        <v>424</v>
      </c>
      <c r="H13">
        <v>1</v>
      </c>
      <c r="I13" t="s">
        <v>425</v>
      </c>
      <c r="J13" t="s">
        <v>61</v>
      </c>
      <c r="K13" s="1">
        <v>1</v>
      </c>
      <c r="L13" t="s">
        <v>320</v>
      </c>
      <c r="M13">
        <v>25</v>
      </c>
      <c r="N13" s="147">
        <v>43101</v>
      </c>
      <c r="O13" s="147"/>
      <c r="Q13" t="s">
        <v>61</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80">
        <f>TableMJRPTCHEC[[#This Row],[Credit Points]]</f>
        <v>25</v>
      </c>
      <c r="F14">
        <v>5</v>
      </c>
      <c r="G14" t="s">
        <v>424</v>
      </c>
      <c r="H14">
        <v>1</v>
      </c>
      <c r="I14" t="s">
        <v>425</v>
      </c>
      <c r="J14" t="s">
        <v>69</v>
      </c>
      <c r="K14" s="1">
        <v>1</v>
      </c>
      <c r="L14" t="s">
        <v>319</v>
      </c>
      <c r="M14">
        <v>25</v>
      </c>
      <c r="N14" s="147">
        <v>43101</v>
      </c>
      <c r="O14" s="147"/>
      <c r="Q14" t="s">
        <v>69</v>
      </c>
      <c r="R14">
        <v>1</v>
      </c>
    </row>
    <row r="15" spans="1:18" x14ac:dyDescent="0.25">
      <c r="A15" t="str">
        <f>TableMJRPTCHEC[[#This Row],[Study Package Code]]</f>
        <v>EDUC5031</v>
      </c>
      <c r="B15" s="1">
        <f>TableMJRPTCHEC[[#This Row],[Ver]]</f>
        <v>1</v>
      </c>
      <c r="D15" t="str">
        <f>TableMJRPTCHEC[[#This Row],[Structure Line]]</f>
        <v>Introduction to English: Reading</v>
      </c>
      <c r="E15" s="80">
        <f>TableMJRPTCHEC[[#This Row],[Credit Points]]</f>
        <v>25</v>
      </c>
      <c r="F15">
        <v>6</v>
      </c>
      <c r="G15" t="s">
        <v>424</v>
      </c>
      <c r="H15">
        <v>1</v>
      </c>
      <c r="I15" t="s">
        <v>425</v>
      </c>
      <c r="J15" t="s">
        <v>65</v>
      </c>
      <c r="K15" s="1">
        <v>1</v>
      </c>
      <c r="L15" t="s">
        <v>365</v>
      </c>
      <c r="M15">
        <v>25</v>
      </c>
      <c r="N15" s="147">
        <v>44562</v>
      </c>
      <c r="O15" s="147"/>
      <c r="Q15" t="s">
        <v>65</v>
      </c>
      <c r="R15">
        <v>1</v>
      </c>
    </row>
    <row r="16" spans="1:18" x14ac:dyDescent="0.25">
      <c r="A16" t="str">
        <f>TableMJRPTCHEC[[#This Row],[Study Package Code]]</f>
        <v>EDEC5002</v>
      </c>
      <c r="B16" s="1">
        <f>TableMJRPTCHEC[[#This Row],[Ver]]</f>
        <v>1</v>
      </c>
      <c r="D16" t="str">
        <f>TableMJRPTCHEC[[#This Row],[Structure Line]]</f>
        <v>Numeracy for 5 to 8 Year-Olds</v>
      </c>
      <c r="E16" s="80">
        <f>TableMJRPTCHEC[[#This Row],[Credit Points]]</f>
        <v>25</v>
      </c>
      <c r="F16">
        <v>7</v>
      </c>
      <c r="G16" t="s">
        <v>424</v>
      </c>
      <c r="H16">
        <v>1</v>
      </c>
      <c r="I16" t="s">
        <v>425</v>
      </c>
      <c r="J16" t="s">
        <v>68</v>
      </c>
      <c r="K16" s="1">
        <v>1</v>
      </c>
      <c r="L16" t="s">
        <v>314</v>
      </c>
      <c r="M16">
        <v>25</v>
      </c>
      <c r="N16" s="147">
        <v>43101</v>
      </c>
      <c r="O16" s="147"/>
      <c r="Q16" t="s">
        <v>68</v>
      </c>
      <c r="R16">
        <v>1</v>
      </c>
    </row>
    <row r="17" spans="1:18" x14ac:dyDescent="0.25">
      <c r="A17" t="str">
        <f>TableMJRPTCHEC[[#This Row],[Study Package Code]]</f>
        <v>EDUC5005</v>
      </c>
      <c r="B17" s="1">
        <f>TableMJRPTCHEC[[#This Row],[Ver]]</f>
        <v>2</v>
      </c>
      <c r="D17" t="str">
        <f>TableMJRPTCHEC[[#This Row],[Structure Line]]</f>
        <v>Theories of Development and Learning</v>
      </c>
      <c r="E17" s="80">
        <f>TableMJRPTCHEC[[#This Row],[Credit Points]]</f>
        <v>25</v>
      </c>
      <c r="F17">
        <v>8</v>
      </c>
      <c r="G17" t="s">
        <v>424</v>
      </c>
      <c r="H17">
        <v>1</v>
      </c>
      <c r="I17" t="s">
        <v>425</v>
      </c>
      <c r="J17" t="s">
        <v>59</v>
      </c>
      <c r="K17" s="1">
        <v>2</v>
      </c>
      <c r="L17" t="s">
        <v>357</v>
      </c>
      <c r="M17">
        <v>25</v>
      </c>
      <c r="N17" s="147">
        <v>44197</v>
      </c>
      <c r="O17" s="147"/>
      <c r="Q17" t="s">
        <v>59</v>
      </c>
      <c r="R17">
        <v>2</v>
      </c>
    </row>
    <row r="18" spans="1:18" x14ac:dyDescent="0.25">
      <c r="A18" t="str">
        <f>TableMJRPTCHEC[[#This Row],[Study Package Code]]</f>
        <v>EDEC5006</v>
      </c>
      <c r="B18" s="1">
        <f>TableMJRPTCHEC[[#This Row],[Ver]]</f>
        <v>1</v>
      </c>
      <c r="D18" t="str">
        <f>TableMJRPTCHEC[[#This Row],[Structure Line]]</f>
        <v>Creative and Media Arts in Early Childhood</v>
      </c>
      <c r="E18" s="80">
        <f>TableMJRPTCHEC[[#This Row],[Credit Points]]</f>
        <v>25</v>
      </c>
      <c r="F18">
        <v>9</v>
      </c>
      <c r="G18" t="s">
        <v>424</v>
      </c>
      <c r="H18">
        <v>2</v>
      </c>
      <c r="I18" t="s">
        <v>425</v>
      </c>
      <c r="J18" t="s">
        <v>101</v>
      </c>
      <c r="K18" s="1">
        <v>1</v>
      </c>
      <c r="L18" t="s">
        <v>317</v>
      </c>
      <c r="M18">
        <v>25</v>
      </c>
      <c r="N18" s="147">
        <v>43101</v>
      </c>
      <c r="O18" s="147"/>
      <c r="Q18" t="s">
        <v>101</v>
      </c>
      <c r="R18">
        <v>1</v>
      </c>
    </row>
    <row r="19" spans="1:18" x14ac:dyDescent="0.25">
      <c r="A19" t="str">
        <f>TableMJRPTCHEC[[#This Row],[Study Package Code]]</f>
        <v>EDUC5006</v>
      </c>
      <c r="B19" s="1">
        <f>TableMJRPTCHEC[[#This Row],[Ver]]</f>
        <v>1</v>
      </c>
      <c r="D19" t="str">
        <f>TableMJRPTCHEC[[#This Row],[Structure Line]]</f>
        <v>Creative Technologies</v>
      </c>
      <c r="E19" s="80">
        <f>TableMJRPTCHEC[[#This Row],[Credit Points]]</f>
        <v>25</v>
      </c>
      <c r="F19">
        <v>10</v>
      </c>
      <c r="G19" t="s">
        <v>424</v>
      </c>
      <c r="H19">
        <v>2</v>
      </c>
      <c r="I19" t="s">
        <v>425</v>
      </c>
      <c r="J19" t="s">
        <v>87</v>
      </c>
      <c r="K19" s="1">
        <v>1</v>
      </c>
      <c r="L19" t="s">
        <v>358</v>
      </c>
      <c r="M19">
        <v>25</v>
      </c>
      <c r="N19" s="147">
        <v>43101</v>
      </c>
      <c r="O19" s="147"/>
      <c r="Q19" t="s">
        <v>87</v>
      </c>
      <c r="R19">
        <v>1</v>
      </c>
    </row>
    <row r="20" spans="1:18" x14ac:dyDescent="0.25">
      <c r="A20" t="str">
        <f>TableMJRPTCHEC[[#This Row],[Study Package Code]]</f>
        <v>EDEC6001</v>
      </c>
      <c r="B20" s="1">
        <f>TableMJRPTCHEC[[#This Row],[Ver]]</f>
        <v>1</v>
      </c>
      <c r="D20" t="str">
        <f>TableMJRPTCHEC[[#This Row],[Structure Line]]</f>
        <v>Early Literacies and Play-Based Pedagogies</v>
      </c>
      <c r="E20" s="80">
        <f>TableMJRPTCHEC[[#This Row],[Credit Points]]</f>
        <v>25</v>
      </c>
      <c r="F20">
        <v>11</v>
      </c>
      <c r="G20" t="s">
        <v>424</v>
      </c>
      <c r="H20">
        <v>2</v>
      </c>
      <c r="I20" t="s">
        <v>425</v>
      </c>
      <c r="J20" t="s">
        <v>109</v>
      </c>
      <c r="K20" s="1">
        <v>1</v>
      </c>
      <c r="L20" t="s">
        <v>321</v>
      </c>
      <c r="M20">
        <v>25</v>
      </c>
      <c r="N20" s="147">
        <v>44562</v>
      </c>
      <c r="O20" s="147"/>
      <c r="Q20" t="s">
        <v>109</v>
      </c>
      <c r="R20">
        <v>1</v>
      </c>
    </row>
    <row r="21" spans="1:18" x14ac:dyDescent="0.25">
      <c r="A21" t="str">
        <f>TableMJRPTCHEC[[#This Row],[Study Package Code]]</f>
        <v>EDEC5005</v>
      </c>
      <c r="B21" s="1">
        <f>TableMJRPTCHEC[[#This Row],[Ver]]</f>
        <v>1</v>
      </c>
      <c r="D21" t="str">
        <f>TableMJRPTCHEC[[#This Row],[Structure Line]]</f>
        <v>Humanities and Science in Early Childhood</v>
      </c>
      <c r="E21" s="80">
        <f>TableMJRPTCHEC[[#This Row],[Credit Points]]</f>
        <v>25</v>
      </c>
      <c r="F21">
        <v>12</v>
      </c>
      <c r="G21" t="s">
        <v>424</v>
      </c>
      <c r="H21">
        <v>2</v>
      </c>
      <c r="I21" t="s">
        <v>425</v>
      </c>
      <c r="J21" t="s">
        <v>67</v>
      </c>
      <c r="K21" s="1">
        <v>1</v>
      </c>
      <c r="L21" t="s">
        <v>316</v>
      </c>
      <c r="M21">
        <v>25</v>
      </c>
      <c r="N21" s="147">
        <v>43101</v>
      </c>
      <c r="O21" s="147"/>
      <c r="Q21" t="s">
        <v>67</v>
      </c>
      <c r="R21">
        <v>1</v>
      </c>
    </row>
    <row r="22" spans="1:18" x14ac:dyDescent="0.25">
      <c r="A22" t="str">
        <f>TableMJRPTCHEC[[#This Row],[Study Package Code]]</f>
        <v>EDEC5007</v>
      </c>
      <c r="B22" s="1">
        <f>TableMJRPTCHEC[[#This Row],[Ver]]</f>
        <v>1</v>
      </c>
      <c r="D22" t="str">
        <f>TableMJRPTCHEC[[#This Row],[Structure Line]]</f>
        <v>Numeracy for Birth to 4 Year-Olds</v>
      </c>
      <c r="E22" s="80">
        <f>TableMJRPTCHEC[[#This Row],[Credit Points]]</f>
        <v>25</v>
      </c>
      <c r="F22">
        <v>13</v>
      </c>
      <c r="G22" t="s">
        <v>424</v>
      </c>
      <c r="H22">
        <v>2</v>
      </c>
      <c r="I22" t="s">
        <v>425</v>
      </c>
      <c r="J22" t="s">
        <v>113</v>
      </c>
      <c r="K22" s="1">
        <v>1</v>
      </c>
      <c r="L22" t="s">
        <v>318</v>
      </c>
      <c r="M22">
        <v>25</v>
      </c>
      <c r="N22" s="147">
        <v>43101</v>
      </c>
      <c r="O22" s="147"/>
      <c r="Q22" t="s">
        <v>113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80">
        <f>TableMJRPTCHEC[[#This Row],[Credit Points]]</f>
        <v>25</v>
      </c>
      <c r="F23">
        <v>14</v>
      </c>
      <c r="G23" t="s">
        <v>424</v>
      </c>
      <c r="H23">
        <v>2</v>
      </c>
      <c r="I23" t="s">
        <v>425</v>
      </c>
      <c r="J23" t="s">
        <v>114</v>
      </c>
      <c r="K23" s="1">
        <v>1</v>
      </c>
      <c r="L23" t="s">
        <v>322</v>
      </c>
      <c r="M23">
        <v>25</v>
      </c>
      <c r="N23" s="147">
        <v>44562</v>
      </c>
      <c r="O23" s="147"/>
      <c r="Q23" t="s">
        <v>114</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80">
        <f>TableMJRPTCHEC[[#This Row],[Credit Points]]</f>
        <v>25</v>
      </c>
      <c r="F24">
        <v>15</v>
      </c>
      <c r="G24" t="s">
        <v>424</v>
      </c>
      <c r="H24">
        <v>2</v>
      </c>
      <c r="I24" t="s">
        <v>425</v>
      </c>
      <c r="J24" t="s">
        <v>115</v>
      </c>
      <c r="K24" s="1">
        <v>1</v>
      </c>
      <c r="L24" t="s">
        <v>382</v>
      </c>
      <c r="M24">
        <v>25</v>
      </c>
      <c r="N24" s="147">
        <v>44562</v>
      </c>
      <c r="O24" s="147"/>
      <c r="Q24" t="s">
        <v>115</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80">
        <f>TableMJRPTCHEC[[#This Row],[Credit Points]]</f>
        <v>25</v>
      </c>
      <c r="F25">
        <v>16</v>
      </c>
      <c r="G25" t="s">
        <v>424</v>
      </c>
      <c r="H25">
        <v>2</v>
      </c>
      <c r="I25" t="s">
        <v>425</v>
      </c>
      <c r="J25" t="s">
        <v>131</v>
      </c>
      <c r="K25" s="1">
        <v>1</v>
      </c>
      <c r="L25" t="s">
        <v>384</v>
      </c>
      <c r="M25">
        <v>25</v>
      </c>
      <c r="N25" s="147">
        <v>44562</v>
      </c>
      <c r="O25" s="147"/>
      <c r="Q25" t="s">
        <v>131</v>
      </c>
      <c r="R25">
        <v>1</v>
      </c>
    </row>
    <row r="26" spans="1:18" x14ac:dyDescent="0.25">
      <c r="B26"/>
      <c r="E26"/>
      <c r="F26" s="77"/>
      <c r="G26" s="78" t="s">
        <v>413</v>
      </c>
      <c r="H26" s="171">
        <v>44562</v>
      </c>
      <c r="J26" s="170" t="s">
        <v>161</v>
      </c>
      <c r="K26" s="79" t="s">
        <v>91</v>
      </c>
      <c r="L26" s="77" t="s">
        <v>160</v>
      </c>
    </row>
    <row r="27" spans="1:18" x14ac:dyDescent="0.25">
      <c r="A27" t="s">
        <v>0</v>
      </c>
      <c r="B27" s="1" t="s">
        <v>73</v>
      </c>
      <c r="C27" t="s">
        <v>414</v>
      </c>
      <c r="D27" t="s">
        <v>3</v>
      </c>
      <c r="E27" s="80" t="s">
        <v>415</v>
      </c>
      <c r="F27" t="s">
        <v>416</v>
      </c>
      <c r="G27" t="s">
        <v>417</v>
      </c>
      <c r="H27" t="s">
        <v>418</v>
      </c>
      <c r="I27" t="s">
        <v>21</v>
      </c>
      <c r="J27" t="s">
        <v>419</v>
      </c>
      <c r="K27" s="1" t="s">
        <v>1</v>
      </c>
      <c r="L27" t="s">
        <v>56</v>
      </c>
      <c r="M27" t="s">
        <v>74</v>
      </c>
      <c r="N27" s="168" t="s">
        <v>420</v>
      </c>
      <c r="O27" s="168" t="s">
        <v>421</v>
      </c>
      <c r="Q27" t="s">
        <v>422</v>
      </c>
      <c r="R27" t="s">
        <v>423</v>
      </c>
    </row>
    <row r="28" spans="1:18" x14ac:dyDescent="0.25">
      <c r="A28" t="str">
        <f>TableMJRPTCHPR[[#This Row],[Study Package Code]]</f>
        <v>EDUC5006</v>
      </c>
      <c r="B28" s="1">
        <f>TableMJRPTCHPR[[#This Row],[Ver]]</f>
        <v>1</v>
      </c>
      <c r="D28" t="str">
        <f>TableMJRPTCHPR[[#This Row],[Structure Line]]</f>
        <v>Creative Technologies</v>
      </c>
      <c r="E28" s="80">
        <f>TableMJRPTCHPR[[#This Row],[Credit Points]]</f>
        <v>25</v>
      </c>
      <c r="F28">
        <v>1</v>
      </c>
      <c r="G28" t="s">
        <v>424</v>
      </c>
      <c r="H28">
        <v>1</v>
      </c>
      <c r="I28" t="s">
        <v>425</v>
      </c>
      <c r="J28" t="s">
        <v>87</v>
      </c>
      <c r="K28" s="1">
        <v>1</v>
      </c>
      <c r="L28" t="s">
        <v>358</v>
      </c>
      <c r="M28">
        <v>25</v>
      </c>
      <c r="N28" s="147">
        <v>43101</v>
      </c>
      <c r="O28" s="147"/>
      <c r="Q28" t="s">
        <v>87</v>
      </c>
      <c r="R28">
        <v>1</v>
      </c>
    </row>
    <row r="29" spans="1:18" x14ac:dyDescent="0.25">
      <c r="A29" t="str">
        <f>TableMJRPTCHPR[[#This Row],[Study Package Code]]</f>
        <v>EDUC5011</v>
      </c>
      <c r="B29" s="1">
        <f>TableMJRPTCHPR[[#This Row],[Ver]]</f>
        <v>1</v>
      </c>
      <c r="D29" t="str">
        <f>TableMJRPTCHPR[[#This Row],[Structure Line]]</f>
        <v>Developing Positive Learning Environments</v>
      </c>
      <c r="E29" s="80">
        <f>TableMJRPTCHPR[[#This Row],[Credit Points]]</f>
        <v>25</v>
      </c>
      <c r="F29">
        <v>2</v>
      </c>
      <c r="G29" t="s">
        <v>424</v>
      </c>
      <c r="H29">
        <v>1</v>
      </c>
      <c r="I29" t="s">
        <v>425</v>
      </c>
      <c r="J29" t="s">
        <v>64</v>
      </c>
      <c r="K29" s="1">
        <v>1</v>
      </c>
      <c r="L29" t="s">
        <v>360</v>
      </c>
      <c r="M29">
        <v>25</v>
      </c>
      <c r="N29" s="147">
        <v>43101</v>
      </c>
      <c r="O29" s="147"/>
      <c r="Q29" t="s">
        <v>64</v>
      </c>
      <c r="R29">
        <v>1</v>
      </c>
    </row>
    <row r="30" spans="1:18" x14ac:dyDescent="0.25">
      <c r="A30" t="str">
        <f>TableMJRPTCHPR[[#This Row],[Study Package Code]]</f>
        <v>EDUC5031</v>
      </c>
      <c r="B30" s="1">
        <f>TableMJRPTCHPR[[#This Row],[Ver]]</f>
        <v>1</v>
      </c>
      <c r="D30" t="str">
        <f>TableMJRPTCHPR[[#This Row],[Structure Line]]</f>
        <v>Introduction to English: Reading</v>
      </c>
      <c r="E30" s="80">
        <f>TableMJRPTCHPR[[#This Row],[Credit Points]]</f>
        <v>25</v>
      </c>
      <c r="F30">
        <v>3</v>
      </c>
      <c r="G30" t="s">
        <v>424</v>
      </c>
      <c r="H30">
        <v>1</v>
      </c>
      <c r="I30" t="s">
        <v>425</v>
      </c>
      <c r="J30" t="s">
        <v>65</v>
      </c>
      <c r="K30" s="1">
        <v>1</v>
      </c>
      <c r="L30" t="s">
        <v>365</v>
      </c>
      <c r="M30">
        <v>25</v>
      </c>
      <c r="N30" s="147">
        <v>44562</v>
      </c>
      <c r="O30" s="147"/>
      <c r="Q30" t="s">
        <v>65</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80">
        <f>TableMJRPTCHPR[[#This Row],[Credit Points]]</f>
        <v>25</v>
      </c>
      <c r="F31">
        <v>4</v>
      </c>
      <c r="G31" t="s">
        <v>424</v>
      </c>
      <c r="H31">
        <v>1</v>
      </c>
      <c r="I31" t="s">
        <v>425</v>
      </c>
      <c r="J31" t="s">
        <v>83</v>
      </c>
      <c r="K31" s="1">
        <v>2</v>
      </c>
      <c r="L31" t="s">
        <v>323</v>
      </c>
      <c r="M31">
        <v>25</v>
      </c>
      <c r="N31" s="147">
        <v>44562</v>
      </c>
      <c r="O31" s="147"/>
      <c r="Q31" t="s">
        <v>83</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80">
        <f>TableMJRPTCHPR[[#This Row],[Credit Points]]</f>
        <v>25</v>
      </c>
      <c r="F32">
        <v>5</v>
      </c>
      <c r="G32" t="s">
        <v>424</v>
      </c>
      <c r="H32">
        <v>1</v>
      </c>
      <c r="I32" t="s">
        <v>425</v>
      </c>
      <c r="J32" t="s">
        <v>94</v>
      </c>
      <c r="K32" s="1">
        <v>1</v>
      </c>
      <c r="L32" t="s">
        <v>325</v>
      </c>
      <c r="M32">
        <v>25</v>
      </c>
      <c r="N32" s="147">
        <v>43101</v>
      </c>
      <c r="O32" s="147"/>
      <c r="Q32" t="s">
        <v>94</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80">
        <f>TableMJRPTCHPR[[#This Row],[Credit Points]]</f>
        <v>25</v>
      </c>
      <c r="F33">
        <v>6</v>
      </c>
      <c r="G33" t="s">
        <v>424</v>
      </c>
      <c r="H33">
        <v>1</v>
      </c>
      <c r="I33" t="s">
        <v>425</v>
      </c>
      <c r="J33" t="s">
        <v>71</v>
      </c>
      <c r="K33" s="1">
        <v>1</v>
      </c>
      <c r="L33" t="s">
        <v>326</v>
      </c>
      <c r="M33">
        <v>25</v>
      </c>
      <c r="N33" s="147">
        <v>43101</v>
      </c>
      <c r="O33" s="147"/>
      <c r="Q33" t="s">
        <v>71</v>
      </c>
      <c r="R33">
        <v>1</v>
      </c>
    </row>
    <row r="34" spans="1:18" x14ac:dyDescent="0.25">
      <c r="A34" t="str">
        <f>TableMJRPTCHPR[[#This Row],[Study Package Code]]</f>
        <v>EDPR5005</v>
      </c>
      <c r="B34" s="1">
        <f>TableMJRPTCHPR[[#This Row],[Ver]]</f>
        <v>1</v>
      </c>
      <c r="D34" t="str">
        <f>TableMJRPTCHPR[[#This Row],[Structure Line]]</f>
        <v>Teaching Science in the Primary Years</v>
      </c>
      <c r="E34" s="80">
        <f>TableMJRPTCHPR[[#This Row],[Credit Points]]</f>
        <v>25</v>
      </c>
      <c r="F34">
        <v>7</v>
      </c>
      <c r="G34" t="s">
        <v>424</v>
      </c>
      <c r="H34">
        <v>1</v>
      </c>
      <c r="I34" t="s">
        <v>425</v>
      </c>
      <c r="J34" t="s">
        <v>70</v>
      </c>
      <c r="K34" s="1">
        <v>1</v>
      </c>
      <c r="L34" t="s">
        <v>328</v>
      </c>
      <c r="M34">
        <v>25</v>
      </c>
      <c r="N34" s="147">
        <v>43101</v>
      </c>
      <c r="O34" s="147"/>
      <c r="Q34" t="s">
        <v>70</v>
      </c>
      <c r="R34">
        <v>1</v>
      </c>
    </row>
    <row r="35" spans="1:18" x14ac:dyDescent="0.25">
      <c r="A35" t="str">
        <f>TableMJRPTCHPR[[#This Row],[Study Package Code]]</f>
        <v>EDUC5005</v>
      </c>
      <c r="B35" s="1">
        <f>TableMJRPTCHPR[[#This Row],[Ver]]</f>
        <v>2</v>
      </c>
      <c r="D35" t="str">
        <f>TableMJRPTCHPR[[#This Row],[Structure Line]]</f>
        <v>Theories of Development and Learning</v>
      </c>
      <c r="E35" s="80">
        <f>TableMJRPTCHPR[[#This Row],[Credit Points]]</f>
        <v>25</v>
      </c>
      <c r="F35">
        <v>8</v>
      </c>
      <c r="G35" t="s">
        <v>424</v>
      </c>
      <c r="H35">
        <v>1</v>
      </c>
      <c r="I35" t="s">
        <v>425</v>
      </c>
      <c r="J35" t="s">
        <v>59</v>
      </c>
      <c r="K35" s="1">
        <v>2</v>
      </c>
      <c r="L35" t="s">
        <v>357</v>
      </c>
      <c r="M35">
        <v>25</v>
      </c>
      <c r="N35" s="147">
        <v>44197</v>
      </c>
      <c r="O35" s="147"/>
      <c r="Q35" t="s">
        <v>59</v>
      </c>
      <c r="R35">
        <v>2</v>
      </c>
    </row>
    <row r="36" spans="1:18" x14ac:dyDescent="0.25">
      <c r="A36" t="str">
        <f>TableMJRPTCHPR[[#This Row],[Study Package Code]]</f>
        <v>EDPR6000</v>
      </c>
      <c r="B36" s="1">
        <f>TableMJRPTCHPR[[#This Row],[Ver]]</f>
        <v>1</v>
      </c>
      <c r="D36" t="str">
        <f>TableMJRPTCHPR[[#This Row],[Structure Line]]</f>
        <v>Extending English in the Primary Years</v>
      </c>
      <c r="E36" s="80">
        <f>TableMJRPTCHPR[[#This Row],[Credit Points]]</f>
        <v>25</v>
      </c>
      <c r="F36">
        <v>9</v>
      </c>
      <c r="G36" t="s">
        <v>424</v>
      </c>
      <c r="H36">
        <v>2</v>
      </c>
      <c r="I36" t="s">
        <v>425</v>
      </c>
      <c r="J36" t="s">
        <v>116</v>
      </c>
      <c r="K36" s="1">
        <v>1</v>
      </c>
      <c r="L36" t="s">
        <v>334</v>
      </c>
      <c r="M36">
        <v>25</v>
      </c>
      <c r="N36" s="147">
        <v>44562</v>
      </c>
      <c r="O36" s="147"/>
      <c r="Q36" t="s">
        <v>116</v>
      </c>
      <c r="R36">
        <v>1</v>
      </c>
    </row>
    <row r="37" spans="1:18" x14ac:dyDescent="0.25">
      <c r="A37" t="str">
        <f>TableMJRPTCHPR[[#This Row],[Study Package Code]]</f>
        <v>EDUC5009</v>
      </c>
      <c r="B37" s="1">
        <f>TableMJRPTCHPR[[#This Row],[Ver]]</f>
        <v>1</v>
      </c>
      <c r="D37" t="str">
        <f>TableMJRPTCHPR[[#This Row],[Structure Line]]</f>
        <v>Pedagogies for Diversity</v>
      </c>
      <c r="E37" s="80">
        <f>TableMJRPTCHPR[[#This Row],[Credit Points]]</f>
        <v>25</v>
      </c>
      <c r="F37">
        <v>10</v>
      </c>
      <c r="G37" t="s">
        <v>424</v>
      </c>
      <c r="H37">
        <v>2</v>
      </c>
      <c r="I37" t="s">
        <v>425</v>
      </c>
      <c r="J37" t="s">
        <v>88</v>
      </c>
      <c r="K37" s="1">
        <v>1</v>
      </c>
      <c r="L37" t="s">
        <v>359</v>
      </c>
      <c r="M37">
        <v>25</v>
      </c>
      <c r="N37" s="147">
        <v>43101</v>
      </c>
      <c r="O37" s="147"/>
      <c r="Q37" t="s">
        <v>88</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80">
        <f>TableMJRPTCHPR[[#This Row],[Credit Points]]</f>
        <v>25</v>
      </c>
      <c r="F38">
        <v>11</v>
      </c>
      <c r="G38" t="s">
        <v>424</v>
      </c>
      <c r="H38">
        <v>2</v>
      </c>
      <c r="I38" t="s">
        <v>425</v>
      </c>
      <c r="J38" t="s">
        <v>115</v>
      </c>
      <c r="K38" s="1">
        <v>1</v>
      </c>
      <c r="L38" t="s">
        <v>382</v>
      </c>
      <c r="M38">
        <v>25</v>
      </c>
      <c r="N38" s="147">
        <v>44562</v>
      </c>
      <c r="O38" s="147"/>
      <c r="Q38" t="s">
        <v>115</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80">
        <f>TableMJRPTCHPR[[#This Row],[Credit Points]]</f>
        <v>25</v>
      </c>
      <c r="F39">
        <v>12</v>
      </c>
      <c r="G39" t="s">
        <v>424</v>
      </c>
      <c r="H39">
        <v>2</v>
      </c>
      <c r="I39" t="s">
        <v>425</v>
      </c>
      <c r="J39" t="s">
        <v>131</v>
      </c>
      <c r="K39" s="1">
        <v>1</v>
      </c>
      <c r="L39" t="s">
        <v>384</v>
      </c>
      <c r="M39">
        <v>25</v>
      </c>
      <c r="N39" s="147">
        <v>44562</v>
      </c>
      <c r="O39" s="147"/>
      <c r="Q39" t="s">
        <v>131</v>
      </c>
      <c r="R39">
        <v>1</v>
      </c>
    </row>
    <row r="40" spans="1:18" x14ac:dyDescent="0.25">
      <c r="A40" t="str">
        <f>TableMJRPTCHPR[[#This Row],[Study Package Code]]</f>
        <v>EDPR5007</v>
      </c>
      <c r="B40" s="1">
        <f>TableMJRPTCHPR[[#This Row],[Ver]]</f>
        <v>1</v>
      </c>
      <c r="D40" t="str">
        <f>TableMJRPTCHPR[[#This Row],[Structure Line]]</f>
        <v>Quantitative Mathematics for Science Inquiry</v>
      </c>
      <c r="E40" s="80">
        <f>TableMJRPTCHPR[[#This Row],[Credit Points]]</f>
        <v>25</v>
      </c>
      <c r="F40">
        <v>13</v>
      </c>
      <c r="G40" t="s">
        <v>424</v>
      </c>
      <c r="H40">
        <v>2</v>
      </c>
      <c r="I40" t="s">
        <v>425</v>
      </c>
      <c r="J40" t="s">
        <v>111</v>
      </c>
      <c r="K40" s="1">
        <v>1</v>
      </c>
      <c r="L40" t="s">
        <v>330</v>
      </c>
      <c r="M40">
        <v>25</v>
      </c>
      <c r="N40" s="147">
        <v>43101</v>
      </c>
      <c r="O40" s="147"/>
      <c r="Q40" t="s">
        <v>111</v>
      </c>
      <c r="R40">
        <v>1</v>
      </c>
    </row>
    <row r="41" spans="1:18" x14ac:dyDescent="0.25">
      <c r="A41" t="str">
        <f>TableMJRPTCHPR[[#This Row],[Study Package Code]]</f>
        <v>EDUC6066</v>
      </c>
      <c r="B41" s="1">
        <f>TableMJRPTCHPR[[#This Row],[Ver]]</f>
        <v>1</v>
      </c>
      <c r="D41" t="str">
        <f>TableMJRPTCHPR[[#This Row],[Structure Line]]</f>
        <v>Schooling and Australian Society</v>
      </c>
      <c r="E41" s="80">
        <f>TableMJRPTCHPR[[#This Row],[Credit Points]]</f>
        <v>25</v>
      </c>
      <c r="F41">
        <v>14</v>
      </c>
      <c r="G41" t="s">
        <v>424</v>
      </c>
      <c r="H41">
        <v>2</v>
      </c>
      <c r="I41" t="s">
        <v>425</v>
      </c>
      <c r="J41" t="s">
        <v>117</v>
      </c>
      <c r="K41" s="1">
        <v>1</v>
      </c>
      <c r="L41" t="s">
        <v>385</v>
      </c>
      <c r="M41">
        <v>25</v>
      </c>
      <c r="N41" s="147">
        <v>44562</v>
      </c>
      <c r="O41" s="147"/>
      <c r="Q41" t="s">
        <v>117</v>
      </c>
      <c r="R41">
        <v>1</v>
      </c>
    </row>
    <row r="42" spans="1:18" x14ac:dyDescent="0.25">
      <c r="A42" t="str">
        <f>TableMJRPTCHPR[[#This Row],[Study Package Code]]</f>
        <v>EDPR5008</v>
      </c>
      <c r="B42" s="1">
        <f>TableMJRPTCHPR[[#This Row],[Ver]]</f>
        <v>1</v>
      </c>
      <c r="D42" t="str">
        <f>TableMJRPTCHPR[[#This Row],[Structure Line]]</f>
        <v>Teaching Arts in the Primary Years</v>
      </c>
      <c r="E42" s="80">
        <f>TableMJRPTCHPR[[#This Row],[Credit Points]]</f>
        <v>25</v>
      </c>
      <c r="F42">
        <v>15</v>
      </c>
      <c r="G42" t="s">
        <v>424</v>
      </c>
      <c r="H42">
        <v>2</v>
      </c>
      <c r="I42" t="s">
        <v>425</v>
      </c>
      <c r="J42" t="s">
        <v>110</v>
      </c>
      <c r="K42" s="1">
        <v>1</v>
      </c>
      <c r="L42" t="s">
        <v>333</v>
      </c>
      <c r="M42">
        <v>25</v>
      </c>
      <c r="N42" s="147">
        <v>43101</v>
      </c>
      <c r="O42" s="147"/>
      <c r="Q42" t="s">
        <v>110</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80">
        <f>TableMJRPTCHPR[[#This Row],[Credit Points]]</f>
        <v>25</v>
      </c>
      <c r="F43">
        <v>16</v>
      </c>
      <c r="G43" t="s">
        <v>424</v>
      </c>
      <c r="H43">
        <v>2</v>
      </c>
      <c r="I43" t="s">
        <v>425</v>
      </c>
      <c r="J43" t="s">
        <v>102</v>
      </c>
      <c r="K43" s="1">
        <v>1</v>
      </c>
      <c r="L43" t="s">
        <v>327</v>
      </c>
      <c r="M43">
        <v>25</v>
      </c>
      <c r="N43" s="147">
        <v>43101</v>
      </c>
      <c r="O43" s="147"/>
      <c r="Q43" t="s">
        <v>102</v>
      </c>
      <c r="R43">
        <v>1</v>
      </c>
    </row>
    <row r="44" spans="1:18" x14ac:dyDescent="0.25">
      <c r="A44" s="77" t="s">
        <v>168</v>
      </c>
      <c r="B44" s="79" t="s">
        <v>91</v>
      </c>
      <c r="C44" s="77"/>
      <c r="D44" s="77" t="s">
        <v>167</v>
      </c>
      <c r="E44" s="79"/>
      <c r="F44" s="77"/>
      <c r="G44" s="78" t="s">
        <v>413</v>
      </c>
      <c r="H44" s="171">
        <v>44562</v>
      </c>
      <c r="J44" s="170" t="s">
        <v>168</v>
      </c>
      <c r="K44" s="79" t="s">
        <v>91</v>
      </c>
      <c r="L44" s="77" t="s">
        <v>167</v>
      </c>
    </row>
    <row r="45" spans="1:18" x14ac:dyDescent="0.25">
      <c r="A45" t="s">
        <v>0</v>
      </c>
      <c r="B45" s="1" t="s">
        <v>73</v>
      </c>
      <c r="C45" t="s">
        <v>414</v>
      </c>
      <c r="D45" t="s">
        <v>3</v>
      </c>
      <c r="E45" s="80" t="s">
        <v>415</v>
      </c>
      <c r="F45" t="s">
        <v>416</v>
      </c>
      <c r="G45" t="s">
        <v>417</v>
      </c>
      <c r="H45" t="s">
        <v>418</v>
      </c>
      <c r="I45" t="s">
        <v>21</v>
      </c>
      <c r="J45" t="s">
        <v>419</v>
      </c>
      <c r="K45" s="1" t="s">
        <v>1</v>
      </c>
      <c r="L45" t="s">
        <v>56</v>
      </c>
      <c r="M45" t="s">
        <v>74</v>
      </c>
      <c r="N45" s="168" t="s">
        <v>420</v>
      </c>
      <c r="O45" s="168" t="s">
        <v>421</v>
      </c>
      <c r="Q45" t="s">
        <v>422</v>
      </c>
      <c r="R45" t="s">
        <v>423</v>
      </c>
    </row>
    <row r="46" spans="1:18" x14ac:dyDescent="0.25">
      <c r="A46" t="str">
        <f>TableMJRPTCHSC[[#This Row],[Study Package Code]]</f>
        <v>EDSC5021</v>
      </c>
      <c r="B46" s="1">
        <f>TableMJRPTCHSC[[#This Row],[Ver]]</f>
        <v>1</v>
      </c>
      <c r="D46" t="str">
        <f>TableMJRPTCHSC[[#This Row],[Structure Line]]</f>
        <v>Literacy and Numeracy across the Curriculum</v>
      </c>
      <c r="E46" s="80">
        <f>TableMJRPTCHSC[[#This Row],[Credit Points]]</f>
        <v>25</v>
      </c>
      <c r="F46">
        <v>1</v>
      </c>
      <c r="G46" t="s">
        <v>424</v>
      </c>
      <c r="H46">
        <v>1</v>
      </c>
      <c r="I46" t="s">
        <v>425</v>
      </c>
      <c r="J46" t="s">
        <v>242</v>
      </c>
      <c r="K46" s="1">
        <v>1</v>
      </c>
      <c r="L46" t="s">
        <v>336</v>
      </c>
      <c r="M46">
        <v>25</v>
      </c>
      <c r="N46" s="147">
        <v>43101</v>
      </c>
      <c r="O46" s="147"/>
      <c r="Q46" t="s">
        <v>242</v>
      </c>
      <c r="R46">
        <v>1</v>
      </c>
    </row>
    <row r="47" spans="1:18" x14ac:dyDescent="0.25">
      <c r="A47" t="str">
        <f>TableMJRPTCHSC[[#This Row],[Study Package Code]]</f>
        <v>EDSC5022</v>
      </c>
      <c r="B47" s="1">
        <f>TableMJRPTCHSC[[#This Row],[Ver]]</f>
        <v>1</v>
      </c>
      <c r="D47" t="str">
        <f>TableMJRPTCHSC[[#This Row],[Structure Line]]</f>
        <v>Managing the Learning Environment</v>
      </c>
      <c r="E47" s="80">
        <f>TableMJRPTCHSC[[#This Row],[Credit Points]]</f>
        <v>25</v>
      </c>
      <c r="F47">
        <v>2</v>
      </c>
      <c r="G47" t="s">
        <v>424</v>
      </c>
      <c r="H47">
        <v>1</v>
      </c>
      <c r="I47" t="s">
        <v>425</v>
      </c>
      <c r="J47" t="s">
        <v>173</v>
      </c>
      <c r="K47" s="1">
        <v>1</v>
      </c>
      <c r="L47" t="s">
        <v>338</v>
      </c>
      <c r="M47">
        <v>25</v>
      </c>
      <c r="N47" s="147">
        <v>43101</v>
      </c>
      <c r="O47" s="147"/>
      <c r="Q47" t="s">
        <v>173</v>
      </c>
      <c r="R47">
        <v>1</v>
      </c>
    </row>
    <row r="48" spans="1:18" x14ac:dyDescent="0.25">
      <c r="A48" t="str">
        <f>TableMJRPTCHSC[[#This Row],[Study Package Code]]</f>
        <v>EDSC5028</v>
      </c>
      <c r="B48" s="1">
        <f>TableMJRPTCHSC[[#This Row],[Ver]]</f>
        <v>1</v>
      </c>
      <c r="D48" t="str">
        <f>TableMJRPTCHSC[[#This Row],[Structure Line]]</f>
        <v>Secondary Professional Experience 1: Planning</v>
      </c>
      <c r="E48" s="80">
        <f>TableMJRPTCHSC[[#This Row],[Credit Points]]</f>
        <v>25</v>
      </c>
      <c r="F48">
        <v>3</v>
      </c>
      <c r="G48" t="s">
        <v>424</v>
      </c>
      <c r="H48">
        <v>1</v>
      </c>
      <c r="I48" t="s">
        <v>425</v>
      </c>
      <c r="J48" t="s">
        <v>251</v>
      </c>
      <c r="K48" s="1">
        <v>1</v>
      </c>
      <c r="L48" t="s">
        <v>344</v>
      </c>
      <c r="M48">
        <v>25</v>
      </c>
      <c r="N48" s="147">
        <v>43101</v>
      </c>
      <c r="O48" s="147"/>
      <c r="Q48" t="s">
        <v>251</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80">
        <f>TableMJRPTCHSC[[#This Row],[Credit Points]]</f>
        <v>25</v>
      </c>
      <c r="F49">
        <v>4</v>
      </c>
      <c r="G49" t="s">
        <v>424</v>
      </c>
      <c r="H49">
        <v>1</v>
      </c>
      <c r="I49" t="s">
        <v>425</v>
      </c>
      <c r="J49" t="s">
        <v>255</v>
      </c>
      <c r="K49" s="1">
        <v>1</v>
      </c>
      <c r="L49" t="s">
        <v>346</v>
      </c>
      <c r="M49">
        <v>25</v>
      </c>
      <c r="N49" s="147">
        <v>43101</v>
      </c>
      <c r="O49" s="147"/>
      <c r="Q49" t="s">
        <v>255</v>
      </c>
      <c r="R49">
        <v>1</v>
      </c>
    </row>
    <row r="50" spans="1:18" x14ac:dyDescent="0.25">
      <c r="A50" t="str">
        <f>TableMJRPTCHSC[[#This Row],[Study Package Code]]</f>
        <v>EDSC5035</v>
      </c>
      <c r="B50" s="1">
        <f>TableMJRPTCHSC[[#This Row],[Ver]]</f>
        <v>1</v>
      </c>
      <c r="D50" t="str">
        <f>TableMJRPTCHSC[[#This Row],[Structure Line]]</f>
        <v>Teaching in the Secondary School</v>
      </c>
      <c r="E50" s="80">
        <f>TableMJRPTCHSC[[#This Row],[Credit Points]]</f>
        <v>25</v>
      </c>
      <c r="F50">
        <v>5</v>
      </c>
      <c r="G50" t="s">
        <v>424</v>
      </c>
      <c r="H50">
        <v>1</v>
      </c>
      <c r="I50" t="s">
        <v>425</v>
      </c>
      <c r="J50" t="s">
        <v>241</v>
      </c>
      <c r="K50" s="1">
        <v>1</v>
      </c>
      <c r="L50" t="s">
        <v>351</v>
      </c>
      <c r="M50">
        <v>25</v>
      </c>
      <c r="N50" s="147">
        <v>43101</v>
      </c>
      <c r="O50" s="147"/>
      <c r="Q50" t="s">
        <v>241</v>
      </c>
      <c r="R50">
        <v>1</v>
      </c>
    </row>
    <row r="51" spans="1:18" x14ac:dyDescent="0.25">
      <c r="A51" t="str">
        <f>TableMJRPTCHSC[[#This Row],[Study Package Code]]</f>
        <v>Option</v>
      </c>
      <c r="B51" s="1">
        <f>TableMJRPTCHSC[[#This Row],[Ver]]</f>
        <v>0</v>
      </c>
      <c r="D51" t="str">
        <f>TableMJRPTCHSC[[#This Row],[Structure Line]]</f>
        <v>First Teaching Area Options</v>
      </c>
      <c r="E51" s="80">
        <f>TableMJRPTCHSC[[#This Row],[Credit Points]]</f>
        <v>50</v>
      </c>
      <c r="F51">
        <v>6</v>
      </c>
      <c r="G51" t="s">
        <v>428</v>
      </c>
      <c r="H51">
        <v>1</v>
      </c>
      <c r="I51" t="s">
        <v>425</v>
      </c>
      <c r="J51" t="s">
        <v>428</v>
      </c>
      <c r="K51" s="1">
        <v>0</v>
      </c>
      <c r="L51" t="s">
        <v>390</v>
      </c>
      <c r="M51">
        <v>50</v>
      </c>
      <c r="N51" s="147"/>
      <c r="O51" s="147"/>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80">
        <f>TableMJRPTCHSC[[#This Row],[Credit Points]]</f>
        <v>25</v>
      </c>
      <c r="F52">
        <v>7</v>
      </c>
      <c r="G52" t="s">
        <v>424</v>
      </c>
      <c r="H52">
        <v>1</v>
      </c>
      <c r="I52" t="s">
        <v>425</v>
      </c>
      <c r="J52" t="s">
        <v>59</v>
      </c>
      <c r="K52" s="1">
        <v>2</v>
      </c>
      <c r="L52" t="s">
        <v>357</v>
      </c>
      <c r="M52">
        <v>25</v>
      </c>
      <c r="N52" s="147">
        <v>44197</v>
      </c>
      <c r="O52" s="147"/>
      <c r="Q52" t="s">
        <v>59</v>
      </c>
      <c r="R52">
        <v>2</v>
      </c>
    </row>
    <row r="53" spans="1:18" x14ac:dyDescent="0.25">
      <c r="A53" t="str">
        <f>TableMJRPTCHSC[[#This Row],[Study Package Code]]</f>
        <v>EDUC5006</v>
      </c>
      <c r="B53" s="1">
        <f>TableMJRPTCHSC[[#This Row],[Ver]]</f>
        <v>1</v>
      </c>
      <c r="D53" t="str">
        <f>TableMJRPTCHSC[[#This Row],[Structure Line]]</f>
        <v>Creative Technologies</v>
      </c>
      <c r="E53" s="80">
        <f>TableMJRPTCHSC[[#This Row],[Credit Points]]</f>
        <v>25</v>
      </c>
      <c r="F53">
        <v>8</v>
      </c>
      <c r="G53" t="s">
        <v>424</v>
      </c>
      <c r="H53">
        <v>2</v>
      </c>
      <c r="I53" t="s">
        <v>425</v>
      </c>
      <c r="J53" t="s">
        <v>87</v>
      </c>
      <c r="K53" s="1">
        <v>1</v>
      </c>
      <c r="L53" t="s">
        <v>358</v>
      </c>
      <c r="M53">
        <v>25</v>
      </c>
      <c r="N53" s="147">
        <v>43101</v>
      </c>
      <c r="O53" s="147"/>
      <c r="Q53" t="s">
        <v>87</v>
      </c>
      <c r="R53">
        <v>1</v>
      </c>
    </row>
    <row r="54" spans="1:18" x14ac:dyDescent="0.25">
      <c r="A54" t="str">
        <f>TableMJRPTCHSC[[#This Row],[Study Package Code]]</f>
        <v>EDUC5009</v>
      </c>
      <c r="B54" s="1">
        <f>TableMJRPTCHSC[[#This Row],[Ver]]</f>
        <v>1</v>
      </c>
      <c r="D54" t="str">
        <f>TableMJRPTCHSC[[#This Row],[Structure Line]]</f>
        <v>Pedagogies for Diversity</v>
      </c>
      <c r="E54" s="80">
        <f>TableMJRPTCHSC[[#This Row],[Credit Points]]</f>
        <v>25</v>
      </c>
      <c r="F54">
        <v>9</v>
      </c>
      <c r="G54" t="s">
        <v>424</v>
      </c>
      <c r="H54">
        <v>2</v>
      </c>
      <c r="I54" t="s">
        <v>425</v>
      </c>
      <c r="J54" t="s">
        <v>88</v>
      </c>
      <c r="K54" s="1">
        <v>1</v>
      </c>
      <c r="L54" t="s">
        <v>359</v>
      </c>
      <c r="M54">
        <v>25</v>
      </c>
      <c r="N54" s="147">
        <v>43101</v>
      </c>
      <c r="O54" s="147"/>
      <c r="Q54" t="s">
        <v>88</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80">
        <f>TableMJRPTCHSC[[#This Row],[Credit Points]]</f>
        <v>25</v>
      </c>
      <c r="F55">
        <v>10</v>
      </c>
      <c r="G55" t="s">
        <v>424</v>
      </c>
      <c r="H55">
        <v>2</v>
      </c>
      <c r="I55" t="s">
        <v>425</v>
      </c>
      <c r="J55" t="s">
        <v>115</v>
      </c>
      <c r="K55" s="1">
        <v>1</v>
      </c>
      <c r="L55" t="s">
        <v>382</v>
      </c>
      <c r="M55">
        <v>25</v>
      </c>
      <c r="N55" s="147">
        <v>44562</v>
      </c>
      <c r="O55" s="147"/>
      <c r="Q55" t="s">
        <v>115</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80">
        <f>TableMJRPTCHSC[[#This Row],[Credit Points]]</f>
        <v>25</v>
      </c>
      <c r="F56">
        <v>11</v>
      </c>
      <c r="G56" t="s">
        <v>424</v>
      </c>
      <c r="H56">
        <v>2</v>
      </c>
      <c r="I56" t="s">
        <v>425</v>
      </c>
      <c r="J56" t="s">
        <v>131</v>
      </c>
      <c r="K56" s="1">
        <v>1</v>
      </c>
      <c r="L56" t="s">
        <v>384</v>
      </c>
      <c r="M56">
        <v>25</v>
      </c>
      <c r="N56" s="147">
        <v>44562</v>
      </c>
      <c r="O56" s="147"/>
      <c r="Q56" t="s">
        <v>131</v>
      </c>
      <c r="R56">
        <v>1</v>
      </c>
    </row>
    <row r="57" spans="1:18" x14ac:dyDescent="0.25">
      <c r="A57" t="str">
        <f>TableMJRPTCHSC[[#This Row],[Study Package Code]]</f>
        <v>EDSC6000</v>
      </c>
      <c r="B57" s="1">
        <f>TableMJRPTCHSC[[#This Row],[Ver]]</f>
        <v>1</v>
      </c>
      <c r="D57" t="str">
        <f>TableMJRPTCHSC[[#This Row],[Structure Line]]</f>
        <v>Research-Based Inquiry to Enhance Practice</v>
      </c>
      <c r="E57" s="80">
        <f>TableMJRPTCHSC[[#This Row],[Credit Points]]</f>
        <v>25</v>
      </c>
      <c r="F57">
        <v>12</v>
      </c>
      <c r="G57" t="s">
        <v>424</v>
      </c>
      <c r="H57">
        <v>2</v>
      </c>
      <c r="I57" t="s">
        <v>425</v>
      </c>
      <c r="J57" t="s">
        <v>262</v>
      </c>
      <c r="K57" s="1">
        <v>1</v>
      </c>
      <c r="L57" t="s">
        <v>356</v>
      </c>
      <c r="M57">
        <v>25</v>
      </c>
      <c r="N57" s="147">
        <v>44562</v>
      </c>
      <c r="O57" s="147"/>
      <c r="Q57" t="s">
        <v>262</v>
      </c>
      <c r="R57">
        <v>1</v>
      </c>
    </row>
    <row r="58" spans="1:18" x14ac:dyDescent="0.25">
      <c r="A58" t="str">
        <f>TableMJRPTCHSC[[#This Row],[Study Package Code]]</f>
        <v>EDUC6066</v>
      </c>
      <c r="B58" s="1">
        <f>TableMJRPTCHSC[[#This Row],[Ver]]</f>
        <v>1</v>
      </c>
      <c r="D58" t="str">
        <f>TableMJRPTCHSC[[#This Row],[Structure Line]]</f>
        <v>Schooling and Australian Society</v>
      </c>
      <c r="E58" s="80">
        <f>TableMJRPTCHSC[[#This Row],[Credit Points]]</f>
        <v>25</v>
      </c>
      <c r="F58">
        <v>13</v>
      </c>
      <c r="G58" t="s">
        <v>424</v>
      </c>
      <c r="H58">
        <v>2</v>
      </c>
      <c r="I58" t="s">
        <v>425</v>
      </c>
      <c r="J58" t="s">
        <v>117</v>
      </c>
      <c r="K58" s="1">
        <v>1</v>
      </c>
      <c r="L58" t="s">
        <v>385</v>
      </c>
      <c r="M58">
        <v>25</v>
      </c>
      <c r="N58" s="147">
        <v>44562</v>
      </c>
      <c r="O58" s="147"/>
      <c r="Q58" t="s">
        <v>117</v>
      </c>
      <c r="R58">
        <v>1</v>
      </c>
    </row>
    <row r="59" spans="1:18" x14ac:dyDescent="0.25">
      <c r="A59" t="str">
        <f>TableMJRPTCHSC[[#This Row],[Study Package Code]]</f>
        <v>Option</v>
      </c>
      <c r="B59" s="1">
        <f>TableMJRPTCHSC[[#This Row],[Ver]]</f>
        <v>0</v>
      </c>
      <c r="D59" t="str">
        <f>TableMJRPTCHSC[[#This Row],[Structure Line]]</f>
        <v>Second Teaching Area Options</v>
      </c>
      <c r="E59" s="80">
        <f>TableMJRPTCHSC[[#This Row],[Credit Points]]</f>
        <v>50</v>
      </c>
      <c r="F59">
        <v>14</v>
      </c>
      <c r="G59" t="s">
        <v>428</v>
      </c>
      <c r="H59">
        <v>2</v>
      </c>
      <c r="I59" t="s">
        <v>425</v>
      </c>
      <c r="J59" t="s">
        <v>428</v>
      </c>
      <c r="K59" s="1">
        <v>0</v>
      </c>
      <c r="L59" t="s">
        <v>401</v>
      </c>
      <c r="M59">
        <v>50</v>
      </c>
      <c r="N59" s="147"/>
      <c r="O59" s="147"/>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80">
        <f>TableMJRPTCHSC[[#This Row],[Credit Points]]</f>
        <v>50</v>
      </c>
      <c r="F60">
        <v>6</v>
      </c>
      <c r="G60" t="s">
        <v>428</v>
      </c>
      <c r="H60">
        <v>1</v>
      </c>
      <c r="I60" t="s">
        <v>425</v>
      </c>
      <c r="J60" t="s">
        <v>46</v>
      </c>
      <c r="K60" s="1">
        <v>1</v>
      </c>
      <c r="L60" t="s">
        <v>404</v>
      </c>
      <c r="M60">
        <v>50</v>
      </c>
      <c r="N60" s="147">
        <v>44562</v>
      </c>
      <c r="O60" s="147"/>
      <c r="Q60" t="s">
        <v>46</v>
      </c>
      <c r="R60">
        <v>1</v>
      </c>
    </row>
    <row r="61" spans="1:18" x14ac:dyDescent="0.25">
      <c r="A61" t="str">
        <f>TableMJRPTCHSC[[#This Row],[Study Package Code]]</f>
        <v>STRP-SCENG</v>
      </c>
      <c r="B61" s="1">
        <f>TableMJRPTCHSC[[#This Row],[Ver]]</f>
        <v>1</v>
      </c>
      <c r="D61" t="str">
        <f>TableMJRPTCHSC[[#This Row],[Structure Line]]</f>
        <v>English Teaching Area Stream (MTch Sec)</v>
      </c>
      <c r="E61" s="80">
        <f>TableMJRPTCHSC[[#This Row],[Credit Points]]</f>
        <v>50</v>
      </c>
      <c r="F61">
        <v>6</v>
      </c>
      <c r="G61" t="s">
        <v>428</v>
      </c>
      <c r="H61">
        <v>1</v>
      </c>
      <c r="I61" t="s">
        <v>425</v>
      </c>
      <c r="J61" t="s">
        <v>252</v>
      </c>
      <c r="K61" s="1">
        <v>1</v>
      </c>
      <c r="L61" t="s">
        <v>406</v>
      </c>
      <c r="M61">
        <v>50</v>
      </c>
      <c r="N61" s="147">
        <v>44562</v>
      </c>
      <c r="O61" s="147"/>
      <c r="Q61" t="s">
        <v>252</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80">
        <f>TableMJRPTCHSC[[#This Row],[Credit Points]]</f>
        <v>50</v>
      </c>
      <c r="F62">
        <v>6</v>
      </c>
      <c r="G62" t="s">
        <v>428</v>
      </c>
      <c r="H62">
        <v>1</v>
      </c>
      <c r="I62" t="s">
        <v>425</v>
      </c>
      <c r="J62" t="s">
        <v>254</v>
      </c>
      <c r="K62" s="1">
        <v>1</v>
      </c>
      <c r="L62" t="s">
        <v>408</v>
      </c>
      <c r="M62">
        <v>50</v>
      </c>
      <c r="N62" s="147">
        <v>44562</v>
      </c>
      <c r="O62" s="147"/>
      <c r="Q62" t="s">
        <v>254</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80">
        <f>TableMJRPTCHSC[[#This Row],[Credit Points]]</f>
        <v>50</v>
      </c>
      <c r="F63">
        <v>6</v>
      </c>
      <c r="G63" t="s">
        <v>428</v>
      </c>
      <c r="H63">
        <v>1</v>
      </c>
      <c r="I63" t="s">
        <v>425</v>
      </c>
      <c r="J63" t="s">
        <v>257</v>
      </c>
      <c r="K63" s="1">
        <v>1</v>
      </c>
      <c r="L63" t="s">
        <v>409</v>
      </c>
      <c r="M63">
        <v>50</v>
      </c>
      <c r="N63" s="147">
        <v>44562</v>
      </c>
      <c r="O63" s="147"/>
      <c r="Q63" t="s">
        <v>257</v>
      </c>
      <c r="R63">
        <v>1</v>
      </c>
    </row>
    <row r="64" spans="1:18" x14ac:dyDescent="0.25">
      <c r="A64" t="str">
        <f>TableMJRPTCHSC[[#This Row],[Study Package Code]]</f>
        <v>STRP-SCMAT</v>
      </c>
      <c r="B64" s="1">
        <f>TableMJRPTCHSC[[#This Row],[Ver]]</f>
        <v>1</v>
      </c>
      <c r="D64" t="str">
        <f>TableMJRPTCHSC[[#This Row],[Structure Line]]</f>
        <v>Mathematics Teaching Area Stream (MTch Sec)</v>
      </c>
      <c r="E64" s="80">
        <f>TableMJRPTCHSC[[#This Row],[Credit Points]]</f>
        <v>50</v>
      </c>
      <c r="F64">
        <v>6</v>
      </c>
      <c r="G64" t="s">
        <v>428</v>
      </c>
      <c r="H64">
        <v>1</v>
      </c>
      <c r="I64" t="s">
        <v>425</v>
      </c>
      <c r="J64" t="s">
        <v>259</v>
      </c>
      <c r="K64" s="1">
        <v>1</v>
      </c>
      <c r="L64" t="s">
        <v>410</v>
      </c>
      <c r="M64">
        <v>50</v>
      </c>
      <c r="N64" s="147">
        <v>44562</v>
      </c>
      <c r="O64" s="147"/>
      <c r="Q64" t="s">
        <v>259</v>
      </c>
      <c r="R64">
        <v>1</v>
      </c>
    </row>
    <row r="65" spans="1:18" x14ac:dyDescent="0.25">
      <c r="A65" t="str">
        <f>TableMJRPTCHSC[[#This Row],[Study Package Code]]</f>
        <v>STRP-SCSCI</v>
      </c>
      <c r="B65" s="1">
        <f>TableMJRPTCHSC[[#This Row],[Ver]]</f>
        <v>1</v>
      </c>
      <c r="D65" t="str">
        <f>TableMJRPTCHSC[[#This Row],[Structure Line]]</f>
        <v>Science Teaching Area Stream (MTch Sec)</v>
      </c>
      <c r="E65" s="80">
        <f>TableMJRPTCHSC[[#This Row],[Credit Points]]</f>
        <v>50</v>
      </c>
      <c r="F65">
        <v>6</v>
      </c>
      <c r="G65" t="s">
        <v>428</v>
      </c>
      <c r="H65">
        <v>1</v>
      </c>
      <c r="I65" t="s">
        <v>425</v>
      </c>
      <c r="J65" t="s">
        <v>261</v>
      </c>
      <c r="K65" s="1">
        <v>1</v>
      </c>
      <c r="L65" t="s">
        <v>411</v>
      </c>
      <c r="M65">
        <v>50</v>
      </c>
      <c r="N65" s="147">
        <v>44562</v>
      </c>
      <c r="O65" s="147"/>
      <c r="Q65" t="s">
        <v>261</v>
      </c>
      <c r="R65">
        <v>1</v>
      </c>
    </row>
    <row r="66" spans="1:18" x14ac:dyDescent="0.25">
      <c r="A66" t="str">
        <f>TableMJRPTCHSC[[#This Row],[Study Package Code]]</f>
        <v>STRP-SCART</v>
      </c>
      <c r="B66" s="1">
        <f>TableMJRPTCHSC[[#This Row],[Ver]]</f>
        <v>1</v>
      </c>
      <c r="D66" t="str">
        <f>TableMJRPTCHSC[[#This Row],[Structure Line]]</f>
        <v>The Arts Teaching Area Stream (MTch Sec)</v>
      </c>
      <c r="E66" s="80">
        <f>TableMJRPTCHSC[[#This Row],[Credit Points]]</f>
        <v>50</v>
      </c>
      <c r="F66">
        <v>14</v>
      </c>
      <c r="G66" t="s">
        <v>428</v>
      </c>
      <c r="H66">
        <v>2</v>
      </c>
      <c r="I66" t="s">
        <v>425</v>
      </c>
      <c r="J66" t="s">
        <v>46</v>
      </c>
      <c r="K66" s="1">
        <v>1</v>
      </c>
      <c r="L66" t="s">
        <v>404</v>
      </c>
      <c r="M66">
        <v>50</v>
      </c>
      <c r="N66" s="147">
        <v>44562</v>
      </c>
      <c r="O66" s="147"/>
      <c r="Q66" t="s">
        <v>46</v>
      </c>
      <c r="R66">
        <v>1</v>
      </c>
    </row>
    <row r="67" spans="1:18" x14ac:dyDescent="0.25">
      <c r="A67" t="str">
        <f>TableMJRPTCHSC[[#This Row],[Study Package Code]]</f>
        <v>STRP-SCENG</v>
      </c>
      <c r="B67" s="1">
        <f>TableMJRPTCHSC[[#This Row],[Ver]]</f>
        <v>1</v>
      </c>
      <c r="D67" t="str">
        <f>TableMJRPTCHSC[[#This Row],[Structure Line]]</f>
        <v>English Teaching Area Stream (MTch Sec)</v>
      </c>
      <c r="E67" s="80">
        <f>TableMJRPTCHSC[[#This Row],[Credit Points]]</f>
        <v>50</v>
      </c>
      <c r="F67">
        <v>14</v>
      </c>
      <c r="G67" t="s">
        <v>428</v>
      </c>
      <c r="H67">
        <v>2</v>
      </c>
      <c r="I67" t="s">
        <v>425</v>
      </c>
      <c r="J67" t="s">
        <v>252</v>
      </c>
      <c r="K67" s="1">
        <v>1</v>
      </c>
      <c r="L67" t="s">
        <v>406</v>
      </c>
      <c r="M67">
        <v>50</v>
      </c>
      <c r="N67" s="147">
        <v>44562</v>
      </c>
      <c r="O67" s="147"/>
      <c r="Q67" t="s">
        <v>252</v>
      </c>
      <c r="R67">
        <v>1</v>
      </c>
    </row>
    <row r="68" spans="1:18" x14ac:dyDescent="0.25">
      <c r="A68" t="str">
        <f>TableMJRPTCHSC[[#This Row],[Study Package Code]]</f>
        <v>STRP-SCFON</v>
      </c>
      <c r="B68" s="1">
        <f>TableMJRPTCHSC[[#This Row],[Ver]]</f>
        <v>1</v>
      </c>
      <c r="D68" t="str">
        <f>TableMJRPTCHSC[[#This Row],[Structure Line]]</f>
        <v>First Teaching Area Only Stream (MTch Sec)</v>
      </c>
      <c r="E68" s="80">
        <f>TableMJRPTCHSC[[#This Row],[Credit Points]]</f>
        <v>50</v>
      </c>
      <c r="F68">
        <v>14</v>
      </c>
      <c r="G68" t="s">
        <v>428</v>
      </c>
      <c r="H68">
        <v>2</v>
      </c>
      <c r="I68" t="s">
        <v>425</v>
      </c>
      <c r="J68" t="s">
        <v>250</v>
      </c>
      <c r="K68" s="1">
        <v>1</v>
      </c>
      <c r="L68" t="s">
        <v>407</v>
      </c>
      <c r="M68">
        <v>50</v>
      </c>
      <c r="N68" s="147">
        <v>44562</v>
      </c>
      <c r="O68" s="147"/>
      <c r="Q68" t="s">
        <v>250</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80">
        <f>TableMJRPTCHSC[[#This Row],[Credit Points]]</f>
        <v>50</v>
      </c>
      <c r="F69">
        <v>14</v>
      </c>
      <c r="G69" t="s">
        <v>428</v>
      </c>
      <c r="H69">
        <v>2</v>
      </c>
      <c r="I69" t="s">
        <v>425</v>
      </c>
      <c r="J69" t="s">
        <v>254</v>
      </c>
      <c r="K69" s="1">
        <v>1</v>
      </c>
      <c r="L69" t="s">
        <v>408</v>
      </c>
      <c r="M69">
        <v>50</v>
      </c>
      <c r="N69" s="147">
        <v>44562</v>
      </c>
      <c r="O69" s="147"/>
      <c r="Q69" t="s">
        <v>254</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80">
        <f>TableMJRPTCHSC[[#This Row],[Credit Points]]</f>
        <v>50</v>
      </c>
      <c r="F70">
        <v>14</v>
      </c>
      <c r="G70" t="s">
        <v>428</v>
      </c>
      <c r="H70">
        <v>2</v>
      </c>
      <c r="I70" t="s">
        <v>425</v>
      </c>
      <c r="J70" t="s">
        <v>257</v>
      </c>
      <c r="K70" s="1">
        <v>1</v>
      </c>
      <c r="L70" t="s">
        <v>409</v>
      </c>
      <c r="M70">
        <v>50</v>
      </c>
      <c r="N70" s="147">
        <v>44562</v>
      </c>
      <c r="O70" s="147"/>
      <c r="Q70" t="s">
        <v>257</v>
      </c>
      <c r="R70">
        <v>1</v>
      </c>
    </row>
    <row r="71" spans="1:18" x14ac:dyDescent="0.25">
      <c r="A71" t="str">
        <f>TableMJRPTCHSC[[#This Row],[Study Package Code]]</f>
        <v>STRP-SCMAT</v>
      </c>
      <c r="B71" s="1">
        <f>TableMJRPTCHSC[[#This Row],[Ver]]</f>
        <v>1</v>
      </c>
      <c r="D71" t="str">
        <f>TableMJRPTCHSC[[#This Row],[Structure Line]]</f>
        <v>Mathematics Teaching Area Stream (MTch Sec)</v>
      </c>
      <c r="E71" s="80">
        <f>TableMJRPTCHSC[[#This Row],[Credit Points]]</f>
        <v>50</v>
      </c>
      <c r="F71">
        <v>14</v>
      </c>
      <c r="G71" t="s">
        <v>428</v>
      </c>
      <c r="H71">
        <v>2</v>
      </c>
      <c r="I71" t="s">
        <v>425</v>
      </c>
      <c r="J71" t="s">
        <v>259</v>
      </c>
      <c r="K71" s="1">
        <v>1</v>
      </c>
      <c r="L71" t="s">
        <v>410</v>
      </c>
      <c r="M71">
        <v>50</v>
      </c>
      <c r="N71" s="147">
        <v>44562</v>
      </c>
      <c r="O71" s="147"/>
      <c r="Q71" t="s">
        <v>259</v>
      </c>
      <c r="R71">
        <v>1</v>
      </c>
    </row>
    <row r="72" spans="1:18" x14ac:dyDescent="0.25">
      <c r="A72" t="str">
        <f>TableMJRPTCHSC[[#This Row],[Study Package Code]]</f>
        <v>STRP-SCSCI</v>
      </c>
      <c r="B72" s="1">
        <f>TableMJRPTCHSC[[#This Row],[Ver]]</f>
        <v>1</v>
      </c>
      <c r="D72" t="str">
        <f>TableMJRPTCHSC[[#This Row],[Structure Line]]</f>
        <v>Science Teaching Area Stream (MTch Sec)</v>
      </c>
      <c r="E72" s="80">
        <f>TableMJRPTCHSC[[#This Row],[Credit Points]]</f>
        <v>50</v>
      </c>
      <c r="F72">
        <v>14</v>
      </c>
      <c r="G72" t="s">
        <v>428</v>
      </c>
      <c r="H72">
        <v>2</v>
      </c>
      <c r="I72" t="s">
        <v>425</v>
      </c>
      <c r="J72" t="s">
        <v>261</v>
      </c>
      <c r="K72" s="1">
        <v>1</v>
      </c>
      <c r="L72" t="s">
        <v>411</v>
      </c>
      <c r="M72">
        <v>50</v>
      </c>
      <c r="N72" s="147">
        <v>44562</v>
      </c>
      <c r="O72" s="147"/>
      <c r="Q72" t="s">
        <v>261</v>
      </c>
      <c r="R72">
        <v>1</v>
      </c>
    </row>
    <row r="73" spans="1:18" x14ac:dyDescent="0.25">
      <c r="B73"/>
      <c r="E73"/>
      <c r="F73" s="77"/>
      <c r="G73" s="78" t="s">
        <v>413</v>
      </c>
      <c r="H73" s="171">
        <v>44562</v>
      </c>
      <c r="J73" s="170" t="s">
        <v>46</v>
      </c>
      <c r="K73" s="79" t="s">
        <v>79</v>
      </c>
      <c r="L73" s="77" t="s">
        <v>404</v>
      </c>
    </row>
    <row r="74" spans="1:18" x14ac:dyDescent="0.25">
      <c r="A74" t="s">
        <v>0</v>
      </c>
      <c r="B74" s="1" t="s">
        <v>73</v>
      </c>
      <c r="C74" t="s">
        <v>414</v>
      </c>
      <c r="D74" t="s">
        <v>3</v>
      </c>
      <c r="E74" s="80" t="s">
        <v>415</v>
      </c>
      <c r="F74" t="s">
        <v>416</v>
      </c>
      <c r="G74" t="s">
        <v>417</v>
      </c>
      <c r="H74" t="s">
        <v>418</v>
      </c>
      <c r="I74" t="s">
        <v>21</v>
      </c>
      <c r="J74" t="s">
        <v>419</v>
      </c>
      <c r="K74" s="1" t="s">
        <v>1</v>
      </c>
      <c r="L74" t="s">
        <v>56</v>
      </c>
      <c r="M74" t="s">
        <v>74</v>
      </c>
      <c r="N74" s="168" t="s">
        <v>420</v>
      </c>
      <c r="O74" s="168" t="s">
        <v>421</v>
      </c>
      <c r="Q74" t="s">
        <v>422</v>
      </c>
      <c r="R74" t="s">
        <v>423</v>
      </c>
    </row>
    <row r="75" spans="1:18" x14ac:dyDescent="0.25">
      <c r="A75" t="str">
        <f>TableSTRPSCART[[#This Row],[Study Package Code]]</f>
        <v>EDSC5023</v>
      </c>
      <c r="B75" s="1">
        <f>TableSTRPSCART[[#This Row],[Ver]]</f>
        <v>2</v>
      </c>
      <c r="D75" t="str">
        <f>TableSTRPSCART[[#This Row],[Structure Line]]</f>
        <v>Curriculum and Instruction Lower Secondary: The Arts</v>
      </c>
      <c r="E75" s="80">
        <f>TableSTRPSCART[[#This Row],[Credit Points]]</f>
        <v>25</v>
      </c>
      <c r="F75">
        <v>1</v>
      </c>
      <c r="G75" t="s">
        <v>424</v>
      </c>
      <c r="H75">
        <v>1</v>
      </c>
      <c r="I75" t="s">
        <v>425</v>
      </c>
      <c r="J75" t="s">
        <v>271</v>
      </c>
      <c r="K75" s="1">
        <v>2</v>
      </c>
      <c r="L75" t="s">
        <v>339</v>
      </c>
      <c r="M75">
        <v>25</v>
      </c>
      <c r="N75" s="147">
        <v>44562</v>
      </c>
      <c r="O75" s="147"/>
      <c r="Q75" t="s">
        <v>271</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80">
        <f>TableSTRPSCART[[#This Row],[Credit Points]]</f>
        <v>25</v>
      </c>
      <c r="F76">
        <v>2</v>
      </c>
      <c r="G76" t="s">
        <v>424</v>
      </c>
      <c r="H76">
        <v>2</v>
      </c>
      <c r="I76" t="s">
        <v>425</v>
      </c>
      <c r="J76" t="s">
        <v>278</v>
      </c>
      <c r="K76" s="1">
        <v>2</v>
      </c>
      <c r="L76" t="s">
        <v>347</v>
      </c>
      <c r="M76">
        <v>25</v>
      </c>
      <c r="N76" s="147">
        <v>43831</v>
      </c>
      <c r="O76" s="147"/>
      <c r="Q76" t="s">
        <v>278</v>
      </c>
      <c r="R76">
        <v>2</v>
      </c>
    </row>
    <row r="77" spans="1:18" x14ac:dyDescent="0.25">
      <c r="B77"/>
      <c r="E77"/>
      <c r="F77" s="77"/>
      <c r="G77" s="78" t="s">
        <v>413</v>
      </c>
      <c r="H77" s="171">
        <v>44562</v>
      </c>
      <c r="J77" s="170" t="s">
        <v>252</v>
      </c>
      <c r="K77" s="79" t="s">
        <v>79</v>
      </c>
      <c r="L77" s="77" t="s">
        <v>406</v>
      </c>
    </row>
    <row r="78" spans="1:18" x14ac:dyDescent="0.25">
      <c r="A78" t="s">
        <v>0</v>
      </c>
      <c r="B78" s="1" t="s">
        <v>73</v>
      </c>
      <c r="C78" t="s">
        <v>414</v>
      </c>
      <c r="D78" t="s">
        <v>3</v>
      </c>
      <c r="E78" s="80" t="s">
        <v>415</v>
      </c>
      <c r="F78" t="s">
        <v>416</v>
      </c>
      <c r="G78" t="s">
        <v>417</v>
      </c>
      <c r="H78" t="s">
        <v>418</v>
      </c>
      <c r="I78" t="s">
        <v>21</v>
      </c>
      <c r="J78" t="s">
        <v>419</v>
      </c>
      <c r="K78" s="1" t="s">
        <v>1</v>
      </c>
      <c r="L78" t="s">
        <v>56</v>
      </c>
      <c r="M78" t="s">
        <v>74</v>
      </c>
      <c r="N78" s="168" t="s">
        <v>420</v>
      </c>
      <c r="O78" s="168" t="s">
        <v>421</v>
      </c>
      <c r="Q78" t="s">
        <v>422</v>
      </c>
      <c r="R78" t="s">
        <v>423</v>
      </c>
    </row>
    <row r="79" spans="1:18" x14ac:dyDescent="0.25">
      <c r="A79" t="str">
        <f>TableSTRPSCENG[[#This Row],[Study Package Code]]</f>
        <v>EDSC5053</v>
      </c>
      <c r="B79" s="1">
        <f>TableSTRPSCENG[[#This Row],[Ver]]</f>
        <v>1</v>
      </c>
      <c r="D79" t="str">
        <f>TableSTRPSCENG[[#This Row],[Structure Line]]</f>
        <v>Curriculum and Instruction Senior Secondary: English</v>
      </c>
      <c r="E79" s="80">
        <f>TableSTRPSCENG[[#This Row],[Credit Points]]</f>
        <v>25</v>
      </c>
      <c r="F79">
        <v>1</v>
      </c>
      <c r="G79" t="s">
        <v>424</v>
      </c>
      <c r="H79">
        <v>1</v>
      </c>
      <c r="I79" t="s">
        <v>425</v>
      </c>
      <c r="J79" t="s">
        <v>279</v>
      </c>
      <c r="K79" s="1">
        <v>1</v>
      </c>
      <c r="L79" t="s">
        <v>352</v>
      </c>
      <c r="M79">
        <v>25</v>
      </c>
      <c r="N79" s="147">
        <v>43831</v>
      </c>
      <c r="O79" s="147"/>
      <c r="Q79" t="s">
        <v>279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80">
        <f>TableSTRPSCENG[[#This Row],[Credit Points]]</f>
        <v>25</v>
      </c>
      <c r="F80">
        <v>2</v>
      </c>
      <c r="G80" t="s">
        <v>424</v>
      </c>
      <c r="H80">
        <v>2</v>
      </c>
      <c r="I80" t="s">
        <v>425</v>
      </c>
      <c r="J80" t="s">
        <v>272</v>
      </c>
      <c r="K80" s="1">
        <v>1</v>
      </c>
      <c r="L80" t="s">
        <v>340</v>
      </c>
      <c r="M80">
        <v>25</v>
      </c>
      <c r="N80" s="147">
        <v>43101</v>
      </c>
      <c r="O80" s="147"/>
      <c r="Q80" t="s">
        <v>272</v>
      </c>
      <c r="R80">
        <v>1</v>
      </c>
    </row>
    <row r="81" spans="1:18" x14ac:dyDescent="0.25">
      <c r="B81"/>
      <c r="E81"/>
      <c r="F81" s="77"/>
      <c r="G81" s="78" t="s">
        <v>413</v>
      </c>
      <c r="H81" s="171">
        <v>44562</v>
      </c>
      <c r="J81" s="170" t="s">
        <v>254</v>
      </c>
      <c r="K81" s="79" t="s">
        <v>79</v>
      </c>
      <c r="L81" s="77" t="s">
        <v>408</v>
      </c>
    </row>
    <row r="82" spans="1:18" x14ac:dyDescent="0.25">
      <c r="A82" t="s">
        <v>0</v>
      </c>
      <c r="B82" s="1" t="s">
        <v>73</v>
      </c>
      <c r="C82" t="s">
        <v>414</v>
      </c>
      <c r="D82" t="s">
        <v>3</v>
      </c>
      <c r="E82" s="80" t="s">
        <v>415</v>
      </c>
      <c r="F82" t="s">
        <v>416</v>
      </c>
      <c r="G82" t="s">
        <v>417</v>
      </c>
      <c r="H82" t="s">
        <v>418</v>
      </c>
      <c r="I82" t="s">
        <v>21</v>
      </c>
      <c r="J82" t="s">
        <v>419</v>
      </c>
      <c r="K82" s="1" t="s">
        <v>1</v>
      </c>
      <c r="L82" t="s">
        <v>56</v>
      </c>
      <c r="M82" t="s">
        <v>74</v>
      </c>
      <c r="N82" s="168" t="s">
        <v>420</v>
      </c>
      <c r="O82" s="168" t="s">
        <v>421</v>
      </c>
      <c r="Q82" t="s">
        <v>422</v>
      </c>
      <c r="R82" t="s">
        <v>423</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80">
        <f>TableSTRPSCHLP[[#This Row],[Credit Points]]</f>
        <v>25</v>
      </c>
      <c r="F83">
        <v>1</v>
      </c>
      <c r="G83" t="s">
        <v>424</v>
      </c>
      <c r="H83">
        <v>1</v>
      </c>
      <c r="I83" t="s">
        <v>425</v>
      </c>
      <c r="J83" t="s">
        <v>273</v>
      </c>
      <c r="K83" s="1">
        <v>1</v>
      </c>
      <c r="L83" t="s">
        <v>353</v>
      </c>
      <c r="M83">
        <v>25</v>
      </c>
      <c r="N83" s="147">
        <v>43831</v>
      </c>
      <c r="O83" s="147"/>
      <c r="Q83" t="s">
        <v>273</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80">
        <f>TableSTRPSCHLP[[#This Row],[Credit Points]]</f>
        <v>25</v>
      </c>
      <c r="F84">
        <v>2</v>
      </c>
      <c r="G84" t="s">
        <v>424</v>
      </c>
      <c r="H84">
        <v>2</v>
      </c>
      <c r="I84" t="s">
        <v>425</v>
      </c>
      <c r="J84" t="s">
        <v>280</v>
      </c>
      <c r="K84" s="1">
        <v>1</v>
      </c>
      <c r="L84" t="s">
        <v>354</v>
      </c>
      <c r="M84">
        <v>25</v>
      </c>
      <c r="N84" s="147">
        <v>43831</v>
      </c>
      <c r="O84" s="147"/>
      <c r="Q84" t="s">
        <v>280</v>
      </c>
      <c r="R84">
        <v>1</v>
      </c>
    </row>
    <row r="85" spans="1:18" x14ac:dyDescent="0.25">
      <c r="B85"/>
      <c r="E85"/>
      <c r="F85" s="77"/>
      <c r="G85" s="78" t="s">
        <v>413</v>
      </c>
      <c r="H85" s="171">
        <v>44562</v>
      </c>
      <c r="J85" s="170" t="s">
        <v>257</v>
      </c>
      <c r="K85" s="79" t="s">
        <v>79</v>
      </c>
      <c r="L85" s="77" t="s">
        <v>409</v>
      </c>
    </row>
    <row r="86" spans="1:18" x14ac:dyDescent="0.25">
      <c r="A86" t="s">
        <v>0</v>
      </c>
      <c r="B86" s="1" t="s">
        <v>73</v>
      </c>
      <c r="C86" t="s">
        <v>414</v>
      </c>
      <c r="D86" t="s">
        <v>3</v>
      </c>
      <c r="E86" s="80" t="s">
        <v>415</v>
      </c>
      <c r="F86" t="s">
        <v>416</v>
      </c>
      <c r="G86" t="s">
        <v>417</v>
      </c>
      <c r="H86" t="s">
        <v>418</v>
      </c>
      <c r="I86" t="s">
        <v>21</v>
      </c>
      <c r="J86" t="s">
        <v>419</v>
      </c>
      <c r="K86" s="1" t="s">
        <v>1</v>
      </c>
      <c r="L86" t="s">
        <v>56</v>
      </c>
      <c r="M86" t="s">
        <v>74</v>
      </c>
      <c r="N86" s="168" t="s">
        <v>420</v>
      </c>
      <c r="O86" s="168" t="s">
        <v>421</v>
      </c>
      <c r="Q86" t="s">
        <v>422</v>
      </c>
      <c r="R86" t="s">
        <v>423</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80">
        <f>TableSTRPSCHUS[[#This Row],[Credit Points]]</f>
        <v>25</v>
      </c>
      <c r="F87">
        <v>1</v>
      </c>
      <c r="G87" t="s">
        <v>424</v>
      </c>
      <c r="H87">
        <v>1</v>
      </c>
      <c r="I87" t="s">
        <v>425</v>
      </c>
      <c r="J87" t="s">
        <v>274</v>
      </c>
      <c r="K87" s="1">
        <v>1</v>
      </c>
      <c r="L87" t="s">
        <v>341</v>
      </c>
      <c r="M87">
        <v>25</v>
      </c>
      <c r="N87" s="147">
        <v>43101</v>
      </c>
      <c r="O87" s="147"/>
      <c r="Q87" t="s">
        <v>274</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80">
        <f>TableSTRPSCHUS[[#This Row],[Credit Points]]</f>
        <v>25</v>
      </c>
      <c r="F88">
        <v>2</v>
      </c>
      <c r="G88" t="s">
        <v>424</v>
      </c>
      <c r="H88">
        <v>2</v>
      </c>
      <c r="I88" t="s">
        <v>425</v>
      </c>
      <c r="J88" t="s">
        <v>281</v>
      </c>
      <c r="K88" s="1">
        <v>2</v>
      </c>
      <c r="L88" t="s">
        <v>348</v>
      </c>
      <c r="M88">
        <v>25</v>
      </c>
      <c r="N88" s="147">
        <v>43831</v>
      </c>
      <c r="O88" s="147"/>
      <c r="Q88" t="s">
        <v>281</v>
      </c>
      <c r="R88">
        <v>2</v>
      </c>
    </row>
    <row r="89" spans="1:18" x14ac:dyDescent="0.25">
      <c r="B89"/>
      <c r="E89"/>
      <c r="F89" s="77"/>
      <c r="G89" s="78" t="s">
        <v>413</v>
      </c>
      <c r="H89" s="171">
        <v>44562</v>
      </c>
      <c r="J89" s="170" t="s">
        <v>259</v>
      </c>
      <c r="K89" s="79" t="s">
        <v>79</v>
      </c>
      <c r="L89" s="77" t="s">
        <v>410</v>
      </c>
    </row>
    <row r="90" spans="1:18" x14ac:dyDescent="0.25">
      <c r="A90" t="s">
        <v>0</v>
      </c>
      <c r="B90" s="1" t="s">
        <v>73</v>
      </c>
      <c r="C90" t="s">
        <v>414</v>
      </c>
      <c r="D90" t="s">
        <v>3</v>
      </c>
      <c r="E90" s="80" t="s">
        <v>415</v>
      </c>
      <c r="F90" t="s">
        <v>416</v>
      </c>
      <c r="G90" t="s">
        <v>417</v>
      </c>
      <c r="H90" t="s">
        <v>418</v>
      </c>
      <c r="I90" t="s">
        <v>21</v>
      </c>
      <c r="J90" t="s">
        <v>419</v>
      </c>
      <c r="K90" s="1" t="s">
        <v>1</v>
      </c>
      <c r="L90" t="s">
        <v>56</v>
      </c>
      <c r="M90" t="s">
        <v>74</v>
      </c>
      <c r="N90" s="168" t="s">
        <v>420</v>
      </c>
      <c r="O90" s="168" t="s">
        <v>421</v>
      </c>
      <c r="Q90" t="s">
        <v>422</v>
      </c>
      <c r="R90" t="s">
        <v>423</v>
      </c>
    </row>
    <row r="91" spans="1:18" x14ac:dyDescent="0.25">
      <c r="A91" t="str">
        <f>TableSTRPSCMAT[[#This Row],[Study Package Code]]</f>
        <v>EDSC5026</v>
      </c>
      <c r="B91" s="1">
        <f>TableSTRPSCMAT[[#This Row],[Ver]]</f>
        <v>1</v>
      </c>
      <c r="D91" t="str">
        <f>TableSTRPSCMAT[[#This Row],[Structure Line]]</f>
        <v>Curriculum and Instruction Lower Secondary: Mathematics</v>
      </c>
      <c r="E91" s="80">
        <f>TableSTRPSCMAT[[#This Row],[Credit Points]]</f>
        <v>25</v>
      </c>
      <c r="F91">
        <v>1</v>
      </c>
      <c r="G91" t="s">
        <v>424</v>
      </c>
      <c r="H91">
        <v>1</v>
      </c>
      <c r="I91" t="s">
        <v>425</v>
      </c>
      <c r="J91" t="s">
        <v>275</v>
      </c>
      <c r="K91" s="1">
        <v>1</v>
      </c>
      <c r="L91" t="s">
        <v>342</v>
      </c>
      <c r="M91">
        <v>25</v>
      </c>
      <c r="N91" s="147">
        <v>43101</v>
      </c>
      <c r="O91" s="147"/>
      <c r="Q91" t="s">
        <v>275</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80">
        <f>TableSTRPSCMAT[[#This Row],[Credit Points]]</f>
        <v>25</v>
      </c>
      <c r="F92">
        <v>2</v>
      </c>
      <c r="G92" t="s">
        <v>424</v>
      </c>
      <c r="H92">
        <v>2</v>
      </c>
      <c r="I92" t="s">
        <v>425</v>
      </c>
      <c r="J92" t="s">
        <v>282</v>
      </c>
      <c r="K92" s="1">
        <v>2</v>
      </c>
      <c r="L92" t="s">
        <v>349</v>
      </c>
      <c r="M92">
        <v>25</v>
      </c>
      <c r="N92" s="147">
        <v>43831</v>
      </c>
      <c r="O92" s="147"/>
      <c r="Q92" t="s">
        <v>282</v>
      </c>
      <c r="R92">
        <v>2</v>
      </c>
    </row>
    <row r="93" spans="1:18" x14ac:dyDescent="0.25">
      <c r="B93"/>
      <c r="E93"/>
      <c r="F93" s="77"/>
      <c r="G93" s="78" t="s">
        <v>413</v>
      </c>
      <c r="H93" s="171">
        <v>44562</v>
      </c>
      <c r="J93" s="170" t="s">
        <v>261</v>
      </c>
      <c r="K93" s="79" t="s">
        <v>79</v>
      </c>
      <c r="L93" s="77" t="s">
        <v>411</v>
      </c>
    </row>
    <row r="94" spans="1:18" x14ac:dyDescent="0.25">
      <c r="A94" t="s">
        <v>0</v>
      </c>
      <c r="B94" s="1" t="s">
        <v>73</v>
      </c>
      <c r="C94" t="s">
        <v>414</v>
      </c>
      <c r="D94" t="s">
        <v>3</v>
      </c>
      <c r="E94" s="80" t="s">
        <v>415</v>
      </c>
      <c r="F94" t="s">
        <v>416</v>
      </c>
      <c r="G94" t="s">
        <v>417</v>
      </c>
      <c r="H94" t="s">
        <v>418</v>
      </c>
      <c r="I94" t="s">
        <v>21</v>
      </c>
      <c r="J94" t="s">
        <v>419</v>
      </c>
      <c r="K94" s="1" t="s">
        <v>1</v>
      </c>
      <c r="L94" t="s">
        <v>56</v>
      </c>
      <c r="M94" t="s">
        <v>74</v>
      </c>
      <c r="N94" s="168" t="s">
        <v>420</v>
      </c>
      <c r="O94" s="168" t="s">
        <v>421</v>
      </c>
      <c r="Q94" t="s">
        <v>422</v>
      </c>
      <c r="R94" t="s">
        <v>423</v>
      </c>
    </row>
    <row r="95" spans="1:18" x14ac:dyDescent="0.25">
      <c r="A95" t="str">
        <f>TableSTRPSCSCI[[#This Row],[Study Package Code]]</f>
        <v>EDSC5027</v>
      </c>
      <c r="B95" s="1">
        <f>TableSTRPSCSCI[[#This Row],[Ver]]</f>
        <v>1</v>
      </c>
      <c r="D95" t="str">
        <f>TableSTRPSCSCI[[#This Row],[Structure Line]]</f>
        <v>Curriculum and Instruction Lower Secondary: Science</v>
      </c>
      <c r="E95" s="80">
        <f>TableSTRPSCSCI[[#This Row],[Credit Points]]</f>
        <v>25</v>
      </c>
      <c r="F95">
        <v>1</v>
      </c>
      <c r="G95" t="s">
        <v>424</v>
      </c>
      <c r="H95">
        <v>1</v>
      </c>
      <c r="I95" t="s">
        <v>425</v>
      </c>
      <c r="J95" t="s">
        <v>276</v>
      </c>
      <c r="K95" s="1">
        <v>1</v>
      </c>
      <c r="L95" t="s">
        <v>343</v>
      </c>
      <c r="M95">
        <v>25</v>
      </c>
      <c r="N95" s="147">
        <v>43101</v>
      </c>
      <c r="O95" s="147"/>
      <c r="Q95" t="s">
        <v>276</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80">
        <f>TableSTRPSCSCI[[#This Row],[Credit Points]]</f>
        <v>25</v>
      </c>
      <c r="F96">
        <v>2</v>
      </c>
      <c r="G96" t="s">
        <v>424</v>
      </c>
      <c r="H96">
        <v>2</v>
      </c>
      <c r="I96" t="s">
        <v>425</v>
      </c>
      <c r="J96" t="s">
        <v>283</v>
      </c>
      <c r="K96" s="1">
        <v>2</v>
      </c>
      <c r="L96" t="s">
        <v>350</v>
      </c>
      <c r="M96">
        <v>25</v>
      </c>
      <c r="N96" s="147">
        <v>43831</v>
      </c>
      <c r="O96" s="147"/>
      <c r="Q96" t="s">
        <v>283</v>
      </c>
      <c r="R96">
        <v>2</v>
      </c>
    </row>
    <row r="97" spans="1:18" x14ac:dyDescent="0.25">
      <c r="B97"/>
      <c r="E97"/>
      <c r="F97" s="77"/>
      <c r="G97" s="78" t="s">
        <v>413</v>
      </c>
      <c r="H97" s="171">
        <v>44562</v>
      </c>
      <c r="J97" s="170" t="s">
        <v>250</v>
      </c>
      <c r="K97" s="79" t="s">
        <v>79</v>
      </c>
      <c r="L97" s="77" t="s">
        <v>407</v>
      </c>
    </row>
    <row r="98" spans="1:18" x14ac:dyDescent="0.25">
      <c r="A98" t="s">
        <v>0</v>
      </c>
      <c r="B98" s="1" t="s">
        <v>73</v>
      </c>
      <c r="C98" t="s">
        <v>414</v>
      </c>
      <c r="D98" t="s">
        <v>3</v>
      </c>
      <c r="E98" s="80" t="s">
        <v>415</v>
      </c>
      <c r="F98" t="s">
        <v>416</v>
      </c>
      <c r="G98" t="s">
        <v>417</v>
      </c>
      <c r="H98" t="s">
        <v>418</v>
      </c>
      <c r="I98" t="s">
        <v>21</v>
      </c>
      <c r="J98" t="s">
        <v>419</v>
      </c>
      <c r="K98" s="1" t="s">
        <v>1</v>
      </c>
      <c r="L98" t="s">
        <v>56</v>
      </c>
      <c r="M98" t="s">
        <v>74</v>
      </c>
      <c r="N98" s="168" t="s">
        <v>420</v>
      </c>
      <c r="O98" s="168" t="s">
        <v>421</v>
      </c>
      <c r="Q98" t="s">
        <v>422</v>
      </c>
      <c r="R98" t="s">
        <v>423</v>
      </c>
    </row>
    <row r="99" spans="1:18" x14ac:dyDescent="0.25">
      <c r="A99" t="str">
        <f>TableSTRPSCFON[[#This Row],[Study Package Code]]</f>
        <v>EDUC5033</v>
      </c>
      <c r="B99" s="1">
        <f>TableSTRPSCFON[[#This Row],[Ver]]</f>
        <v>1</v>
      </c>
      <c r="D99" t="str">
        <f>TableSTRPSCFON[[#This Row],[Structure Line]]</f>
        <v>Mentoring, Coaching and Tutoring</v>
      </c>
      <c r="E99" s="80">
        <f>TableSTRPSCFON[[#This Row],[Credit Points]]</f>
        <v>25</v>
      </c>
      <c r="F99">
        <v>1</v>
      </c>
      <c r="G99" t="s">
        <v>424</v>
      </c>
      <c r="H99">
        <v>1</v>
      </c>
      <c r="I99" t="s">
        <v>425</v>
      </c>
      <c r="J99" t="s">
        <v>169</v>
      </c>
      <c r="K99" s="1">
        <v>1</v>
      </c>
      <c r="L99" t="s">
        <v>366</v>
      </c>
      <c r="M99">
        <v>25</v>
      </c>
      <c r="N99" s="147">
        <v>44562</v>
      </c>
      <c r="O99" s="147"/>
      <c r="Q99" t="s">
        <v>169</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80">
        <f>TableSTRPSCFON[[#This Row],[Credit Points]]</f>
        <v>25</v>
      </c>
      <c r="F100">
        <v>2</v>
      </c>
      <c r="G100" t="s">
        <v>424</v>
      </c>
      <c r="H100">
        <v>2</v>
      </c>
      <c r="I100" t="s">
        <v>425</v>
      </c>
      <c r="J100" t="s">
        <v>290</v>
      </c>
      <c r="K100" s="1">
        <v>1</v>
      </c>
      <c r="L100" t="s">
        <v>355</v>
      </c>
      <c r="M100">
        <v>25</v>
      </c>
      <c r="N100" s="147">
        <v>44562</v>
      </c>
      <c r="O100" s="147"/>
      <c r="Q100" t="s">
        <v>290</v>
      </c>
      <c r="R100">
        <v>1</v>
      </c>
    </row>
    <row r="101" spans="1:18" x14ac:dyDescent="0.25">
      <c r="B101"/>
      <c r="E101"/>
    </row>
    <row r="102" spans="1:18" x14ac:dyDescent="0.25">
      <c r="B102"/>
      <c r="E102"/>
      <c r="F102" s="77"/>
      <c r="G102" s="78" t="s">
        <v>413</v>
      </c>
      <c r="H102" s="171">
        <v>43831</v>
      </c>
      <c r="J102" s="170" t="s">
        <v>112</v>
      </c>
      <c r="K102" s="79" t="s">
        <v>91</v>
      </c>
      <c r="L102" s="77" t="s">
        <v>39</v>
      </c>
    </row>
    <row r="103" spans="1:18" x14ac:dyDescent="0.25">
      <c r="A103" t="s">
        <v>0</v>
      </c>
      <c r="B103" s="1" t="s">
        <v>73</v>
      </c>
      <c r="C103" t="s">
        <v>414</v>
      </c>
      <c r="D103" t="s">
        <v>3</v>
      </c>
      <c r="E103" s="80" t="s">
        <v>415</v>
      </c>
      <c r="F103" t="s">
        <v>416</v>
      </c>
      <c r="G103" t="s">
        <v>417</v>
      </c>
      <c r="H103" t="s">
        <v>418</v>
      </c>
      <c r="I103" t="s">
        <v>21</v>
      </c>
      <c r="J103" t="s">
        <v>419</v>
      </c>
      <c r="K103" s="1" t="s">
        <v>1</v>
      </c>
      <c r="L103" t="s">
        <v>56</v>
      </c>
      <c r="M103" t="s">
        <v>74</v>
      </c>
      <c r="N103" s="168" t="s">
        <v>420</v>
      </c>
      <c r="O103" s="168" t="s">
        <v>421</v>
      </c>
      <c r="Q103" t="s">
        <v>422</v>
      </c>
      <c r="R103" t="s">
        <v>423</v>
      </c>
    </row>
    <row r="104" spans="1:18" x14ac:dyDescent="0.25">
      <c r="A104" t="str">
        <f>TableMCTESOL[[#This Row],[Study Package Code]]</f>
        <v>EDUC5006</v>
      </c>
      <c r="B104" s="1">
        <f>TableMCTESOL[[#This Row],[Ver]]</f>
        <v>1</v>
      </c>
      <c r="D104" t="str">
        <f>TableMCTESOL[[#This Row],[Structure Line]]</f>
        <v>Creative Technologies</v>
      </c>
      <c r="E104" s="80">
        <f>TableMCTESOL[[#This Row],[Credit Points]]</f>
        <v>25</v>
      </c>
      <c r="F104">
        <v>1</v>
      </c>
      <c r="G104" t="s">
        <v>424</v>
      </c>
      <c r="H104">
        <v>1</v>
      </c>
      <c r="I104" t="s">
        <v>425</v>
      </c>
      <c r="J104" t="s">
        <v>87</v>
      </c>
      <c r="K104" s="1">
        <v>1</v>
      </c>
      <c r="L104" t="s">
        <v>358</v>
      </c>
      <c r="M104">
        <v>25</v>
      </c>
      <c r="N104" s="147">
        <v>43101</v>
      </c>
      <c r="O104" s="147"/>
      <c r="Q104" t="s">
        <v>87</v>
      </c>
      <c r="R104">
        <v>1</v>
      </c>
    </row>
    <row r="105" spans="1:18" x14ac:dyDescent="0.25">
      <c r="A105" t="str">
        <f>TableMCTESOL[[#This Row],[Study Package Code]]</f>
        <v>EDUC5019</v>
      </c>
      <c r="B105" s="1">
        <f>TableMCTESOL[[#This Row],[Ver]]</f>
        <v>1</v>
      </c>
      <c r="D105" t="str">
        <f>TableMCTESOL[[#This Row],[Structure Line]]</f>
        <v>Introduction to Language</v>
      </c>
      <c r="E105" s="80">
        <f>TableMCTESOL[[#This Row],[Credit Points]]</f>
        <v>25</v>
      </c>
      <c r="F105">
        <v>2</v>
      </c>
      <c r="G105" t="s">
        <v>424</v>
      </c>
      <c r="H105">
        <v>1</v>
      </c>
      <c r="I105" t="s">
        <v>425</v>
      </c>
      <c r="J105" t="s">
        <v>157</v>
      </c>
      <c r="K105" s="1">
        <v>1</v>
      </c>
      <c r="L105" t="s">
        <v>361</v>
      </c>
      <c r="M105">
        <v>25</v>
      </c>
      <c r="N105" s="147">
        <v>42736</v>
      </c>
      <c r="O105" s="147"/>
      <c r="Q105" t="s">
        <v>157</v>
      </c>
      <c r="R105">
        <v>1</v>
      </c>
    </row>
    <row r="106" spans="1:18" x14ac:dyDescent="0.25">
      <c r="A106" t="str">
        <f>TableMCTESOL[[#This Row],[Study Package Code]]</f>
        <v>EDSC5022</v>
      </c>
      <c r="B106" s="1">
        <f>TableMCTESOL[[#This Row],[Ver]]</f>
        <v>1</v>
      </c>
      <c r="D106" t="str">
        <f>TableMCTESOL[[#This Row],[Structure Line]]</f>
        <v>Managing the Learning Environment</v>
      </c>
      <c r="E106" s="80">
        <f>TableMCTESOL[[#This Row],[Credit Points]]</f>
        <v>25</v>
      </c>
      <c r="F106">
        <v>3</v>
      </c>
      <c r="G106" t="s">
        <v>424</v>
      </c>
      <c r="H106">
        <v>1</v>
      </c>
      <c r="I106" t="s">
        <v>425</v>
      </c>
      <c r="J106" t="s">
        <v>173</v>
      </c>
      <c r="K106" s="1">
        <v>1</v>
      </c>
      <c r="L106" t="s">
        <v>338</v>
      </c>
      <c r="M106">
        <v>25</v>
      </c>
      <c r="N106" s="147">
        <v>43101</v>
      </c>
      <c r="O106" s="147"/>
      <c r="Q106" t="s">
        <v>173</v>
      </c>
      <c r="R106">
        <v>1</v>
      </c>
    </row>
    <row r="107" spans="1:18" x14ac:dyDescent="0.25">
      <c r="A107" t="str">
        <f>TableMCTESOL[[#This Row],[Study Package Code]]</f>
        <v>EDUC5021</v>
      </c>
      <c r="B107" s="1">
        <f>TableMCTESOL[[#This Row],[Ver]]</f>
        <v>1</v>
      </c>
      <c r="D107" t="str">
        <f>TableMCTESOL[[#This Row],[Structure Line]]</f>
        <v>Materials Design and Assessment</v>
      </c>
      <c r="E107" s="80">
        <f>TableMCTESOL[[#This Row],[Credit Points]]</f>
        <v>25</v>
      </c>
      <c r="F107">
        <v>4</v>
      </c>
      <c r="G107" t="s">
        <v>424</v>
      </c>
      <c r="H107">
        <v>1</v>
      </c>
      <c r="I107" t="s">
        <v>425</v>
      </c>
      <c r="J107" t="s">
        <v>156</v>
      </c>
      <c r="K107" s="1">
        <v>1</v>
      </c>
      <c r="L107" t="s">
        <v>362</v>
      </c>
      <c r="M107">
        <v>25</v>
      </c>
      <c r="N107" s="147">
        <v>42736</v>
      </c>
      <c r="O107" s="147"/>
      <c r="Q107" t="s">
        <v>156</v>
      </c>
      <c r="R107">
        <v>1</v>
      </c>
    </row>
    <row r="108" spans="1:18" x14ac:dyDescent="0.25">
      <c r="A108" t="str">
        <f>TableMCTESOL[[#This Row],[Study Package Code]]</f>
        <v>EDUC5033</v>
      </c>
      <c r="B108" s="1">
        <f>TableMCTESOL[[#This Row],[Ver]]</f>
        <v>1</v>
      </c>
      <c r="D108" t="str">
        <f>TableMCTESOL[[#This Row],[Structure Line]]</f>
        <v>Mentoring, Coaching and Tutoring</v>
      </c>
      <c r="E108" s="80">
        <f>TableMCTESOL[[#This Row],[Credit Points]]</f>
        <v>25</v>
      </c>
      <c r="F108">
        <v>5</v>
      </c>
      <c r="G108" t="s">
        <v>424</v>
      </c>
      <c r="H108">
        <v>1</v>
      </c>
      <c r="I108" t="s">
        <v>425</v>
      </c>
      <c r="J108" t="s">
        <v>169</v>
      </c>
      <c r="K108" s="1">
        <v>1</v>
      </c>
      <c r="L108" t="s">
        <v>366</v>
      </c>
      <c r="M108">
        <v>25</v>
      </c>
      <c r="N108" s="147">
        <v>44562</v>
      </c>
      <c r="O108" s="147"/>
      <c r="Q108" t="s">
        <v>169</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80">
        <f>TableMCTESOL[[#This Row],[Credit Points]]</f>
        <v>25</v>
      </c>
      <c r="F109">
        <v>6</v>
      </c>
      <c r="G109" t="s">
        <v>424</v>
      </c>
      <c r="H109">
        <v>1</v>
      </c>
      <c r="I109" t="s">
        <v>425</v>
      </c>
      <c r="J109" t="s">
        <v>162</v>
      </c>
      <c r="K109" s="1">
        <v>1</v>
      </c>
      <c r="L109" t="s">
        <v>363</v>
      </c>
      <c r="M109">
        <v>25</v>
      </c>
      <c r="N109" s="147">
        <v>42736</v>
      </c>
      <c r="O109" s="147"/>
      <c r="Q109" t="s">
        <v>162</v>
      </c>
      <c r="R109">
        <v>1</v>
      </c>
    </row>
    <row r="110" spans="1:18" x14ac:dyDescent="0.25">
      <c r="A110" t="str">
        <f>TableMCTESOL[[#This Row],[Study Package Code]]</f>
        <v>EDUC5005</v>
      </c>
      <c r="B110" s="1">
        <f>TableMCTESOL[[#This Row],[Ver]]</f>
        <v>2</v>
      </c>
      <c r="D110" t="str">
        <f>TableMCTESOL[[#This Row],[Structure Line]]</f>
        <v>Theories of Development and Learning</v>
      </c>
      <c r="E110" s="80">
        <f>TableMCTESOL[[#This Row],[Credit Points]]</f>
        <v>25</v>
      </c>
      <c r="F110">
        <v>7</v>
      </c>
      <c r="G110" t="s">
        <v>424</v>
      </c>
      <c r="H110">
        <v>1</v>
      </c>
      <c r="I110" t="s">
        <v>425</v>
      </c>
      <c r="J110" t="s">
        <v>59</v>
      </c>
      <c r="K110" s="1">
        <v>2</v>
      </c>
      <c r="L110" t="s">
        <v>357</v>
      </c>
      <c r="M110">
        <v>25</v>
      </c>
      <c r="N110" s="147">
        <v>44197</v>
      </c>
      <c r="O110" s="147"/>
      <c r="Q110" t="s">
        <v>59</v>
      </c>
      <c r="R110">
        <v>2</v>
      </c>
    </row>
    <row r="111" spans="1:18" x14ac:dyDescent="0.25">
      <c r="A111" t="str">
        <f>TableMCTESOL[[#This Row],[Study Package Code]]</f>
        <v>EDUC5025</v>
      </c>
      <c r="B111" s="1">
        <f>TableMCTESOL[[#This Row],[Ver]]</f>
        <v>1</v>
      </c>
      <c r="D111" t="str">
        <f>TableMCTESOL[[#This Row],[Structure Line]]</f>
        <v>Transcultural Communication</v>
      </c>
      <c r="E111" s="80">
        <f>TableMCTESOL[[#This Row],[Credit Points]]</f>
        <v>25</v>
      </c>
      <c r="F111">
        <v>8</v>
      </c>
      <c r="G111" t="s">
        <v>424</v>
      </c>
      <c r="H111">
        <v>1</v>
      </c>
      <c r="I111" t="s">
        <v>425</v>
      </c>
      <c r="J111" t="s">
        <v>163</v>
      </c>
      <c r="K111" s="1">
        <v>1</v>
      </c>
      <c r="L111" t="s">
        <v>364</v>
      </c>
      <c r="M111">
        <v>25</v>
      </c>
      <c r="N111" s="147">
        <v>42736</v>
      </c>
      <c r="O111" s="147"/>
      <c r="Q111" t="s">
        <v>163</v>
      </c>
      <c r="R111">
        <v>1</v>
      </c>
    </row>
    <row r="112" spans="1:18" x14ac:dyDescent="0.25">
      <c r="A112" t="str">
        <f>TableMCTESOL[[#This Row],[Study Package Code]]</f>
        <v>LING6000</v>
      </c>
      <c r="B112" s="1">
        <f>TableMCTESOL[[#This Row],[Ver]]</f>
        <v>2</v>
      </c>
      <c r="D112" t="str">
        <f>TableMCTESOL[[#This Row],[Structure Line]]</f>
        <v>Language Acquisition</v>
      </c>
      <c r="E112" s="80">
        <f>TableMCTESOL[[#This Row],[Credit Points]]</f>
        <v>25</v>
      </c>
      <c r="F112">
        <v>9</v>
      </c>
      <c r="G112" t="s">
        <v>424</v>
      </c>
      <c r="H112">
        <v>2</v>
      </c>
      <c r="I112" t="s">
        <v>425</v>
      </c>
      <c r="J112" t="s">
        <v>164</v>
      </c>
      <c r="K112" s="1">
        <v>2</v>
      </c>
      <c r="L112" t="s">
        <v>395</v>
      </c>
      <c r="M112">
        <v>25</v>
      </c>
      <c r="N112" s="147">
        <v>42736</v>
      </c>
      <c r="O112" s="147"/>
      <c r="Q112" t="s">
        <v>164</v>
      </c>
      <c r="R112">
        <v>2</v>
      </c>
    </row>
    <row r="113" spans="1:18" x14ac:dyDescent="0.25">
      <c r="A113" t="str">
        <f>TableMCTESOL[[#This Row],[Study Package Code]]</f>
        <v>LING6001</v>
      </c>
      <c r="B113" s="1">
        <f>TableMCTESOL[[#This Row],[Ver]]</f>
        <v>2</v>
      </c>
      <c r="D113" t="str">
        <f>TableMCTESOL[[#This Row],[Structure Line]]</f>
        <v>Language in Society</v>
      </c>
      <c r="E113" s="80">
        <f>TableMCTESOL[[#This Row],[Credit Points]]</f>
        <v>25</v>
      </c>
      <c r="F113">
        <v>10</v>
      </c>
      <c r="G113" t="s">
        <v>424</v>
      </c>
      <c r="H113">
        <v>2</v>
      </c>
      <c r="I113" t="s">
        <v>425</v>
      </c>
      <c r="J113" t="s">
        <v>171</v>
      </c>
      <c r="K113" s="1">
        <v>2</v>
      </c>
      <c r="L113" t="s">
        <v>396</v>
      </c>
      <c r="M113">
        <v>25</v>
      </c>
      <c r="N113" s="147">
        <v>42736</v>
      </c>
      <c r="O113" s="147"/>
      <c r="Q113" t="s">
        <v>171</v>
      </c>
      <c r="R113">
        <v>2</v>
      </c>
    </row>
    <row r="114" spans="1:18" x14ac:dyDescent="0.25">
      <c r="A114" t="str">
        <f>TableMCTESOL[[#This Row],[Study Package Code]]</f>
        <v>EDUC6027</v>
      </c>
      <c r="B114" s="1">
        <f>TableMCTESOL[[#This Row],[Ver]]</f>
        <v>1</v>
      </c>
      <c r="D114" t="str">
        <f>TableMCTESOL[[#This Row],[Structure Line]]</f>
        <v>Language Teaching Course Design and Assessment</v>
      </c>
      <c r="E114" s="80">
        <f>TableMCTESOL[[#This Row],[Credit Points]]</f>
        <v>25</v>
      </c>
      <c r="F114">
        <v>11</v>
      </c>
      <c r="G114" t="s">
        <v>424</v>
      </c>
      <c r="H114">
        <v>2</v>
      </c>
      <c r="I114" t="s">
        <v>425</v>
      </c>
      <c r="J114" t="s">
        <v>165</v>
      </c>
      <c r="K114" s="1">
        <v>1</v>
      </c>
      <c r="L114" t="s">
        <v>371</v>
      </c>
      <c r="M114">
        <v>25</v>
      </c>
      <c r="N114" s="147">
        <v>42736</v>
      </c>
      <c r="O114" s="147"/>
      <c r="Q114" t="s">
        <v>165</v>
      </c>
      <c r="R114">
        <v>1</v>
      </c>
    </row>
    <row r="115" spans="1:18" x14ac:dyDescent="0.25">
      <c r="A115" t="str">
        <f>TableMCTESOL[[#This Row],[Study Package Code]]</f>
        <v>EDUC6025</v>
      </c>
      <c r="B115" s="1">
        <f>TableMCTESOL[[#This Row],[Ver]]</f>
        <v>2</v>
      </c>
      <c r="D115" t="str">
        <f>TableMCTESOL[[#This Row],[Structure Line]]</f>
        <v>Language Teaching Methodologies</v>
      </c>
      <c r="E115" s="80">
        <f>TableMCTESOL[[#This Row],[Credit Points]]</f>
        <v>25</v>
      </c>
      <c r="F115">
        <v>12</v>
      </c>
      <c r="G115" t="s">
        <v>424</v>
      </c>
      <c r="H115">
        <v>2</v>
      </c>
      <c r="I115" t="s">
        <v>425</v>
      </c>
      <c r="J115" t="s">
        <v>166</v>
      </c>
      <c r="K115" s="1">
        <v>2</v>
      </c>
      <c r="L115" t="s">
        <v>370</v>
      </c>
      <c r="M115">
        <v>25</v>
      </c>
      <c r="N115" s="147">
        <v>44562</v>
      </c>
      <c r="O115" s="147"/>
      <c r="Q115" t="s">
        <v>166</v>
      </c>
      <c r="R115">
        <v>2</v>
      </c>
    </row>
    <row r="116" spans="1:18" x14ac:dyDescent="0.25">
      <c r="A116" t="str">
        <f>TableMCTESOL[[#This Row],[Study Package Code]]</f>
        <v>EDUC6015</v>
      </c>
      <c r="B116" s="1">
        <f>TableMCTESOL[[#This Row],[Ver]]</f>
        <v>2</v>
      </c>
      <c r="D116" t="str">
        <f>TableMCTESOL[[#This Row],[Structure Line]]</f>
        <v>Negotiated Capstone Project</v>
      </c>
      <c r="E116" s="80">
        <f>TableMCTESOL[[#This Row],[Credit Points]]</f>
        <v>50</v>
      </c>
      <c r="F116">
        <v>13</v>
      </c>
      <c r="G116" t="s">
        <v>424</v>
      </c>
      <c r="H116">
        <v>2</v>
      </c>
      <c r="I116" t="s">
        <v>425</v>
      </c>
      <c r="J116" t="s">
        <v>172</v>
      </c>
      <c r="K116" s="1">
        <v>2</v>
      </c>
      <c r="L116" t="s">
        <v>368</v>
      </c>
      <c r="M116">
        <v>50</v>
      </c>
      <c r="N116" s="147">
        <v>44562</v>
      </c>
      <c r="O116" s="147"/>
      <c r="Q116" t="s">
        <v>172</v>
      </c>
      <c r="R116">
        <v>2</v>
      </c>
    </row>
    <row r="117" spans="1:18" x14ac:dyDescent="0.25">
      <c r="A117" t="str">
        <f>TableMCTESOL[[#This Row],[Study Package Code]]</f>
        <v>EDUC6041</v>
      </c>
      <c r="B117" s="1">
        <f>TableMCTESOL[[#This Row],[Ver]]</f>
        <v>1</v>
      </c>
      <c r="D117" t="str">
        <f>TableMCTESOL[[#This Row],[Structure Line]]</f>
        <v>Research Methods in Applied Linguistics</v>
      </c>
      <c r="E117" s="80">
        <f>TableMCTESOL[[#This Row],[Credit Points]]</f>
        <v>25</v>
      </c>
      <c r="F117">
        <v>14</v>
      </c>
      <c r="G117" t="s">
        <v>424</v>
      </c>
      <c r="H117">
        <v>2</v>
      </c>
      <c r="I117" t="s">
        <v>425</v>
      </c>
      <c r="J117" t="s">
        <v>158</v>
      </c>
      <c r="K117" s="1">
        <v>1</v>
      </c>
      <c r="L117" t="s">
        <v>373</v>
      </c>
      <c r="M117">
        <v>25</v>
      </c>
      <c r="N117" s="147">
        <v>42736</v>
      </c>
      <c r="O117" s="147"/>
      <c r="Q117" t="s">
        <v>158</v>
      </c>
      <c r="R117">
        <v>1</v>
      </c>
    </row>
    <row r="118" spans="1:18" x14ac:dyDescent="0.25">
      <c r="A118" t="str">
        <f>TableMCTESOL[[#This Row],[Study Package Code]]</f>
        <v>EDUC6040</v>
      </c>
      <c r="B118" s="1">
        <f>TableMCTESOL[[#This Row],[Ver]]</f>
        <v>1</v>
      </c>
      <c r="D118" t="str">
        <f>TableMCTESOL[[#This Row],[Structure Line]]</f>
        <v>Special Topics in Applied Linguistics</v>
      </c>
      <c r="E118" s="80">
        <f>TableMCTESOL[[#This Row],[Credit Points]]</f>
        <v>25</v>
      </c>
      <c r="F118">
        <v>15</v>
      </c>
      <c r="G118" t="s">
        <v>424</v>
      </c>
      <c r="H118">
        <v>2</v>
      </c>
      <c r="I118" t="s">
        <v>425</v>
      </c>
      <c r="J118" t="s">
        <v>159</v>
      </c>
      <c r="K118" s="1">
        <v>1</v>
      </c>
      <c r="L118" t="s">
        <v>372</v>
      </c>
      <c r="M118">
        <v>25</v>
      </c>
      <c r="N118" s="147">
        <v>42736</v>
      </c>
      <c r="O118" s="147"/>
      <c r="Q118" t="s">
        <v>159</v>
      </c>
      <c r="R118">
        <v>1</v>
      </c>
    </row>
    <row r="119" spans="1:18" x14ac:dyDescent="0.25">
      <c r="B119"/>
      <c r="E119"/>
      <c r="F119" s="77"/>
      <c r="G119" s="78" t="s">
        <v>413</v>
      </c>
      <c r="H119" s="171">
        <v>42736</v>
      </c>
      <c r="J119" s="170" t="s">
        <v>96</v>
      </c>
      <c r="K119" s="79" t="s">
        <v>97</v>
      </c>
      <c r="L119" s="77" t="s">
        <v>95</v>
      </c>
    </row>
    <row r="120" spans="1:18" x14ac:dyDescent="0.25">
      <c r="A120" t="s">
        <v>0</v>
      </c>
      <c r="B120" s="1" t="s">
        <v>73</v>
      </c>
      <c r="C120" t="s">
        <v>414</v>
      </c>
      <c r="D120" t="s">
        <v>3</v>
      </c>
      <c r="E120" s="80" t="s">
        <v>415</v>
      </c>
      <c r="F120" t="s">
        <v>416</v>
      </c>
      <c r="G120" t="s">
        <v>417</v>
      </c>
      <c r="H120" t="s">
        <v>418</v>
      </c>
      <c r="I120" t="s">
        <v>21</v>
      </c>
      <c r="J120" t="s">
        <v>419</v>
      </c>
      <c r="K120" s="1" t="s">
        <v>1</v>
      </c>
      <c r="L120" t="s">
        <v>56</v>
      </c>
      <c r="M120" t="s">
        <v>74</v>
      </c>
      <c r="N120" s="168" t="s">
        <v>420</v>
      </c>
      <c r="O120" s="168" t="s">
        <v>421</v>
      </c>
      <c r="Q120" t="s">
        <v>422</v>
      </c>
      <c r="R120" t="s">
        <v>423</v>
      </c>
    </row>
    <row r="121" spans="1:18" x14ac:dyDescent="0.25">
      <c r="A121" t="str">
        <f>TableMCAPLING[[#This Row],[Study Package Code]]</f>
        <v>LING6000</v>
      </c>
      <c r="B121" s="1">
        <f>TableMCAPLING[[#This Row],[Ver]]</f>
        <v>2</v>
      </c>
      <c r="D121" t="str">
        <f>TableMCAPLING[[#This Row],[Structure Line]]</f>
        <v>Language Acquisition</v>
      </c>
      <c r="E121" s="80">
        <f>TableMCAPLING[[#This Row],[Credit Points]]</f>
        <v>25</v>
      </c>
      <c r="F121">
        <v>1</v>
      </c>
      <c r="G121" t="s">
        <v>424</v>
      </c>
      <c r="H121">
        <v>1</v>
      </c>
      <c r="I121" t="s">
        <v>425</v>
      </c>
      <c r="J121" t="s">
        <v>164</v>
      </c>
      <c r="K121" s="1">
        <v>2</v>
      </c>
      <c r="L121" t="s">
        <v>395</v>
      </c>
      <c r="M121">
        <v>25</v>
      </c>
      <c r="N121" s="147">
        <v>42736</v>
      </c>
      <c r="O121" s="147"/>
      <c r="Q121" t="s">
        <v>164</v>
      </c>
      <c r="R121">
        <v>2</v>
      </c>
    </row>
    <row r="122" spans="1:18" x14ac:dyDescent="0.25">
      <c r="A122" t="str">
        <f>TableMCAPLING[[#This Row],[Study Package Code]]</f>
        <v>EDUC6025</v>
      </c>
      <c r="B122" s="1">
        <f>TableMCAPLING[[#This Row],[Ver]]</f>
        <v>2</v>
      </c>
      <c r="D122" t="str">
        <f>TableMCAPLING[[#This Row],[Structure Line]]</f>
        <v>Language Teaching Methodologies</v>
      </c>
      <c r="E122" s="80">
        <f>TableMCAPLING[[#This Row],[Credit Points]]</f>
        <v>25</v>
      </c>
      <c r="F122">
        <v>2</v>
      </c>
      <c r="G122" t="s">
        <v>424</v>
      </c>
      <c r="H122">
        <v>1</v>
      </c>
      <c r="I122" t="s">
        <v>425</v>
      </c>
      <c r="J122" t="s">
        <v>166</v>
      </c>
      <c r="K122" s="1">
        <v>2</v>
      </c>
      <c r="L122" t="s">
        <v>370</v>
      </c>
      <c r="M122">
        <v>25</v>
      </c>
      <c r="N122" s="147">
        <v>44562</v>
      </c>
      <c r="O122" s="147"/>
      <c r="Q122" t="s">
        <v>166</v>
      </c>
      <c r="R122">
        <v>2</v>
      </c>
    </row>
    <row r="123" spans="1:18" x14ac:dyDescent="0.25">
      <c r="A123" t="str">
        <f>TableMCAPLING[[#This Row],[Study Package Code]]</f>
        <v>EDUC6041</v>
      </c>
      <c r="B123" s="1">
        <f>TableMCAPLING[[#This Row],[Ver]]</f>
        <v>1</v>
      </c>
      <c r="D123" t="str">
        <f>TableMCAPLING[[#This Row],[Structure Line]]</f>
        <v>Research Methods in Applied Linguistics</v>
      </c>
      <c r="E123" s="80">
        <f>TableMCAPLING[[#This Row],[Credit Points]]</f>
        <v>25</v>
      </c>
      <c r="F123">
        <v>3</v>
      </c>
      <c r="G123" t="s">
        <v>424</v>
      </c>
      <c r="H123">
        <v>1</v>
      </c>
      <c r="I123" t="s">
        <v>425</v>
      </c>
      <c r="J123" t="s">
        <v>158</v>
      </c>
      <c r="K123" s="1">
        <v>1</v>
      </c>
      <c r="L123" t="s">
        <v>373</v>
      </c>
      <c r="M123">
        <v>25</v>
      </c>
      <c r="N123" s="147">
        <v>42736</v>
      </c>
      <c r="O123" s="147"/>
      <c r="Q123" t="s">
        <v>158</v>
      </c>
      <c r="R123">
        <v>1</v>
      </c>
    </row>
    <row r="124" spans="1:18" x14ac:dyDescent="0.25">
      <c r="A124" t="str">
        <f>TableMCAPLING[[#This Row],[Study Package Code]]</f>
        <v>LING6001</v>
      </c>
      <c r="B124" s="1">
        <f>TableMCAPLING[[#This Row],[Ver]]</f>
        <v>2</v>
      </c>
      <c r="D124" t="str">
        <f>TableMCAPLING[[#This Row],[Structure Line]]</f>
        <v>Language in Society</v>
      </c>
      <c r="E124" s="80">
        <f>TableMCAPLING[[#This Row],[Credit Points]]</f>
        <v>25</v>
      </c>
      <c r="F124">
        <v>4</v>
      </c>
      <c r="G124" t="s">
        <v>424</v>
      </c>
      <c r="H124">
        <v>1</v>
      </c>
      <c r="I124" t="s">
        <v>425</v>
      </c>
      <c r="J124" t="s">
        <v>171</v>
      </c>
      <c r="K124" s="1">
        <v>2</v>
      </c>
      <c r="L124" t="s">
        <v>396</v>
      </c>
      <c r="M124">
        <v>25</v>
      </c>
      <c r="N124" s="147">
        <v>42736</v>
      </c>
      <c r="O124" s="147"/>
      <c r="Q124" t="s">
        <v>171</v>
      </c>
      <c r="R124">
        <v>2</v>
      </c>
    </row>
    <row r="125" spans="1:18" x14ac:dyDescent="0.25">
      <c r="A125" t="str">
        <f>TableMCAPLING[[#This Row],[Study Package Code]]</f>
        <v>EDUC6040</v>
      </c>
      <c r="B125" s="1">
        <f>TableMCAPLING[[#This Row],[Ver]]</f>
        <v>1</v>
      </c>
      <c r="D125" t="str">
        <f>TableMCAPLING[[#This Row],[Structure Line]]</f>
        <v>Special Topics in Applied Linguistics</v>
      </c>
      <c r="E125" s="80">
        <f>TableMCAPLING[[#This Row],[Credit Points]]</f>
        <v>25</v>
      </c>
      <c r="F125">
        <v>5</v>
      </c>
      <c r="G125" t="s">
        <v>424</v>
      </c>
      <c r="H125">
        <v>1</v>
      </c>
      <c r="I125" t="s">
        <v>425</v>
      </c>
      <c r="J125" t="s">
        <v>159</v>
      </c>
      <c r="K125" s="1">
        <v>1</v>
      </c>
      <c r="L125" t="s">
        <v>372</v>
      </c>
      <c r="M125">
        <v>25</v>
      </c>
      <c r="N125" s="147">
        <v>42736</v>
      </c>
      <c r="O125" s="147"/>
      <c r="Q125" t="s">
        <v>159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80">
        <f>TableMCAPLING[[#This Row],[Credit Points]]</f>
        <v>25</v>
      </c>
      <c r="F126">
        <v>6</v>
      </c>
      <c r="G126" t="s">
        <v>424</v>
      </c>
      <c r="H126">
        <v>1</v>
      </c>
      <c r="I126" t="s">
        <v>425</v>
      </c>
      <c r="J126" t="s">
        <v>165</v>
      </c>
      <c r="K126" s="1">
        <v>1</v>
      </c>
      <c r="L126" t="s">
        <v>371</v>
      </c>
      <c r="M126">
        <v>25</v>
      </c>
      <c r="N126" s="147">
        <v>42736</v>
      </c>
      <c r="O126" s="147"/>
      <c r="Q126" t="s">
        <v>165</v>
      </c>
      <c r="R126">
        <v>1</v>
      </c>
    </row>
    <row r="127" spans="1:18" x14ac:dyDescent="0.25">
      <c r="A127" t="str">
        <f>TableMCAPLING[[#This Row],[Study Package Code]]</f>
        <v>EDUC6015</v>
      </c>
      <c r="B127" s="1">
        <f>TableMCAPLING[[#This Row],[Ver]]</f>
        <v>2</v>
      </c>
      <c r="D127" t="str">
        <f>TableMCAPLING[[#This Row],[Structure Line]]</f>
        <v>Negotiated Capstone Project</v>
      </c>
      <c r="E127" s="80">
        <f>TableMCAPLING[[#This Row],[Credit Points]]</f>
        <v>50</v>
      </c>
      <c r="F127">
        <v>7</v>
      </c>
      <c r="G127" t="s">
        <v>424</v>
      </c>
      <c r="H127">
        <v>1</v>
      </c>
      <c r="I127" t="s">
        <v>425</v>
      </c>
      <c r="J127" t="s">
        <v>172</v>
      </c>
      <c r="K127" s="1">
        <v>2</v>
      </c>
      <c r="L127" t="s">
        <v>368</v>
      </c>
      <c r="M127">
        <v>50</v>
      </c>
      <c r="N127" s="147">
        <v>44562</v>
      </c>
      <c r="O127" s="147"/>
      <c r="Q127" t="s">
        <v>172</v>
      </c>
      <c r="R127">
        <v>2</v>
      </c>
    </row>
    <row r="128" spans="1:18" x14ac:dyDescent="0.25">
      <c r="B128"/>
      <c r="E128"/>
      <c r="F128" s="77"/>
      <c r="G128" s="78" t="s">
        <v>413</v>
      </c>
      <c r="H128" s="171">
        <v>42736</v>
      </c>
      <c r="J128" s="170" t="s">
        <v>90</v>
      </c>
      <c r="K128" s="79" t="s">
        <v>91</v>
      </c>
      <c r="L128" s="77" t="s">
        <v>429</v>
      </c>
    </row>
    <row r="129" spans="1:18" x14ac:dyDescent="0.25">
      <c r="A129" t="s">
        <v>0</v>
      </c>
      <c r="B129" s="1" t="s">
        <v>73</v>
      </c>
      <c r="C129" t="s">
        <v>414</v>
      </c>
      <c r="D129" t="s">
        <v>3</v>
      </c>
      <c r="E129" s="80" t="s">
        <v>415</v>
      </c>
      <c r="F129" t="s">
        <v>416</v>
      </c>
      <c r="G129" t="s">
        <v>417</v>
      </c>
      <c r="H129" t="s">
        <v>418</v>
      </c>
      <c r="I129" t="s">
        <v>21</v>
      </c>
      <c r="J129" t="s">
        <v>419</v>
      </c>
      <c r="K129" s="1" t="s">
        <v>1</v>
      </c>
      <c r="L129" t="s">
        <v>56</v>
      </c>
      <c r="M129" t="s">
        <v>74</v>
      </c>
      <c r="N129" s="168" t="s">
        <v>420</v>
      </c>
      <c r="O129" s="168" t="s">
        <v>421</v>
      </c>
      <c r="Q129" t="s">
        <v>422</v>
      </c>
      <c r="R129" t="s">
        <v>423</v>
      </c>
    </row>
    <row r="130" spans="1:18" x14ac:dyDescent="0.25">
      <c r="A130" t="str">
        <f>TableGCTESOL[[#This Row],[Study Package Code]]</f>
        <v>EDUC5019</v>
      </c>
      <c r="B130" s="1">
        <f>TableGCTESOL[[#This Row],[Ver]]</f>
        <v>1</v>
      </c>
      <c r="D130" t="str">
        <f>TableGCTESOL[[#This Row],[Structure Line]]</f>
        <v>Introduction to Language</v>
      </c>
      <c r="E130" s="80">
        <f>TableGCTESOL[[#This Row],[Credit Points]]</f>
        <v>25</v>
      </c>
      <c r="F130">
        <v>1</v>
      </c>
      <c r="G130" t="s">
        <v>424</v>
      </c>
      <c r="H130">
        <v>1</v>
      </c>
      <c r="I130" t="s">
        <v>425</v>
      </c>
      <c r="J130" t="s">
        <v>157</v>
      </c>
      <c r="K130" s="1">
        <v>1</v>
      </c>
      <c r="L130" t="s">
        <v>361</v>
      </c>
      <c r="M130">
        <v>25</v>
      </c>
      <c r="N130" s="147">
        <v>42736</v>
      </c>
      <c r="O130" s="147"/>
      <c r="Q130" t="s">
        <v>157</v>
      </c>
      <c r="R130">
        <v>1</v>
      </c>
    </row>
    <row r="131" spans="1:18" x14ac:dyDescent="0.25">
      <c r="A131" t="str">
        <f>TableGCTESOL[[#This Row],[Study Package Code]]</f>
        <v>EDUC5021</v>
      </c>
      <c r="B131" s="1">
        <f>TableGCTESOL[[#This Row],[Ver]]</f>
        <v>1</v>
      </c>
      <c r="D131" t="str">
        <f>TableGCTESOL[[#This Row],[Structure Line]]</f>
        <v>Materials Design and Assessment</v>
      </c>
      <c r="E131" s="80">
        <f>TableGCTESOL[[#This Row],[Credit Points]]</f>
        <v>25</v>
      </c>
      <c r="F131">
        <v>2</v>
      </c>
      <c r="G131" t="s">
        <v>424</v>
      </c>
      <c r="H131">
        <v>1</v>
      </c>
      <c r="I131" t="s">
        <v>425</v>
      </c>
      <c r="J131" t="s">
        <v>156</v>
      </c>
      <c r="K131" s="1">
        <v>1</v>
      </c>
      <c r="L131" t="s">
        <v>362</v>
      </c>
      <c r="M131">
        <v>25</v>
      </c>
      <c r="N131" s="147">
        <v>42736</v>
      </c>
      <c r="O131" s="147"/>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80">
        <f>TableGCTESOL[[#This Row],[Credit Points]]</f>
        <v>25</v>
      </c>
      <c r="F132">
        <v>3</v>
      </c>
      <c r="G132" t="s">
        <v>424</v>
      </c>
      <c r="H132">
        <v>1</v>
      </c>
      <c r="I132" t="s">
        <v>425</v>
      </c>
      <c r="J132" t="s">
        <v>162</v>
      </c>
      <c r="K132" s="1">
        <v>1</v>
      </c>
      <c r="L132" t="s">
        <v>363</v>
      </c>
      <c r="M132">
        <v>25</v>
      </c>
      <c r="N132" s="147">
        <v>42736</v>
      </c>
      <c r="O132" s="147"/>
      <c r="Q132" t="s">
        <v>162</v>
      </c>
      <c r="R132">
        <v>1</v>
      </c>
    </row>
    <row r="133" spans="1:18" x14ac:dyDescent="0.25">
      <c r="A133" t="str">
        <f>TableGCTESOL[[#This Row],[Study Package Code]]</f>
        <v>EDUC5025</v>
      </c>
      <c r="B133" s="1">
        <f>TableGCTESOL[[#This Row],[Ver]]</f>
        <v>1</v>
      </c>
      <c r="D133" t="str">
        <f>TableGCTESOL[[#This Row],[Structure Line]]</f>
        <v>Transcultural Communication</v>
      </c>
      <c r="E133" s="80">
        <f>TableGCTESOL[[#This Row],[Credit Points]]</f>
        <v>25</v>
      </c>
      <c r="F133">
        <v>4</v>
      </c>
      <c r="G133" t="s">
        <v>424</v>
      </c>
      <c r="H133">
        <v>1</v>
      </c>
      <c r="I133" t="s">
        <v>425</v>
      </c>
      <c r="J133" t="s">
        <v>163</v>
      </c>
      <c r="K133" s="1">
        <v>1</v>
      </c>
      <c r="L133" t="s">
        <v>364</v>
      </c>
      <c r="M133">
        <v>25</v>
      </c>
      <c r="N133" s="147">
        <v>42736</v>
      </c>
      <c r="O133" s="147"/>
      <c r="Q133" t="s">
        <v>163</v>
      </c>
      <c r="R133">
        <v>1</v>
      </c>
    </row>
    <row r="135" spans="1:18" x14ac:dyDescent="0.25">
      <c r="B135"/>
      <c r="E135"/>
      <c r="F135" s="77"/>
      <c r="G135" s="78" t="s">
        <v>413</v>
      </c>
      <c r="H135" s="171">
        <v>44197</v>
      </c>
      <c r="J135" s="170" t="s">
        <v>99</v>
      </c>
      <c r="K135" s="79" t="s">
        <v>100</v>
      </c>
      <c r="L135" s="77" t="s">
        <v>430</v>
      </c>
    </row>
    <row r="136" spans="1:18" x14ac:dyDescent="0.25">
      <c r="A136" t="s">
        <v>0</v>
      </c>
      <c r="B136" s="1" t="s">
        <v>73</v>
      </c>
      <c r="C136" t="s">
        <v>414</v>
      </c>
      <c r="D136" t="s">
        <v>3</v>
      </c>
      <c r="E136" s="80" t="s">
        <v>415</v>
      </c>
      <c r="F136" t="s">
        <v>416</v>
      </c>
      <c r="G136" t="s">
        <v>417</v>
      </c>
      <c r="H136" t="s">
        <v>418</v>
      </c>
      <c r="I136" t="s">
        <v>21</v>
      </c>
      <c r="J136" t="s">
        <v>419</v>
      </c>
      <c r="K136" s="1" t="s">
        <v>1</v>
      </c>
      <c r="L136" t="s">
        <v>56</v>
      </c>
      <c r="M136" t="s">
        <v>74</v>
      </c>
      <c r="N136" s="168" t="s">
        <v>420</v>
      </c>
      <c r="O136" s="168" t="s">
        <v>421</v>
      </c>
      <c r="Q136" t="s">
        <v>422</v>
      </c>
      <c r="R136" t="s">
        <v>423</v>
      </c>
    </row>
    <row r="137" spans="1:18" x14ac:dyDescent="0.25">
      <c r="A137" t="str">
        <f>TableMCEDUC[[#This Row],[Study Package Code]]</f>
        <v>EDUC6046</v>
      </c>
      <c r="B137" s="1">
        <f>TableMCEDUC[[#This Row],[Ver]]</f>
        <v>1</v>
      </c>
      <c r="D137" t="str">
        <f>TableMCEDUC[[#This Row],[Structure Line]]</f>
        <v>Education in the Post-Truth Era</v>
      </c>
      <c r="E137" s="80">
        <f>TableMCEDUC[[#This Row],[Credit Points]]</f>
        <v>25</v>
      </c>
      <c r="F137">
        <v>1</v>
      </c>
      <c r="G137" t="s">
        <v>424</v>
      </c>
      <c r="H137">
        <v>1</v>
      </c>
      <c r="I137" t="s">
        <v>431</v>
      </c>
      <c r="J137" t="s">
        <v>204</v>
      </c>
      <c r="K137" s="1">
        <v>1</v>
      </c>
      <c r="L137" t="s">
        <v>374</v>
      </c>
      <c r="M137">
        <v>25</v>
      </c>
      <c r="N137" s="147">
        <v>44562</v>
      </c>
      <c r="O137" s="147"/>
      <c r="Q137" t="s">
        <v>204</v>
      </c>
      <c r="R137">
        <v>1</v>
      </c>
    </row>
    <row r="138" spans="1:18" x14ac:dyDescent="0.25">
      <c r="A138" t="str">
        <f>TableMCEDUC[[#This Row],[Study Package Code]]</f>
        <v>EDUC6015</v>
      </c>
      <c r="B138" s="1">
        <f>TableMCEDUC[[#This Row],[Ver]]</f>
        <v>2</v>
      </c>
      <c r="D138" t="str">
        <f>TableMCEDUC[[#This Row],[Structure Line]]</f>
        <v>Negotiated Capstone Project</v>
      </c>
      <c r="E138" s="80">
        <f>TableMCEDUC[[#This Row],[Credit Points]]</f>
        <v>50</v>
      </c>
      <c r="F138">
        <v>2</v>
      </c>
      <c r="G138" t="s">
        <v>424</v>
      </c>
      <c r="H138">
        <v>1</v>
      </c>
      <c r="I138" t="s">
        <v>431</v>
      </c>
      <c r="J138" t="s">
        <v>172</v>
      </c>
      <c r="K138" s="1">
        <v>2</v>
      </c>
      <c r="L138" t="s">
        <v>368</v>
      </c>
      <c r="M138">
        <v>50</v>
      </c>
      <c r="N138" s="147">
        <v>44562</v>
      </c>
      <c r="O138" s="147"/>
      <c r="Q138" t="s">
        <v>172</v>
      </c>
      <c r="R138">
        <v>2</v>
      </c>
    </row>
    <row r="139" spans="1:18" x14ac:dyDescent="0.25">
      <c r="A139" t="str">
        <f>TableMCEDUC[[#This Row],[Study Package Code]]</f>
        <v>EDUC6003</v>
      </c>
      <c r="B139" s="1">
        <f>TableMCEDUC[[#This Row],[Ver]]</f>
        <v>3</v>
      </c>
      <c r="D139" t="str">
        <f>TableMCEDUC[[#This Row],[Structure Line]]</f>
        <v>Perspectives on Educational Research</v>
      </c>
      <c r="E139" s="80">
        <f>TableMCEDUC[[#This Row],[Credit Points]]</f>
        <v>25</v>
      </c>
      <c r="F139">
        <v>3</v>
      </c>
      <c r="G139" t="s">
        <v>424</v>
      </c>
      <c r="H139">
        <v>1</v>
      </c>
      <c r="I139" t="s">
        <v>431</v>
      </c>
      <c r="J139" t="s">
        <v>203</v>
      </c>
      <c r="K139" s="1">
        <v>3</v>
      </c>
      <c r="L139" t="s">
        <v>367</v>
      </c>
      <c r="M139">
        <v>25</v>
      </c>
      <c r="N139" s="147">
        <v>44562</v>
      </c>
      <c r="O139" s="147"/>
      <c r="Q139" t="s">
        <v>203</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80">
        <f>TableMCEDUC[[#This Row],[Credit Points]]</f>
        <v>100</v>
      </c>
      <c r="F140">
        <v>4</v>
      </c>
      <c r="G140" t="s">
        <v>424</v>
      </c>
      <c r="H140">
        <v>1</v>
      </c>
      <c r="I140" t="s">
        <v>425</v>
      </c>
      <c r="J140" t="s">
        <v>432</v>
      </c>
      <c r="K140" s="1">
        <v>0</v>
      </c>
      <c r="L140" t="s">
        <v>433</v>
      </c>
      <c r="M140">
        <v>100</v>
      </c>
      <c r="N140" s="147"/>
      <c r="O140" s="147"/>
      <c r="Q140" t="s">
        <v>432</v>
      </c>
    </row>
    <row r="141" spans="1:18" x14ac:dyDescent="0.25">
      <c r="A141" t="str">
        <f>TableMCEDUC[[#This Row],[Study Package Code]]</f>
        <v>EDUC6025</v>
      </c>
      <c r="B141" s="1">
        <f>TableMCEDUC[[#This Row],[Ver]]</f>
        <v>2</v>
      </c>
      <c r="D141" t="str">
        <f>TableMCEDUC[[#This Row],[Structure Line]]</f>
        <v>Language Teaching Methodologies</v>
      </c>
      <c r="E141" s="80">
        <f>TableMCEDUC[[#This Row],[Credit Points]]</f>
        <v>25</v>
      </c>
      <c r="F141">
        <v>4</v>
      </c>
      <c r="G141" t="s">
        <v>428</v>
      </c>
      <c r="H141">
        <v>1</v>
      </c>
      <c r="I141" t="s">
        <v>425</v>
      </c>
      <c r="J141" t="s">
        <v>166</v>
      </c>
      <c r="K141" s="1">
        <v>2</v>
      </c>
      <c r="L141" t="s">
        <v>370</v>
      </c>
      <c r="M141">
        <v>25</v>
      </c>
      <c r="N141" s="147">
        <v>44562</v>
      </c>
      <c r="O141" s="147"/>
      <c r="Q141" t="s">
        <v>166</v>
      </c>
      <c r="R141">
        <v>2</v>
      </c>
    </row>
    <row r="142" spans="1:18" x14ac:dyDescent="0.25">
      <c r="A142" t="str">
        <f>TableMCEDUC[[#This Row],[Study Package Code]]</f>
        <v>EDUC6048</v>
      </c>
      <c r="B142" s="1">
        <f>TableMCEDUC[[#This Row],[Ver]]</f>
        <v>1</v>
      </c>
      <c r="D142" t="str">
        <f>TableMCEDUC[[#This Row],[Structure Line]]</f>
        <v>Designing STEM Integration</v>
      </c>
      <c r="E142" s="80">
        <f>TableMCEDUC[[#This Row],[Credit Points]]</f>
        <v>25</v>
      </c>
      <c r="F142">
        <v>4</v>
      </c>
      <c r="G142" t="s">
        <v>428</v>
      </c>
      <c r="H142">
        <v>1</v>
      </c>
      <c r="I142" t="s">
        <v>425</v>
      </c>
      <c r="J142" t="s">
        <v>213</v>
      </c>
      <c r="K142" s="1">
        <v>1</v>
      </c>
      <c r="L142" s="147" t="s">
        <v>375</v>
      </c>
      <c r="M142">
        <v>25</v>
      </c>
      <c r="N142" s="147">
        <v>44562</v>
      </c>
      <c r="O142" s="147"/>
      <c r="Q142" t="s">
        <v>213</v>
      </c>
      <c r="R142">
        <v>1</v>
      </c>
    </row>
    <row r="143" spans="1:18" x14ac:dyDescent="0.25">
      <c r="A143" t="str">
        <f>TableMCEDUC[[#This Row],[Study Package Code]]</f>
        <v>EDUC6050</v>
      </c>
      <c r="B143" s="1">
        <f>TableMCEDUC[[#This Row],[Ver]]</f>
        <v>1</v>
      </c>
      <c r="D143" t="str">
        <f>TableMCEDUC[[#This Row],[Structure Line]]</f>
        <v>Education for a Future: Learning for Sustainability</v>
      </c>
      <c r="E143" s="80">
        <f>TableMCEDUC[[#This Row],[Credit Points]]</f>
        <v>25</v>
      </c>
      <c r="F143">
        <v>4</v>
      </c>
      <c r="G143" t="s">
        <v>428</v>
      </c>
      <c r="H143">
        <v>1</v>
      </c>
      <c r="I143" t="s">
        <v>425</v>
      </c>
      <c r="J143" t="s">
        <v>214</v>
      </c>
      <c r="K143" s="1">
        <v>1</v>
      </c>
      <c r="L143" t="s">
        <v>376</v>
      </c>
      <c r="M143">
        <v>25</v>
      </c>
      <c r="N143" s="147">
        <v>44562</v>
      </c>
      <c r="O143" s="147"/>
      <c r="Q143" t="s">
        <v>214</v>
      </c>
      <c r="R143">
        <v>1</v>
      </c>
    </row>
    <row r="144" spans="1:18" x14ac:dyDescent="0.25">
      <c r="A144" t="str">
        <f>TableMCEDUC[[#This Row],[Study Package Code]]</f>
        <v>EDUC6052</v>
      </c>
      <c r="B144" s="1">
        <f>TableMCEDUC[[#This Row],[Ver]]</f>
        <v>1</v>
      </c>
      <c r="D144" t="str">
        <f>TableMCEDUC[[#This Row],[Structure Line]]</f>
        <v>Emerging Technologies and the Future of Learning</v>
      </c>
      <c r="E144" s="80">
        <f>TableMCEDUC[[#This Row],[Credit Points]]</f>
        <v>25</v>
      </c>
      <c r="F144">
        <v>4</v>
      </c>
      <c r="G144" t="s">
        <v>428</v>
      </c>
      <c r="H144">
        <v>1</v>
      </c>
      <c r="I144" t="s">
        <v>425</v>
      </c>
      <c r="J144" t="s">
        <v>209</v>
      </c>
      <c r="K144" s="1">
        <v>1</v>
      </c>
      <c r="L144" t="s">
        <v>377</v>
      </c>
      <c r="M144">
        <v>25</v>
      </c>
      <c r="N144" s="147">
        <v>44562</v>
      </c>
      <c r="O144" s="147"/>
      <c r="Q144" t="s">
        <v>209</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80">
        <f>TableMCEDUC[[#This Row],[Credit Points]]</f>
        <v>25</v>
      </c>
      <c r="F145">
        <v>4</v>
      </c>
      <c r="G145" t="s">
        <v>428</v>
      </c>
      <c r="H145">
        <v>1</v>
      </c>
      <c r="I145" t="s">
        <v>425</v>
      </c>
      <c r="J145" t="s">
        <v>210</v>
      </c>
      <c r="K145" s="1">
        <v>1</v>
      </c>
      <c r="L145" t="s">
        <v>378</v>
      </c>
      <c r="M145">
        <v>25</v>
      </c>
      <c r="N145" s="147">
        <v>44562</v>
      </c>
      <c r="O145" s="147"/>
      <c r="Q145" t="s">
        <v>210</v>
      </c>
      <c r="R145">
        <v>1</v>
      </c>
    </row>
    <row r="146" spans="1:18" x14ac:dyDescent="0.25">
      <c r="A146" t="str">
        <f>TableMCEDUC[[#This Row],[Study Package Code]]</f>
        <v>EDUC6056</v>
      </c>
      <c r="B146" s="1">
        <f>TableMCEDUC[[#This Row],[Ver]]</f>
        <v>1</v>
      </c>
      <c r="D146" t="str">
        <f>TableMCEDUC[[#This Row],[Structure Line]]</f>
        <v>Leading Learning in Multilingual Contexts</v>
      </c>
      <c r="E146" s="80">
        <f>TableMCEDUC[[#This Row],[Credit Points]]</f>
        <v>25</v>
      </c>
      <c r="F146">
        <v>4</v>
      </c>
      <c r="G146" t="s">
        <v>428</v>
      </c>
      <c r="H146">
        <v>1</v>
      </c>
      <c r="I146" t="s">
        <v>425</v>
      </c>
      <c r="J146" t="s">
        <v>208</v>
      </c>
      <c r="K146" s="1">
        <v>1</v>
      </c>
      <c r="L146" t="s">
        <v>379</v>
      </c>
      <c r="M146">
        <v>25</v>
      </c>
      <c r="N146" s="147">
        <v>44562</v>
      </c>
      <c r="O146" s="147"/>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80">
        <f>TableMCEDUC[[#This Row],[Credit Points]]</f>
        <v>25</v>
      </c>
      <c r="F147">
        <v>4</v>
      </c>
      <c r="G147" t="s">
        <v>428</v>
      </c>
      <c r="H147">
        <v>1</v>
      </c>
      <c r="I147" t="s">
        <v>425</v>
      </c>
      <c r="J147" t="s">
        <v>211</v>
      </c>
      <c r="K147" s="1">
        <v>1</v>
      </c>
      <c r="L147" t="s">
        <v>380</v>
      </c>
      <c r="M147">
        <v>25</v>
      </c>
      <c r="N147" s="147">
        <v>44562</v>
      </c>
      <c r="O147" s="147"/>
      <c r="Q147" t="s">
        <v>211</v>
      </c>
      <c r="R147">
        <v>1</v>
      </c>
    </row>
    <row r="148" spans="1:18" x14ac:dyDescent="0.25">
      <c r="A148" t="str">
        <f>TableMCEDUC[[#This Row],[Study Package Code]]</f>
        <v>EDUC6060</v>
      </c>
      <c r="B148" s="1">
        <f>TableMCEDUC[[#This Row],[Ver]]</f>
        <v>1</v>
      </c>
      <c r="D148" t="str">
        <f>TableMCEDUC[[#This Row],[Structure Line]]</f>
        <v>Becoming a Leader of STEM Education</v>
      </c>
      <c r="E148" s="80">
        <f>TableMCEDUC[[#This Row],[Credit Points]]</f>
        <v>25</v>
      </c>
      <c r="F148">
        <v>4</v>
      </c>
      <c r="G148" t="s">
        <v>428</v>
      </c>
      <c r="H148">
        <v>1</v>
      </c>
      <c r="I148" t="s">
        <v>425</v>
      </c>
      <c r="J148" t="s">
        <v>212</v>
      </c>
      <c r="K148" s="1">
        <v>1</v>
      </c>
      <c r="L148" t="s">
        <v>381</v>
      </c>
      <c r="M148">
        <v>25</v>
      </c>
      <c r="N148" s="147">
        <v>44562</v>
      </c>
      <c r="O148" s="147"/>
      <c r="Q148" t="s">
        <v>212</v>
      </c>
      <c r="R148">
        <v>1</v>
      </c>
    </row>
    <row r="149" spans="1:18" x14ac:dyDescent="0.25">
      <c r="A149" t="str">
        <f>TableMCEDUC[[#This Row],[Study Package Code]]</f>
        <v>LING6001</v>
      </c>
      <c r="B149" s="1">
        <f>TableMCEDUC[[#This Row],[Ver]]</f>
        <v>2</v>
      </c>
      <c r="D149" t="str">
        <f>TableMCEDUC[[#This Row],[Structure Line]]</f>
        <v>Language in Society</v>
      </c>
      <c r="E149" s="80">
        <f>TableMCEDUC[[#This Row],[Credit Points]]</f>
        <v>25</v>
      </c>
      <c r="F149">
        <v>4</v>
      </c>
      <c r="G149" t="s">
        <v>428</v>
      </c>
      <c r="H149">
        <v>1</v>
      </c>
      <c r="I149" t="s">
        <v>425</v>
      </c>
      <c r="J149" t="s">
        <v>171</v>
      </c>
      <c r="K149" s="1">
        <v>2</v>
      </c>
      <c r="L149" t="s">
        <v>396</v>
      </c>
      <c r="M149">
        <v>25</v>
      </c>
      <c r="N149" s="147">
        <v>42736</v>
      </c>
      <c r="O149" s="147"/>
      <c r="Q149" t="s">
        <v>171</v>
      </c>
      <c r="R149">
        <v>2</v>
      </c>
    </row>
    <row r="150" spans="1:18" x14ac:dyDescent="0.25">
      <c r="A150" t="str">
        <f>TableMCEDUC[[#This Row],[Study Package Code]]</f>
        <v>SPPE-CULIN</v>
      </c>
      <c r="B150" s="1">
        <f>TableMCEDUC[[#This Row],[Ver]]</f>
        <v>1</v>
      </c>
      <c r="D150" t="str">
        <f>TableMCEDUC[[#This Row],[Structure Line]]</f>
        <v>Cultural and Linguistic Diversity Specialisation (MEd)</v>
      </c>
      <c r="E150" s="80">
        <f>TableMCEDUC[[#This Row],[Credit Points]]</f>
        <v>100</v>
      </c>
      <c r="F150">
        <v>4</v>
      </c>
      <c r="G150" t="s">
        <v>428</v>
      </c>
      <c r="H150">
        <v>1</v>
      </c>
      <c r="I150" t="s">
        <v>425</v>
      </c>
      <c r="J150" t="s">
        <v>177</v>
      </c>
      <c r="K150" s="1">
        <v>1</v>
      </c>
      <c r="L150" t="s">
        <v>176</v>
      </c>
      <c r="M150">
        <v>100</v>
      </c>
      <c r="N150" s="147">
        <v>44562</v>
      </c>
      <c r="O150" s="147"/>
      <c r="Q150" t="s">
        <v>177</v>
      </c>
      <c r="R150">
        <v>1</v>
      </c>
    </row>
    <row r="151" spans="1:18" x14ac:dyDescent="0.25">
      <c r="A151" t="str">
        <f>TableMCEDUC[[#This Row],[Study Package Code]]</f>
        <v>SPPE-LNTCH</v>
      </c>
      <c r="B151" s="1">
        <f>TableMCEDUC[[#This Row],[Ver]]</f>
        <v>1</v>
      </c>
      <c r="D151" t="str">
        <f>TableMCEDUC[[#This Row],[Structure Line]]</f>
        <v>Innovative Learning and Teaching Specialisation (MEd)</v>
      </c>
      <c r="E151" s="80">
        <f>TableMCEDUC[[#This Row],[Credit Points]]</f>
        <v>100</v>
      </c>
      <c r="F151">
        <v>4</v>
      </c>
      <c r="G151" t="s">
        <v>428</v>
      </c>
      <c r="H151">
        <v>1</v>
      </c>
      <c r="I151" t="s">
        <v>425</v>
      </c>
      <c r="J151" t="s">
        <v>179</v>
      </c>
      <c r="K151" s="1">
        <v>1</v>
      </c>
      <c r="L151" t="s">
        <v>178</v>
      </c>
      <c r="M151">
        <v>100</v>
      </c>
      <c r="N151" s="147">
        <v>44562</v>
      </c>
      <c r="O151" s="147"/>
      <c r="Q151" t="s">
        <v>179</v>
      </c>
      <c r="R151">
        <v>1</v>
      </c>
    </row>
    <row r="152" spans="1:18" x14ac:dyDescent="0.25">
      <c r="A152" t="str">
        <f>TableMCEDUC[[#This Row],[Study Package Code]]</f>
        <v>SPPE-STEME</v>
      </c>
      <c r="B152" s="1">
        <f>TableMCEDUC[[#This Row],[Ver]]</f>
        <v>1</v>
      </c>
      <c r="D152" t="str">
        <f>TableMCEDUC[[#This Row],[Structure Line]]</f>
        <v>Innovative STEM Education Specialisation (MEd)</v>
      </c>
      <c r="E152" s="80">
        <f>TableMCEDUC[[#This Row],[Credit Points]]</f>
        <v>100</v>
      </c>
      <c r="F152">
        <v>4</v>
      </c>
      <c r="G152" t="s">
        <v>428</v>
      </c>
      <c r="H152">
        <v>1</v>
      </c>
      <c r="I152" t="s">
        <v>425</v>
      </c>
      <c r="J152" t="s">
        <v>181</v>
      </c>
      <c r="K152" s="1">
        <v>1</v>
      </c>
      <c r="L152" t="s">
        <v>180</v>
      </c>
      <c r="M152">
        <v>100</v>
      </c>
      <c r="N152" s="147">
        <v>44562</v>
      </c>
      <c r="O152" s="147"/>
      <c r="Q152" t="s">
        <v>181</v>
      </c>
      <c r="R152">
        <v>1</v>
      </c>
    </row>
    <row r="153" spans="1:18" x14ac:dyDescent="0.25">
      <c r="B153"/>
      <c r="E153"/>
      <c r="F153" s="77"/>
      <c r="G153" s="78" t="s">
        <v>413</v>
      </c>
      <c r="H153" s="171">
        <v>44562</v>
      </c>
      <c r="J153" s="170" t="s">
        <v>177</v>
      </c>
      <c r="K153" s="79" t="s">
        <v>79</v>
      </c>
      <c r="L153" s="77" t="s">
        <v>176</v>
      </c>
    </row>
    <row r="154" spans="1:18" x14ac:dyDescent="0.25">
      <c r="A154" t="s">
        <v>0</v>
      </c>
      <c r="B154" s="1" t="s">
        <v>73</v>
      </c>
      <c r="C154" t="s">
        <v>414</v>
      </c>
      <c r="D154" t="s">
        <v>3</v>
      </c>
      <c r="E154" s="80" t="s">
        <v>415</v>
      </c>
      <c r="F154" t="s">
        <v>416</v>
      </c>
      <c r="G154" t="s">
        <v>417</v>
      </c>
      <c r="H154" t="s">
        <v>418</v>
      </c>
      <c r="I154" t="s">
        <v>21</v>
      </c>
      <c r="J154" t="s">
        <v>419</v>
      </c>
      <c r="K154" s="1" t="s">
        <v>1</v>
      </c>
      <c r="L154" t="s">
        <v>56</v>
      </c>
      <c r="M154" t="s">
        <v>74</v>
      </c>
      <c r="N154" s="168" t="s">
        <v>420</v>
      </c>
      <c r="O154" s="168" t="s">
        <v>421</v>
      </c>
      <c r="Q154" t="s">
        <v>422</v>
      </c>
      <c r="R154" t="s">
        <v>423</v>
      </c>
    </row>
    <row r="155" spans="1:18" x14ac:dyDescent="0.25">
      <c r="A155" t="str">
        <f>TableSPPECULIN[[#This Row],[Study Package Code]]</f>
        <v>EDUC6052</v>
      </c>
      <c r="B155" s="1">
        <f>TableSPPECULIN[[#This Row],[Ver]]</f>
        <v>1</v>
      </c>
      <c r="D155" t="str">
        <f>TableSPPECULIN[[#This Row],[Structure Line]]</f>
        <v>Emerging Technologies and the Future of Learning</v>
      </c>
      <c r="E155" s="80">
        <f>TableSPPECULIN[[#This Row],[Credit Points]]</f>
        <v>25</v>
      </c>
      <c r="F155">
        <v>1</v>
      </c>
      <c r="G155" t="s">
        <v>424</v>
      </c>
      <c r="H155">
        <v>1</v>
      </c>
      <c r="I155" t="s">
        <v>425</v>
      </c>
      <c r="J155" t="s">
        <v>209</v>
      </c>
      <c r="K155" s="1">
        <v>1</v>
      </c>
      <c r="L155" t="s">
        <v>377</v>
      </c>
      <c r="M155">
        <v>25</v>
      </c>
      <c r="N155" s="147">
        <v>44562</v>
      </c>
      <c r="O155" s="147"/>
      <c r="Q155" t="s">
        <v>209</v>
      </c>
      <c r="R155">
        <v>1</v>
      </c>
    </row>
    <row r="156" spans="1:18" x14ac:dyDescent="0.25">
      <c r="A156" t="str">
        <f>TableSPPECULIN[[#This Row],[Study Package Code]]</f>
        <v>LING6001</v>
      </c>
      <c r="B156" s="1">
        <f>TableSPPECULIN[[#This Row],[Ver]]</f>
        <v>2</v>
      </c>
      <c r="D156" t="str">
        <f>TableSPPECULIN[[#This Row],[Structure Line]]</f>
        <v>Language in Society</v>
      </c>
      <c r="E156" s="80">
        <f>TableSPPECULIN[[#This Row],[Credit Points]]</f>
        <v>25</v>
      </c>
      <c r="F156">
        <v>2</v>
      </c>
      <c r="G156" t="s">
        <v>424</v>
      </c>
      <c r="H156">
        <v>1</v>
      </c>
      <c r="I156" t="s">
        <v>425</v>
      </c>
      <c r="J156" t="s">
        <v>171</v>
      </c>
      <c r="K156" s="1">
        <v>2</v>
      </c>
      <c r="L156" t="s">
        <v>396</v>
      </c>
      <c r="M156">
        <v>25</v>
      </c>
      <c r="N156" s="147">
        <v>42736</v>
      </c>
      <c r="O156" s="147"/>
      <c r="Q156" t="s">
        <v>171</v>
      </c>
      <c r="R156">
        <v>2</v>
      </c>
    </row>
    <row r="157" spans="1:18" x14ac:dyDescent="0.25">
      <c r="A157" t="str">
        <f>TableSPPECULIN[[#This Row],[Study Package Code]]</f>
        <v>EDUC6025</v>
      </c>
      <c r="B157" s="1">
        <f>TableSPPECULIN[[#This Row],[Ver]]</f>
        <v>2</v>
      </c>
      <c r="D157" t="str">
        <f>TableSPPECULIN[[#This Row],[Structure Line]]</f>
        <v>Language Teaching Methodologies</v>
      </c>
      <c r="E157" s="80">
        <f>TableSPPECULIN[[#This Row],[Credit Points]]</f>
        <v>25</v>
      </c>
      <c r="F157">
        <v>3</v>
      </c>
      <c r="G157" t="s">
        <v>424</v>
      </c>
      <c r="H157">
        <v>1</v>
      </c>
      <c r="I157" t="s">
        <v>425</v>
      </c>
      <c r="J157" t="s">
        <v>166</v>
      </c>
      <c r="K157" s="1">
        <v>2</v>
      </c>
      <c r="L157" t="s">
        <v>370</v>
      </c>
      <c r="M157">
        <v>25</v>
      </c>
      <c r="N157" s="147">
        <v>44562</v>
      </c>
      <c r="O157" s="147"/>
      <c r="Q157" t="s">
        <v>166</v>
      </c>
      <c r="R157">
        <v>2</v>
      </c>
    </row>
    <row r="158" spans="1:18" x14ac:dyDescent="0.25">
      <c r="A158" t="str">
        <f>TableSPPECULIN[[#This Row],[Study Package Code]]</f>
        <v>EDUC6056</v>
      </c>
      <c r="B158" s="1">
        <f>TableSPPECULIN[[#This Row],[Ver]]</f>
        <v>1</v>
      </c>
      <c r="D158" t="str">
        <f>TableSPPECULIN[[#This Row],[Structure Line]]</f>
        <v>Leading Learning in Multilingual Contexts</v>
      </c>
      <c r="E158" s="80">
        <f>TableSPPECULIN[[#This Row],[Credit Points]]</f>
        <v>25</v>
      </c>
      <c r="F158">
        <v>4</v>
      </c>
      <c r="G158" t="s">
        <v>424</v>
      </c>
      <c r="H158">
        <v>1</v>
      </c>
      <c r="I158" t="s">
        <v>425</v>
      </c>
      <c r="J158" t="s">
        <v>208</v>
      </c>
      <c r="K158" s="1">
        <v>1</v>
      </c>
      <c r="L158" t="s">
        <v>379</v>
      </c>
      <c r="M158">
        <v>25</v>
      </c>
      <c r="N158" s="147">
        <v>44562</v>
      </c>
      <c r="O158" s="147"/>
      <c r="Q158" t="s">
        <v>208</v>
      </c>
      <c r="R158">
        <v>1</v>
      </c>
    </row>
    <row r="159" spans="1:18" x14ac:dyDescent="0.25">
      <c r="B159"/>
      <c r="E159"/>
      <c r="F159" s="77"/>
      <c r="G159" s="78" t="s">
        <v>413</v>
      </c>
      <c r="H159" s="171">
        <v>44562</v>
      </c>
      <c r="J159" s="170" t="s">
        <v>179</v>
      </c>
      <c r="K159" s="79" t="s">
        <v>79</v>
      </c>
      <c r="L159" s="77" t="s">
        <v>178</v>
      </c>
    </row>
    <row r="160" spans="1:18" x14ac:dyDescent="0.25">
      <c r="A160" t="s">
        <v>0</v>
      </c>
      <c r="B160" s="1" t="s">
        <v>73</v>
      </c>
      <c r="C160" t="s">
        <v>414</v>
      </c>
      <c r="D160" t="s">
        <v>3</v>
      </c>
      <c r="E160" s="80" t="s">
        <v>415</v>
      </c>
      <c r="F160" t="s">
        <v>416</v>
      </c>
      <c r="G160" t="s">
        <v>417</v>
      </c>
      <c r="H160" t="s">
        <v>418</v>
      </c>
      <c r="I160" t="s">
        <v>21</v>
      </c>
      <c r="J160" t="s">
        <v>419</v>
      </c>
      <c r="K160" s="1" t="s">
        <v>1</v>
      </c>
      <c r="L160" t="s">
        <v>56</v>
      </c>
      <c r="M160" t="s">
        <v>74</v>
      </c>
      <c r="N160" s="168" t="s">
        <v>420</v>
      </c>
      <c r="O160" s="168" t="s">
        <v>421</v>
      </c>
      <c r="Q160" t="s">
        <v>422</v>
      </c>
      <c r="R160" t="s">
        <v>423</v>
      </c>
    </row>
    <row r="161" spans="1:18" x14ac:dyDescent="0.25">
      <c r="A161" t="str">
        <f>TableSPPELNTCH[[#This Row],[Study Package Code]]</f>
        <v>EDUC6050</v>
      </c>
      <c r="B161" s="1">
        <f>TableSPPELNTCH[[#This Row],[Ver]]</f>
        <v>1</v>
      </c>
      <c r="D161" t="str">
        <f>TableSPPELNTCH[[#This Row],[Structure Line]]</f>
        <v>Education for a Future: Learning for Sustainability</v>
      </c>
      <c r="E161" s="80">
        <f>TableSPPELNTCH[[#This Row],[Credit Points]]</f>
        <v>25</v>
      </c>
      <c r="F161">
        <v>1</v>
      </c>
      <c r="G161" t="s">
        <v>424</v>
      </c>
      <c r="H161">
        <v>1</v>
      </c>
      <c r="I161" t="s">
        <v>425</v>
      </c>
      <c r="J161" t="s">
        <v>214</v>
      </c>
      <c r="K161" s="1">
        <v>1</v>
      </c>
      <c r="L161" t="s">
        <v>376</v>
      </c>
      <c r="M161">
        <v>25</v>
      </c>
      <c r="N161" s="147">
        <v>44562</v>
      </c>
      <c r="O161" s="147"/>
      <c r="Q161" t="s">
        <v>214</v>
      </c>
      <c r="R161">
        <v>1</v>
      </c>
    </row>
    <row r="162" spans="1:18" x14ac:dyDescent="0.25">
      <c r="A162" t="str">
        <f>TableSPPELNTCH[[#This Row],[Study Package Code]]</f>
        <v>EDUC6052</v>
      </c>
      <c r="B162" s="1">
        <f>TableSPPELNTCH[[#This Row],[Ver]]</f>
        <v>1</v>
      </c>
      <c r="D162" t="str">
        <f>TableSPPELNTCH[[#This Row],[Structure Line]]</f>
        <v>Emerging Technologies and the Future of Learning</v>
      </c>
      <c r="E162" s="80">
        <f>TableSPPELNTCH[[#This Row],[Credit Points]]</f>
        <v>25</v>
      </c>
      <c r="F162">
        <v>2</v>
      </c>
      <c r="G162" t="s">
        <v>424</v>
      </c>
      <c r="H162">
        <v>1</v>
      </c>
      <c r="I162" t="s">
        <v>425</v>
      </c>
      <c r="J162" t="s">
        <v>209</v>
      </c>
      <c r="K162" s="1">
        <v>1</v>
      </c>
      <c r="L162" t="s">
        <v>377</v>
      </c>
      <c r="M162">
        <v>25</v>
      </c>
      <c r="N162" s="147">
        <v>44562</v>
      </c>
      <c r="O162" s="147"/>
      <c r="Q162" t="s">
        <v>209</v>
      </c>
      <c r="R162">
        <v>1</v>
      </c>
    </row>
    <row r="163" spans="1:18" x14ac:dyDescent="0.25">
      <c r="A163" t="str">
        <f>TableSPPELNTCH[[#This Row],[Study Package Code]]</f>
        <v>EDUC6054</v>
      </c>
      <c r="B163" s="1">
        <f>TableSPPELNTCH[[#This Row],[Ver]]</f>
        <v>1</v>
      </c>
      <c r="D163" t="str">
        <f>TableSPPELNTCH[[#This Row],[Structure Line]]</f>
        <v>Empowering Learners Through Social Justice Leadership</v>
      </c>
      <c r="E163" s="80">
        <f>TableSPPELNTCH[[#This Row],[Credit Points]]</f>
        <v>25</v>
      </c>
      <c r="F163">
        <v>3</v>
      </c>
      <c r="G163" t="s">
        <v>424</v>
      </c>
      <c r="H163">
        <v>1</v>
      </c>
      <c r="I163" t="s">
        <v>425</v>
      </c>
      <c r="J163" t="s">
        <v>210</v>
      </c>
      <c r="K163" s="1">
        <v>1</v>
      </c>
      <c r="L163" t="s">
        <v>378</v>
      </c>
      <c r="M163">
        <v>25</v>
      </c>
      <c r="N163" s="147">
        <v>44562</v>
      </c>
      <c r="O163" s="147"/>
      <c r="Q163" t="s">
        <v>210</v>
      </c>
      <c r="R163">
        <v>1</v>
      </c>
    </row>
    <row r="164" spans="1:18" x14ac:dyDescent="0.25">
      <c r="A164" t="str">
        <f>TableSPPELNTCH[[#This Row],[Study Package Code]]</f>
        <v>EDUC6058</v>
      </c>
      <c r="B164" s="1">
        <f>TableSPPELNTCH[[#This Row],[Ver]]</f>
        <v>1</v>
      </c>
      <c r="D164" t="str">
        <f>TableSPPELNTCH[[#This Row],[Structure Line]]</f>
        <v>Pedagogies for Learner and Community Diversity</v>
      </c>
      <c r="E164" s="80">
        <f>TableSPPELNTCH[[#This Row],[Credit Points]]</f>
        <v>25</v>
      </c>
      <c r="F164">
        <v>4</v>
      </c>
      <c r="G164" t="s">
        <v>424</v>
      </c>
      <c r="H164">
        <v>1</v>
      </c>
      <c r="I164" t="s">
        <v>425</v>
      </c>
      <c r="J164" t="s">
        <v>211</v>
      </c>
      <c r="K164" s="1">
        <v>1</v>
      </c>
      <c r="L164" t="s">
        <v>380</v>
      </c>
      <c r="M164">
        <v>25</v>
      </c>
      <c r="N164" s="147">
        <v>44562</v>
      </c>
      <c r="O164" s="147"/>
      <c r="Q164" t="s">
        <v>211</v>
      </c>
      <c r="R164">
        <v>1</v>
      </c>
    </row>
    <row r="165" spans="1:18" x14ac:dyDescent="0.25">
      <c r="B165"/>
      <c r="E165"/>
      <c r="F165" s="77"/>
      <c r="G165" s="78" t="s">
        <v>413</v>
      </c>
      <c r="H165" s="171">
        <v>44562</v>
      </c>
      <c r="J165" s="170" t="s">
        <v>181</v>
      </c>
      <c r="K165" s="79" t="s">
        <v>79</v>
      </c>
      <c r="L165" s="77" t="s">
        <v>180</v>
      </c>
    </row>
    <row r="166" spans="1:18" x14ac:dyDescent="0.25">
      <c r="A166" t="s">
        <v>0</v>
      </c>
      <c r="B166" s="1" t="s">
        <v>73</v>
      </c>
      <c r="C166" t="s">
        <v>414</v>
      </c>
      <c r="D166" t="s">
        <v>3</v>
      </c>
      <c r="E166" s="80" t="s">
        <v>415</v>
      </c>
      <c r="F166" t="s">
        <v>416</v>
      </c>
      <c r="G166" t="s">
        <v>417</v>
      </c>
      <c r="H166" t="s">
        <v>418</v>
      </c>
      <c r="I166" t="s">
        <v>21</v>
      </c>
      <c r="J166" t="s">
        <v>419</v>
      </c>
      <c r="K166" s="1" t="s">
        <v>1</v>
      </c>
      <c r="L166" t="s">
        <v>56</v>
      </c>
      <c r="M166" t="s">
        <v>74</v>
      </c>
      <c r="N166" s="168" t="s">
        <v>420</v>
      </c>
      <c r="O166" s="168" t="s">
        <v>421</v>
      </c>
      <c r="Q166" t="s">
        <v>422</v>
      </c>
      <c r="R166" t="s">
        <v>423</v>
      </c>
    </row>
    <row r="167" spans="1:18" x14ac:dyDescent="0.25">
      <c r="A167" t="str">
        <f>TableSPPESTEME[[#This Row],[Study Package Code]]</f>
        <v>EDUC6060</v>
      </c>
      <c r="B167" s="1">
        <f>TableSPPESTEME[[#This Row],[Ver]]</f>
        <v>1</v>
      </c>
      <c r="D167" t="str">
        <f>TableSPPESTEME[[#This Row],[Structure Line]]</f>
        <v>Becoming a Leader of STEM Education</v>
      </c>
      <c r="E167" s="80">
        <f>TableSPPESTEME[[#This Row],[Credit Points]]</f>
        <v>25</v>
      </c>
      <c r="F167">
        <v>1</v>
      </c>
      <c r="G167" t="s">
        <v>424</v>
      </c>
      <c r="H167">
        <v>1</v>
      </c>
      <c r="I167" t="s">
        <v>425</v>
      </c>
      <c r="J167" t="s">
        <v>212</v>
      </c>
      <c r="K167" s="1">
        <v>1</v>
      </c>
      <c r="L167" t="s">
        <v>381</v>
      </c>
      <c r="M167">
        <v>25</v>
      </c>
      <c r="N167" s="147">
        <v>44562</v>
      </c>
      <c r="O167" s="147"/>
      <c r="Q167" t="s">
        <v>212</v>
      </c>
      <c r="R167">
        <v>1</v>
      </c>
    </row>
    <row r="168" spans="1:18" x14ac:dyDescent="0.25">
      <c r="A168" t="str">
        <f>TableSPPESTEME[[#This Row],[Study Package Code]]</f>
        <v>EDUC6048</v>
      </c>
      <c r="B168" s="1">
        <f>TableSPPESTEME[[#This Row],[Ver]]</f>
        <v>1</v>
      </c>
      <c r="D168" t="str">
        <f>TableSPPESTEME[[#This Row],[Structure Line]]</f>
        <v>Designing STEM Integration</v>
      </c>
      <c r="E168" s="80">
        <f>TableSPPESTEME[[#This Row],[Credit Points]]</f>
        <v>25</v>
      </c>
      <c r="F168">
        <v>2</v>
      </c>
      <c r="G168" t="s">
        <v>424</v>
      </c>
      <c r="H168">
        <v>1</v>
      </c>
      <c r="I168" t="s">
        <v>425</v>
      </c>
      <c r="J168" t="s">
        <v>213</v>
      </c>
      <c r="K168" s="1">
        <v>1</v>
      </c>
      <c r="L168" t="s">
        <v>375</v>
      </c>
      <c r="M168">
        <v>25</v>
      </c>
      <c r="N168" s="147">
        <v>44562</v>
      </c>
      <c r="O168" s="147"/>
      <c r="Q168" t="s">
        <v>213</v>
      </c>
      <c r="R168">
        <v>1</v>
      </c>
    </row>
    <row r="169" spans="1:18" x14ac:dyDescent="0.25">
      <c r="A169" t="str">
        <f>TableSPPESTEME[[#This Row],[Study Package Code]]</f>
        <v>EDUC6050</v>
      </c>
      <c r="B169" s="1">
        <f>TableSPPESTEME[[#This Row],[Ver]]</f>
        <v>1</v>
      </c>
      <c r="D169" t="str">
        <f>TableSPPESTEME[[#This Row],[Structure Line]]</f>
        <v>Education for a Future: Learning for Sustainability</v>
      </c>
      <c r="E169" s="80">
        <f>TableSPPESTEME[[#This Row],[Credit Points]]</f>
        <v>25</v>
      </c>
      <c r="F169">
        <v>3</v>
      </c>
      <c r="G169" t="s">
        <v>424</v>
      </c>
      <c r="H169">
        <v>1</v>
      </c>
      <c r="I169" t="s">
        <v>425</v>
      </c>
      <c r="J169" t="s">
        <v>214</v>
      </c>
      <c r="K169" s="1">
        <v>1</v>
      </c>
      <c r="L169" t="s">
        <v>376</v>
      </c>
      <c r="M169">
        <v>25</v>
      </c>
      <c r="N169" s="147">
        <v>44562</v>
      </c>
      <c r="O169" s="147"/>
      <c r="Q169" t="s">
        <v>214</v>
      </c>
      <c r="R169">
        <v>1</v>
      </c>
    </row>
    <row r="170" spans="1:18" x14ac:dyDescent="0.25">
      <c r="A170" t="str">
        <f>TableSPPESTEME[[#This Row],[Study Package Code]]</f>
        <v>EDUC6052</v>
      </c>
      <c r="B170" s="1">
        <f>TableSPPESTEME[[#This Row],[Ver]]</f>
        <v>1</v>
      </c>
      <c r="D170" t="str">
        <f>TableSPPESTEME[[#This Row],[Structure Line]]</f>
        <v>Emerging Technologies and the Future of Learning</v>
      </c>
      <c r="E170" s="80">
        <f>TableSPPESTEME[[#This Row],[Credit Points]]</f>
        <v>25</v>
      </c>
      <c r="F170">
        <v>4</v>
      </c>
      <c r="G170" t="s">
        <v>424</v>
      </c>
      <c r="H170">
        <v>1</v>
      </c>
      <c r="I170" t="s">
        <v>425</v>
      </c>
      <c r="J170" t="s">
        <v>209</v>
      </c>
      <c r="K170" s="1">
        <v>1</v>
      </c>
      <c r="L170" t="s">
        <v>377</v>
      </c>
      <c r="M170">
        <v>25</v>
      </c>
      <c r="N170" s="147">
        <v>44562</v>
      </c>
      <c r="O170" s="147"/>
      <c r="Q170" t="s">
        <v>209</v>
      </c>
      <c r="R170">
        <v>1</v>
      </c>
    </row>
    <row r="171" spans="1:18" x14ac:dyDescent="0.25">
      <c r="B171"/>
      <c r="E171"/>
      <c r="F171" s="77"/>
      <c r="G171" s="78" t="s">
        <v>413</v>
      </c>
      <c r="H171" s="171">
        <v>44197</v>
      </c>
      <c r="J171" s="170" t="s">
        <v>78</v>
      </c>
      <c r="K171" s="79" t="s">
        <v>79</v>
      </c>
      <c r="L171" s="77" t="s">
        <v>77</v>
      </c>
    </row>
    <row r="172" spans="1:18" x14ac:dyDescent="0.25">
      <c r="A172" t="s">
        <v>0</v>
      </c>
      <c r="B172" s="1" t="s">
        <v>73</v>
      </c>
      <c r="C172" t="s">
        <v>414</v>
      </c>
      <c r="D172" t="s">
        <v>3</v>
      </c>
      <c r="E172" s="80" t="s">
        <v>415</v>
      </c>
      <c r="F172" t="s">
        <v>416</v>
      </c>
      <c r="G172" t="s">
        <v>417</v>
      </c>
      <c r="H172" t="s">
        <v>418</v>
      </c>
      <c r="I172" t="s">
        <v>21</v>
      </c>
      <c r="J172" t="s">
        <v>419</v>
      </c>
      <c r="K172" s="1" t="s">
        <v>1</v>
      </c>
      <c r="L172" t="s">
        <v>56</v>
      </c>
      <c r="M172" t="s">
        <v>74</v>
      </c>
      <c r="N172" s="168" t="s">
        <v>420</v>
      </c>
      <c r="O172" s="168" t="s">
        <v>421</v>
      </c>
      <c r="Q172" t="s">
        <v>422</v>
      </c>
      <c r="R172" t="s">
        <v>423</v>
      </c>
    </row>
    <row r="173" spans="1:18" x14ac:dyDescent="0.25">
      <c r="A173" t="str">
        <f>TableGCEDUC[[#This Row],[Study Package Code]]</f>
        <v>Option</v>
      </c>
      <c r="B173" s="1">
        <f>TableGCEDUC[[#This Row],[Ver]]</f>
        <v>0</v>
      </c>
      <c r="D173" t="str">
        <f>TableGCEDUC[[#This Row],[Structure Line]]</f>
        <v>Choose Options to the value of 100CP</v>
      </c>
      <c r="E173" s="80">
        <f>TableGCEDUC[[#This Row],[Credit Points]]</f>
        <v>100</v>
      </c>
      <c r="F173">
        <v>1</v>
      </c>
      <c r="G173" t="s">
        <v>428</v>
      </c>
      <c r="H173">
        <v>1</v>
      </c>
      <c r="I173" t="s">
        <v>425</v>
      </c>
      <c r="J173" t="s">
        <v>428</v>
      </c>
      <c r="K173" s="1">
        <v>0</v>
      </c>
      <c r="L173" t="s">
        <v>434</v>
      </c>
      <c r="M173">
        <v>100</v>
      </c>
      <c r="N173" s="147"/>
      <c r="O173" s="147"/>
      <c r="Q173" t="s">
        <v>428</v>
      </c>
      <c r="R173">
        <v>0</v>
      </c>
    </row>
    <row r="174" spans="1:18" x14ac:dyDescent="0.25">
      <c r="A174" t="str">
        <f>TableGCEDUC[[#This Row],[Study Package Code]]</f>
        <v>EDEC5002</v>
      </c>
      <c r="B174" s="1">
        <f>TableGCEDUC[[#This Row],[Ver]]</f>
        <v>1</v>
      </c>
      <c r="D174" t="str">
        <f>TableGCEDUC[[#This Row],[Structure Line]]</f>
        <v>Numeracy for 5 to 8 Year-Olds</v>
      </c>
      <c r="E174" s="80">
        <f>TableGCEDUC[[#This Row],[Credit Points]]</f>
        <v>25</v>
      </c>
      <c r="F174">
        <v>1</v>
      </c>
      <c r="G174" t="s">
        <v>428</v>
      </c>
      <c r="H174">
        <v>1</v>
      </c>
      <c r="I174" t="s">
        <v>425</v>
      </c>
      <c r="J174" t="s">
        <v>68</v>
      </c>
      <c r="K174" s="1">
        <v>1</v>
      </c>
      <c r="L174" t="s">
        <v>314</v>
      </c>
      <c r="M174">
        <v>25</v>
      </c>
      <c r="N174" s="147">
        <v>43101</v>
      </c>
      <c r="O174" s="147"/>
      <c r="Q174" t="s">
        <v>68</v>
      </c>
      <c r="R174">
        <v>1</v>
      </c>
    </row>
    <row r="175" spans="1:18" x14ac:dyDescent="0.25">
      <c r="A175" t="str">
        <f>TableGCEDUC[[#This Row],[Study Package Code]]</f>
        <v>EDEC5005</v>
      </c>
      <c r="B175" s="1">
        <f>TableGCEDUC[[#This Row],[Ver]]</f>
        <v>1</v>
      </c>
      <c r="D175" t="str">
        <f>TableGCEDUC[[#This Row],[Structure Line]]</f>
        <v>Humanities and Science in Early Childhood</v>
      </c>
      <c r="E175" s="80">
        <f>TableGCEDUC[[#This Row],[Credit Points]]</f>
        <v>25</v>
      </c>
      <c r="F175">
        <v>1</v>
      </c>
      <c r="G175" t="s">
        <v>428</v>
      </c>
      <c r="H175">
        <v>1</v>
      </c>
      <c r="I175" t="s">
        <v>425</v>
      </c>
      <c r="J175" t="s">
        <v>67</v>
      </c>
      <c r="K175" s="1">
        <v>1</v>
      </c>
      <c r="L175" t="s">
        <v>316</v>
      </c>
      <c r="M175">
        <v>25</v>
      </c>
      <c r="N175" s="147">
        <v>43101</v>
      </c>
      <c r="O175" s="147"/>
      <c r="Q175" t="s">
        <v>67</v>
      </c>
      <c r="R175">
        <v>1</v>
      </c>
    </row>
    <row r="176" spans="1:18" x14ac:dyDescent="0.25">
      <c r="A176" t="str">
        <f>TableGCEDUC[[#This Row],[Study Package Code]]</f>
        <v>EDEC5006</v>
      </c>
      <c r="B176" s="1">
        <f>TableGCEDUC[[#This Row],[Ver]]</f>
        <v>1</v>
      </c>
      <c r="D176" t="str">
        <f>TableGCEDUC[[#This Row],[Structure Line]]</f>
        <v>Creative and Media Arts in Early Childhood</v>
      </c>
      <c r="E176" s="80">
        <f>TableGCEDUC[[#This Row],[Credit Points]]</f>
        <v>25</v>
      </c>
      <c r="F176">
        <v>1</v>
      </c>
      <c r="G176" t="s">
        <v>428</v>
      </c>
      <c r="H176">
        <v>1</v>
      </c>
      <c r="I176" t="s">
        <v>425</v>
      </c>
      <c r="J176" t="s">
        <v>101</v>
      </c>
      <c r="K176" s="1">
        <v>1</v>
      </c>
      <c r="L176" t="s">
        <v>317</v>
      </c>
      <c r="M176">
        <v>25</v>
      </c>
      <c r="N176" s="147">
        <v>43101</v>
      </c>
      <c r="O176" s="147"/>
      <c r="Q176" t="s">
        <v>101</v>
      </c>
      <c r="R176">
        <v>1</v>
      </c>
    </row>
    <row r="177" spans="1:18" x14ac:dyDescent="0.25">
      <c r="A177" t="str">
        <f>TableGCEDUC[[#This Row],[Study Package Code]]</f>
        <v>EDPR5003</v>
      </c>
      <c r="B177" s="1">
        <f>TableGCEDUC[[#This Row],[Ver]]</f>
        <v>1</v>
      </c>
      <c r="D177" t="str">
        <f>TableGCEDUC[[#This Row],[Structure Line]]</f>
        <v>Teaching Number, Algebra and Probability in the Primary Years</v>
      </c>
      <c r="E177" s="80">
        <f>TableGCEDUC[[#This Row],[Credit Points]]</f>
        <v>25</v>
      </c>
      <c r="F177">
        <v>1</v>
      </c>
      <c r="G177" t="s">
        <v>428</v>
      </c>
      <c r="H177">
        <v>1</v>
      </c>
      <c r="I177" t="s">
        <v>425</v>
      </c>
      <c r="J177" t="s">
        <v>71</v>
      </c>
      <c r="K177" s="1">
        <v>1</v>
      </c>
      <c r="L177" t="s">
        <v>326</v>
      </c>
      <c r="M177">
        <v>25</v>
      </c>
      <c r="N177" s="147">
        <v>43101</v>
      </c>
      <c r="O177" s="147"/>
      <c r="Q177" t="s">
        <v>71</v>
      </c>
      <c r="R177">
        <v>1</v>
      </c>
    </row>
    <row r="178" spans="1:18" x14ac:dyDescent="0.25">
      <c r="A178" t="str">
        <f>TableGCEDUC[[#This Row],[Study Package Code]]</f>
        <v>EDPR5004</v>
      </c>
      <c r="B178" s="1">
        <f>TableGCEDUC[[#This Row],[Ver]]</f>
        <v>1</v>
      </c>
      <c r="D178" t="str">
        <f>TableGCEDUC[[#This Row],[Structure Line]]</f>
        <v>Teaching Humanities and Social Sciences in the Primary Years</v>
      </c>
      <c r="E178" s="80">
        <f>TableGCEDUC[[#This Row],[Credit Points]]</f>
        <v>25</v>
      </c>
      <c r="F178">
        <v>1</v>
      </c>
      <c r="G178" t="s">
        <v>428</v>
      </c>
      <c r="H178">
        <v>1</v>
      </c>
      <c r="I178" t="s">
        <v>425</v>
      </c>
      <c r="J178" t="s">
        <v>102</v>
      </c>
      <c r="K178" s="1">
        <v>1</v>
      </c>
      <c r="L178" t="s">
        <v>327</v>
      </c>
      <c r="M178">
        <v>25</v>
      </c>
      <c r="N178" s="147">
        <v>43101</v>
      </c>
      <c r="O178" s="147"/>
      <c r="Q178" t="s">
        <v>102</v>
      </c>
      <c r="R178">
        <v>1</v>
      </c>
    </row>
    <row r="179" spans="1:18" x14ac:dyDescent="0.25">
      <c r="A179" t="str">
        <f>TableGCEDUC[[#This Row],[Study Package Code]]</f>
        <v>EDPR5005</v>
      </c>
      <c r="B179" s="1">
        <f>TableGCEDUC[[#This Row],[Ver]]</f>
        <v>1</v>
      </c>
      <c r="D179" t="str">
        <f>TableGCEDUC[[#This Row],[Structure Line]]</f>
        <v>Teaching Science in the Primary Years</v>
      </c>
      <c r="E179" s="80">
        <f>TableGCEDUC[[#This Row],[Credit Points]]</f>
        <v>25</v>
      </c>
      <c r="F179">
        <v>1</v>
      </c>
      <c r="G179" t="s">
        <v>428</v>
      </c>
      <c r="H179">
        <v>1</v>
      </c>
      <c r="I179" t="s">
        <v>425</v>
      </c>
      <c r="J179" t="s">
        <v>70</v>
      </c>
      <c r="K179" s="1">
        <v>1</v>
      </c>
      <c r="L179" t="s">
        <v>328</v>
      </c>
      <c r="M179">
        <v>25</v>
      </c>
      <c r="N179" s="147">
        <v>43101</v>
      </c>
      <c r="O179" s="147"/>
      <c r="Q179" t="s">
        <v>70</v>
      </c>
      <c r="R179">
        <v>1</v>
      </c>
    </row>
    <row r="180" spans="1:18" x14ac:dyDescent="0.25">
      <c r="A180" t="str">
        <f>TableGCEDUC[[#This Row],[Study Package Code]]</f>
        <v>EDPR5008</v>
      </c>
      <c r="B180" s="1">
        <f>TableGCEDUC[[#This Row],[Ver]]</f>
        <v>1</v>
      </c>
      <c r="D180" t="str">
        <f>TableGCEDUC[[#This Row],[Structure Line]]</f>
        <v>Teaching Arts in the Primary Years</v>
      </c>
      <c r="E180" s="80">
        <f>TableGCEDUC[[#This Row],[Credit Points]]</f>
        <v>25</v>
      </c>
      <c r="F180">
        <v>1</v>
      </c>
      <c r="G180" t="s">
        <v>428</v>
      </c>
      <c r="H180">
        <v>1</v>
      </c>
      <c r="I180" t="s">
        <v>425</v>
      </c>
      <c r="J180" t="s">
        <v>110</v>
      </c>
      <c r="K180" s="1">
        <v>1</v>
      </c>
      <c r="L180" t="s">
        <v>333</v>
      </c>
      <c r="M180">
        <v>25</v>
      </c>
      <c r="N180" s="147">
        <v>43101</v>
      </c>
      <c r="O180" s="147"/>
      <c r="Q180" t="s">
        <v>110</v>
      </c>
      <c r="R180">
        <v>1</v>
      </c>
    </row>
    <row r="181" spans="1:18" x14ac:dyDescent="0.25">
      <c r="A181" t="str">
        <f>TableGCEDUC[[#This Row],[Study Package Code]]</f>
        <v>EDSC5022</v>
      </c>
      <c r="B181" s="1">
        <f>TableGCEDUC[[#This Row],[Ver]]</f>
        <v>1</v>
      </c>
      <c r="D181" t="str">
        <f>TableGCEDUC[[#This Row],[Structure Line]]</f>
        <v>Managing the Learning Environment</v>
      </c>
      <c r="E181" s="80">
        <f>TableGCEDUC[[#This Row],[Credit Points]]</f>
        <v>25</v>
      </c>
      <c r="F181">
        <v>1</v>
      </c>
      <c r="G181" t="s">
        <v>428</v>
      </c>
      <c r="H181">
        <v>1</v>
      </c>
      <c r="I181" t="s">
        <v>425</v>
      </c>
      <c r="J181" t="s">
        <v>173</v>
      </c>
      <c r="K181" s="1">
        <v>1</v>
      </c>
      <c r="L181" t="s">
        <v>338</v>
      </c>
      <c r="M181">
        <v>25</v>
      </c>
      <c r="N181" s="147">
        <v>43101</v>
      </c>
      <c r="O181" s="147"/>
      <c r="Q181" t="s">
        <v>173</v>
      </c>
      <c r="R181">
        <v>1</v>
      </c>
    </row>
    <row r="182" spans="1:18" x14ac:dyDescent="0.25">
      <c r="A182" t="str">
        <f>TableGCEDUC[[#This Row],[Study Package Code]]</f>
        <v>EDUC5005</v>
      </c>
      <c r="B182" s="1">
        <f>TableGCEDUC[[#This Row],[Ver]]</f>
        <v>2</v>
      </c>
      <c r="D182" t="str">
        <f>TableGCEDUC[[#This Row],[Structure Line]]</f>
        <v>Theories of Development and Learning</v>
      </c>
      <c r="E182" s="80">
        <f>TableGCEDUC[[#This Row],[Credit Points]]</f>
        <v>25</v>
      </c>
      <c r="F182">
        <v>1</v>
      </c>
      <c r="G182" t="s">
        <v>428</v>
      </c>
      <c r="H182">
        <v>1</v>
      </c>
      <c r="I182" t="s">
        <v>425</v>
      </c>
      <c r="J182" t="s">
        <v>59</v>
      </c>
      <c r="K182" s="1">
        <v>2</v>
      </c>
      <c r="L182" t="s">
        <v>357</v>
      </c>
      <c r="M182">
        <v>25</v>
      </c>
      <c r="N182" s="147">
        <v>44197</v>
      </c>
      <c r="O182" s="147"/>
      <c r="Q182" t="s">
        <v>59</v>
      </c>
      <c r="R182">
        <v>2</v>
      </c>
    </row>
    <row r="183" spans="1:18" x14ac:dyDescent="0.25">
      <c r="A183" t="str">
        <f>TableGCEDUC[[#This Row],[Study Package Code]]</f>
        <v>EDUC5006</v>
      </c>
      <c r="B183" s="1">
        <f>TableGCEDUC[[#This Row],[Ver]]</f>
        <v>1</v>
      </c>
      <c r="D183" t="str">
        <f>TableGCEDUC[[#This Row],[Structure Line]]</f>
        <v>Creative Technologies</v>
      </c>
      <c r="E183" s="80">
        <f>TableGCEDUC[[#This Row],[Credit Points]]</f>
        <v>25</v>
      </c>
      <c r="F183">
        <v>1</v>
      </c>
      <c r="G183" t="s">
        <v>428</v>
      </c>
      <c r="H183">
        <v>1</v>
      </c>
      <c r="I183" t="s">
        <v>425</v>
      </c>
      <c r="J183" t="s">
        <v>87</v>
      </c>
      <c r="K183" s="1">
        <v>1</v>
      </c>
      <c r="L183" t="s">
        <v>358</v>
      </c>
      <c r="M183">
        <v>25</v>
      </c>
      <c r="N183" s="147">
        <v>43101</v>
      </c>
      <c r="O183" s="147"/>
      <c r="Q183" t="s">
        <v>87</v>
      </c>
      <c r="R183">
        <v>1</v>
      </c>
    </row>
    <row r="184" spans="1:18" x14ac:dyDescent="0.25">
      <c r="A184" t="str">
        <f>TableGCEDUC[[#This Row],[Study Package Code]]</f>
        <v>EDUC5009</v>
      </c>
      <c r="B184" s="1">
        <f>TableGCEDUC[[#This Row],[Ver]]</f>
        <v>1</v>
      </c>
      <c r="D184" t="str">
        <f>TableGCEDUC[[#This Row],[Structure Line]]</f>
        <v>Pedagogies for Diversity</v>
      </c>
      <c r="E184" s="80">
        <f>TableGCEDUC[[#This Row],[Credit Points]]</f>
        <v>25</v>
      </c>
      <c r="F184">
        <v>1</v>
      </c>
      <c r="G184" t="s">
        <v>428</v>
      </c>
      <c r="H184">
        <v>1</v>
      </c>
      <c r="I184" t="s">
        <v>425</v>
      </c>
      <c r="J184" t="s">
        <v>88</v>
      </c>
      <c r="K184" s="1">
        <v>1</v>
      </c>
      <c r="L184" t="s">
        <v>359</v>
      </c>
      <c r="M184">
        <v>25</v>
      </c>
      <c r="N184" s="147">
        <v>43101</v>
      </c>
      <c r="O184" s="147"/>
      <c r="Q184" t="s">
        <v>88</v>
      </c>
      <c r="R184">
        <v>1</v>
      </c>
    </row>
    <row r="185" spans="1:18" x14ac:dyDescent="0.25">
      <c r="A185" t="str">
        <f>TableGCEDUC[[#This Row],[Study Package Code]]</f>
        <v>EDUC5011</v>
      </c>
      <c r="B185" s="1">
        <f>TableGCEDUC[[#This Row],[Ver]]</f>
        <v>1</v>
      </c>
      <c r="D185" t="str">
        <f>TableGCEDUC[[#This Row],[Structure Line]]</f>
        <v>Developing Positive Learning Environments</v>
      </c>
      <c r="E185" s="80">
        <f>TableGCEDUC[[#This Row],[Credit Points]]</f>
        <v>25</v>
      </c>
      <c r="F185">
        <v>1</v>
      </c>
      <c r="G185" t="s">
        <v>428</v>
      </c>
      <c r="H185">
        <v>1</v>
      </c>
      <c r="I185" t="s">
        <v>425</v>
      </c>
      <c r="J185" t="s">
        <v>64</v>
      </c>
      <c r="K185" s="1">
        <v>1</v>
      </c>
      <c r="L185" t="s">
        <v>360</v>
      </c>
      <c r="M185">
        <v>25</v>
      </c>
      <c r="N185" s="147">
        <v>43101</v>
      </c>
      <c r="O185" s="147"/>
      <c r="Q185" t="s">
        <v>64</v>
      </c>
      <c r="R185">
        <v>1</v>
      </c>
    </row>
    <row r="186" spans="1:18" x14ac:dyDescent="0.25">
      <c r="A186" t="str">
        <f>TableGCEDUC[[#This Row],[Study Package Code]]</f>
        <v>EDUC5033</v>
      </c>
      <c r="B186" s="1">
        <f>TableGCEDUC[[#This Row],[Ver]]</f>
        <v>1</v>
      </c>
      <c r="D186" t="str">
        <f>TableGCEDUC[[#This Row],[Structure Line]]</f>
        <v>Mentoring, Coaching and Tutoring</v>
      </c>
      <c r="E186" s="80">
        <f>TableGCEDUC[[#This Row],[Credit Points]]</f>
        <v>25</v>
      </c>
      <c r="F186">
        <v>1</v>
      </c>
      <c r="G186" t="s">
        <v>428</v>
      </c>
      <c r="H186">
        <v>1</v>
      </c>
      <c r="I186" t="s">
        <v>425</v>
      </c>
      <c r="J186" t="s">
        <v>169</v>
      </c>
      <c r="K186" s="1">
        <v>1</v>
      </c>
      <c r="L186" t="s">
        <v>366</v>
      </c>
      <c r="M186">
        <v>25</v>
      </c>
      <c r="N186" s="147">
        <v>44562</v>
      </c>
      <c r="O186" s="147"/>
      <c r="Q186" t="s">
        <v>169</v>
      </c>
      <c r="R186">
        <v>1</v>
      </c>
    </row>
    <row r="188" spans="1:18" x14ac:dyDescent="0.25">
      <c r="B188"/>
      <c r="E188"/>
      <c r="F188" s="77"/>
      <c r="G188" s="78" t="s">
        <v>413</v>
      </c>
      <c r="H188" s="171">
        <v>43466</v>
      </c>
      <c r="J188" s="170" t="s">
        <v>85</v>
      </c>
      <c r="K188" s="79" t="s">
        <v>79</v>
      </c>
      <c r="L188" s="77" t="s">
        <v>84</v>
      </c>
    </row>
    <row r="189" spans="1:18" x14ac:dyDescent="0.25">
      <c r="A189" t="s">
        <v>0</v>
      </c>
      <c r="B189" s="1" t="s">
        <v>73</v>
      </c>
      <c r="C189" t="s">
        <v>414</v>
      </c>
      <c r="D189" t="s">
        <v>3</v>
      </c>
      <c r="E189" s="80" t="s">
        <v>415</v>
      </c>
      <c r="F189" t="s">
        <v>416</v>
      </c>
      <c r="G189" t="s">
        <v>417</v>
      </c>
      <c r="H189" t="s">
        <v>418</v>
      </c>
      <c r="I189" t="s">
        <v>21</v>
      </c>
      <c r="J189" t="s">
        <v>419</v>
      </c>
      <c r="K189" s="1" t="s">
        <v>1</v>
      </c>
      <c r="L189" t="s">
        <v>56</v>
      </c>
      <c r="M189" t="s">
        <v>74</v>
      </c>
      <c r="N189" s="168" t="s">
        <v>420</v>
      </c>
      <c r="O189" s="168" t="s">
        <v>421</v>
      </c>
      <c r="Q189" t="s">
        <v>422</v>
      </c>
      <c r="R189" t="s">
        <v>423</v>
      </c>
    </row>
    <row r="190" spans="1:18" x14ac:dyDescent="0.25">
      <c r="A190" t="str">
        <f>TableGCEDHE[[#This Row],[Study Package Code]]</f>
        <v>EDHE5007</v>
      </c>
      <c r="B190" s="1">
        <f>TableGCEDHE[[#This Row],[Ver]]</f>
        <v>1</v>
      </c>
      <c r="D190" t="str">
        <f>TableGCEDHE[[#This Row],[Structure Line]]</f>
        <v>The Learning Cycle: Design and Curriculum</v>
      </c>
      <c r="E190" s="80">
        <f>TableGCEDHE[[#This Row],[Credit Points]]</f>
        <v>25</v>
      </c>
      <c r="F190">
        <v>1</v>
      </c>
      <c r="G190" t="s">
        <v>424</v>
      </c>
      <c r="H190">
        <v>0</v>
      </c>
      <c r="I190" t="s">
        <v>425</v>
      </c>
      <c r="J190" t="s">
        <v>435</v>
      </c>
      <c r="K190" s="1">
        <v>1</v>
      </c>
      <c r="L190" t="s">
        <v>436</v>
      </c>
      <c r="M190">
        <v>25</v>
      </c>
      <c r="N190" s="147">
        <v>43466</v>
      </c>
      <c r="O190" s="147"/>
      <c r="Q190" t="s">
        <v>435</v>
      </c>
      <c r="R190">
        <v>1</v>
      </c>
    </row>
    <row r="191" spans="1:18" x14ac:dyDescent="0.25">
      <c r="A191" t="str">
        <f>TableGCEDHE[[#This Row],[Study Package Code]]</f>
        <v>EDHE5008</v>
      </c>
      <c r="B191" s="1">
        <f>TableGCEDHE[[#This Row],[Ver]]</f>
        <v>1</v>
      </c>
      <c r="D191" t="str">
        <f>TableGCEDHE[[#This Row],[Structure Line]]</f>
        <v>Design Thinking and Educational Innovation</v>
      </c>
      <c r="E191" s="80">
        <f>TableGCEDHE[[#This Row],[Credit Points]]</f>
        <v>25</v>
      </c>
      <c r="F191">
        <v>2</v>
      </c>
      <c r="G191" t="s">
        <v>424</v>
      </c>
      <c r="H191">
        <v>0</v>
      </c>
      <c r="I191" t="s">
        <v>425</v>
      </c>
      <c r="J191" t="s">
        <v>437</v>
      </c>
      <c r="K191" s="1">
        <v>1</v>
      </c>
      <c r="L191" t="s">
        <v>438</v>
      </c>
      <c r="M191">
        <v>25</v>
      </c>
      <c r="N191" s="147">
        <v>43466</v>
      </c>
      <c r="O191" s="147"/>
      <c r="Q191" t="s">
        <v>437</v>
      </c>
      <c r="R191">
        <v>1</v>
      </c>
    </row>
    <row r="192" spans="1:18" x14ac:dyDescent="0.25">
      <c r="A192" t="str">
        <f>TableGCEDHE[[#This Row],[Study Package Code]]</f>
        <v>EDHE5010</v>
      </c>
      <c r="B192" s="1">
        <f>TableGCEDHE[[#This Row],[Ver]]</f>
        <v>1</v>
      </c>
      <c r="D192" t="str">
        <f>TableGCEDHE[[#This Row],[Structure Line]]</f>
        <v>Research for the Scholarship of Learning and Teaching</v>
      </c>
      <c r="E192" s="80">
        <f>TableGCEDHE[[#This Row],[Credit Points]]</f>
        <v>25</v>
      </c>
      <c r="F192">
        <v>3</v>
      </c>
      <c r="G192" t="s">
        <v>424</v>
      </c>
      <c r="H192">
        <v>0</v>
      </c>
      <c r="I192" t="s">
        <v>425</v>
      </c>
      <c r="J192" t="s">
        <v>439</v>
      </c>
      <c r="K192" s="1">
        <v>1</v>
      </c>
      <c r="L192" t="s">
        <v>440</v>
      </c>
      <c r="M192">
        <v>25</v>
      </c>
      <c r="N192" s="147">
        <v>43466</v>
      </c>
      <c r="O192" s="147"/>
      <c r="Q192" t="s">
        <v>439</v>
      </c>
      <c r="R192">
        <v>1</v>
      </c>
    </row>
    <row r="193" spans="1:18" x14ac:dyDescent="0.25">
      <c r="A193" t="str">
        <f>TableGCEDHE[[#This Row],[Study Package Code]]</f>
        <v>EDHE5011</v>
      </c>
      <c r="B193" s="1">
        <f>TableGCEDHE[[#This Row],[Ver]]</f>
        <v>1</v>
      </c>
      <c r="D193" t="str">
        <f>TableGCEDHE[[#This Row],[Structure Line]]</f>
        <v>Teaching Portfolio</v>
      </c>
      <c r="E193" s="80">
        <f>TableGCEDHE[[#This Row],[Credit Points]]</f>
        <v>25</v>
      </c>
      <c r="F193">
        <v>4</v>
      </c>
      <c r="G193" t="s">
        <v>424</v>
      </c>
      <c r="H193">
        <v>0</v>
      </c>
      <c r="I193" t="s">
        <v>425</v>
      </c>
      <c r="J193" t="s">
        <v>441</v>
      </c>
      <c r="K193" s="1">
        <v>1</v>
      </c>
      <c r="L193" t="s">
        <v>442</v>
      </c>
      <c r="M193">
        <v>25</v>
      </c>
      <c r="N193" s="147">
        <v>43466</v>
      </c>
      <c r="O193" s="147"/>
      <c r="Q193" t="s">
        <v>441</v>
      </c>
      <c r="R193">
        <v>1</v>
      </c>
    </row>
    <row r="195" spans="1:18" x14ac:dyDescent="0.25">
      <c r="B195"/>
      <c r="E195"/>
      <c r="F195" s="77"/>
      <c r="G195" s="78" t="s">
        <v>413</v>
      </c>
      <c r="H195" s="210">
        <v>45292</v>
      </c>
      <c r="J195" s="211" t="s">
        <v>119</v>
      </c>
      <c r="K195" s="79" t="s">
        <v>79</v>
      </c>
      <c r="L195" s="77" t="s">
        <v>118</v>
      </c>
    </row>
    <row r="196" spans="1:18" x14ac:dyDescent="0.25">
      <c r="A196" t="s">
        <v>0</v>
      </c>
      <c r="B196" s="1" t="s">
        <v>73</v>
      </c>
      <c r="C196" t="s">
        <v>414</v>
      </c>
      <c r="D196" t="s">
        <v>3</v>
      </c>
      <c r="E196" s="80" t="s">
        <v>415</v>
      </c>
      <c r="F196" t="s">
        <v>416</v>
      </c>
      <c r="G196" t="s">
        <v>417</v>
      </c>
      <c r="H196" t="s">
        <v>418</v>
      </c>
      <c r="I196" t="s">
        <v>21</v>
      </c>
      <c r="J196" t="s">
        <v>419</v>
      </c>
      <c r="K196" s="1" t="s">
        <v>1</v>
      </c>
      <c r="L196" t="s">
        <v>56</v>
      </c>
      <c r="M196" t="s">
        <v>74</v>
      </c>
      <c r="N196" s="168" t="s">
        <v>420</v>
      </c>
      <c r="O196" s="168" t="s">
        <v>421</v>
      </c>
      <c r="Q196" t="s">
        <v>422</v>
      </c>
      <c r="R196" t="s">
        <v>423</v>
      </c>
    </row>
    <row r="197" spans="1:18" x14ac:dyDescent="0.25">
      <c r="A197" t="str">
        <f>TableGDEDUC[[#This Row],[Study Package Code]]</f>
        <v>MajorGDEDUC</v>
      </c>
      <c r="B197" s="1">
        <f>TableGDEDUC[[#This Row],[Ver]]</f>
        <v>0</v>
      </c>
      <c r="D197" t="str">
        <f>TableGDEDUC[[#This Row],[Structure Line]]</f>
        <v>Choose a Major</v>
      </c>
      <c r="E197" s="80">
        <f>TableGDEDUC[[#This Row],[Credit Points]]</f>
        <v>200</v>
      </c>
      <c r="F197">
        <v>1</v>
      </c>
      <c r="G197" t="s">
        <v>424</v>
      </c>
      <c r="H197">
        <v>0</v>
      </c>
      <c r="I197" t="s">
        <v>425</v>
      </c>
      <c r="J197" t="s">
        <v>460</v>
      </c>
      <c r="K197" s="1">
        <v>0</v>
      </c>
      <c r="L197" t="s">
        <v>459</v>
      </c>
      <c r="M197">
        <v>200</v>
      </c>
      <c r="N197" s="147"/>
      <c r="O197" s="147"/>
    </row>
    <row r="198" spans="1:18" x14ac:dyDescent="0.25">
      <c r="A198" t="str">
        <f>TableGDEDUC[[#This Row],[Study Package Code]]</f>
        <v>MJRP-EDUPR</v>
      </c>
      <c r="B198" s="1">
        <f>TableGDEDUC[[#This Row],[Ver]]</f>
        <v>1</v>
      </c>
      <c r="D198" t="str">
        <f>TableGDEDUC[[#This Row],[Structure Line]]</f>
        <v>Primary Education Major (GradDipEdu)</v>
      </c>
      <c r="E198" s="80">
        <f>TableGDEDUC[[#This Row],[Credit Points]]</f>
        <v>200</v>
      </c>
      <c r="F198">
        <v>1</v>
      </c>
      <c r="G198" t="s">
        <v>424</v>
      </c>
      <c r="H198">
        <v>0</v>
      </c>
      <c r="I198" t="s">
        <v>425</v>
      </c>
      <c r="J198" t="s">
        <v>285</v>
      </c>
      <c r="K198" s="208">
        <v>1</v>
      </c>
      <c r="L198" t="s">
        <v>284</v>
      </c>
      <c r="M198" s="209">
        <v>200</v>
      </c>
      <c r="N198" s="147">
        <v>45292</v>
      </c>
      <c r="O198" s="147"/>
    </row>
    <row r="199" spans="1:18" x14ac:dyDescent="0.25">
      <c r="A199" t="str">
        <f>TableGDEDUC[[#This Row],[Study Package Code]]</f>
        <v>MJRP-EDUSC</v>
      </c>
      <c r="B199" s="1">
        <f>TableGDEDUC[[#This Row],[Ver]]</f>
        <v>1</v>
      </c>
      <c r="D199" t="str">
        <f>TableGDEDUC[[#This Row],[Structure Line]]</f>
        <v>Secondary Education Major (GradDipEdu)</v>
      </c>
      <c r="E199" s="80">
        <f>TableGDEDUC[[#This Row],[Credit Points]]</f>
        <v>200</v>
      </c>
      <c r="F199">
        <v>1</v>
      </c>
      <c r="G199" t="s">
        <v>424</v>
      </c>
      <c r="H199">
        <v>0</v>
      </c>
      <c r="I199" t="s">
        <v>425</v>
      </c>
      <c r="J199" t="s">
        <v>287</v>
      </c>
      <c r="K199" s="208">
        <v>1</v>
      </c>
      <c r="L199" t="s">
        <v>231</v>
      </c>
      <c r="M199" s="209">
        <v>200</v>
      </c>
      <c r="N199" s="147">
        <v>45292</v>
      </c>
      <c r="O199" s="147"/>
    </row>
    <row r="200" spans="1:18" x14ac:dyDescent="0.25">
      <c r="B200"/>
      <c r="E200"/>
      <c r="F200" s="77"/>
      <c r="G200" s="78" t="s">
        <v>413</v>
      </c>
      <c r="H200" s="210">
        <v>45292</v>
      </c>
      <c r="J200" s="211" t="s">
        <v>285</v>
      </c>
      <c r="K200" s="79" t="s">
        <v>79</v>
      </c>
      <c r="L200" s="77" t="s">
        <v>284</v>
      </c>
    </row>
    <row r="201" spans="1:18" x14ac:dyDescent="0.25">
      <c r="A201" t="s">
        <v>0</v>
      </c>
      <c r="B201" s="1" t="s">
        <v>73</v>
      </c>
      <c r="C201" t="s">
        <v>414</v>
      </c>
      <c r="D201" t="s">
        <v>3</v>
      </c>
      <c r="E201" s="80" t="s">
        <v>415</v>
      </c>
      <c r="F201" t="s">
        <v>416</v>
      </c>
      <c r="G201" t="s">
        <v>417</v>
      </c>
      <c r="H201" t="s">
        <v>418</v>
      </c>
      <c r="I201" t="s">
        <v>21</v>
      </c>
      <c r="J201" t="s">
        <v>419</v>
      </c>
      <c r="K201" s="1" t="s">
        <v>1</v>
      </c>
      <c r="L201" t="s">
        <v>56</v>
      </c>
      <c r="M201" t="s">
        <v>74</v>
      </c>
      <c r="N201" s="168" t="s">
        <v>420</v>
      </c>
      <c r="O201" s="168" t="s">
        <v>421</v>
      </c>
      <c r="Q201" t="s">
        <v>422</v>
      </c>
      <c r="R201" t="s">
        <v>423</v>
      </c>
    </row>
    <row r="202" spans="1:18" x14ac:dyDescent="0.25">
      <c r="A202" t="str">
        <f>TableMJRPEDUPR[[#This Row],[Study Package Code]]</f>
        <v>EDPR5000</v>
      </c>
      <c r="B202" s="1">
        <f>TableMJRPEDUPR[[#This Row],[Ver]]</f>
        <v>2</v>
      </c>
      <c r="D202" t="str">
        <f>TableMJRPEDUPR[[#This Row],[Structure Line]]</f>
        <v>Primary Professional Experience 1: Planning for Writing</v>
      </c>
      <c r="E202" s="80">
        <f>TableMJRPEDUPR[[#This Row],[Credit Points]]</f>
        <v>25</v>
      </c>
      <c r="F202">
        <v>1</v>
      </c>
      <c r="G202" t="s">
        <v>424</v>
      </c>
      <c r="H202">
        <v>1</v>
      </c>
      <c r="I202" t="s">
        <v>461</v>
      </c>
      <c r="J202" t="s">
        <v>83</v>
      </c>
      <c r="K202" s="1">
        <v>2</v>
      </c>
      <c r="L202" t="s">
        <v>323</v>
      </c>
      <c r="M202" s="209">
        <v>25</v>
      </c>
      <c r="N202" s="147">
        <v>44562</v>
      </c>
      <c r="O202" s="147"/>
    </row>
    <row r="203" spans="1:18" x14ac:dyDescent="0.25">
      <c r="A203" t="str">
        <f>TableMJRPEDUPR[[#This Row],[Study Package Code]]</f>
        <v>EDUC5005</v>
      </c>
      <c r="B203" s="1">
        <f>TableMJRPEDUPR[[#This Row],[Ver]]</f>
        <v>2</v>
      </c>
      <c r="D203" t="str">
        <f>TableMJRPEDUPR[[#This Row],[Structure Line]]</f>
        <v>Theories of Development and Learning</v>
      </c>
      <c r="E203" s="80">
        <f>TableMJRPEDUPR[[#This Row],[Credit Points]]</f>
        <v>25</v>
      </c>
      <c r="F203">
        <v>2</v>
      </c>
      <c r="G203" t="s">
        <v>424</v>
      </c>
      <c r="H203">
        <v>1</v>
      </c>
      <c r="I203" t="s">
        <v>461</v>
      </c>
      <c r="J203" t="s">
        <v>59</v>
      </c>
      <c r="K203" s="1">
        <v>2</v>
      </c>
      <c r="L203" t="s">
        <v>357</v>
      </c>
      <c r="M203" s="209">
        <v>25</v>
      </c>
      <c r="N203" s="147">
        <v>44197</v>
      </c>
      <c r="O203" s="147"/>
    </row>
    <row r="204" spans="1:18" x14ac:dyDescent="0.25">
      <c r="A204" t="str">
        <f>TableMJRPEDUPR[[#This Row],[Study Package Code]]</f>
        <v>EDPR5001</v>
      </c>
      <c r="B204" s="1">
        <f>TableMJRPEDUPR[[#This Row],[Ver]]</f>
        <v>1</v>
      </c>
      <c r="D204" t="str">
        <f>TableMJRPEDUPR[[#This Row],[Structure Line]]</f>
        <v>Primary Professional Experience 2: Assessment and Reporting</v>
      </c>
      <c r="E204" s="80">
        <f>TableMJRPEDUPR[[#This Row],[Credit Points]]</f>
        <v>25</v>
      </c>
      <c r="F204">
        <v>3</v>
      </c>
      <c r="G204" t="s">
        <v>424</v>
      </c>
      <c r="H204">
        <v>1</v>
      </c>
      <c r="I204" t="s">
        <v>462</v>
      </c>
      <c r="J204" t="s">
        <v>94</v>
      </c>
      <c r="K204" s="1">
        <v>1</v>
      </c>
      <c r="L204" t="s">
        <v>325</v>
      </c>
      <c r="M204" s="209">
        <v>25</v>
      </c>
      <c r="N204" s="147">
        <v>43101</v>
      </c>
      <c r="O204" s="147"/>
    </row>
    <row r="205" spans="1:18" x14ac:dyDescent="0.25">
      <c r="A205" t="str">
        <f>TableMJRPEDUPR[[#This Row],[Study Package Code]]</f>
        <v>EDPR5005</v>
      </c>
      <c r="B205" s="1">
        <f>TableMJRPEDUPR[[#This Row],[Ver]]</f>
        <v>1</v>
      </c>
      <c r="D205" t="str">
        <f>TableMJRPEDUPR[[#This Row],[Structure Line]]</f>
        <v>Teaching Science in the Primary Years</v>
      </c>
      <c r="E205" s="80">
        <f>TableMJRPEDUPR[[#This Row],[Credit Points]]</f>
        <v>25</v>
      </c>
      <c r="F205">
        <v>4</v>
      </c>
      <c r="G205" t="s">
        <v>424</v>
      </c>
      <c r="H205">
        <v>1</v>
      </c>
      <c r="I205" t="s">
        <v>462</v>
      </c>
      <c r="J205" t="s">
        <v>70</v>
      </c>
      <c r="K205" s="1">
        <v>1</v>
      </c>
      <c r="L205" t="s">
        <v>328</v>
      </c>
      <c r="M205" s="209">
        <v>25</v>
      </c>
      <c r="N205" s="147">
        <v>43101</v>
      </c>
      <c r="O205" s="147"/>
    </row>
    <row r="206" spans="1:18" x14ac:dyDescent="0.25">
      <c r="A206" t="str">
        <f>TableMJRPEDUPR[[#This Row],[Study Package Code]]</f>
        <v>EDUC5031</v>
      </c>
      <c r="B206" s="1">
        <f>TableMJRPEDUPR[[#This Row],[Ver]]</f>
        <v>1</v>
      </c>
      <c r="D206" t="str">
        <f>TableMJRPEDUPR[[#This Row],[Structure Line]]</f>
        <v>Introduction to English: Reading</v>
      </c>
      <c r="E206" s="80">
        <f>TableMJRPEDUPR[[#This Row],[Credit Points]]</f>
        <v>25</v>
      </c>
      <c r="F206">
        <v>5</v>
      </c>
      <c r="G206" t="s">
        <v>424</v>
      </c>
      <c r="H206">
        <v>1</v>
      </c>
      <c r="I206" t="s">
        <v>463</v>
      </c>
      <c r="J206" t="s">
        <v>65</v>
      </c>
      <c r="K206" s="1">
        <v>1</v>
      </c>
      <c r="L206" t="s">
        <v>365</v>
      </c>
      <c r="M206" s="209">
        <v>25</v>
      </c>
      <c r="N206" s="147">
        <v>44562</v>
      </c>
      <c r="O206" s="147"/>
    </row>
    <row r="207" spans="1:18" x14ac:dyDescent="0.25">
      <c r="A207" t="str">
        <f>TableMJRPEDUPR[[#This Row],[Study Package Code]]</f>
        <v>EDUC6062</v>
      </c>
      <c r="B207" s="1">
        <f>TableMJRPEDUPR[[#This Row],[Ver]]</f>
        <v>1</v>
      </c>
      <c r="D207" t="str">
        <f>TableMJRPEDUPR[[#This Row],[Structure Line]]</f>
        <v>Professional Experience 3: Using Data to Inform Teaching and Learning</v>
      </c>
      <c r="E207" s="80">
        <f>TableMJRPEDUPR[[#This Row],[Credit Points]]</f>
        <v>25</v>
      </c>
      <c r="F207">
        <v>6</v>
      </c>
      <c r="G207" t="s">
        <v>424</v>
      </c>
      <c r="H207">
        <v>1</v>
      </c>
      <c r="I207" t="s">
        <v>463</v>
      </c>
      <c r="J207" t="s">
        <v>115</v>
      </c>
      <c r="K207" s="1">
        <v>1</v>
      </c>
      <c r="L207" s="147" t="s">
        <v>382</v>
      </c>
      <c r="M207" s="209">
        <v>25</v>
      </c>
      <c r="N207" s="147">
        <v>44562</v>
      </c>
      <c r="O207" s="147"/>
    </row>
    <row r="208" spans="1:18" x14ac:dyDescent="0.25">
      <c r="A208" t="str">
        <f>TableMJRPEDUPR[[#This Row],[Study Package Code]]</f>
        <v>EDUC5006</v>
      </c>
      <c r="B208" s="1">
        <f>TableMJRPEDUPR[[#This Row],[Ver]]</f>
        <v>1</v>
      </c>
      <c r="D208" t="str">
        <f>TableMJRPEDUPR[[#This Row],[Structure Line]]</f>
        <v>Creative Technologies</v>
      </c>
      <c r="E208" s="80">
        <f>TableMJRPEDUPR[[#This Row],[Credit Points]]</f>
        <v>25</v>
      </c>
      <c r="F208">
        <v>7</v>
      </c>
      <c r="G208" t="s">
        <v>424</v>
      </c>
      <c r="H208">
        <v>1</v>
      </c>
      <c r="I208" t="s">
        <v>464</v>
      </c>
      <c r="J208" t="s">
        <v>87</v>
      </c>
      <c r="K208" s="1">
        <v>1</v>
      </c>
      <c r="L208" t="s">
        <v>358</v>
      </c>
      <c r="M208" s="209">
        <v>25</v>
      </c>
      <c r="N208" s="147">
        <v>43101</v>
      </c>
      <c r="O208" s="147"/>
    </row>
    <row r="209" spans="1:18" x14ac:dyDescent="0.25">
      <c r="A209" t="str">
        <f>TableMJRPEDUPR[[#This Row],[Study Package Code]]</f>
        <v>EDPR5003</v>
      </c>
      <c r="B209" s="1">
        <f>TableMJRPEDUPR[[#This Row],[Ver]]</f>
        <v>1</v>
      </c>
      <c r="D209" t="str">
        <f>TableMJRPEDUPR[[#This Row],[Structure Line]]</f>
        <v>Teaching Number, Algebra and Probability in the Primary Years</v>
      </c>
      <c r="E209" s="80">
        <f>TableMJRPEDUPR[[#This Row],[Credit Points]]</f>
        <v>25</v>
      </c>
      <c r="F209">
        <v>8</v>
      </c>
      <c r="G209" t="s">
        <v>424</v>
      </c>
      <c r="H209">
        <v>1</v>
      </c>
      <c r="I209" t="s">
        <v>464</v>
      </c>
      <c r="J209" t="s">
        <v>71</v>
      </c>
      <c r="K209" s="1">
        <v>1</v>
      </c>
      <c r="L209" t="s">
        <v>326</v>
      </c>
      <c r="M209" s="209">
        <v>25</v>
      </c>
      <c r="N209" s="147">
        <v>43101</v>
      </c>
      <c r="O209" s="147"/>
    </row>
    <row r="210" spans="1:18" x14ac:dyDescent="0.25">
      <c r="B210"/>
      <c r="E210"/>
      <c r="F210" s="77"/>
      <c r="G210" s="78" t="s">
        <v>413</v>
      </c>
      <c r="H210" s="210">
        <v>45292</v>
      </c>
      <c r="J210" s="211" t="s">
        <v>287</v>
      </c>
      <c r="K210" s="79" t="s">
        <v>79</v>
      </c>
      <c r="L210" s="77" t="s">
        <v>231</v>
      </c>
    </row>
    <row r="211" spans="1:18" x14ac:dyDescent="0.25">
      <c r="A211" t="s">
        <v>0</v>
      </c>
      <c r="B211" s="1" t="s">
        <v>73</v>
      </c>
      <c r="C211" t="s">
        <v>414</v>
      </c>
      <c r="D211" t="s">
        <v>3</v>
      </c>
      <c r="E211" s="80" t="s">
        <v>415</v>
      </c>
      <c r="F211" t="s">
        <v>416</v>
      </c>
      <c r="G211" t="s">
        <v>417</v>
      </c>
      <c r="H211" t="s">
        <v>418</v>
      </c>
      <c r="I211" t="s">
        <v>21</v>
      </c>
      <c r="J211" t="s">
        <v>419</v>
      </c>
      <c r="K211" s="1" t="s">
        <v>1</v>
      </c>
      <c r="L211" t="s">
        <v>56</v>
      </c>
      <c r="M211" t="s">
        <v>74</v>
      </c>
      <c r="N211" s="168" t="s">
        <v>420</v>
      </c>
      <c r="O211" s="168" t="s">
        <v>421</v>
      </c>
      <c r="Q211" t="s">
        <v>422</v>
      </c>
      <c r="R211" t="s">
        <v>423</v>
      </c>
    </row>
    <row r="212" spans="1:18" x14ac:dyDescent="0.25">
      <c r="A212" t="str">
        <f>TableMJRPEDUSC[[#This Row],[Study Package Code]]</f>
        <v>Option</v>
      </c>
      <c r="B212" s="1">
        <f>TableMJRPEDUSC[[#This Row],[Ver]]</f>
        <v>0</v>
      </c>
      <c r="D212" t="str">
        <f>TableMJRPEDUSC[[#This Row],[Structure Line]]</f>
        <v>Teaching Area Options</v>
      </c>
      <c r="E212" s="80">
        <f>TableMJRPEDUSC[[#This Row],[Credit Points]]</f>
        <v>50</v>
      </c>
      <c r="F212">
        <v>1</v>
      </c>
      <c r="G212" t="s">
        <v>428</v>
      </c>
      <c r="H212">
        <v>1</v>
      </c>
      <c r="I212" t="s">
        <v>425</v>
      </c>
      <c r="J212" t="s">
        <v>428</v>
      </c>
      <c r="K212" s="1">
        <v>0</v>
      </c>
      <c r="L212" t="s">
        <v>465</v>
      </c>
      <c r="M212">
        <v>50</v>
      </c>
      <c r="N212" s="147"/>
      <c r="O212" s="147"/>
    </row>
    <row r="213" spans="1:18" x14ac:dyDescent="0.25">
      <c r="A213" t="str">
        <f>TableMJRPEDUSC[[#This Row],[Study Package Code]]</f>
        <v>EDSC5028</v>
      </c>
      <c r="B213" s="1">
        <f>TableMJRPEDUSC[[#This Row],[Ver]]</f>
        <v>1</v>
      </c>
      <c r="D213" t="str">
        <f>TableMJRPEDUSC[[#This Row],[Structure Line]]</f>
        <v>Secondary Professional Experience 1: Planning</v>
      </c>
      <c r="E213" s="80">
        <f>TableMJRPEDUSC[[#This Row],[Credit Points]]</f>
        <v>25</v>
      </c>
      <c r="F213">
        <v>2</v>
      </c>
      <c r="G213" t="s">
        <v>424</v>
      </c>
      <c r="H213">
        <v>1</v>
      </c>
      <c r="I213" t="s">
        <v>461</v>
      </c>
      <c r="J213" t="s">
        <v>251</v>
      </c>
      <c r="K213" s="1">
        <v>1</v>
      </c>
      <c r="L213" t="s">
        <v>344</v>
      </c>
      <c r="M213" s="209">
        <v>25</v>
      </c>
      <c r="N213" s="147">
        <v>43101</v>
      </c>
      <c r="O213" s="147"/>
    </row>
    <row r="214" spans="1:18" x14ac:dyDescent="0.25">
      <c r="A214" t="str">
        <f>TableMJRPEDUSC[[#This Row],[Study Package Code]]</f>
        <v>EDSC5035</v>
      </c>
      <c r="B214" s="1">
        <f>TableMJRPEDUSC[[#This Row],[Ver]]</f>
        <v>1</v>
      </c>
      <c r="D214" t="str">
        <f>TableMJRPEDUSC[[#This Row],[Structure Line]]</f>
        <v>Teaching in the Secondary School</v>
      </c>
      <c r="E214" s="80">
        <f>TableMJRPEDUSC[[#This Row],[Credit Points]]</f>
        <v>25</v>
      </c>
      <c r="F214">
        <v>3</v>
      </c>
      <c r="G214" t="s">
        <v>424</v>
      </c>
      <c r="H214">
        <v>1</v>
      </c>
      <c r="I214" t="s">
        <v>461</v>
      </c>
      <c r="J214" t="s">
        <v>241</v>
      </c>
      <c r="K214" s="1">
        <v>1</v>
      </c>
      <c r="L214" t="s">
        <v>351</v>
      </c>
      <c r="M214" s="209">
        <v>25</v>
      </c>
      <c r="N214" s="147">
        <v>43101</v>
      </c>
      <c r="O214" s="147"/>
    </row>
    <row r="215" spans="1:18" x14ac:dyDescent="0.25">
      <c r="A215" t="str">
        <f>TableMJRPEDUSC[[#This Row],[Study Package Code]]</f>
        <v>EDSC5029</v>
      </c>
      <c r="B215" s="1">
        <f>TableMJRPEDUSC[[#This Row],[Ver]]</f>
        <v>1</v>
      </c>
      <c r="D215" t="str">
        <f>TableMJRPEDUSC[[#This Row],[Structure Line]]</f>
        <v>Secondary Professional Experience 2: Assessment and Reporting</v>
      </c>
      <c r="E215" s="80">
        <f>TableMJRPEDUSC[[#This Row],[Credit Points]]</f>
        <v>25</v>
      </c>
      <c r="F215">
        <v>4</v>
      </c>
      <c r="G215" t="s">
        <v>424</v>
      </c>
      <c r="H215">
        <v>1</v>
      </c>
      <c r="I215" t="s">
        <v>462</v>
      </c>
      <c r="J215" t="s">
        <v>255</v>
      </c>
      <c r="K215" s="1">
        <v>1</v>
      </c>
      <c r="L215" t="s">
        <v>346</v>
      </c>
      <c r="M215" s="209">
        <v>25</v>
      </c>
      <c r="N215" s="147">
        <v>43101</v>
      </c>
      <c r="O215" s="147"/>
    </row>
    <row r="216" spans="1:18" x14ac:dyDescent="0.25">
      <c r="A216" t="str">
        <f>TableMJRPEDUSC[[#This Row],[Study Package Code]]</f>
        <v>EDUC5009</v>
      </c>
      <c r="B216" s="1">
        <f>TableMJRPEDUSC[[#This Row],[Ver]]</f>
        <v>1</v>
      </c>
      <c r="D216" t="str">
        <f>TableMJRPEDUSC[[#This Row],[Structure Line]]</f>
        <v>Pedagogies for Diversity</v>
      </c>
      <c r="E216" s="80">
        <f>TableMJRPEDUSC[[#This Row],[Credit Points]]</f>
        <v>25</v>
      </c>
      <c r="F216">
        <v>5</v>
      </c>
      <c r="G216" t="s">
        <v>424</v>
      </c>
      <c r="H216">
        <v>1</v>
      </c>
      <c r="I216" t="s">
        <v>463</v>
      </c>
      <c r="J216" t="s">
        <v>88</v>
      </c>
      <c r="K216" s="1">
        <v>1</v>
      </c>
      <c r="L216" t="s">
        <v>359</v>
      </c>
      <c r="M216" s="209">
        <v>25</v>
      </c>
      <c r="N216" s="147">
        <v>43101</v>
      </c>
      <c r="O216" s="147"/>
    </row>
    <row r="217" spans="1:18" x14ac:dyDescent="0.25">
      <c r="A217" t="str">
        <f>TableMJRPEDUSC[[#This Row],[Study Package Code]]</f>
        <v>EDUC6062</v>
      </c>
      <c r="B217" s="1">
        <f>TableMJRPEDUSC[[#This Row],[Ver]]</f>
        <v>1</v>
      </c>
      <c r="D217" t="str">
        <f>TableMJRPEDUSC[[#This Row],[Structure Line]]</f>
        <v>Professional Experience 3: Using Data to Inform Teaching and Learning</v>
      </c>
      <c r="E217" s="80">
        <f>TableMJRPEDUSC[[#This Row],[Credit Points]]</f>
        <v>25</v>
      </c>
      <c r="F217">
        <v>6</v>
      </c>
      <c r="G217" t="s">
        <v>424</v>
      </c>
      <c r="H217">
        <v>1</v>
      </c>
      <c r="I217" t="s">
        <v>463</v>
      </c>
      <c r="J217" t="s">
        <v>115</v>
      </c>
      <c r="K217" s="1">
        <v>1</v>
      </c>
      <c r="L217" s="147" t="s">
        <v>382</v>
      </c>
      <c r="M217" s="209">
        <v>25</v>
      </c>
      <c r="N217" s="147">
        <v>44562</v>
      </c>
      <c r="O217" s="147"/>
    </row>
    <row r="218" spans="1:18" x14ac:dyDescent="0.25">
      <c r="A218" t="str">
        <f>TableMJRPEDUSC[[#This Row],[Study Package Code]]</f>
        <v>EDUC5006</v>
      </c>
      <c r="B218" s="1">
        <f>TableMJRPEDUSC[[#This Row],[Ver]]</f>
        <v>1</v>
      </c>
      <c r="D218" t="str">
        <f>TableMJRPEDUSC[[#This Row],[Structure Line]]</f>
        <v>Creative Technologies</v>
      </c>
      <c r="E218" s="80">
        <f>TableMJRPEDUSC[[#This Row],[Credit Points]]</f>
        <v>25</v>
      </c>
      <c r="F218">
        <v>7</v>
      </c>
      <c r="G218" t="s">
        <v>424</v>
      </c>
      <c r="H218">
        <v>1</v>
      </c>
      <c r="I218" t="s">
        <v>464</v>
      </c>
      <c r="J218" t="s">
        <v>87</v>
      </c>
      <c r="K218" s="1">
        <v>1</v>
      </c>
      <c r="L218" t="s">
        <v>358</v>
      </c>
      <c r="M218" s="209">
        <v>25</v>
      </c>
      <c r="N218" s="147">
        <v>43101</v>
      </c>
      <c r="O218" s="147"/>
    </row>
    <row r="219" spans="1:18" x14ac:dyDescent="0.25">
      <c r="A219" t="str">
        <f>TableMJRPEDUSC[[#This Row],[Study Package Code]]</f>
        <v>STRP-SCART</v>
      </c>
      <c r="B219" s="1">
        <f>TableMJRPEDUSC[[#This Row],[Ver]]</f>
        <v>1</v>
      </c>
      <c r="D219" t="str">
        <f>TableMJRPEDUSC[[#This Row],[Structure Line]]</f>
        <v>The Arts Teaching Area Stream (MTch Sec)</v>
      </c>
      <c r="E219" s="80">
        <f>TableMJRPEDUSC[[#This Row],[Credit Points]]</f>
        <v>50</v>
      </c>
      <c r="F219">
        <v>1</v>
      </c>
      <c r="G219" t="s">
        <v>428</v>
      </c>
      <c r="H219">
        <v>1</v>
      </c>
      <c r="I219" t="s">
        <v>425</v>
      </c>
      <c r="J219" t="s">
        <v>46</v>
      </c>
      <c r="K219" s="208">
        <v>1</v>
      </c>
      <c r="L219" t="s">
        <v>404</v>
      </c>
      <c r="M219" s="209">
        <v>50</v>
      </c>
      <c r="N219" s="147">
        <v>44562</v>
      </c>
      <c r="O219" s="147"/>
    </row>
    <row r="220" spans="1:18" x14ac:dyDescent="0.25">
      <c r="A220" t="str">
        <f>TableMJRPEDUSC[[#This Row],[Study Package Code]]</f>
        <v>STRP-SCENG</v>
      </c>
      <c r="B220" s="1">
        <f>TableMJRPEDUSC[[#This Row],[Ver]]</f>
        <v>1</v>
      </c>
      <c r="D220" t="str">
        <f>TableMJRPEDUSC[[#This Row],[Structure Line]]</f>
        <v>English Teaching Area Stream (MTch Sec)</v>
      </c>
      <c r="E220" s="80">
        <f>TableMJRPEDUSC[[#This Row],[Credit Points]]</f>
        <v>50</v>
      </c>
      <c r="F220">
        <v>1</v>
      </c>
      <c r="G220" t="s">
        <v>428</v>
      </c>
      <c r="H220">
        <v>1</v>
      </c>
      <c r="I220" t="s">
        <v>425</v>
      </c>
      <c r="J220" t="s">
        <v>252</v>
      </c>
      <c r="K220" s="208">
        <v>1</v>
      </c>
      <c r="L220" t="s">
        <v>406</v>
      </c>
      <c r="M220" s="209">
        <v>50</v>
      </c>
      <c r="N220" s="147">
        <v>44562</v>
      </c>
      <c r="O220" s="147"/>
    </row>
    <row r="221" spans="1:18" x14ac:dyDescent="0.25">
      <c r="A221" t="str">
        <f>TableMJRPEDUSC[[#This Row],[Study Package Code]]</f>
        <v>STRP-SCHLP</v>
      </c>
      <c r="B221" s="1">
        <f>TableMJRPEDUSC[[#This Row],[Ver]]</f>
        <v>1</v>
      </c>
      <c r="D221" t="str">
        <f>TableMJRPEDUSC[[#This Row],[Structure Line]]</f>
        <v>Health and Physical Education Teaching Area Stream (MTch Sec)</v>
      </c>
      <c r="E221" s="80">
        <f>TableMJRPEDUSC[[#This Row],[Credit Points]]</f>
        <v>50</v>
      </c>
      <c r="F221">
        <v>1</v>
      </c>
      <c r="G221" t="s">
        <v>428</v>
      </c>
      <c r="H221">
        <v>1</v>
      </c>
      <c r="I221" t="s">
        <v>425</v>
      </c>
      <c r="J221" t="s">
        <v>254</v>
      </c>
      <c r="K221" s="208">
        <v>1</v>
      </c>
      <c r="L221" t="s">
        <v>408</v>
      </c>
      <c r="M221" s="209">
        <v>50</v>
      </c>
      <c r="N221" s="147">
        <v>44562</v>
      </c>
      <c r="O221" s="147"/>
    </row>
    <row r="222" spans="1:18" x14ac:dyDescent="0.25">
      <c r="A222" t="str">
        <f>TableMJRPEDUSC[[#This Row],[Study Package Code]]</f>
        <v>STRP-SCHUS</v>
      </c>
      <c r="B222" s="1">
        <f>TableMJRPEDUSC[[#This Row],[Ver]]</f>
        <v>1</v>
      </c>
      <c r="D222" t="str">
        <f>TableMJRPEDUSC[[#This Row],[Structure Line]]</f>
        <v>Humanities and Social Sciences Teaching Area Stream (MTch Sec)</v>
      </c>
      <c r="E222" s="80">
        <f>TableMJRPEDUSC[[#This Row],[Credit Points]]</f>
        <v>50</v>
      </c>
      <c r="F222">
        <v>1</v>
      </c>
      <c r="G222" t="s">
        <v>428</v>
      </c>
      <c r="H222">
        <v>1</v>
      </c>
      <c r="I222" t="s">
        <v>425</v>
      </c>
      <c r="J222" t="s">
        <v>257</v>
      </c>
      <c r="K222" s="208">
        <v>1</v>
      </c>
      <c r="L222" t="s">
        <v>409</v>
      </c>
      <c r="M222" s="209">
        <v>50</v>
      </c>
      <c r="N222" s="147">
        <v>44562</v>
      </c>
      <c r="O222" s="147"/>
    </row>
    <row r="223" spans="1:18" x14ac:dyDescent="0.25">
      <c r="A223" t="str">
        <f>TableMJRPEDUSC[[#This Row],[Study Package Code]]</f>
        <v>STRP-SCMAT</v>
      </c>
      <c r="B223" s="1">
        <f>TableMJRPEDUSC[[#This Row],[Ver]]</f>
        <v>1</v>
      </c>
      <c r="D223" t="str">
        <f>TableMJRPEDUSC[[#This Row],[Structure Line]]</f>
        <v>Mathematics Teaching Area Stream (MTch Sec)</v>
      </c>
      <c r="E223" s="80">
        <f>TableMJRPEDUSC[[#This Row],[Credit Points]]</f>
        <v>50</v>
      </c>
      <c r="F223">
        <v>1</v>
      </c>
      <c r="G223" t="s">
        <v>428</v>
      </c>
      <c r="H223">
        <v>1</v>
      </c>
      <c r="I223" t="s">
        <v>425</v>
      </c>
      <c r="J223" t="s">
        <v>259</v>
      </c>
      <c r="K223" s="208">
        <v>1</v>
      </c>
      <c r="L223" t="s">
        <v>410</v>
      </c>
      <c r="M223" s="209">
        <v>50</v>
      </c>
      <c r="N223" s="147">
        <v>44562</v>
      </c>
      <c r="O223" s="147"/>
    </row>
    <row r="224" spans="1:18" x14ac:dyDescent="0.25">
      <c r="A224" t="str">
        <f>TableMJRPEDUSC[[#This Row],[Study Package Code]]</f>
        <v>STRP-SCSCI</v>
      </c>
      <c r="B224" s="1">
        <f>TableMJRPEDUSC[[#This Row],[Ver]]</f>
        <v>1</v>
      </c>
      <c r="D224" t="str">
        <f>TableMJRPEDUSC[[#This Row],[Structure Line]]</f>
        <v>Science Teaching Area Stream (MTch Sec)</v>
      </c>
      <c r="E224" s="80">
        <f>TableMJRPEDUSC[[#This Row],[Credit Points]]</f>
        <v>50</v>
      </c>
      <c r="F224">
        <v>1</v>
      </c>
      <c r="G224" t="s">
        <v>428</v>
      </c>
      <c r="H224">
        <v>1</v>
      </c>
      <c r="I224" t="s">
        <v>425</v>
      </c>
      <c r="J224" t="s">
        <v>261</v>
      </c>
      <c r="K224" s="208">
        <v>1</v>
      </c>
      <c r="L224" t="s">
        <v>411</v>
      </c>
      <c r="M224" s="209">
        <v>50</v>
      </c>
      <c r="N224" s="147">
        <v>44562</v>
      </c>
      <c r="O224" s="147"/>
    </row>
  </sheetData>
  <conditionalFormatting sqref="J10:J25">
    <cfRule type="duplicateValues" dxfId="325" priority="164"/>
  </conditionalFormatting>
  <conditionalFormatting sqref="J28:J43">
    <cfRule type="duplicateValues" dxfId="324" priority="165"/>
  </conditionalFormatting>
  <conditionalFormatting sqref="J46:J72">
    <cfRule type="duplicateValues" dxfId="323" priority="168"/>
    <cfRule type="duplicateValues" dxfId="322" priority="169"/>
  </conditionalFormatting>
  <conditionalFormatting sqref="J75:J76">
    <cfRule type="duplicateValues" dxfId="321" priority="166"/>
    <cfRule type="duplicateValues" dxfId="320" priority="167"/>
  </conditionalFormatting>
  <conditionalFormatting sqref="J79:J80">
    <cfRule type="duplicateValues" dxfId="319" priority="114"/>
    <cfRule type="duplicateValues" dxfId="318" priority="115"/>
  </conditionalFormatting>
  <conditionalFormatting sqref="J83:J84">
    <cfRule type="duplicateValues" dxfId="317" priority="112"/>
    <cfRule type="duplicateValues" dxfId="316" priority="113"/>
  </conditionalFormatting>
  <conditionalFormatting sqref="J87:J88">
    <cfRule type="duplicateValues" dxfId="315" priority="110"/>
    <cfRule type="duplicateValues" dxfId="314" priority="111"/>
  </conditionalFormatting>
  <conditionalFormatting sqref="J91:J92">
    <cfRule type="duplicateValues" dxfId="313" priority="108"/>
    <cfRule type="duplicateValues" dxfId="312" priority="109"/>
  </conditionalFormatting>
  <conditionalFormatting sqref="J95:J96">
    <cfRule type="duplicateValues" dxfId="311" priority="106"/>
    <cfRule type="duplicateValues" dxfId="310" priority="107"/>
  </conditionalFormatting>
  <conditionalFormatting sqref="J99:J100">
    <cfRule type="duplicateValues" dxfId="309" priority="104"/>
    <cfRule type="duplicateValues" dxfId="308" priority="105"/>
  </conditionalFormatting>
  <conditionalFormatting sqref="J104:J118">
    <cfRule type="duplicateValues" dxfId="307" priority="170"/>
  </conditionalFormatting>
  <conditionalFormatting sqref="J121:J127">
    <cfRule type="duplicateValues" dxfId="306" priority="173"/>
  </conditionalFormatting>
  <conditionalFormatting sqref="J130:J133">
    <cfRule type="duplicateValues" dxfId="305" priority="179"/>
  </conditionalFormatting>
  <conditionalFormatting sqref="J137:J152">
    <cfRule type="duplicateValues" dxfId="304" priority="187"/>
  </conditionalFormatting>
  <conditionalFormatting sqref="J155:J158">
    <cfRule type="duplicateValues" dxfId="303" priority="93"/>
  </conditionalFormatting>
  <conditionalFormatting sqref="J161:J164">
    <cfRule type="duplicateValues" dxfId="302" priority="91"/>
  </conditionalFormatting>
  <conditionalFormatting sqref="J167:J170">
    <cfRule type="duplicateValues" dxfId="301" priority="89"/>
  </conditionalFormatting>
  <conditionalFormatting sqref="J173:J186">
    <cfRule type="duplicateValues" dxfId="300" priority="186"/>
  </conditionalFormatting>
  <conditionalFormatting sqref="J190:J193">
    <cfRule type="duplicateValues" dxfId="299" priority="80"/>
  </conditionalFormatting>
  <conditionalFormatting sqref="O4:O7">
    <cfRule type="notContainsBlanks" dxfId="298" priority="55">
      <formula>LEN(TRIM(O4))&gt;0</formula>
    </cfRule>
  </conditionalFormatting>
  <conditionalFormatting sqref="O10:O25">
    <cfRule type="notContainsBlanks" dxfId="297" priority="54">
      <formula>LEN(TRIM(O10))&gt;0</formula>
    </cfRule>
  </conditionalFormatting>
  <conditionalFormatting sqref="O28:O43">
    <cfRule type="notContainsBlanks" dxfId="296" priority="53">
      <formula>LEN(TRIM(O28))&gt;0</formula>
    </cfRule>
  </conditionalFormatting>
  <conditionalFormatting sqref="O46:O72">
    <cfRule type="notContainsBlanks" dxfId="295" priority="52">
      <formula>LEN(TRIM(O46))&gt;0</formula>
    </cfRule>
  </conditionalFormatting>
  <conditionalFormatting sqref="O75:O76">
    <cfRule type="notContainsBlanks" dxfId="294" priority="51">
      <formula>LEN(TRIM(O75))&gt;0</formula>
    </cfRule>
  </conditionalFormatting>
  <conditionalFormatting sqref="O79:O80">
    <cfRule type="notContainsBlanks" dxfId="293" priority="50">
      <formula>LEN(TRIM(O79))&gt;0</formula>
    </cfRule>
  </conditionalFormatting>
  <conditionalFormatting sqref="O83:O84">
    <cfRule type="notContainsBlanks" dxfId="292" priority="49">
      <formula>LEN(TRIM(O83))&gt;0</formula>
    </cfRule>
  </conditionalFormatting>
  <conditionalFormatting sqref="O87:O88">
    <cfRule type="notContainsBlanks" dxfId="291" priority="48">
      <formula>LEN(TRIM(O87))&gt;0</formula>
    </cfRule>
  </conditionalFormatting>
  <conditionalFormatting sqref="O91:O92">
    <cfRule type="notContainsBlanks" dxfId="290" priority="47">
      <formula>LEN(TRIM(O91))&gt;0</formula>
    </cfRule>
  </conditionalFormatting>
  <conditionalFormatting sqref="O95:O96">
    <cfRule type="notContainsBlanks" dxfId="289" priority="46">
      <formula>LEN(TRIM(O95))&gt;0</formula>
    </cfRule>
  </conditionalFormatting>
  <conditionalFormatting sqref="O99:O100">
    <cfRule type="notContainsBlanks" dxfId="288" priority="45">
      <formula>LEN(TRIM(O99))&gt;0</formula>
    </cfRule>
  </conditionalFormatting>
  <conditionalFormatting sqref="O104:O118">
    <cfRule type="notContainsBlanks" dxfId="287" priority="44">
      <formula>LEN(TRIM(O104))&gt;0</formula>
    </cfRule>
  </conditionalFormatting>
  <conditionalFormatting sqref="O121:O127">
    <cfRule type="notContainsBlanks" dxfId="286" priority="43">
      <formula>LEN(TRIM(O121))&gt;0</formula>
    </cfRule>
  </conditionalFormatting>
  <conditionalFormatting sqref="O130:O133">
    <cfRule type="notContainsBlanks" dxfId="285" priority="42">
      <formula>LEN(TRIM(O130))&gt;0</formula>
    </cfRule>
  </conditionalFormatting>
  <conditionalFormatting sqref="O137:O152">
    <cfRule type="notContainsBlanks" dxfId="284" priority="25">
      <formula>LEN(TRIM(O137))&gt;0</formula>
    </cfRule>
  </conditionalFormatting>
  <conditionalFormatting sqref="O155:O158">
    <cfRule type="notContainsBlanks" dxfId="283" priority="39">
      <formula>LEN(TRIM(O155))&gt;0</formula>
    </cfRule>
  </conditionalFormatting>
  <conditionalFormatting sqref="O161:O164">
    <cfRule type="notContainsBlanks" dxfId="282" priority="38">
      <formula>LEN(TRIM(O161))&gt;0</formula>
    </cfRule>
  </conditionalFormatting>
  <conditionalFormatting sqref="O167:O170">
    <cfRule type="notContainsBlanks" dxfId="281" priority="37">
      <formula>LEN(TRIM(O167))&gt;0</formula>
    </cfRule>
  </conditionalFormatting>
  <conditionalFormatting sqref="O173:O186">
    <cfRule type="notContainsBlanks" dxfId="280" priority="31">
      <formula>LEN(TRIM(O173))&gt;0</formula>
    </cfRule>
  </conditionalFormatting>
  <conditionalFormatting sqref="O190:O193">
    <cfRule type="notContainsBlanks" dxfId="279" priority="35">
      <formula>LEN(TRIM(O190))&gt;0</formula>
    </cfRule>
  </conditionalFormatting>
  <conditionalFormatting sqref="O197:O199">
    <cfRule type="notContainsBlanks" dxfId="278" priority="7">
      <formula>LEN(TRIM(O197))&gt;0</formula>
    </cfRule>
  </conditionalFormatting>
  <conditionalFormatting sqref="O202:O209">
    <cfRule type="notContainsBlanks" dxfId="277" priority="4">
      <formula>LEN(TRIM(O202))&gt;0</formula>
    </cfRule>
  </conditionalFormatting>
  <conditionalFormatting sqref="O212:O224">
    <cfRule type="notContainsBlanks" dxfId="276" priority="1">
      <formula>LEN(TRIM(O212))&gt;0</formula>
    </cfRule>
  </conditionalFormatting>
  <conditionalFormatting sqref="Q4:R7 Q197:R199 Q202:R209 Q212:R224">
    <cfRule type="expression" dxfId="275" priority="20">
      <formula>Q4&lt;&gt;J4</formula>
    </cfRule>
  </conditionalFormatting>
  <conditionalFormatting sqref="Q10:R25">
    <cfRule type="expression" dxfId="274" priority="19">
      <formula>Q10&lt;&gt;J10</formula>
    </cfRule>
  </conditionalFormatting>
  <conditionalFormatting sqref="Q28:R43">
    <cfRule type="expression" dxfId="273" priority="18">
      <formula>Q28&lt;&gt;J28</formula>
    </cfRule>
  </conditionalFormatting>
  <conditionalFormatting sqref="Q46:R72">
    <cfRule type="expression" dxfId="272" priority="17">
      <formula>Q46&lt;&gt;J46</formula>
    </cfRule>
  </conditionalFormatting>
  <conditionalFormatting sqref="Q75:R76">
    <cfRule type="expression" dxfId="271" priority="16">
      <formula>Q75&lt;&gt;J75</formula>
    </cfRule>
  </conditionalFormatting>
  <conditionalFormatting sqref="Q79:R80">
    <cfRule type="expression" dxfId="270" priority="15">
      <formula>Q79&lt;&gt;J79</formula>
    </cfRule>
  </conditionalFormatting>
  <conditionalFormatting sqref="Q83:R84">
    <cfRule type="expression" dxfId="269" priority="14">
      <formula>Q83&lt;&gt;J83</formula>
    </cfRule>
  </conditionalFormatting>
  <conditionalFormatting sqref="Q87:R88">
    <cfRule type="expression" dxfId="268" priority="13">
      <formula>Q87&lt;&gt;J87</formula>
    </cfRule>
  </conditionalFormatting>
  <conditionalFormatting sqref="Q91:R92">
    <cfRule type="expression" dxfId="267" priority="12">
      <formula>Q91&lt;&gt;J91</formula>
    </cfRule>
  </conditionalFormatting>
  <conditionalFormatting sqref="Q95:R96">
    <cfRule type="expression" dxfId="266" priority="11">
      <formula>Q95&lt;&gt;J95</formula>
    </cfRule>
  </conditionalFormatting>
  <conditionalFormatting sqref="Q99:R100">
    <cfRule type="expression" dxfId="265" priority="10">
      <formula>Q99&lt;&gt;J99</formula>
    </cfRule>
  </conditionalFormatting>
  <conditionalFormatting sqref="Q104:R118">
    <cfRule type="expression" dxfId="264" priority="21">
      <formula>Q104&lt;&gt;J104</formula>
    </cfRule>
  </conditionalFormatting>
  <conditionalFormatting sqref="Q121:R127">
    <cfRule type="expression" dxfId="263" priority="28">
      <formula>Q121&lt;&gt;J121</formula>
    </cfRule>
  </conditionalFormatting>
  <conditionalFormatting sqref="Q130:R133">
    <cfRule type="expression" dxfId="262" priority="29">
      <formula>Q130&lt;&gt;J130</formula>
    </cfRule>
  </conditionalFormatting>
  <conditionalFormatting sqref="Q137:R152">
    <cfRule type="expression" dxfId="261" priority="26">
      <formula>Q137&lt;&gt;J137</formula>
    </cfRule>
  </conditionalFormatting>
  <conditionalFormatting sqref="Q155:R158">
    <cfRule type="expression" dxfId="260" priority="24">
      <formula>Q155&lt;&gt;J155</formula>
    </cfRule>
  </conditionalFormatting>
  <conditionalFormatting sqref="Q161:R164">
    <cfRule type="expression" dxfId="259" priority="23">
      <formula>Q161&lt;&gt;J161</formula>
    </cfRule>
  </conditionalFormatting>
  <conditionalFormatting sqref="Q167:R170">
    <cfRule type="expression" dxfId="258" priority="22">
      <formula>Q167&lt;&gt;J167</formula>
    </cfRule>
  </conditionalFormatting>
  <conditionalFormatting sqref="Q173:R186">
    <cfRule type="expression" dxfId="257" priority="57">
      <formula>Q173&lt;&gt;J173</formula>
    </cfRule>
  </conditionalFormatting>
  <conditionalFormatting sqref="Q190:R193">
    <cfRule type="expression" dxfId="256" priority="30">
      <formula>Q190&lt;&gt;J190</formula>
    </cfRule>
  </conditionalFormatting>
  <conditionalFormatting sqref="J197:J199">
    <cfRule type="duplicateValues" dxfId="255" priority="189"/>
  </conditionalFormatting>
  <conditionalFormatting sqref="J202:J209">
    <cfRule type="duplicateValues" dxfId="254" priority="190"/>
  </conditionalFormatting>
  <conditionalFormatting sqref="J212:J224">
    <cfRule type="duplicateValues" dxfId="253" priority="191"/>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workbookViewId="0">
      <selection activeCell="J6" sqref="J6"/>
    </sheetView>
  </sheetViews>
  <sheetFormatPr defaultRowHeight="15.75" x14ac:dyDescent="0.25"/>
  <cols>
    <col min="1" max="1" width="39.625" bestFit="1" customWidth="1"/>
    <col min="2" max="2" width="9.625" bestFit="1" customWidth="1"/>
    <col min="3" max="3" width="8.5" bestFit="1" customWidth="1"/>
    <col min="4" max="4" width="10.625" bestFit="1" customWidth="1"/>
    <col min="5" max="5" width="9.5" bestFit="1" customWidth="1"/>
    <col min="6" max="6" width="10.625" bestFit="1" customWidth="1"/>
    <col min="7" max="7" width="9.5" bestFit="1" customWidth="1"/>
    <col min="8" max="8" width="10.625" bestFit="1" customWidth="1"/>
    <col min="9" max="9" width="9.5" bestFit="1" customWidth="1"/>
    <col min="10" max="10" width="16.125" bestFit="1" customWidth="1"/>
    <col min="11" max="11" width="10.375" bestFit="1" customWidth="1"/>
  </cols>
  <sheetData>
    <row r="1" spans="1:11" x14ac:dyDescent="0.25">
      <c r="A1" t="s">
        <v>443</v>
      </c>
      <c r="J1" s="156" t="s">
        <v>444</v>
      </c>
      <c r="K1" s="157">
        <v>45253</v>
      </c>
    </row>
    <row r="3" spans="1:11" x14ac:dyDescent="0.25">
      <c r="B3" t="s">
        <v>126</v>
      </c>
      <c r="D3" t="s">
        <v>127</v>
      </c>
      <c r="F3" t="s">
        <v>128</v>
      </c>
      <c r="H3" t="s">
        <v>129</v>
      </c>
    </row>
    <row r="4" spans="1:11" x14ac:dyDescent="0.25">
      <c r="A4" t="s">
        <v>445</v>
      </c>
      <c r="B4" t="s">
        <v>446</v>
      </c>
      <c r="C4" t="s">
        <v>447</v>
      </c>
      <c r="D4" t="s">
        <v>448</v>
      </c>
      <c r="E4" t="s">
        <v>449</v>
      </c>
      <c r="F4" t="s">
        <v>450</v>
      </c>
      <c r="G4" t="s">
        <v>451</v>
      </c>
      <c r="H4" t="s">
        <v>452</v>
      </c>
      <c r="I4" t="s">
        <v>453</v>
      </c>
    </row>
    <row r="5" spans="1:11" x14ac:dyDescent="0.25">
      <c r="A5" t="s">
        <v>82</v>
      </c>
      <c r="D5">
        <v>1</v>
      </c>
      <c r="E5">
        <v>1</v>
      </c>
    </row>
    <row r="6" spans="1:11" x14ac:dyDescent="0.25">
      <c r="A6" t="s">
        <v>93</v>
      </c>
      <c r="F6">
        <v>1</v>
      </c>
      <c r="G6">
        <v>1</v>
      </c>
    </row>
    <row r="7" spans="1:11" x14ac:dyDescent="0.25">
      <c r="A7" t="s">
        <v>68</v>
      </c>
      <c r="F7">
        <v>1</v>
      </c>
      <c r="G7">
        <v>1</v>
      </c>
    </row>
    <row r="8" spans="1:11" x14ac:dyDescent="0.25">
      <c r="A8" t="s">
        <v>67</v>
      </c>
      <c r="D8">
        <v>1</v>
      </c>
      <c r="E8">
        <v>1</v>
      </c>
    </row>
    <row r="9" spans="1:11" x14ac:dyDescent="0.25">
      <c r="A9" t="s">
        <v>101</v>
      </c>
      <c r="B9">
        <v>1</v>
      </c>
      <c r="C9">
        <v>1</v>
      </c>
    </row>
    <row r="10" spans="1:11" x14ac:dyDescent="0.25">
      <c r="A10" t="s">
        <v>113</v>
      </c>
      <c r="D10">
        <v>1</v>
      </c>
      <c r="E10">
        <v>1</v>
      </c>
    </row>
    <row r="11" spans="1:11" x14ac:dyDescent="0.25">
      <c r="A11" t="s">
        <v>69</v>
      </c>
      <c r="H11">
        <v>1</v>
      </c>
      <c r="I11">
        <v>1</v>
      </c>
    </row>
    <row r="12" spans="1:11" x14ac:dyDescent="0.25">
      <c r="A12" t="s">
        <v>61</v>
      </c>
      <c r="B12">
        <v>1</v>
      </c>
      <c r="C12">
        <v>1</v>
      </c>
      <c r="D12">
        <v>1</v>
      </c>
      <c r="E12">
        <v>1</v>
      </c>
    </row>
    <row r="13" spans="1:11" x14ac:dyDescent="0.25">
      <c r="A13" t="s">
        <v>109</v>
      </c>
      <c r="H13">
        <v>1</v>
      </c>
      <c r="I13">
        <v>1</v>
      </c>
    </row>
    <row r="14" spans="1:11" x14ac:dyDescent="0.25">
      <c r="A14" t="s">
        <v>114</v>
      </c>
      <c r="F14">
        <v>1</v>
      </c>
      <c r="G14">
        <v>1</v>
      </c>
    </row>
    <row r="15" spans="1:11" x14ac:dyDescent="0.25">
      <c r="A15" t="s">
        <v>83</v>
      </c>
      <c r="B15">
        <v>1</v>
      </c>
      <c r="C15">
        <v>1</v>
      </c>
      <c r="D15">
        <v>1</v>
      </c>
      <c r="E15">
        <v>1</v>
      </c>
    </row>
    <row r="16" spans="1:11" x14ac:dyDescent="0.25">
      <c r="A16" t="s">
        <v>94</v>
      </c>
      <c r="D16">
        <v>1</v>
      </c>
      <c r="E16">
        <v>1</v>
      </c>
      <c r="F16">
        <v>1</v>
      </c>
      <c r="G16">
        <v>1</v>
      </c>
    </row>
    <row r="17" spans="1:9" x14ac:dyDescent="0.25">
      <c r="A17" t="s">
        <v>71</v>
      </c>
      <c r="H17">
        <v>1</v>
      </c>
      <c r="I17">
        <v>1</v>
      </c>
    </row>
    <row r="18" spans="1:9" x14ac:dyDescent="0.25">
      <c r="A18" t="s">
        <v>102</v>
      </c>
      <c r="H18">
        <v>1</v>
      </c>
      <c r="I18">
        <v>1</v>
      </c>
    </row>
    <row r="19" spans="1:9" x14ac:dyDescent="0.25">
      <c r="A19" t="s">
        <v>70</v>
      </c>
      <c r="D19">
        <v>1</v>
      </c>
      <c r="E19">
        <v>1</v>
      </c>
    </row>
    <row r="20" spans="1:9" x14ac:dyDescent="0.25">
      <c r="A20" t="s">
        <v>111</v>
      </c>
      <c r="D20">
        <v>1</v>
      </c>
      <c r="E20">
        <v>1</v>
      </c>
    </row>
    <row r="21" spans="1:9" x14ac:dyDescent="0.25">
      <c r="A21" t="s">
        <v>110</v>
      </c>
      <c r="B21">
        <v>1</v>
      </c>
      <c r="C21">
        <v>1</v>
      </c>
    </row>
    <row r="22" spans="1:9" x14ac:dyDescent="0.25">
      <c r="A22" t="s">
        <v>116</v>
      </c>
      <c r="F22">
        <v>1</v>
      </c>
      <c r="G22">
        <v>1</v>
      </c>
    </row>
    <row r="23" spans="1:9" x14ac:dyDescent="0.25">
      <c r="A23" t="s">
        <v>242</v>
      </c>
      <c r="D23">
        <v>1</v>
      </c>
      <c r="E23">
        <v>1</v>
      </c>
      <c r="H23">
        <v>1</v>
      </c>
      <c r="I23">
        <v>1</v>
      </c>
    </row>
    <row r="24" spans="1:9" x14ac:dyDescent="0.25">
      <c r="A24" t="s">
        <v>173</v>
      </c>
      <c r="B24">
        <v>1</v>
      </c>
      <c r="C24">
        <v>1</v>
      </c>
      <c r="F24">
        <v>1</v>
      </c>
      <c r="G24">
        <v>1</v>
      </c>
    </row>
    <row r="25" spans="1:9" x14ac:dyDescent="0.25">
      <c r="A25" t="s">
        <v>271</v>
      </c>
      <c r="D25">
        <v>1</v>
      </c>
      <c r="E25">
        <v>1</v>
      </c>
      <c r="H25">
        <v>1</v>
      </c>
      <c r="I25">
        <v>1</v>
      </c>
    </row>
    <row r="26" spans="1:9" x14ac:dyDescent="0.25">
      <c r="A26" t="s">
        <v>272</v>
      </c>
      <c r="D26">
        <v>1</v>
      </c>
      <c r="E26">
        <v>1</v>
      </c>
      <c r="H26">
        <v>1</v>
      </c>
      <c r="I26">
        <v>1</v>
      </c>
    </row>
    <row r="27" spans="1:9" x14ac:dyDescent="0.25">
      <c r="A27" t="s">
        <v>274</v>
      </c>
      <c r="D27">
        <v>1</v>
      </c>
      <c r="E27">
        <v>1</v>
      </c>
      <c r="H27">
        <v>1</v>
      </c>
      <c r="I27">
        <v>1</v>
      </c>
    </row>
    <row r="28" spans="1:9" x14ac:dyDescent="0.25">
      <c r="A28" t="s">
        <v>275</v>
      </c>
      <c r="D28">
        <v>1</v>
      </c>
      <c r="E28">
        <v>1</v>
      </c>
      <c r="H28">
        <v>1</v>
      </c>
      <c r="I28">
        <v>1</v>
      </c>
    </row>
    <row r="29" spans="1:9" x14ac:dyDescent="0.25">
      <c r="A29" t="s">
        <v>276</v>
      </c>
      <c r="D29">
        <v>1</v>
      </c>
      <c r="E29">
        <v>1</v>
      </c>
      <c r="H29">
        <v>1</v>
      </c>
      <c r="I29">
        <v>1</v>
      </c>
    </row>
    <row r="30" spans="1:9" x14ac:dyDescent="0.25">
      <c r="A30" t="s">
        <v>251</v>
      </c>
      <c r="B30">
        <v>1</v>
      </c>
      <c r="C30">
        <v>1</v>
      </c>
      <c r="D30">
        <v>1</v>
      </c>
      <c r="E30">
        <v>1</v>
      </c>
    </row>
    <row r="31" spans="1:9" x14ac:dyDescent="0.25">
      <c r="A31" t="s">
        <v>255</v>
      </c>
      <c r="D31">
        <v>1</v>
      </c>
      <c r="E31">
        <v>1</v>
      </c>
      <c r="F31">
        <v>1</v>
      </c>
      <c r="G31">
        <v>1</v>
      </c>
    </row>
    <row r="32" spans="1:9" x14ac:dyDescent="0.25">
      <c r="A32" t="s">
        <v>278</v>
      </c>
      <c r="D32">
        <v>1</v>
      </c>
      <c r="E32">
        <v>1</v>
      </c>
      <c r="H32">
        <v>1</v>
      </c>
      <c r="I32">
        <v>1</v>
      </c>
    </row>
    <row r="33" spans="1:9" x14ac:dyDescent="0.25">
      <c r="A33" t="s">
        <v>281</v>
      </c>
      <c r="D33">
        <v>1</v>
      </c>
      <c r="E33">
        <v>1</v>
      </c>
      <c r="H33">
        <v>1</v>
      </c>
      <c r="I33">
        <v>1</v>
      </c>
    </row>
    <row r="34" spans="1:9" x14ac:dyDescent="0.25">
      <c r="A34" t="s">
        <v>282</v>
      </c>
      <c r="D34">
        <v>1</v>
      </c>
      <c r="E34">
        <v>1</v>
      </c>
      <c r="H34">
        <v>1</v>
      </c>
      <c r="I34">
        <v>1</v>
      </c>
    </row>
    <row r="35" spans="1:9" x14ac:dyDescent="0.25">
      <c r="A35" t="s">
        <v>283</v>
      </c>
      <c r="D35">
        <v>1</v>
      </c>
      <c r="E35">
        <v>1</v>
      </c>
      <c r="H35">
        <v>1</v>
      </c>
      <c r="I35">
        <v>1</v>
      </c>
    </row>
    <row r="36" spans="1:9" x14ac:dyDescent="0.25">
      <c r="A36" t="s">
        <v>241</v>
      </c>
      <c r="B36">
        <v>1</v>
      </c>
      <c r="C36">
        <v>1</v>
      </c>
      <c r="D36">
        <v>1</v>
      </c>
      <c r="E36">
        <v>1</v>
      </c>
    </row>
    <row r="37" spans="1:9" x14ac:dyDescent="0.25">
      <c r="A37" t="s">
        <v>279</v>
      </c>
      <c r="D37">
        <v>1</v>
      </c>
      <c r="E37">
        <v>1</v>
      </c>
      <c r="H37">
        <v>1</v>
      </c>
      <c r="I37">
        <v>1</v>
      </c>
    </row>
    <row r="38" spans="1:9" x14ac:dyDescent="0.25">
      <c r="A38" t="s">
        <v>273</v>
      </c>
      <c r="D38">
        <v>1</v>
      </c>
      <c r="E38">
        <v>1</v>
      </c>
      <c r="H38">
        <v>1</v>
      </c>
      <c r="I38">
        <v>1</v>
      </c>
    </row>
    <row r="39" spans="1:9" x14ac:dyDescent="0.25">
      <c r="A39" t="s">
        <v>280</v>
      </c>
      <c r="D39">
        <v>1</v>
      </c>
      <c r="E39">
        <v>1</v>
      </c>
      <c r="H39">
        <v>1</v>
      </c>
      <c r="I39">
        <v>1</v>
      </c>
    </row>
    <row r="40" spans="1:9" x14ac:dyDescent="0.25">
      <c r="A40" t="s">
        <v>290</v>
      </c>
      <c r="D40">
        <v>1</v>
      </c>
      <c r="E40">
        <v>1</v>
      </c>
      <c r="H40">
        <v>1</v>
      </c>
      <c r="I40">
        <v>1</v>
      </c>
    </row>
    <row r="41" spans="1:9" x14ac:dyDescent="0.25">
      <c r="A41" t="s">
        <v>262</v>
      </c>
      <c r="B41">
        <v>1</v>
      </c>
      <c r="C41">
        <v>1</v>
      </c>
    </row>
    <row r="42" spans="1:9" x14ac:dyDescent="0.25">
      <c r="A42" t="s">
        <v>59</v>
      </c>
      <c r="B42">
        <v>1</v>
      </c>
      <c r="C42">
        <v>1</v>
      </c>
      <c r="F42">
        <v>1</v>
      </c>
      <c r="G42">
        <v>1</v>
      </c>
    </row>
    <row r="43" spans="1:9" x14ac:dyDescent="0.25">
      <c r="A43" t="s">
        <v>87</v>
      </c>
      <c r="D43">
        <v>1</v>
      </c>
      <c r="E43">
        <v>1</v>
      </c>
      <c r="F43">
        <v>1</v>
      </c>
      <c r="G43">
        <v>1</v>
      </c>
      <c r="H43">
        <v>1</v>
      </c>
      <c r="I43">
        <v>1</v>
      </c>
    </row>
    <row r="44" spans="1:9" x14ac:dyDescent="0.25">
      <c r="A44" t="s">
        <v>88</v>
      </c>
      <c r="B44">
        <v>1</v>
      </c>
      <c r="C44">
        <v>1</v>
      </c>
      <c r="F44">
        <v>1</v>
      </c>
      <c r="G44">
        <v>1</v>
      </c>
    </row>
    <row r="45" spans="1:9" x14ac:dyDescent="0.25">
      <c r="A45" t="s">
        <v>64</v>
      </c>
      <c r="D45">
        <v>1</v>
      </c>
      <c r="E45">
        <v>1</v>
      </c>
      <c r="H45">
        <v>1</v>
      </c>
      <c r="I45">
        <v>1</v>
      </c>
    </row>
    <row r="46" spans="1:9" x14ac:dyDescent="0.25">
      <c r="A46" t="s">
        <v>157</v>
      </c>
      <c r="D46">
        <v>1</v>
      </c>
      <c r="E46">
        <v>1</v>
      </c>
      <c r="H46">
        <v>1</v>
      </c>
      <c r="I46">
        <v>1</v>
      </c>
    </row>
    <row r="47" spans="1:9" x14ac:dyDescent="0.25">
      <c r="A47" t="s">
        <v>156</v>
      </c>
      <c r="B47">
        <v>1</v>
      </c>
      <c r="C47">
        <v>1</v>
      </c>
      <c r="G47">
        <v>1</v>
      </c>
    </row>
    <row r="48" spans="1:9" x14ac:dyDescent="0.25">
      <c r="A48" t="s">
        <v>162</v>
      </c>
      <c r="C48">
        <v>1</v>
      </c>
      <c r="F48">
        <v>1</v>
      </c>
      <c r="G48">
        <v>1</v>
      </c>
    </row>
    <row r="49" spans="1:9" x14ac:dyDescent="0.25">
      <c r="A49" t="s">
        <v>163</v>
      </c>
      <c r="D49">
        <v>1</v>
      </c>
      <c r="E49">
        <v>1</v>
      </c>
      <c r="I49">
        <v>1</v>
      </c>
    </row>
    <row r="50" spans="1:9" x14ac:dyDescent="0.25">
      <c r="A50" t="s">
        <v>65</v>
      </c>
      <c r="B50">
        <v>1</v>
      </c>
      <c r="C50">
        <v>1</v>
      </c>
      <c r="F50">
        <v>1</v>
      </c>
      <c r="G50">
        <v>1</v>
      </c>
    </row>
    <row r="51" spans="1:9" x14ac:dyDescent="0.25">
      <c r="A51" t="s">
        <v>169</v>
      </c>
      <c r="D51">
        <v>1</v>
      </c>
      <c r="E51">
        <v>1</v>
      </c>
      <c r="H51">
        <v>1</v>
      </c>
      <c r="I51">
        <v>1</v>
      </c>
    </row>
    <row r="52" spans="1:9" x14ac:dyDescent="0.25">
      <c r="A52" t="s">
        <v>203</v>
      </c>
      <c r="B52">
        <v>1</v>
      </c>
      <c r="C52">
        <v>1</v>
      </c>
      <c r="F52">
        <v>1</v>
      </c>
      <c r="G52">
        <v>1</v>
      </c>
    </row>
    <row r="53" spans="1:9" x14ac:dyDescent="0.25">
      <c r="A53" t="s">
        <v>172</v>
      </c>
      <c r="D53">
        <v>1</v>
      </c>
      <c r="E53">
        <v>1</v>
      </c>
      <c r="H53">
        <v>1</v>
      </c>
      <c r="I53">
        <v>1</v>
      </c>
    </row>
    <row r="54" spans="1:9" x14ac:dyDescent="0.25">
      <c r="A54" t="s">
        <v>166</v>
      </c>
      <c r="F54">
        <v>1</v>
      </c>
      <c r="G54">
        <v>1</v>
      </c>
    </row>
    <row r="55" spans="1:9" x14ac:dyDescent="0.25">
      <c r="A55" t="s">
        <v>165</v>
      </c>
      <c r="D55">
        <v>1</v>
      </c>
      <c r="E55">
        <v>1</v>
      </c>
      <c r="H55">
        <v>1</v>
      </c>
      <c r="I55">
        <v>1</v>
      </c>
    </row>
    <row r="56" spans="1:9" x14ac:dyDescent="0.25">
      <c r="A56" t="s">
        <v>159</v>
      </c>
      <c r="D56">
        <v>1</v>
      </c>
      <c r="E56">
        <v>1</v>
      </c>
      <c r="I56">
        <v>1</v>
      </c>
    </row>
    <row r="57" spans="1:9" x14ac:dyDescent="0.25">
      <c r="A57" t="s">
        <v>158</v>
      </c>
      <c r="B57">
        <v>1</v>
      </c>
      <c r="C57">
        <v>1</v>
      </c>
      <c r="F57">
        <v>1</v>
      </c>
      <c r="G57">
        <v>1</v>
      </c>
    </row>
    <row r="58" spans="1:9" x14ac:dyDescent="0.25">
      <c r="A58" t="s">
        <v>204</v>
      </c>
      <c r="D58">
        <v>1</v>
      </c>
      <c r="E58">
        <v>1</v>
      </c>
      <c r="H58">
        <v>1</v>
      </c>
      <c r="I58">
        <v>1</v>
      </c>
    </row>
    <row r="59" spans="1:9" x14ac:dyDescent="0.25">
      <c r="A59" t="s">
        <v>213</v>
      </c>
      <c r="F59">
        <v>1</v>
      </c>
      <c r="G59">
        <v>1</v>
      </c>
    </row>
    <row r="60" spans="1:9" x14ac:dyDescent="0.25">
      <c r="A60" t="s">
        <v>214</v>
      </c>
      <c r="B60">
        <v>1</v>
      </c>
      <c r="C60">
        <v>1</v>
      </c>
      <c r="F60">
        <v>1</v>
      </c>
      <c r="G60">
        <v>1</v>
      </c>
    </row>
    <row r="61" spans="1:9" x14ac:dyDescent="0.25">
      <c r="A61" t="s">
        <v>209</v>
      </c>
      <c r="D61">
        <v>1</v>
      </c>
      <c r="E61">
        <v>1</v>
      </c>
      <c r="H61">
        <v>1</v>
      </c>
      <c r="I61">
        <v>1</v>
      </c>
    </row>
    <row r="62" spans="1:9" x14ac:dyDescent="0.25">
      <c r="A62" t="s">
        <v>210</v>
      </c>
      <c r="B62">
        <v>1</v>
      </c>
      <c r="C62">
        <v>1</v>
      </c>
    </row>
    <row r="63" spans="1:9" x14ac:dyDescent="0.25">
      <c r="A63" t="s">
        <v>208</v>
      </c>
      <c r="B63">
        <v>1</v>
      </c>
      <c r="C63">
        <v>1</v>
      </c>
    </row>
    <row r="64" spans="1:9" x14ac:dyDescent="0.25">
      <c r="A64" t="s">
        <v>211</v>
      </c>
      <c r="F64">
        <v>1</v>
      </c>
      <c r="G64">
        <v>1</v>
      </c>
    </row>
    <row r="65" spans="1:9" x14ac:dyDescent="0.25">
      <c r="A65" t="s">
        <v>212</v>
      </c>
      <c r="B65">
        <v>1</v>
      </c>
      <c r="C65">
        <v>1</v>
      </c>
    </row>
    <row r="66" spans="1:9" x14ac:dyDescent="0.25">
      <c r="A66" t="s">
        <v>115</v>
      </c>
      <c r="B66">
        <v>1</v>
      </c>
      <c r="C66">
        <v>1</v>
      </c>
      <c r="F66">
        <v>1</v>
      </c>
      <c r="G66">
        <v>1</v>
      </c>
    </row>
    <row r="67" spans="1:9" x14ac:dyDescent="0.25">
      <c r="A67" t="s">
        <v>131</v>
      </c>
      <c r="B67">
        <v>1</v>
      </c>
      <c r="C67">
        <v>1</v>
      </c>
      <c r="D67">
        <v>1</v>
      </c>
      <c r="E67">
        <v>1</v>
      </c>
      <c r="F67">
        <v>1</v>
      </c>
      <c r="G67">
        <v>1</v>
      </c>
      <c r="H67">
        <v>1</v>
      </c>
      <c r="I67">
        <v>1</v>
      </c>
    </row>
    <row r="68" spans="1:9" x14ac:dyDescent="0.25">
      <c r="A68" t="s">
        <v>117</v>
      </c>
      <c r="B68">
        <v>1</v>
      </c>
      <c r="C68">
        <v>1</v>
      </c>
      <c r="H68">
        <v>1</v>
      </c>
      <c r="I68">
        <v>1</v>
      </c>
    </row>
    <row r="69" spans="1:9" x14ac:dyDescent="0.25">
      <c r="A69" t="s">
        <v>164</v>
      </c>
      <c r="C69">
        <v>1</v>
      </c>
    </row>
    <row r="70" spans="1:9" x14ac:dyDescent="0.25">
      <c r="A70" t="s">
        <v>171</v>
      </c>
      <c r="B70">
        <v>1</v>
      </c>
      <c r="C70">
        <v>1</v>
      </c>
      <c r="F70">
        <v>1</v>
      </c>
      <c r="G70">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15" customWidth="1"/>
    <col min="2" max="2" width="3.125" style="15" bestFit="1" customWidth="1"/>
    <col min="3" max="3" width="3.25" style="15" customWidth="1"/>
    <col min="4" max="4" width="54.875" style="14"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40" t="s">
        <v>11</v>
      </c>
      <c r="E5" s="241"/>
      <c r="F5" s="239" t="s">
        <v>12</v>
      </c>
      <c r="G5" s="241" t="str">
        <f>IFERROR(CONCATENATE(VLOOKUP(D5,TableCourses[],2,FALSE)," ",VLOOKUP(D5,TableCourses[],3,FALSE)),"")</f>
        <v>MC-TEACH v.2</v>
      </c>
      <c r="H5" s="241"/>
      <c r="I5" s="241"/>
      <c r="J5" s="241"/>
      <c r="K5" s="242"/>
      <c r="L5" s="242"/>
      <c r="M5" s="242"/>
      <c r="N5" s="242"/>
      <c r="O5" s="242"/>
      <c r="P5" s="243"/>
      <c r="Q5" s="231"/>
      <c r="R5" s="231"/>
      <c r="S5" s="231"/>
      <c r="T5" s="231"/>
      <c r="U5" s="231"/>
      <c r="V5" s="231"/>
      <c r="W5" s="231"/>
      <c r="X5" s="231"/>
      <c r="Y5" s="231"/>
      <c r="Z5" s="231"/>
    </row>
    <row r="6" spans="1:27" ht="20.100000000000001" customHeight="1" x14ac:dyDescent="0.25">
      <c r="A6" s="237"/>
      <c r="B6" s="238"/>
      <c r="C6" s="239" t="s">
        <v>13</v>
      </c>
      <c r="D6" s="244" t="s">
        <v>160</v>
      </c>
      <c r="E6" s="241"/>
      <c r="F6" s="239" t="s">
        <v>15</v>
      </c>
      <c r="G6" s="241" t="str">
        <f>IFERROR(CONCATENATE(VLOOKUP(D6,TableMajors[],2,FALSE)," ",VLOOKUP(D6,TableMajors[],3,FALSE)),"")</f>
        <v>MJRP-TCHPR v.2</v>
      </c>
      <c r="H6" s="241"/>
      <c r="I6" s="241"/>
      <c r="J6" s="241"/>
      <c r="K6" s="242"/>
      <c r="L6" s="242"/>
      <c r="M6" s="242"/>
      <c r="N6" s="242"/>
      <c r="O6" s="242"/>
      <c r="P6" s="245" t="e">
        <f>CONCATENATE(VLOOKUP(D6,TableMajors[],2,FALSE),VLOOKUP(D7,TableStudyPeriods[],2,FALSE))</f>
        <v>#N/A</v>
      </c>
      <c r="Q6" s="231"/>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400 credit points required</v>
      </c>
      <c r="H7" s="250"/>
      <c r="I7" s="250"/>
      <c r="J7" s="250"/>
      <c r="K7" s="251"/>
      <c r="L7" s="251"/>
      <c r="M7" s="251"/>
      <c r="N7" s="251"/>
      <c r="O7" s="251"/>
      <c r="P7" s="251"/>
      <c r="Q7" s="231"/>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58"/>
      <c r="R8" s="258"/>
      <c r="S8" s="258"/>
      <c r="T8" s="259"/>
      <c r="U8" s="259"/>
      <c r="V8" s="259"/>
      <c r="W8" s="259"/>
      <c r="X8" s="259"/>
      <c r="Y8" s="259"/>
      <c r="Z8" s="259"/>
      <c r="AA8" s="17"/>
    </row>
    <row r="9" spans="1:27" s="18" customFormat="1" ht="31.5" x14ac:dyDescent="0.25">
      <c r="A9" s="252" t="s">
        <v>20</v>
      </c>
      <c r="B9" s="252"/>
      <c r="C9" s="252"/>
      <c r="D9" s="253" t="s">
        <v>3</v>
      </c>
      <c r="E9" s="260" t="s">
        <v>21</v>
      </c>
      <c r="F9" s="252" t="s">
        <v>22</v>
      </c>
      <c r="G9" s="252" t="s">
        <v>23</v>
      </c>
      <c r="H9" s="261" t="s">
        <v>24</v>
      </c>
      <c r="I9" s="262" t="s">
        <v>25</v>
      </c>
      <c r="J9" s="261" t="s">
        <v>26</v>
      </c>
      <c r="K9" s="262" t="s">
        <v>27</v>
      </c>
      <c r="L9" s="261" t="s">
        <v>28</v>
      </c>
      <c r="M9" s="262" t="s">
        <v>29</v>
      </c>
      <c r="N9" s="261" t="s">
        <v>30</v>
      </c>
      <c r="O9" s="262" t="s">
        <v>31</v>
      </c>
      <c r="P9" s="252" t="s">
        <v>32</v>
      </c>
      <c r="Q9" s="258"/>
      <c r="R9" s="258"/>
      <c r="S9" s="258"/>
      <c r="T9" s="259"/>
      <c r="U9" s="259"/>
      <c r="V9" s="259"/>
      <c r="W9" s="259"/>
      <c r="X9" s="259"/>
      <c r="Y9" s="259"/>
      <c r="Z9" s="259"/>
      <c r="AA9" s="17"/>
    </row>
    <row r="10" spans="1:27" s="20" customFormat="1" ht="21" customHeight="1" x14ac:dyDescent="0.15">
      <c r="A10" s="263" t="str">
        <f>IFERROR(IF(HLOOKUP($P$6,RangeUnitsetsECEPR,Q10,FALSE)=0,"",HLOOKUP($P$6,RangeUnitsetsECEPR,Q10,FALSE)),"")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263" t="str">
        <f>IFERROR(IF(HLOOKUP($P$6,RangeUnitsetsECEPR,Q11,FALSE)=0,"",HLOOKUP($P$6,RangeUnitsetsECEPR,Q11,FALSE)),"")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19"/>
    </row>
    <row r="13" spans="1:27" s="20" customFormat="1" ht="21" customHeight="1" x14ac:dyDescent="0.15">
      <c r="A13" s="263" t="str">
        <f>IFERROR(IF(HLOOKUP($P$6,RangeUnitsetsECEPR,Q13,FALSE)=0,"",HLOOKUP($P$6,RangeUnitsetsECEPR,Q13,FALSE)),"")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IFERROR(IF(HLOOKUP($P$6,RangeUnitsetsECEPR,Q14,FALSE)=0,"",HLOOKUP($P$6,RangeUnitsetsECEPR,Q14,FALSE)),"")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19"/>
    </row>
    <row r="16" spans="1:27" s="20" customFormat="1" ht="21" customHeight="1" x14ac:dyDescent="0.15">
      <c r="A16" s="263" t="str">
        <f>IFERROR(IF(HLOOKUP($P$6,RangeUnitsetsECEPR,Q16,FALSE)=0,"",HLOOKUP($P$6,RangeUnitsetsECEPR,Q16,FALSE)),"")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IFERROR(IF(HLOOKUP($P$6,RangeUnitsetsECEPR,Q17,FALSE)=0,"",HLOOKUP($P$6,RangeUnitsetsECEPR,Q17,FALSE)),"")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19"/>
    </row>
    <row r="19" spans="1:27" s="23" customFormat="1" ht="21" customHeight="1" x14ac:dyDescent="0.15">
      <c r="A19" s="263" t="str">
        <f>IFERROR(IF(HLOOKUP($P$6,RangeUnitsetsECEPR,Q19,FALSE)=0,"",HLOOKUP($P$6,RangeUnitsetsECEPR,Q19,FALSE)),"")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IFERROR(IF(HLOOKUP($P$6,RangeUnitsetsECEPR,Q20,FALSE)=0,"",HLOOKUP($P$6,RangeUnitsetsECEPR,Q20,FALSE)),"")</f>
        <v/>
      </c>
      <c r="B20" s="278" t="str">
        <f>IFERROR(IF(VLOOKUP($A20,TableHandbook[],2,FALSE)=0,"",VLOOKUP($A20,TableHandbook[],2,FALSE)),"")</f>
        <v/>
      </c>
      <c r="C20" s="278" t="str">
        <f>IFERROR(IF(VLOOKUP($A20,TableHandbook[],3,FALSE)=0,"",VLOOKUP($A20,TableHandbook[],3,FALSE)),"")</f>
        <v/>
      </c>
      <c r="D20" s="283"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s="18" customFormat="1" ht="31.5" x14ac:dyDescent="0.25">
      <c r="A21" s="252" t="s">
        <v>33</v>
      </c>
      <c r="B21" s="252"/>
      <c r="C21" s="252"/>
      <c r="D21" s="284" t="s">
        <v>3</v>
      </c>
      <c r="E21" s="260" t="s">
        <v>21</v>
      </c>
      <c r="F21" s="252" t="s">
        <v>22</v>
      </c>
      <c r="G21" s="252" t="s">
        <v>23</v>
      </c>
      <c r="H21" s="261" t="s">
        <v>24</v>
      </c>
      <c r="I21" s="262" t="s">
        <v>25</v>
      </c>
      <c r="J21" s="261" t="s">
        <v>26</v>
      </c>
      <c r="K21" s="262" t="s">
        <v>27</v>
      </c>
      <c r="L21" s="261" t="s">
        <v>28</v>
      </c>
      <c r="M21" s="262" t="s">
        <v>29</v>
      </c>
      <c r="N21" s="261" t="s">
        <v>30</v>
      </c>
      <c r="O21" s="262" t="s">
        <v>31</v>
      </c>
      <c r="P21" s="252" t="s">
        <v>32</v>
      </c>
      <c r="Q21" s="285"/>
      <c r="R21" s="258"/>
      <c r="S21" s="258"/>
      <c r="T21" s="259"/>
      <c r="U21" s="259"/>
      <c r="V21" s="259"/>
      <c r="W21" s="259"/>
      <c r="X21" s="259"/>
      <c r="Y21" s="259"/>
      <c r="Z21" s="259"/>
      <c r="AA21" s="17"/>
    </row>
    <row r="22" spans="1:27" s="20" customFormat="1" ht="21" customHeight="1" x14ac:dyDescent="0.15">
      <c r="A22" s="263" t="str">
        <f>IFERROR(IF(HLOOKUP($P$6,RangeUnitsetsECEPR,Q22,FALSE)=0,"",HLOOKUP($P$6,RangeUnitsetsECEPR,Q22,FALSE)),"")</f>
        <v/>
      </c>
      <c r="B22" s="278" t="str">
        <f>IFERROR(IF(VLOOKUP($A22,TableHandbook[],2,FALSE)=0,"",VLOOKUP($A22,TableHandbook[],2,FALSE)),"")</f>
        <v/>
      </c>
      <c r="C22" s="278" t="str">
        <f>IFERROR(IF(VLOOKUP($A22,TableHandbook[],3,FALSE)=0,"",VLOOKUP($A22,TableHandbook[],3,FALSE)),"")</f>
        <v/>
      </c>
      <c r="D22" s="286" t="str">
        <f>IFERROR(IF(VLOOKUP($A22,TableHandbook[],4,FALSE)=0,"",VLOOKUP($A22,TableHandbook[],4,FALSE)),"")</f>
        <v/>
      </c>
      <c r="E22" s="278" t="str">
        <f>IF(A22="","",VLOOKUP($D$7,TableStudyPeriods[],2,FALSE))</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10</v>
      </c>
      <c r="R22" s="270"/>
      <c r="S22" s="270"/>
      <c r="T22" s="271"/>
      <c r="U22" s="271"/>
      <c r="V22" s="271"/>
      <c r="W22" s="271"/>
      <c r="X22" s="271"/>
      <c r="Y22" s="271"/>
      <c r="Z22" s="271"/>
      <c r="AA22" s="19"/>
    </row>
    <row r="23" spans="1:27" s="20" customFormat="1" ht="21" customHeight="1" x14ac:dyDescent="0.15">
      <c r="A23" s="263" t="str">
        <f>IFERROR(IF(HLOOKUP($P$6,RangeUnitsetsECEPR,Q23,FALSE)=0,"",HLOOKUP($P$6,RangeUnitsetsECEPR,Q23,FALSE)),"")</f>
        <v/>
      </c>
      <c r="B23" s="278" t="str">
        <f>IFERROR(IF(VLOOKUP($A23,TableHandbook[],2,FALSE)=0,"",VLOOKUP($A23,TableHandbook[],2,FALSE)),"")</f>
        <v/>
      </c>
      <c r="C23" s="278" t="str">
        <f>IFERROR(IF(VLOOKUP($A23,TableHandbook[],3,FALSE)=0,"",VLOOKUP($A23,TableHandbook[],3,FALSE)),"")</f>
        <v/>
      </c>
      <c r="D23" s="283" t="str">
        <f>IFERROR(IF(VLOOKUP($A23,TableHandbook[],4,FALSE)=0,"",VLOOKUP($A23,TableHandbook[],4,FALSE)),"")</f>
        <v/>
      </c>
      <c r="E23" s="278" t="str">
        <f>IF(A23="","",E22)</f>
        <v/>
      </c>
      <c r="F23" s="266" t="str">
        <f>IFERROR(IF(VLOOKUP($A23,TableHandbook[],6,FALSE)=0,"",VLOOKUP($A23,TableHandbook[],6,FALSE)),"")</f>
        <v/>
      </c>
      <c r="G23" s="264" t="str">
        <f>IFERROR(IF(VLOOKUP($A23,TableHandbook[],5,FALSE)=0,"",VLOOKUP($A23,TableHandbook[],5,FALSE)),"")</f>
        <v/>
      </c>
      <c r="H23" s="267" t="str">
        <f>IFERROR(VLOOKUP($A23,TableHandbook[],H$2,FALSE),"")</f>
        <v/>
      </c>
      <c r="I23" s="268" t="str">
        <f>IFERROR(VLOOKUP($A23,TableHandbook[],I$2,FALSE),"")</f>
        <v/>
      </c>
      <c r="J23" s="267" t="str">
        <f>IFERROR(VLOOKUP($A23,TableHandbook[],J$2,FALSE),"")</f>
        <v/>
      </c>
      <c r="K23" s="268" t="str">
        <f>IFERROR(VLOOKUP($A23,TableHandbook[],K$2,FALSE),"")</f>
        <v/>
      </c>
      <c r="L23" s="267" t="str">
        <f>IFERROR(VLOOKUP($A23,TableHandbook[],L$2,FALSE),"")</f>
        <v/>
      </c>
      <c r="M23" s="268" t="str">
        <f>IFERROR(VLOOKUP($A23,TableHandbook[],M$2,FALSE),"")</f>
        <v/>
      </c>
      <c r="N23" s="267" t="str">
        <f>IFERROR(VLOOKUP($A23,TableHandbook[],N$2,FALSE),"")</f>
        <v/>
      </c>
      <c r="O23" s="268" t="str">
        <f>IFERROR(VLOOKUP($A23,TableHandbook[],O$2,FALSE),"")</f>
        <v/>
      </c>
      <c r="P23" s="29"/>
      <c r="Q23" s="269">
        <v>11</v>
      </c>
      <c r="R23" s="270"/>
      <c r="S23" s="270"/>
      <c r="T23" s="271"/>
      <c r="U23" s="271"/>
      <c r="V23" s="271"/>
      <c r="W23" s="271"/>
      <c r="X23" s="271"/>
      <c r="Y23" s="271"/>
      <c r="Z23" s="271"/>
      <c r="AA23" s="19"/>
    </row>
    <row r="24" spans="1:27" s="20" customFormat="1" ht="6" customHeight="1" x14ac:dyDescent="0.15">
      <c r="A24" s="272"/>
      <c r="B24" s="273"/>
      <c r="C24" s="273"/>
      <c r="D24" s="274"/>
      <c r="E24" s="273"/>
      <c r="F24" s="275"/>
      <c r="G24" s="273"/>
      <c r="H24" s="276"/>
      <c r="I24" s="277"/>
      <c r="J24" s="276"/>
      <c r="K24" s="277"/>
      <c r="L24" s="276"/>
      <c r="M24" s="277"/>
      <c r="N24" s="276"/>
      <c r="O24" s="277"/>
      <c r="P24" s="116"/>
      <c r="Q24" s="269"/>
      <c r="R24" s="270"/>
      <c r="S24" s="270"/>
      <c r="T24" s="270"/>
      <c r="U24" s="271"/>
      <c r="V24" s="271"/>
      <c r="W24" s="271"/>
      <c r="X24" s="271"/>
      <c r="Y24" s="271"/>
      <c r="Z24" s="271"/>
      <c r="AA24" s="19"/>
    </row>
    <row r="25" spans="1:27" s="20" customFormat="1" ht="21" customHeight="1" x14ac:dyDescent="0.15">
      <c r="A25" s="263" t="str">
        <f>IFERROR(IF(HLOOKUP($P$6,RangeUnitsetsECEPR,Q25,FALSE)=0,"",HLOOKUP($P$6,RangeUnitsetsECEPR,Q25,FALSE)),"")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IF(A25="","",VLOOKUP($D$7,TableStudyPeriods[],3,FALSE))</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12</v>
      </c>
      <c r="R25" s="270"/>
      <c r="S25" s="270"/>
      <c r="T25" s="271"/>
      <c r="U25" s="271"/>
      <c r="V25" s="271"/>
      <c r="W25" s="271"/>
      <c r="X25" s="271"/>
      <c r="Y25" s="271"/>
      <c r="Z25" s="271"/>
      <c r="AA25" s="19"/>
    </row>
    <row r="26" spans="1:27" s="20" customFormat="1" ht="21" customHeight="1" x14ac:dyDescent="0.15">
      <c r="A26" s="263" t="str">
        <f>IFERROR(IF(HLOOKUP($P$6,RangeUnitsetsECEPR,Q26,FALSE)=0,"",HLOOKUP($P$6,RangeUnitsetsECEPR,Q26,FALSE)),"")</f>
        <v/>
      </c>
      <c r="B26" s="278" t="str">
        <f>IFERROR(IF(VLOOKUP($A26,TableHandbook[],2,FALSE)=0,"",VLOOKUP($A26,TableHandbook[],2,FALSE)),"")</f>
        <v/>
      </c>
      <c r="C26" s="278" t="str">
        <f>IFERROR(IF(VLOOKUP($A26,TableHandbook[],3,FALSE)=0,"",VLOOKUP($A26,TableHandbook[],3,FALSE)),"")</f>
        <v/>
      </c>
      <c r="D26" s="283" t="str">
        <f>IFERROR(IF(VLOOKUP($A26,TableHandbook[],4,FALSE)=0,"",VLOOKUP($A26,TableHandbook[],4,FALSE)),"")</f>
        <v/>
      </c>
      <c r="E26" s="278" t="str">
        <f>IF(A26="","",E25)</f>
        <v/>
      </c>
      <c r="F26" s="266" t="str">
        <f>IFERROR(IF(VLOOKUP($A26,TableHandbook[],6,FALSE)=0,"",VLOOKUP($A26,TableHandbook[],6,FALSE)),"")</f>
        <v/>
      </c>
      <c r="G26" s="264" t="str">
        <f>IFERROR(IF(VLOOKUP($A26,TableHandbook[],5,FALSE)=0,"",VLOOKUP($A26,TableHandbook[],5,FALSE)),"")</f>
        <v/>
      </c>
      <c r="H26" s="267" t="str">
        <f>IFERROR(VLOOKUP($A26,TableHandbook[],H$2,FALSE),"")</f>
        <v/>
      </c>
      <c r="I26" s="268" t="str">
        <f>IFERROR(VLOOKUP($A26,TableHandbook[],I$2,FALSE),"")</f>
        <v/>
      </c>
      <c r="J26" s="267" t="str">
        <f>IFERROR(VLOOKUP($A26,TableHandbook[],J$2,FALSE),"")</f>
        <v/>
      </c>
      <c r="K26" s="268" t="str">
        <f>IFERROR(VLOOKUP($A26,TableHandbook[],K$2,FALSE),"")</f>
        <v/>
      </c>
      <c r="L26" s="267" t="str">
        <f>IFERROR(VLOOKUP($A26,TableHandbook[],L$2,FALSE),"")</f>
        <v/>
      </c>
      <c r="M26" s="268" t="str">
        <f>IFERROR(VLOOKUP($A26,TableHandbook[],M$2,FALSE),"")</f>
        <v/>
      </c>
      <c r="N26" s="267" t="str">
        <f>IFERROR(VLOOKUP($A26,TableHandbook[],N$2,FALSE),"")</f>
        <v/>
      </c>
      <c r="O26" s="268" t="str">
        <f>IFERROR(VLOOKUP($A26,TableHandbook[],O$2,FALSE),"")</f>
        <v/>
      </c>
      <c r="P26" s="29"/>
      <c r="Q26" s="269">
        <v>13</v>
      </c>
      <c r="R26" s="270"/>
      <c r="S26" s="270"/>
      <c r="T26" s="271"/>
      <c r="U26" s="271"/>
      <c r="V26" s="271"/>
      <c r="W26" s="271"/>
      <c r="X26" s="271"/>
      <c r="Y26" s="271"/>
      <c r="Z26" s="271"/>
      <c r="AA26" s="19"/>
    </row>
    <row r="27" spans="1:27" s="20" customFormat="1" ht="6" customHeight="1" x14ac:dyDescent="0.15">
      <c r="A27" s="272"/>
      <c r="B27" s="273"/>
      <c r="C27" s="273"/>
      <c r="D27" s="274"/>
      <c r="E27" s="273"/>
      <c r="F27" s="275"/>
      <c r="G27" s="273"/>
      <c r="H27" s="276"/>
      <c r="I27" s="277"/>
      <c r="J27" s="276"/>
      <c r="K27" s="277"/>
      <c r="L27" s="276"/>
      <c r="M27" s="277"/>
      <c r="N27" s="276"/>
      <c r="O27" s="277"/>
      <c r="P27" s="116"/>
      <c r="Q27" s="269"/>
      <c r="R27" s="270"/>
      <c r="S27" s="270"/>
      <c r="T27" s="270"/>
      <c r="U27" s="271"/>
      <c r="V27" s="271"/>
      <c r="W27" s="271"/>
      <c r="X27" s="271"/>
      <c r="Y27" s="271"/>
      <c r="Z27" s="271"/>
      <c r="AA27" s="19"/>
    </row>
    <row r="28" spans="1:27" s="20" customFormat="1" ht="21" customHeight="1" x14ac:dyDescent="0.15">
      <c r="A28" s="263" t="str">
        <f>IFERROR(IF(HLOOKUP($P$6,RangeUnitsetsECEPR,Q28,FALSE)=0,"",HLOOKUP($P$6,RangeUnitsetsECEPR,Q28,FALSE)),"")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IF(A28="","",VLOOKUP($D$7,TableStudyPeriods[],4,FALSE))</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14</v>
      </c>
      <c r="R28" s="270"/>
      <c r="S28" s="270"/>
      <c r="T28" s="271"/>
      <c r="U28" s="271"/>
      <c r="V28" s="271"/>
      <c r="W28" s="271"/>
      <c r="X28" s="271"/>
      <c r="Y28" s="271"/>
      <c r="Z28" s="271"/>
      <c r="AA28" s="19"/>
    </row>
    <row r="29" spans="1:27" s="20" customFormat="1" ht="21" customHeight="1" x14ac:dyDescent="0.15">
      <c r="A29" s="263" t="str">
        <f>IFERROR(IF(HLOOKUP($P$6,RangeUnitsetsECEPR,Q29,FALSE)=0,"",HLOOKUP($P$6,RangeUnitsetsECEPR,Q29,FALSE)),"")</f>
        <v/>
      </c>
      <c r="B29" s="278" t="str">
        <f>IFERROR(IF(VLOOKUP($A29,TableHandbook[],2,FALSE)=0,"",VLOOKUP($A29,TableHandbook[],2,FALSE)),"")</f>
        <v/>
      </c>
      <c r="C29" s="278" t="str">
        <f>IFERROR(IF(VLOOKUP($A29,TableHandbook[],3,FALSE)=0,"",VLOOKUP($A29,TableHandbook[],3,FALSE)),"")</f>
        <v/>
      </c>
      <c r="D29" s="283" t="str">
        <f>IFERROR(IF(VLOOKUP($A29,TableHandbook[],4,FALSE)=0,"",VLOOKUP($A29,TableHandbook[],4,FALSE)),"")</f>
        <v/>
      </c>
      <c r="E29" s="278" t="str">
        <f>IF(A29="","",E28)</f>
        <v/>
      </c>
      <c r="F29" s="266" t="str">
        <f>IFERROR(IF(VLOOKUP($A29,TableHandbook[],6,FALSE)=0,"",VLOOKUP($A29,TableHandbook[],6,FALSE)),"")</f>
        <v/>
      </c>
      <c r="G29" s="264" t="str">
        <f>IFERROR(IF(VLOOKUP($A29,TableHandbook[],5,FALSE)=0,"",VLOOKUP($A29,TableHandbook[],5,FALSE)),"")</f>
        <v/>
      </c>
      <c r="H29" s="279" t="str">
        <f>IFERROR(VLOOKUP($A29,TableHandbook[],H$2,FALSE),"")</f>
        <v/>
      </c>
      <c r="I29" s="280" t="str">
        <f>IFERROR(VLOOKUP($A29,TableHandbook[],I$2,FALSE),"")</f>
        <v/>
      </c>
      <c r="J29" s="279" t="str">
        <f>IFERROR(VLOOKUP($A29,TableHandbook[],J$2,FALSE),"")</f>
        <v/>
      </c>
      <c r="K29" s="280" t="str">
        <f>IFERROR(VLOOKUP($A29,TableHandbook[],K$2,FALSE),"")</f>
        <v/>
      </c>
      <c r="L29" s="279" t="str">
        <f>IFERROR(VLOOKUP($A29,TableHandbook[],L$2,FALSE),"")</f>
        <v/>
      </c>
      <c r="M29" s="280" t="str">
        <f>IFERROR(VLOOKUP($A29,TableHandbook[],M$2,FALSE),"")</f>
        <v/>
      </c>
      <c r="N29" s="279" t="str">
        <f>IFERROR(VLOOKUP($A29,TableHandbook[],N$2,FALSE),"")</f>
        <v/>
      </c>
      <c r="O29" s="280" t="str">
        <f>IFERROR(VLOOKUP($A29,TableHandbook[],O$2,FALSE),"")</f>
        <v/>
      </c>
      <c r="P29" s="29"/>
      <c r="Q29" s="269">
        <v>15</v>
      </c>
      <c r="R29" s="270"/>
      <c r="S29" s="270"/>
      <c r="T29" s="271"/>
      <c r="U29" s="271"/>
      <c r="V29" s="271"/>
      <c r="W29" s="271"/>
      <c r="X29" s="271"/>
      <c r="Y29" s="271"/>
      <c r="Z29" s="271"/>
      <c r="AA29" s="19"/>
    </row>
    <row r="30" spans="1:27" s="23" customFormat="1" ht="6" customHeight="1" x14ac:dyDescent="0.15">
      <c r="A30" s="272"/>
      <c r="B30" s="273"/>
      <c r="C30" s="273"/>
      <c r="D30" s="274"/>
      <c r="E30" s="273"/>
      <c r="F30" s="275"/>
      <c r="G30" s="273"/>
      <c r="H30" s="276"/>
      <c r="I30" s="277"/>
      <c r="J30" s="276"/>
      <c r="K30" s="277"/>
      <c r="L30" s="276"/>
      <c r="M30" s="277"/>
      <c r="N30" s="276"/>
      <c r="O30" s="277"/>
      <c r="P30" s="116"/>
      <c r="Q30" s="269"/>
      <c r="R30" s="281"/>
      <c r="S30" s="281"/>
      <c r="T30" s="282"/>
      <c r="U30" s="282"/>
      <c r="V30" s="282"/>
      <c r="W30" s="282"/>
      <c r="X30" s="282"/>
      <c r="Y30" s="282"/>
      <c r="Z30" s="282"/>
      <c r="AA30" s="22"/>
    </row>
    <row r="31" spans="1:27" s="23" customFormat="1" ht="21" customHeight="1" x14ac:dyDescent="0.15">
      <c r="A31" s="263" t="str">
        <f>IFERROR(IF(HLOOKUP($P$6,RangeUnitsetsECEPR,Q31,FALSE)=0,"",HLOOKUP($P$6,RangeUnitsetsECEPR,Q31,FALSE)),"")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78" t="str">
        <f>IF(A31="","",VLOOKUP($D$7,TableStudyPeriods[],5,FALSE))</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16</v>
      </c>
      <c r="R31" s="281"/>
      <c r="S31" s="281"/>
      <c r="T31" s="282"/>
      <c r="U31" s="282"/>
      <c r="V31" s="282"/>
      <c r="W31" s="282"/>
      <c r="X31" s="282"/>
      <c r="Y31" s="282"/>
      <c r="Z31" s="282"/>
      <c r="AA31" s="22"/>
    </row>
    <row r="32" spans="1:27" s="23" customFormat="1" ht="21" customHeight="1" x14ac:dyDescent="0.15">
      <c r="A32" s="263" t="str">
        <f>IFERROR(IF(HLOOKUP($P$6,RangeUnitsetsECEPR,Q32,FALSE)=0,"",HLOOKUP($P$6,RangeUnitsetsECEPR,Q32,FALSE)),"")</f>
        <v/>
      </c>
      <c r="B32" s="278" t="str">
        <f>IFERROR(IF(VLOOKUP($A32,TableHandbook[],2,FALSE)=0,"",VLOOKUP($A32,TableHandbook[],2,FALSE)),"")</f>
        <v/>
      </c>
      <c r="C32" s="278" t="str">
        <f>IFERROR(IF(VLOOKUP($A32,TableHandbook[],3,FALSE)=0,"",VLOOKUP($A32,TableHandbook[],3,FALSE)),"")</f>
        <v/>
      </c>
      <c r="D32" s="283" t="str">
        <f>IFERROR(IF(VLOOKUP($A32,TableHandbook[],4,FALSE)=0,"",VLOOKUP($A32,TableHandbook[],4,FALSE)),"")</f>
        <v/>
      </c>
      <c r="E32" s="264" t="str">
        <f>IF(A32="","",E31)</f>
        <v/>
      </c>
      <c r="F32" s="266" t="str">
        <f>IFERROR(IF(VLOOKUP($A32,TableHandbook[],6,FALSE)=0,"",VLOOKUP($A32,TableHandbook[],6,FALSE)),"")</f>
        <v/>
      </c>
      <c r="G32" s="264" t="str">
        <f>IFERROR(IF(VLOOKUP($A32,TableHandbook[],5,FALSE)=0,"",VLOOKUP($A32,TableHandbook[],5,FALSE)),"")</f>
        <v/>
      </c>
      <c r="H32" s="279" t="str">
        <f>IFERROR(VLOOKUP($A32,TableHandbook[],H$2,FALSE),"")</f>
        <v/>
      </c>
      <c r="I32" s="280" t="str">
        <f>IFERROR(VLOOKUP($A32,TableHandbook[],I$2,FALSE),"")</f>
        <v/>
      </c>
      <c r="J32" s="279" t="str">
        <f>IFERROR(VLOOKUP($A32,TableHandbook[],J$2,FALSE),"")</f>
        <v/>
      </c>
      <c r="K32" s="280" t="str">
        <f>IFERROR(VLOOKUP($A32,TableHandbook[],K$2,FALSE),"")</f>
        <v/>
      </c>
      <c r="L32" s="279" t="str">
        <f>IFERROR(VLOOKUP($A32,TableHandbook[],L$2,FALSE),"")</f>
        <v/>
      </c>
      <c r="M32" s="280" t="str">
        <f>IFERROR(VLOOKUP($A32,TableHandbook[],M$2,FALSE),"")</f>
        <v/>
      </c>
      <c r="N32" s="279" t="str">
        <f>IFERROR(VLOOKUP($A32,TableHandbook[],N$2,FALSE),"")</f>
        <v/>
      </c>
      <c r="O32" s="280" t="str">
        <f>IFERROR(VLOOKUP($A32,TableHandbook[],O$2,FALSE),"")</f>
        <v/>
      </c>
      <c r="P32" s="29"/>
      <c r="Q32" s="269">
        <v>17</v>
      </c>
      <c r="R32" s="281"/>
      <c r="S32" s="281"/>
      <c r="T32" s="282"/>
      <c r="U32" s="282"/>
      <c r="V32" s="282"/>
      <c r="W32" s="282"/>
      <c r="X32" s="282"/>
      <c r="Y32" s="282"/>
      <c r="Z32" s="282"/>
      <c r="AA32" s="22"/>
    </row>
    <row r="33" spans="1:27" ht="15" customHeight="1" x14ac:dyDescent="0.25">
      <c r="A33" s="287"/>
      <c r="B33" s="287"/>
      <c r="C33" s="287"/>
      <c r="D33" s="288"/>
      <c r="E33" s="288"/>
      <c r="F33" s="289"/>
      <c r="G33" s="289"/>
      <c r="H33" s="289"/>
      <c r="I33" s="289"/>
      <c r="J33" s="289"/>
      <c r="K33" s="289"/>
      <c r="L33" s="289"/>
      <c r="M33" s="289"/>
      <c r="N33" s="289"/>
      <c r="O33" s="289"/>
      <c r="P33" s="289"/>
      <c r="Q33" s="231"/>
      <c r="R33" s="231"/>
      <c r="S33" s="231"/>
      <c r="T33" s="231"/>
      <c r="U33" s="231"/>
      <c r="V33" s="231"/>
      <c r="W33" s="231"/>
      <c r="X33" s="231"/>
      <c r="Y33" s="231"/>
      <c r="Z33" s="231"/>
      <c r="AA33" s="16"/>
    </row>
    <row r="34" spans="1:27" s="16" customFormat="1" ht="35.25" customHeight="1" x14ac:dyDescent="0.25">
      <c r="A34" s="366" t="s">
        <v>35</v>
      </c>
      <c r="B34" s="366"/>
      <c r="C34" s="366"/>
      <c r="D34" s="366"/>
      <c r="E34" s="366"/>
      <c r="F34" s="366"/>
      <c r="G34" s="366"/>
      <c r="H34" s="366"/>
      <c r="I34" s="366"/>
      <c r="J34" s="366"/>
      <c r="K34" s="366"/>
      <c r="L34" s="366"/>
      <c r="M34" s="366"/>
      <c r="N34" s="366"/>
      <c r="O34" s="366"/>
      <c r="P34" s="366"/>
      <c r="Q34" s="231"/>
      <c r="R34" s="231"/>
      <c r="S34" s="231"/>
      <c r="T34" s="231"/>
      <c r="U34" s="231"/>
      <c r="V34" s="231"/>
      <c r="W34" s="231"/>
      <c r="X34" s="231"/>
      <c r="Y34" s="231"/>
      <c r="Z34" s="231"/>
    </row>
    <row r="35" spans="1:27" s="25" customFormat="1" ht="17.25" x14ac:dyDescent="0.2">
      <c r="A35" s="117" t="s">
        <v>36</v>
      </c>
      <c r="B35" s="117"/>
      <c r="C35" s="117"/>
      <c r="D35" s="118"/>
      <c r="E35" s="118"/>
      <c r="F35" s="118"/>
      <c r="G35" s="118"/>
      <c r="H35" s="118"/>
      <c r="I35" s="118"/>
      <c r="J35" s="118"/>
      <c r="K35" s="118"/>
      <c r="L35" s="118"/>
      <c r="M35" s="118"/>
      <c r="N35" s="118"/>
      <c r="O35" s="118"/>
      <c r="P35" s="118"/>
      <c r="Q35" s="290"/>
      <c r="R35" s="290"/>
      <c r="S35" s="290"/>
      <c r="T35" s="291"/>
      <c r="U35" s="291"/>
      <c r="V35" s="291"/>
      <c r="W35" s="291"/>
      <c r="X35" s="291"/>
      <c r="Y35" s="291"/>
      <c r="Z35" s="291"/>
      <c r="AA35" s="24"/>
    </row>
    <row r="36" spans="1:27" x14ac:dyDescent="0.25">
      <c r="A36" s="292" t="s">
        <v>37</v>
      </c>
      <c r="B36" s="292"/>
      <c r="C36" s="292"/>
      <c r="D36" s="292"/>
      <c r="E36" s="293"/>
      <c r="F36" s="289"/>
      <c r="G36" s="294"/>
      <c r="H36" s="294"/>
      <c r="I36" s="294"/>
      <c r="J36" s="294"/>
      <c r="K36" s="294"/>
      <c r="L36" s="294"/>
      <c r="M36" s="294"/>
      <c r="N36" s="294"/>
      <c r="O36" s="294"/>
      <c r="P36" s="294" t="s">
        <v>38</v>
      </c>
      <c r="Q36" s="231"/>
      <c r="R36" s="231"/>
      <c r="S36" s="231"/>
      <c r="T36" s="231"/>
      <c r="U36" s="231"/>
      <c r="V36" s="231"/>
      <c r="W36" s="231"/>
      <c r="X36" s="231"/>
      <c r="Y36" s="231"/>
      <c r="Z36" s="231"/>
    </row>
  </sheetData>
  <sheetProtection formatCells="0"/>
  <mergeCells count="2">
    <mergeCell ref="A3:D3"/>
    <mergeCell ref="A34:P34"/>
  </mergeCells>
  <conditionalFormatting sqref="D5:D7">
    <cfRule type="containsText" dxfId="443" priority="1" operator="containsText" text="Choose">
      <formula>NOT(ISERROR(SEARCH("Choose",D5)))</formula>
    </cfRule>
  </conditionalFormatting>
  <dataValidations count="1">
    <dataValidation type="list" allowBlank="1" showInputMessage="1" showErrorMessage="1" sqref="P27 P15 P12 P18 P24 P30"/>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Unitsets!$A$18:$A$22</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5"/>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 style="15" customWidth="1"/>
    <col min="4" max="4" width="66" style="14" bestFit="1" customWidth="1"/>
    <col min="5" max="5" width="7.25" style="14" customWidth="1"/>
    <col min="6" max="6" width="15.6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96" t="s">
        <v>471</v>
      </c>
      <c r="E5" s="241"/>
      <c r="F5" s="239" t="s">
        <v>12</v>
      </c>
      <c r="G5" s="241" t="str">
        <f>IFERROR(CONCATENATE(VLOOKUP(D5,TableCourses[],2,FALSE)," ",VLOOKUP(D5,TableCourses[],3,FALSE)),"")</f>
        <v/>
      </c>
      <c r="H5" s="241"/>
      <c r="I5" s="241"/>
      <c r="J5" s="241"/>
      <c r="K5" s="242"/>
      <c r="L5" s="242"/>
      <c r="M5" s="242"/>
      <c r="N5" s="242"/>
      <c r="O5" s="242"/>
      <c r="P5" s="245" t="e">
        <f>CONCATENATE(VLOOKUP(D5,TableCourses[],2,FALSE),VLOOKUP(D6,TableStudyPeriods[],2,FALSE))</f>
        <v>#N/A</v>
      </c>
      <c r="Q5" s="231"/>
      <c r="R5" s="231"/>
      <c r="S5" s="231"/>
      <c r="T5" s="231"/>
      <c r="U5" s="231"/>
      <c r="V5" s="231"/>
      <c r="W5" s="231"/>
      <c r="X5" s="231"/>
      <c r="Y5" s="231"/>
      <c r="Z5" s="231"/>
    </row>
    <row r="6" spans="1:27" ht="20.100000000000001" customHeight="1" x14ac:dyDescent="0.25">
      <c r="A6" s="246"/>
      <c r="B6" s="247"/>
      <c r="C6" s="239" t="s">
        <v>16</v>
      </c>
      <c r="D6" s="295" t="s">
        <v>468</v>
      </c>
      <c r="E6" s="249"/>
      <c r="F6" s="239" t="s">
        <v>18</v>
      </c>
      <c r="G6" s="241" t="str">
        <f>IFERROR(VLOOKUP($D$5,TableCourses[],4,FALSE),"")</f>
        <v/>
      </c>
      <c r="H6" s="250"/>
      <c r="I6" s="250"/>
      <c r="J6" s="250"/>
      <c r="K6" s="251"/>
      <c r="L6" s="251"/>
      <c r="M6" s="251"/>
      <c r="N6" s="251"/>
      <c r="O6" s="251"/>
      <c r="P6" s="251"/>
      <c r="Q6" s="231"/>
      <c r="R6" s="231"/>
      <c r="S6" s="231"/>
      <c r="T6" s="231"/>
      <c r="U6" s="231"/>
      <c r="V6" s="231"/>
      <c r="W6" s="231"/>
      <c r="X6" s="231"/>
      <c r="Y6" s="231"/>
      <c r="Z6" s="231"/>
      <c r="AA6" s="16"/>
    </row>
    <row r="7" spans="1:27" s="18" customFormat="1" ht="14.1" customHeight="1" x14ac:dyDescent="0.25">
      <c r="A7" s="252"/>
      <c r="B7" s="252"/>
      <c r="C7" s="252"/>
      <c r="D7" s="253"/>
      <c r="E7" s="254"/>
      <c r="F7" s="252"/>
      <c r="G7" s="252"/>
      <c r="H7" s="255" t="s">
        <v>19</v>
      </c>
      <c r="I7" s="256"/>
      <c r="J7" s="256"/>
      <c r="K7" s="256"/>
      <c r="L7" s="256"/>
      <c r="M7" s="256"/>
      <c r="N7" s="256"/>
      <c r="O7" s="257"/>
      <c r="P7" s="254"/>
      <c r="Q7" s="258"/>
      <c r="R7" s="258"/>
      <c r="S7" s="258"/>
      <c r="T7" s="259"/>
      <c r="U7" s="259"/>
      <c r="V7" s="259"/>
      <c r="W7" s="259"/>
      <c r="X7" s="259"/>
      <c r="Y7" s="259"/>
      <c r="Z7" s="259"/>
      <c r="AA7" s="17"/>
    </row>
    <row r="8" spans="1:27" s="18" customFormat="1" ht="31.5" x14ac:dyDescent="0.25">
      <c r="A8" s="252" t="s">
        <v>20</v>
      </c>
      <c r="B8" s="252"/>
      <c r="C8" s="252"/>
      <c r="D8" s="253" t="s">
        <v>3</v>
      </c>
      <c r="E8" s="260" t="s">
        <v>21</v>
      </c>
      <c r="F8" s="252" t="s">
        <v>22</v>
      </c>
      <c r="G8" s="252" t="s">
        <v>23</v>
      </c>
      <c r="H8" s="261" t="s">
        <v>24</v>
      </c>
      <c r="I8" s="262" t="s">
        <v>25</v>
      </c>
      <c r="J8" s="261" t="s">
        <v>26</v>
      </c>
      <c r="K8" s="262" t="s">
        <v>27</v>
      </c>
      <c r="L8" s="261" t="s">
        <v>28</v>
      </c>
      <c r="M8" s="262" t="s">
        <v>29</v>
      </c>
      <c r="N8" s="261" t="s">
        <v>30</v>
      </c>
      <c r="O8" s="262" t="s">
        <v>31</v>
      </c>
      <c r="P8" s="252" t="s">
        <v>32</v>
      </c>
      <c r="Q8" s="258"/>
      <c r="R8" s="258"/>
      <c r="S8" s="258"/>
      <c r="T8" s="259"/>
      <c r="U8" s="259"/>
      <c r="V8" s="259"/>
      <c r="W8" s="259"/>
      <c r="X8" s="259"/>
      <c r="Y8" s="259"/>
      <c r="Z8" s="259"/>
      <c r="AA8" s="17"/>
    </row>
    <row r="9" spans="1:27" s="20" customFormat="1" ht="21" customHeight="1" x14ac:dyDescent="0.15">
      <c r="A9" s="263" t="str">
        <f>IFERROR(IF(HLOOKUP($P$5,RangeUnitsetsTESOL,Q9,FALSE)=0,"",HLOOKUP($P$5,RangeUnitsetsTESOL,Q9,FALSE)),"")</f>
        <v/>
      </c>
      <c r="B9" s="264" t="str">
        <f>IFERROR(IF(VLOOKUP($A9,TableHandbook[],2,FALSE)=0,"",VLOOKUP($A9,TableHandbook[],2,FALSE)),"")</f>
        <v/>
      </c>
      <c r="C9" s="264" t="str">
        <f>IFERROR(IF(VLOOKUP($A9,TableHandbook[],3,FALSE)=0,"",VLOOKUP($A9,TableHandbook[],3,FALSE)),"")</f>
        <v/>
      </c>
      <c r="D9" s="265" t="str">
        <f>IFERROR(IF(VLOOKUP($A9,TableHandbook[],4,FALSE)=0,"",VLOOKUP($A9,TableHandbook[],4,FALSE)),"")</f>
        <v/>
      </c>
      <c r="E9" s="264" t="str">
        <f>IF(A9="","",VLOOKUP($D$6,TableStudyPeriods[],2,FALSE))</f>
        <v/>
      </c>
      <c r="F9" s="266" t="str">
        <f>IFERROR(IF(VLOOKUP($A9,TableHandbook[],6,FALSE)=0,"",VLOOKUP($A9,TableHandbook[],6,FALSE)),"")</f>
        <v/>
      </c>
      <c r="G9" s="264" t="str">
        <f>IFERROR(IF(VLOOKUP($A9,TableHandbook[],5,FALSE)=0,"",VLOOKUP($A9,TableHandbook[],5,FALSE)),"")</f>
        <v/>
      </c>
      <c r="H9" s="267" t="str">
        <f>IFERROR(VLOOKUP($A9,TableHandbook[],H$2,FALSE),"")</f>
        <v/>
      </c>
      <c r="I9" s="268" t="str">
        <f>IFERROR(VLOOKUP($A9,TableHandbook[],I$2,FALSE),"")</f>
        <v/>
      </c>
      <c r="J9" s="267" t="str">
        <f>IFERROR(VLOOKUP($A9,TableHandbook[],J$2,FALSE),"")</f>
        <v/>
      </c>
      <c r="K9" s="268" t="str">
        <f>IFERROR(VLOOKUP($A9,TableHandbook[],K$2,FALSE),"")</f>
        <v/>
      </c>
      <c r="L9" s="267" t="str">
        <f>IFERROR(VLOOKUP($A9,TableHandbook[],L$2,FALSE),"")</f>
        <v/>
      </c>
      <c r="M9" s="268" t="str">
        <f>IFERROR(VLOOKUP($A9,TableHandbook[],M$2,FALSE),"")</f>
        <v/>
      </c>
      <c r="N9" s="267" t="str">
        <f>IFERROR(VLOOKUP($A9,TableHandbook[],N$2,FALSE),"")</f>
        <v/>
      </c>
      <c r="O9" s="268" t="str">
        <f>IFERROR(VLOOKUP($A9,TableHandbook[],O$2,FALSE),"")</f>
        <v/>
      </c>
      <c r="P9" s="30"/>
      <c r="Q9" s="269">
        <v>2</v>
      </c>
      <c r="R9" s="270"/>
      <c r="S9" s="270"/>
      <c r="T9" s="271"/>
      <c r="U9" s="271"/>
      <c r="V9" s="271"/>
      <c r="W9" s="271"/>
      <c r="X9" s="271"/>
      <c r="Y9" s="271"/>
      <c r="Z9" s="271"/>
      <c r="AA9" s="19"/>
    </row>
    <row r="10" spans="1:27" s="20" customFormat="1" ht="21" customHeight="1" x14ac:dyDescent="0.15">
      <c r="A10" s="263" t="str">
        <f>IFERROR(IF(HLOOKUP($P$5,RangeUnitsetsTESOL,Q10,FALSE)=0,"",HLOOKUP($P$5,RangeUnitsetsTESOL,Q10,FALSE)),"")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IF(A10="","",E9)</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3</v>
      </c>
      <c r="R10" s="270"/>
      <c r="S10" s="270"/>
      <c r="T10" s="271"/>
      <c r="U10" s="271"/>
      <c r="V10" s="271"/>
      <c r="W10" s="271"/>
      <c r="X10" s="271"/>
      <c r="Y10" s="271"/>
      <c r="Z10" s="271"/>
      <c r="AA10" s="19"/>
    </row>
    <row r="11" spans="1:27" s="20" customFormat="1" ht="6" customHeight="1" x14ac:dyDescent="0.15">
      <c r="A11" s="272"/>
      <c r="B11" s="273"/>
      <c r="C11" s="273"/>
      <c r="D11" s="274"/>
      <c r="E11" s="273"/>
      <c r="F11" s="275"/>
      <c r="G11" s="273"/>
      <c r="H11" s="276"/>
      <c r="I11" s="277"/>
      <c r="J11" s="276"/>
      <c r="K11" s="277"/>
      <c r="L11" s="276"/>
      <c r="M11" s="277"/>
      <c r="N11" s="276"/>
      <c r="O11" s="277"/>
      <c r="P11" s="116"/>
      <c r="Q11" s="269"/>
      <c r="R11" s="270"/>
      <c r="S11" s="270"/>
      <c r="T11" s="270"/>
      <c r="U11" s="271"/>
      <c r="V11" s="271"/>
      <c r="W11" s="271"/>
      <c r="X11" s="271"/>
      <c r="Y11" s="271"/>
      <c r="Z11" s="271"/>
      <c r="AA11" s="19"/>
    </row>
    <row r="12" spans="1:27" s="20" customFormat="1" ht="21" customHeight="1" x14ac:dyDescent="0.15">
      <c r="A12" s="263" t="str">
        <f>IFERROR(IF(HLOOKUP($P$5,RangeUnitsetsTESOL,Q12,FALSE)=0,"",HLOOKUP($P$5,RangeUnitsetsTESOL,Q12,FALSE)),"")</f>
        <v/>
      </c>
      <c r="B12" s="264" t="str">
        <f>IFERROR(IF(VLOOKUP($A12,TableHandbook[],2,FALSE)=0,"",VLOOKUP($A12,TableHandbook[],2,FALSE)),"")</f>
        <v/>
      </c>
      <c r="C12" s="264" t="str">
        <f>IFERROR(IF(VLOOKUP($A12,TableHandbook[],3,FALSE)=0,"",VLOOKUP($A12,TableHandbook[],3,FALSE)),"")</f>
        <v/>
      </c>
      <c r="D12" s="265" t="str">
        <f>IFERROR(IF(VLOOKUP($A12,TableHandbook[],4,FALSE)=0,"",VLOOKUP($A12,TableHandbook[],4,FALSE)),"")</f>
        <v/>
      </c>
      <c r="E12" s="264" t="str">
        <f>IF(A12="","",VLOOKUP($D$6,TableStudyPeriods[],3,FALSE))</f>
        <v/>
      </c>
      <c r="F12" s="266" t="str">
        <f>IFERROR(IF(VLOOKUP($A12,TableHandbook[],6,FALSE)=0,"",VLOOKUP($A12,TableHandbook[],6,FALSE)),"")</f>
        <v/>
      </c>
      <c r="G12" s="264" t="str">
        <f>IFERROR(IF(VLOOKUP($A12,TableHandbook[],5,FALSE)=0,"",VLOOKUP($A12,TableHandbook[],5,FALSE)),"")</f>
        <v/>
      </c>
      <c r="H12" s="267" t="str">
        <f>IFERROR(VLOOKUP($A12,TableHandbook[],H$2,FALSE),"")</f>
        <v/>
      </c>
      <c r="I12" s="268" t="str">
        <f>IFERROR(VLOOKUP($A12,TableHandbook[],I$2,FALSE),"")</f>
        <v/>
      </c>
      <c r="J12" s="267" t="str">
        <f>IFERROR(VLOOKUP($A12,TableHandbook[],J$2,FALSE),"")</f>
        <v/>
      </c>
      <c r="K12" s="268" t="str">
        <f>IFERROR(VLOOKUP($A12,TableHandbook[],K$2,FALSE),"")</f>
        <v/>
      </c>
      <c r="L12" s="267" t="str">
        <f>IFERROR(VLOOKUP($A12,TableHandbook[],L$2,FALSE),"")</f>
        <v/>
      </c>
      <c r="M12" s="268" t="str">
        <f>IFERROR(VLOOKUP($A12,TableHandbook[],M$2,FALSE),"")</f>
        <v/>
      </c>
      <c r="N12" s="267" t="str">
        <f>IFERROR(VLOOKUP($A12,TableHandbook[],N$2,FALSE),"")</f>
        <v/>
      </c>
      <c r="O12" s="268" t="str">
        <f>IFERROR(VLOOKUP($A12,TableHandbook[],O$2,FALSE),"")</f>
        <v/>
      </c>
      <c r="P12" s="31"/>
      <c r="Q12" s="269">
        <v>4</v>
      </c>
      <c r="R12" s="270"/>
      <c r="S12" s="270"/>
      <c r="T12" s="271"/>
      <c r="U12" s="271"/>
      <c r="V12" s="271"/>
      <c r="W12" s="271"/>
      <c r="X12" s="271"/>
      <c r="Y12" s="271"/>
      <c r="Z12" s="271"/>
      <c r="AA12" s="19"/>
    </row>
    <row r="13" spans="1:27" s="20" customFormat="1" ht="21" customHeight="1" x14ac:dyDescent="0.15">
      <c r="A13" s="263" t="str">
        <f>IFERROR(IF(HLOOKUP($P$5,RangeUnitsetsTESOL,Q13,FALSE)=0,"",HLOOKUP($P$5,RangeUnitsetsTESOL,Q13,FALSE)),"")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IF(A13="","",E12)</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0"/>
      <c r="Q13" s="269">
        <v>5</v>
      </c>
      <c r="R13" s="270"/>
      <c r="S13" s="270"/>
      <c r="T13" s="271"/>
      <c r="U13" s="271"/>
      <c r="V13" s="271"/>
      <c r="W13" s="271"/>
      <c r="X13" s="271"/>
      <c r="Y13" s="271"/>
      <c r="Z13" s="271"/>
      <c r="AA13" s="19"/>
    </row>
    <row r="14" spans="1:27" s="20" customFormat="1" ht="6" customHeight="1" x14ac:dyDescent="0.15">
      <c r="A14" s="272"/>
      <c r="B14" s="273"/>
      <c r="C14" s="273"/>
      <c r="D14" s="274"/>
      <c r="E14" s="273"/>
      <c r="F14" s="275"/>
      <c r="G14" s="273"/>
      <c r="H14" s="276"/>
      <c r="I14" s="277"/>
      <c r="J14" s="276"/>
      <c r="K14" s="277"/>
      <c r="L14" s="276"/>
      <c r="M14" s="277"/>
      <c r="N14" s="276"/>
      <c r="O14" s="277"/>
      <c r="P14" s="116"/>
      <c r="Q14" s="269"/>
      <c r="R14" s="270"/>
      <c r="S14" s="270"/>
      <c r="T14" s="270"/>
      <c r="U14" s="271"/>
      <c r="V14" s="271"/>
      <c r="W14" s="271"/>
      <c r="X14" s="271"/>
      <c r="Y14" s="271"/>
      <c r="Z14" s="271"/>
      <c r="AA14" s="19"/>
    </row>
    <row r="15" spans="1:27" s="20" customFormat="1" ht="21" customHeight="1" x14ac:dyDescent="0.15">
      <c r="A15" s="263" t="str">
        <f>IFERROR(IF(HLOOKUP($P$5,RangeUnitsetsTESOL,Q15,FALSE)=0,"",HLOOKUP($P$5,RangeUnitsetsTESOL,Q15,FALSE)),"")</f>
        <v/>
      </c>
      <c r="B15" s="278" t="str">
        <f>IFERROR(IF(VLOOKUP($A15,TableHandbook[],2,FALSE)=0,"",VLOOKUP($A15,TableHandbook[],2,FALSE)),"")</f>
        <v/>
      </c>
      <c r="C15" s="278" t="str">
        <f>IFERROR(IF(VLOOKUP($A15,TableHandbook[],3,FALSE)=0,"",VLOOKUP($A15,TableHandbook[],3,FALSE)),"")</f>
        <v/>
      </c>
      <c r="D15" s="265" t="str">
        <f>IFERROR(IF(VLOOKUP($A15,TableHandbook[],4,FALSE)=0,"",VLOOKUP($A15,TableHandbook[],4,FALSE)),"")</f>
        <v/>
      </c>
      <c r="E15" s="264" t="str">
        <f>IF(A15="","",VLOOKUP($D$6,TableStudyPeriods[],4,FALSE))</f>
        <v/>
      </c>
      <c r="F15" s="266" t="str">
        <f>IFERROR(IF(VLOOKUP($A15,TableHandbook[],6,FALSE)=0,"",VLOOKUP($A15,TableHandbook[],6,FALSE)),"")</f>
        <v/>
      </c>
      <c r="G15" s="278" t="str">
        <f>IFERROR(IF(VLOOKUP($A15,TableHandbook[],5,FALSE)=0,"",VLOOKUP($A15,TableHandbook[],5,FALSE)),"")</f>
        <v/>
      </c>
      <c r="H15" s="279" t="str">
        <f>IFERROR(VLOOKUP($A15,TableHandbook[],H$2,FALSE),"")</f>
        <v/>
      </c>
      <c r="I15" s="280" t="str">
        <f>IFERROR(VLOOKUP($A15,TableHandbook[],I$2,FALSE),"")</f>
        <v/>
      </c>
      <c r="J15" s="279" t="str">
        <f>IFERROR(VLOOKUP($A15,TableHandbook[],J$2,FALSE),"")</f>
        <v/>
      </c>
      <c r="K15" s="280" t="str">
        <f>IFERROR(VLOOKUP($A15,TableHandbook[],K$2,FALSE),"")</f>
        <v/>
      </c>
      <c r="L15" s="279" t="str">
        <f>IFERROR(VLOOKUP($A15,TableHandbook[],L$2,FALSE),"")</f>
        <v/>
      </c>
      <c r="M15" s="280" t="str">
        <f>IFERROR(VLOOKUP($A15,TableHandbook[],M$2,FALSE),"")</f>
        <v/>
      </c>
      <c r="N15" s="279" t="str">
        <f>IFERROR(VLOOKUP($A15,TableHandbook[],N$2,FALSE),"")</f>
        <v/>
      </c>
      <c r="O15" s="280" t="str">
        <f>IFERROR(VLOOKUP($A15,TableHandbook[],O$2,FALSE),"")</f>
        <v/>
      </c>
      <c r="P15" s="31"/>
      <c r="Q15" s="269">
        <v>6</v>
      </c>
      <c r="R15" s="270"/>
      <c r="S15" s="270"/>
      <c r="T15" s="271"/>
      <c r="U15" s="271"/>
      <c r="V15" s="271"/>
      <c r="W15" s="271"/>
      <c r="X15" s="271"/>
      <c r="Y15" s="271"/>
      <c r="Z15" s="271"/>
      <c r="AA15" s="19"/>
    </row>
    <row r="16" spans="1:27" s="23" customFormat="1" ht="21" customHeight="1" x14ac:dyDescent="0.15">
      <c r="A16" s="263" t="str">
        <f>IFERROR(IF(HLOOKUP($P$5,RangeUnitsetsTESOL,Q16,FALSE)=0,"",HLOOKUP($P$5,RangeUnitsetsTESOL,Q16,FALSE)),"")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IF(A16="","",E15)</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7</v>
      </c>
      <c r="R16" s="281"/>
      <c r="S16" s="281"/>
      <c r="T16" s="282"/>
      <c r="U16" s="282"/>
      <c r="V16" s="282"/>
      <c r="W16" s="282"/>
      <c r="X16" s="282"/>
      <c r="Y16" s="282"/>
      <c r="Z16" s="282"/>
      <c r="AA16" s="22"/>
    </row>
    <row r="17" spans="1:27" s="20" customFormat="1" ht="6" customHeight="1" x14ac:dyDescent="0.15">
      <c r="A17" s="272"/>
      <c r="B17" s="273"/>
      <c r="C17" s="273"/>
      <c r="D17" s="274"/>
      <c r="E17" s="273"/>
      <c r="F17" s="275"/>
      <c r="G17" s="273"/>
      <c r="H17" s="276"/>
      <c r="I17" s="277"/>
      <c r="J17" s="276"/>
      <c r="K17" s="277"/>
      <c r="L17" s="276"/>
      <c r="M17" s="277"/>
      <c r="N17" s="276"/>
      <c r="O17" s="277"/>
      <c r="P17" s="116"/>
      <c r="Q17" s="269"/>
      <c r="R17" s="270"/>
      <c r="S17" s="270"/>
      <c r="T17" s="270"/>
      <c r="U17" s="271"/>
      <c r="V17" s="271"/>
      <c r="W17" s="271"/>
      <c r="X17" s="271"/>
      <c r="Y17" s="271"/>
      <c r="Z17" s="271"/>
      <c r="AA17" s="19"/>
    </row>
    <row r="18" spans="1:27" s="23" customFormat="1" ht="21" customHeight="1" x14ac:dyDescent="0.15">
      <c r="A18" s="263" t="str">
        <f>IFERROR(IF(HLOOKUP($P$5,RangeUnitsetsTESOL,Q18,FALSE)=0,"",HLOOKUP($P$5,RangeUnitsetsTESOL,Q18,FALSE)),"")</f>
        <v/>
      </c>
      <c r="B18" s="278" t="str">
        <f>IFERROR(IF(VLOOKUP($A18,TableHandbook[],2,FALSE)=0,"",VLOOKUP($A18,TableHandbook[],2,FALSE)),"")</f>
        <v/>
      </c>
      <c r="C18" s="278" t="str">
        <f>IFERROR(IF(VLOOKUP($A18,TableHandbook[],3,FALSE)=0,"",VLOOKUP($A18,TableHandbook[],3,FALSE)),"")</f>
        <v/>
      </c>
      <c r="D18" s="265" t="str">
        <f>IFERROR(IF(VLOOKUP($A18,TableHandbook[],4,FALSE)=0,"",VLOOKUP($A18,TableHandbook[],4,FALSE)),"")</f>
        <v/>
      </c>
      <c r="E18" s="264" t="str">
        <f>IF(A18="","",VLOOKUP($D$6,TableStudyPeriods[],5,FALSE))</f>
        <v/>
      </c>
      <c r="F18" s="266" t="str">
        <f>IFERROR(IF(VLOOKUP($A18,TableHandbook[],6,FALSE)=0,"",VLOOKUP($A18,TableHandbook[],6,FALSE)),"")</f>
        <v/>
      </c>
      <c r="G18" s="278" t="str">
        <f>IFERROR(IF(VLOOKUP($A18,TableHandbook[],5,FALSE)=0,"",VLOOKUP($A18,TableHandbook[],5,FALSE)),"")</f>
        <v/>
      </c>
      <c r="H18" s="279" t="str">
        <f>IFERROR(VLOOKUP($A18,TableHandbook[],H$2,FALSE),"")</f>
        <v/>
      </c>
      <c r="I18" s="280" t="str">
        <f>IFERROR(VLOOKUP($A18,TableHandbook[],I$2,FALSE),"")</f>
        <v/>
      </c>
      <c r="J18" s="279" t="str">
        <f>IFERROR(VLOOKUP($A18,TableHandbook[],J$2,FALSE),"")</f>
        <v/>
      </c>
      <c r="K18" s="280" t="str">
        <f>IFERROR(VLOOKUP($A18,TableHandbook[],K$2,FALSE),"")</f>
        <v/>
      </c>
      <c r="L18" s="279" t="str">
        <f>IFERROR(VLOOKUP($A18,TableHandbook[],L$2,FALSE),"")</f>
        <v/>
      </c>
      <c r="M18" s="280" t="str">
        <f>IFERROR(VLOOKUP($A18,TableHandbook[],M$2,FALSE),"")</f>
        <v/>
      </c>
      <c r="N18" s="279" t="str">
        <f>IFERROR(VLOOKUP($A18,TableHandbook[],N$2,FALSE),"")</f>
        <v/>
      </c>
      <c r="O18" s="280" t="str">
        <f>IFERROR(VLOOKUP($A18,TableHandbook[],O$2,FALSE),"")</f>
        <v/>
      </c>
      <c r="P18" s="31"/>
      <c r="Q18" s="269">
        <v>8</v>
      </c>
      <c r="R18" s="281"/>
      <c r="S18" s="281"/>
      <c r="T18" s="282"/>
      <c r="U18" s="282"/>
      <c r="V18" s="282"/>
      <c r="W18" s="282"/>
      <c r="X18" s="282"/>
      <c r="Y18" s="282"/>
      <c r="Z18" s="282"/>
      <c r="AA18" s="22"/>
    </row>
    <row r="19" spans="1:27" s="23" customFormat="1" ht="21" customHeight="1" x14ac:dyDescent="0.15">
      <c r="A19" s="263" t="str">
        <f>IFERROR(IF(HLOOKUP($P$5,RangeUnitsetsTESOL,Q19,FALSE)=0,"",HLOOKUP($P$5,RangeUnitsetsTESOL,Q19,FALSE)),"")</f>
        <v/>
      </c>
      <c r="B19" s="278" t="str">
        <f>IFERROR(IF(VLOOKUP($A19,TableHandbook[],2,FALSE)=0,"",VLOOKUP($A19,TableHandbook[],2,FALSE)),"")</f>
        <v/>
      </c>
      <c r="C19" s="278" t="str">
        <f>IFERROR(IF(VLOOKUP($A19,TableHandbook[],3,FALSE)=0,"",VLOOKUP($A19,TableHandbook[],3,FALSE)),"")</f>
        <v/>
      </c>
      <c r="D19" s="283" t="str">
        <f>IFERROR(IF(VLOOKUP($A19,TableHandbook[],4,FALSE)=0,"",VLOOKUP($A19,TableHandbook[],4,FALSE)),"")</f>
        <v/>
      </c>
      <c r="E19" s="278" t="str">
        <f>IF(A19="","",E18)</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9</v>
      </c>
      <c r="R19" s="281"/>
      <c r="S19" s="281"/>
      <c r="T19" s="282"/>
      <c r="U19" s="282"/>
      <c r="V19" s="282"/>
      <c r="W19" s="282"/>
      <c r="X19" s="282"/>
      <c r="Y19" s="282"/>
      <c r="Z19" s="282"/>
      <c r="AA19" s="22"/>
    </row>
    <row r="20" spans="1:27" s="18" customFormat="1" ht="31.5" x14ac:dyDescent="0.25">
      <c r="A20" s="252" t="s">
        <v>33</v>
      </c>
      <c r="B20" s="252"/>
      <c r="C20" s="252"/>
      <c r="D20" s="284" t="s">
        <v>3</v>
      </c>
      <c r="E20" s="260" t="s">
        <v>21</v>
      </c>
      <c r="F20" s="252" t="s">
        <v>22</v>
      </c>
      <c r="G20" s="252" t="s">
        <v>23</v>
      </c>
      <c r="H20" s="261" t="s">
        <v>24</v>
      </c>
      <c r="I20" s="262" t="s">
        <v>25</v>
      </c>
      <c r="J20" s="261" t="s">
        <v>26</v>
      </c>
      <c r="K20" s="262" t="s">
        <v>27</v>
      </c>
      <c r="L20" s="261" t="s">
        <v>28</v>
      </c>
      <c r="M20" s="262" t="s">
        <v>29</v>
      </c>
      <c r="N20" s="261" t="s">
        <v>30</v>
      </c>
      <c r="O20" s="262" t="s">
        <v>31</v>
      </c>
      <c r="P20" s="252" t="s">
        <v>32</v>
      </c>
      <c r="Q20" s="285"/>
      <c r="R20" s="258"/>
      <c r="S20" s="258"/>
      <c r="T20" s="259"/>
      <c r="U20" s="259"/>
      <c r="V20" s="259"/>
      <c r="W20" s="259"/>
      <c r="X20" s="259"/>
      <c r="Y20" s="259"/>
      <c r="Z20" s="259"/>
      <c r="AA20" s="17"/>
    </row>
    <row r="21" spans="1:27" s="20" customFormat="1" ht="21" customHeight="1" x14ac:dyDescent="0.15">
      <c r="A21" s="263" t="str">
        <f>IFERROR(IF(HLOOKUP($P$5,RangeUnitsetsTESOL,Q21,FALSE)=0,"",HLOOKUP($P$5,RangeUnitsetsTESOL,Q21,FALSE)),"")</f>
        <v/>
      </c>
      <c r="B21" s="278" t="str">
        <f>IFERROR(IF(VLOOKUP($A21,TableHandbook[],2,FALSE)=0,"",VLOOKUP($A21,TableHandbook[],2,FALSE)),"")</f>
        <v/>
      </c>
      <c r="C21" s="278" t="str">
        <f>IFERROR(IF(VLOOKUP($A21,TableHandbook[],3,FALSE)=0,"",VLOOKUP($A21,TableHandbook[],3,FALSE)),"")</f>
        <v/>
      </c>
      <c r="D21" s="286" t="str">
        <f>IFERROR(IF(VLOOKUP($A21,TableHandbook[],4,FALSE)=0,"",VLOOKUP($A21,TableHandbook[],4,FALSE)),"")</f>
        <v/>
      </c>
      <c r="E21" s="278" t="str">
        <f>IF(A21="","",VLOOKUP($D$6,TableStudyPeriods[],2,FALSE))</f>
        <v/>
      </c>
      <c r="F21" s="266" t="str">
        <f>IFERROR(IF(VLOOKUP($A21,TableHandbook[],6,FALSE)=0,"",VLOOKUP($A21,TableHandbook[],6,FALSE)),"")</f>
        <v/>
      </c>
      <c r="G21" s="264" t="str">
        <f>IFERROR(IF(VLOOKUP($A21,TableHandbook[],5,FALSE)=0,"",VLOOKUP($A21,TableHandbook[],5,FALSE)),"")</f>
        <v/>
      </c>
      <c r="H21" s="267" t="str">
        <f>IFERROR(VLOOKUP($A21,TableHandbook[],H$2,FALSE),"")</f>
        <v/>
      </c>
      <c r="I21" s="268" t="str">
        <f>IFERROR(VLOOKUP($A21,TableHandbook[],I$2,FALSE),"")</f>
        <v/>
      </c>
      <c r="J21" s="267" t="str">
        <f>IFERROR(VLOOKUP($A21,TableHandbook[],J$2,FALSE),"")</f>
        <v/>
      </c>
      <c r="K21" s="268" t="str">
        <f>IFERROR(VLOOKUP($A21,TableHandbook[],K$2,FALSE),"")</f>
        <v/>
      </c>
      <c r="L21" s="267" t="str">
        <f>IFERROR(VLOOKUP($A21,TableHandbook[],L$2,FALSE),"")</f>
        <v/>
      </c>
      <c r="M21" s="268" t="str">
        <f>IFERROR(VLOOKUP($A21,TableHandbook[],M$2,FALSE),"")</f>
        <v/>
      </c>
      <c r="N21" s="267" t="str">
        <f>IFERROR(VLOOKUP($A21,TableHandbook[],N$2,FALSE),"")</f>
        <v/>
      </c>
      <c r="O21" s="268" t="str">
        <f>IFERROR(VLOOKUP($A21,TableHandbook[],O$2,FALSE),"")</f>
        <v/>
      </c>
      <c r="P21" s="29"/>
      <c r="Q21" s="269">
        <v>10</v>
      </c>
      <c r="R21" s="270"/>
      <c r="S21" s="270"/>
      <c r="T21" s="271"/>
      <c r="U21" s="271"/>
      <c r="V21" s="271"/>
      <c r="W21" s="271"/>
      <c r="X21" s="271"/>
      <c r="Y21" s="271"/>
      <c r="Z21" s="271"/>
      <c r="AA21" s="19"/>
    </row>
    <row r="22" spans="1:27" s="20" customFormat="1" ht="21" customHeight="1" x14ac:dyDescent="0.15">
      <c r="A22" s="263" t="str">
        <f>IFERROR(IF(HLOOKUP($P$5,RangeUnitsetsTESOL,Q22,FALSE)=0,"",HLOOKUP($P$5,RangeUnitsetsTESOL,Q22,FALSE)),"")</f>
        <v/>
      </c>
      <c r="B22" s="278" t="str">
        <f>IFERROR(IF(VLOOKUP($A22,TableHandbook[],2,FALSE)=0,"",VLOOKUP($A22,TableHandbook[],2,FALSE)),"")</f>
        <v/>
      </c>
      <c r="C22" s="278" t="str">
        <f>IFERROR(IF(VLOOKUP($A22,TableHandbook[],3,FALSE)=0,"",VLOOKUP($A22,TableHandbook[],3,FALSE)),"")</f>
        <v/>
      </c>
      <c r="D22" s="283" t="str">
        <f>IFERROR(IF(VLOOKUP($A22,TableHandbook[],4,FALSE)=0,"",VLOOKUP($A22,TableHandbook[],4,FALSE)),"")</f>
        <v/>
      </c>
      <c r="E22" s="278" t="str">
        <f>IF(A22="","",E21)</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11</v>
      </c>
      <c r="R22" s="270"/>
      <c r="S22" s="270"/>
      <c r="T22" s="271"/>
      <c r="U22" s="271"/>
      <c r="V22" s="271"/>
      <c r="W22" s="271"/>
      <c r="X22" s="271"/>
      <c r="Y22" s="271"/>
      <c r="Z22" s="271"/>
      <c r="AA22" s="19"/>
    </row>
    <row r="23" spans="1:27" s="20" customFormat="1" ht="6" customHeight="1" x14ac:dyDescent="0.15">
      <c r="A23" s="272"/>
      <c r="B23" s="273"/>
      <c r="C23" s="273"/>
      <c r="D23" s="274"/>
      <c r="E23" s="273"/>
      <c r="F23" s="275"/>
      <c r="G23" s="273"/>
      <c r="H23" s="276"/>
      <c r="I23" s="277"/>
      <c r="J23" s="276"/>
      <c r="K23" s="277"/>
      <c r="L23" s="276"/>
      <c r="M23" s="277"/>
      <c r="N23" s="276"/>
      <c r="O23" s="277"/>
      <c r="P23" s="116"/>
      <c r="Q23" s="269"/>
      <c r="R23" s="270"/>
      <c r="S23" s="270"/>
      <c r="T23" s="270"/>
      <c r="U23" s="271"/>
      <c r="V23" s="271"/>
      <c r="W23" s="271"/>
      <c r="X23" s="271"/>
      <c r="Y23" s="271"/>
      <c r="Z23" s="271"/>
      <c r="AA23" s="19"/>
    </row>
    <row r="24" spans="1:27" s="20" customFormat="1" ht="21" customHeight="1" x14ac:dyDescent="0.15">
      <c r="A24" s="263" t="str">
        <f>IFERROR(IF(HLOOKUP($P$5,RangeUnitsetsTESOL,Q24,FALSE)=0,"",HLOOKUP($P$5,RangeUnitsetsTESOL,Q24,FALSE)),"")</f>
        <v/>
      </c>
      <c r="B24" s="278" t="str">
        <f>IFERROR(IF(VLOOKUP($A24,TableHandbook[],2,FALSE)=0,"",VLOOKUP($A24,TableHandbook[],2,FALSE)),"")</f>
        <v/>
      </c>
      <c r="C24" s="278" t="str">
        <f>IFERROR(IF(VLOOKUP($A24,TableHandbook[],3,FALSE)=0,"",VLOOKUP($A24,TableHandbook[],3,FALSE)),"")</f>
        <v/>
      </c>
      <c r="D24" s="283" t="str">
        <f>IFERROR(IF(VLOOKUP($A24,TableHandbook[],4,FALSE)=0,"",VLOOKUP($A24,TableHandbook[],4,FALSE)),"")</f>
        <v/>
      </c>
      <c r="E24" s="278" t="str">
        <f>IF(A24="","",VLOOKUP($D$6,TableStudyPeriods[],3,FALSE))</f>
        <v/>
      </c>
      <c r="F24" s="266" t="str">
        <f>IFERROR(IF(VLOOKUP($A24,TableHandbook[],6,FALSE)=0,"",VLOOKUP($A24,TableHandbook[],6,FALSE)),"")</f>
        <v/>
      </c>
      <c r="G24" s="264" t="str">
        <f>IFERROR(IF(VLOOKUP($A24,TableHandbook[],5,FALSE)=0,"",VLOOKUP($A24,TableHandbook[],5,FALSE)),"")</f>
        <v/>
      </c>
      <c r="H24" s="267" t="str">
        <f>IFERROR(VLOOKUP($A24,TableHandbook[],H$2,FALSE),"")</f>
        <v/>
      </c>
      <c r="I24" s="268" t="str">
        <f>IFERROR(VLOOKUP($A24,TableHandbook[],I$2,FALSE),"")</f>
        <v/>
      </c>
      <c r="J24" s="267" t="str">
        <f>IFERROR(VLOOKUP($A24,TableHandbook[],J$2,FALSE),"")</f>
        <v/>
      </c>
      <c r="K24" s="268" t="str">
        <f>IFERROR(VLOOKUP($A24,TableHandbook[],K$2,FALSE),"")</f>
        <v/>
      </c>
      <c r="L24" s="267" t="str">
        <f>IFERROR(VLOOKUP($A24,TableHandbook[],L$2,FALSE),"")</f>
        <v/>
      </c>
      <c r="M24" s="268" t="str">
        <f>IFERROR(VLOOKUP($A24,TableHandbook[],M$2,FALSE),"")</f>
        <v/>
      </c>
      <c r="N24" s="267" t="str">
        <f>IFERROR(VLOOKUP($A24,TableHandbook[],N$2,FALSE),"")</f>
        <v/>
      </c>
      <c r="O24" s="268" t="str">
        <f>IFERROR(VLOOKUP($A24,TableHandbook[],O$2,FALSE),"")</f>
        <v/>
      </c>
      <c r="P24" s="29"/>
      <c r="Q24" s="269">
        <v>12</v>
      </c>
      <c r="R24" s="270"/>
      <c r="S24" s="270"/>
      <c r="T24" s="271"/>
      <c r="U24" s="271"/>
      <c r="V24" s="271"/>
      <c r="W24" s="271"/>
      <c r="X24" s="271"/>
      <c r="Y24" s="271"/>
      <c r="Z24" s="271"/>
      <c r="AA24" s="19"/>
    </row>
    <row r="25" spans="1:27" s="20" customFormat="1" ht="21" customHeight="1" x14ac:dyDescent="0.15">
      <c r="A25" s="263" t="str">
        <f>IFERROR(IF(HLOOKUP($P$5,RangeUnitsetsTESOL,Q25,FALSE)=0,"",HLOOKUP($P$5,RangeUnitsetsTESOL,Q25,FALSE)),"")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IF(A25="","",E24)</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13</v>
      </c>
      <c r="R25" s="270"/>
      <c r="S25" s="270"/>
      <c r="T25" s="271"/>
      <c r="U25" s="271"/>
      <c r="V25" s="271"/>
      <c r="W25" s="271"/>
      <c r="X25" s="271"/>
      <c r="Y25" s="271"/>
      <c r="Z25" s="271"/>
      <c r="AA25" s="19"/>
    </row>
    <row r="26" spans="1:27" s="20" customFormat="1" ht="6" customHeight="1" x14ac:dyDescent="0.15">
      <c r="A26" s="272"/>
      <c r="B26" s="273"/>
      <c r="C26" s="273"/>
      <c r="D26" s="274"/>
      <c r="E26" s="273"/>
      <c r="F26" s="275"/>
      <c r="G26" s="273"/>
      <c r="H26" s="276"/>
      <c r="I26" s="277"/>
      <c r="J26" s="276"/>
      <c r="K26" s="277"/>
      <c r="L26" s="276"/>
      <c r="M26" s="277"/>
      <c r="N26" s="276"/>
      <c r="O26" s="277"/>
      <c r="P26" s="116"/>
      <c r="Q26" s="269"/>
      <c r="R26" s="270"/>
      <c r="S26" s="270"/>
      <c r="T26" s="270"/>
      <c r="U26" s="271"/>
      <c r="V26" s="271"/>
      <c r="W26" s="271"/>
      <c r="X26" s="271"/>
      <c r="Y26" s="271"/>
      <c r="Z26" s="271"/>
      <c r="AA26" s="19"/>
    </row>
    <row r="27" spans="1:27" s="20" customFormat="1" ht="21" customHeight="1" x14ac:dyDescent="0.15">
      <c r="A27" s="263" t="str">
        <f>IFERROR(IF(HLOOKUP($P$5,RangeUnitsetsTESOL,Q27,FALSE)=0,"",HLOOKUP($P$5,RangeUnitsetsTESOL,Q27,FALSE)),"")</f>
        <v/>
      </c>
      <c r="B27" s="278" t="str">
        <f>IFERROR(IF(VLOOKUP($A27,TableHandbook[],2,FALSE)=0,"",VLOOKUP($A27,TableHandbook[],2,FALSE)),"")</f>
        <v/>
      </c>
      <c r="C27" s="278" t="str">
        <f>IFERROR(IF(VLOOKUP($A27,TableHandbook[],3,FALSE)=0,"",VLOOKUP($A27,TableHandbook[],3,FALSE)),"")</f>
        <v/>
      </c>
      <c r="D27" s="283" t="str">
        <f>IFERROR(IF(VLOOKUP($A27,TableHandbook[],4,FALSE)=0,"",VLOOKUP($A27,TableHandbook[],4,FALSE)),"")</f>
        <v/>
      </c>
      <c r="E27" s="278" t="str">
        <f>IF(A27="","",VLOOKUP($D$6,TableStudyPeriods[],4,FALSE))</f>
        <v/>
      </c>
      <c r="F27" s="266" t="str">
        <f>IFERROR(IF(VLOOKUP($A27,TableHandbook[],6,FALSE)=0,"",VLOOKUP($A27,TableHandbook[],6,FALSE)),"")</f>
        <v/>
      </c>
      <c r="G27" s="264" t="str">
        <f>IFERROR(IF(VLOOKUP($A27,TableHandbook[],5,FALSE)=0,"",VLOOKUP($A27,TableHandbook[],5,FALSE)),"")</f>
        <v/>
      </c>
      <c r="H27" s="279" t="str">
        <f>IFERROR(VLOOKUP($A27,TableHandbook[],H$2,FALSE),"")</f>
        <v/>
      </c>
      <c r="I27" s="280" t="str">
        <f>IFERROR(VLOOKUP($A27,TableHandbook[],I$2,FALSE),"")</f>
        <v/>
      </c>
      <c r="J27" s="279" t="str">
        <f>IFERROR(VLOOKUP($A27,TableHandbook[],J$2,FALSE),"")</f>
        <v/>
      </c>
      <c r="K27" s="280" t="str">
        <f>IFERROR(VLOOKUP($A27,TableHandbook[],K$2,FALSE),"")</f>
        <v/>
      </c>
      <c r="L27" s="279" t="str">
        <f>IFERROR(VLOOKUP($A27,TableHandbook[],L$2,FALSE),"")</f>
        <v/>
      </c>
      <c r="M27" s="280" t="str">
        <f>IFERROR(VLOOKUP($A27,TableHandbook[],M$2,FALSE),"")</f>
        <v/>
      </c>
      <c r="N27" s="279" t="str">
        <f>IFERROR(VLOOKUP($A27,TableHandbook[],N$2,FALSE),"")</f>
        <v/>
      </c>
      <c r="O27" s="280" t="str">
        <f>IFERROR(VLOOKUP($A27,TableHandbook[],O$2,FALSE),"")</f>
        <v/>
      </c>
      <c r="P27" s="29"/>
      <c r="Q27" s="269">
        <v>14</v>
      </c>
      <c r="R27" s="270"/>
      <c r="S27" s="270"/>
      <c r="T27" s="271"/>
      <c r="U27" s="271"/>
      <c r="V27" s="271"/>
      <c r="W27" s="271"/>
      <c r="X27" s="271"/>
      <c r="Y27" s="271"/>
      <c r="Z27" s="271"/>
      <c r="AA27" s="19"/>
    </row>
    <row r="28" spans="1:27" s="20" customFormat="1" ht="21" customHeight="1" x14ac:dyDescent="0.15">
      <c r="A28" s="263" t="str">
        <f>IFERROR(IF(HLOOKUP($P$5,RangeUnitsetsTESOL,Q28,FALSE)=0,"",HLOOKUP($P$5,RangeUnitsetsTESOL,Q28,FALSE)),"")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IF(A28="","",E27)</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15</v>
      </c>
      <c r="R28" s="270"/>
      <c r="S28" s="270"/>
      <c r="T28" s="271"/>
      <c r="U28" s="271"/>
      <c r="V28" s="271"/>
      <c r="W28" s="271"/>
      <c r="X28" s="271"/>
      <c r="Y28" s="271"/>
      <c r="Z28" s="271"/>
      <c r="AA28" s="19"/>
    </row>
    <row r="29" spans="1:27" s="23" customFormat="1" ht="6" customHeight="1" x14ac:dyDescent="0.15">
      <c r="A29" s="272"/>
      <c r="B29" s="273"/>
      <c r="C29" s="273"/>
      <c r="D29" s="274"/>
      <c r="E29" s="273"/>
      <c r="F29" s="275"/>
      <c r="G29" s="273"/>
      <c r="H29" s="276"/>
      <c r="I29" s="277"/>
      <c r="J29" s="276"/>
      <c r="K29" s="277"/>
      <c r="L29" s="276"/>
      <c r="M29" s="277"/>
      <c r="N29" s="276"/>
      <c r="O29" s="277"/>
      <c r="P29" s="116"/>
      <c r="Q29" s="269"/>
      <c r="R29" s="281"/>
      <c r="S29" s="281"/>
      <c r="T29" s="282"/>
      <c r="U29" s="282"/>
      <c r="V29" s="282"/>
      <c r="W29" s="282"/>
      <c r="X29" s="282"/>
      <c r="Y29" s="282"/>
      <c r="Z29" s="282"/>
      <c r="AA29" s="22"/>
    </row>
    <row r="30" spans="1:27" s="23" customFormat="1" ht="21" customHeight="1" x14ac:dyDescent="0.15">
      <c r="A30" s="263" t="str">
        <f>IFERROR(IF(HLOOKUP($P$5,RangeUnitsetsTESOL,Q30,FALSE)=0,"",HLOOKUP($P$5,RangeUnitsetsTESOL,Q30,FALSE)),"")</f>
        <v/>
      </c>
      <c r="B30" s="278" t="str">
        <f>IFERROR(IF(VLOOKUP($A30,TableHandbook[],2,FALSE)=0,"",VLOOKUP($A30,TableHandbook[],2,FALSE)),"")</f>
        <v/>
      </c>
      <c r="C30" s="278" t="str">
        <f>IFERROR(IF(VLOOKUP($A30,TableHandbook[],3,FALSE)=0,"",VLOOKUP($A30,TableHandbook[],3,FALSE)),"")</f>
        <v/>
      </c>
      <c r="D30" s="283" t="str">
        <f>IFERROR(IF(VLOOKUP($A30,TableHandbook[],4,FALSE)=0,"",VLOOKUP($A30,TableHandbook[],4,FALSE)),"")</f>
        <v/>
      </c>
      <c r="E30" s="278" t="str">
        <f>IF(A30="","",VLOOKUP($D$6,TableStudyPeriods[],5,FALSE))</f>
        <v/>
      </c>
      <c r="F30" s="266" t="str">
        <f>IFERROR(IF(VLOOKUP($A30,TableHandbook[],6,FALSE)=0,"",VLOOKUP($A30,TableHandbook[],6,FALSE)),"")</f>
        <v/>
      </c>
      <c r="G30" s="264" t="str">
        <f>IFERROR(IF(VLOOKUP($A30,TableHandbook[],5,FALSE)=0,"",VLOOKUP($A30,TableHandbook[],5,FALSE)),"")</f>
        <v/>
      </c>
      <c r="H30" s="279" t="str">
        <f>IFERROR(VLOOKUP($A30,TableHandbook[],H$2,FALSE),"")</f>
        <v/>
      </c>
      <c r="I30" s="280" t="str">
        <f>IFERROR(VLOOKUP($A30,TableHandbook[],I$2,FALSE),"")</f>
        <v/>
      </c>
      <c r="J30" s="279" t="str">
        <f>IFERROR(VLOOKUP($A30,TableHandbook[],J$2,FALSE),"")</f>
        <v/>
      </c>
      <c r="K30" s="280" t="str">
        <f>IFERROR(VLOOKUP($A30,TableHandbook[],K$2,FALSE),"")</f>
        <v/>
      </c>
      <c r="L30" s="279" t="str">
        <f>IFERROR(VLOOKUP($A30,TableHandbook[],L$2,FALSE),"")</f>
        <v/>
      </c>
      <c r="M30" s="280" t="str">
        <f>IFERROR(VLOOKUP($A30,TableHandbook[],M$2,FALSE),"")</f>
        <v/>
      </c>
      <c r="N30" s="279" t="str">
        <f>IFERROR(VLOOKUP($A30,TableHandbook[],N$2,FALSE),"")</f>
        <v/>
      </c>
      <c r="O30" s="280" t="str">
        <f>IFERROR(VLOOKUP($A30,TableHandbook[],O$2,FALSE),"")</f>
        <v/>
      </c>
      <c r="P30" s="29"/>
      <c r="Q30" s="269">
        <v>16</v>
      </c>
      <c r="R30" s="281"/>
      <c r="S30" s="281"/>
      <c r="T30" s="282"/>
      <c r="U30" s="282"/>
      <c r="V30" s="282"/>
      <c r="W30" s="282"/>
      <c r="X30" s="282"/>
      <c r="Y30" s="282"/>
      <c r="Z30" s="282"/>
      <c r="AA30" s="22"/>
    </row>
    <row r="31" spans="1:27" s="23" customFormat="1" ht="21" customHeight="1" x14ac:dyDescent="0.15">
      <c r="A31" s="263" t="str">
        <f>IFERROR(IF(HLOOKUP($P$5,RangeUnitsetsTESOL,Q31,FALSE)=0,"",HLOOKUP($P$5,RangeUnitsetsTESOL,Q31,FALSE)),"")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64" t="str">
        <f>IF(A31="","",E30)</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17</v>
      </c>
      <c r="R31" s="281"/>
      <c r="S31" s="281"/>
      <c r="T31" s="282"/>
      <c r="U31" s="282"/>
      <c r="V31" s="282"/>
      <c r="W31" s="282"/>
      <c r="X31" s="282"/>
      <c r="Y31" s="282"/>
      <c r="Z31" s="282"/>
      <c r="AA31" s="22"/>
    </row>
    <row r="32" spans="1:27" ht="15" customHeight="1" x14ac:dyDescent="0.25">
      <c r="A32" s="287"/>
      <c r="B32" s="287"/>
      <c r="C32" s="287"/>
      <c r="D32" s="288"/>
      <c r="E32" s="288"/>
      <c r="F32" s="289"/>
      <c r="G32" s="289"/>
      <c r="H32" s="289"/>
      <c r="I32" s="289"/>
      <c r="J32" s="289"/>
      <c r="K32" s="289"/>
      <c r="L32" s="289"/>
      <c r="M32" s="289"/>
      <c r="N32" s="289"/>
      <c r="O32" s="289"/>
      <c r="P32" s="289"/>
      <c r="Q32" s="231"/>
      <c r="R32" s="231"/>
      <c r="S32" s="231"/>
      <c r="T32" s="231"/>
      <c r="U32" s="231"/>
      <c r="V32" s="231"/>
      <c r="W32" s="231"/>
      <c r="X32" s="231"/>
      <c r="Y32" s="231"/>
      <c r="Z32" s="231"/>
      <c r="AA32" s="16"/>
    </row>
    <row r="33" spans="1:27" s="16" customFormat="1" ht="35.25" customHeight="1" x14ac:dyDescent="0.25">
      <c r="A33" s="366" t="s">
        <v>35</v>
      </c>
      <c r="B33" s="366"/>
      <c r="C33" s="366"/>
      <c r="D33" s="366"/>
      <c r="E33" s="366"/>
      <c r="F33" s="366"/>
      <c r="G33" s="366"/>
      <c r="H33" s="366"/>
      <c r="I33" s="366"/>
      <c r="J33" s="366"/>
      <c r="K33" s="366"/>
      <c r="L33" s="366"/>
      <c r="M33" s="366"/>
      <c r="N33" s="366"/>
      <c r="O33" s="366"/>
      <c r="P33" s="366"/>
      <c r="Q33" s="231"/>
      <c r="R33" s="231"/>
      <c r="S33" s="231"/>
      <c r="T33" s="231"/>
      <c r="U33" s="231"/>
      <c r="V33" s="231"/>
      <c r="W33" s="231"/>
      <c r="X33" s="231"/>
      <c r="Y33" s="231"/>
      <c r="Z33" s="231"/>
    </row>
    <row r="34" spans="1:27" s="25" customFormat="1" ht="17.25" x14ac:dyDescent="0.2">
      <c r="A34" s="117" t="s">
        <v>36</v>
      </c>
      <c r="B34" s="117"/>
      <c r="C34" s="117"/>
      <c r="D34" s="118"/>
      <c r="E34" s="118"/>
      <c r="F34" s="118"/>
      <c r="G34" s="118"/>
      <c r="H34" s="118"/>
      <c r="I34" s="118"/>
      <c r="J34" s="118"/>
      <c r="K34" s="118"/>
      <c r="L34" s="118"/>
      <c r="M34" s="118"/>
      <c r="N34" s="118"/>
      <c r="O34" s="118"/>
      <c r="P34" s="118"/>
      <c r="Q34" s="290"/>
      <c r="R34" s="290"/>
      <c r="S34" s="290"/>
      <c r="T34" s="291"/>
      <c r="U34" s="291"/>
      <c r="V34" s="291"/>
      <c r="W34" s="291"/>
      <c r="X34" s="291"/>
      <c r="Y34" s="291"/>
      <c r="Z34" s="291"/>
      <c r="AA34" s="24"/>
    </row>
    <row r="35" spans="1:27" x14ac:dyDescent="0.25">
      <c r="A35" s="292" t="s">
        <v>37</v>
      </c>
      <c r="B35" s="292"/>
      <c r="C35" s="292"/>
      <c r="D35" s="292"/>
      <c r="E35" s="293"/>
      <c r="F35" s="289"/>
      <c r="G35" s="294"/>
      <c r="H35" s="294"/>
      <c r="I35" s="294"/>
      <c r="J35" s="294"/>
      <c r="K35" s="294"/>
      <c r="L35" s="294"/>
      <c r="M35" s="294"/>
      <c r="N35" s="294"/>
      <c r="O35" s="294"/>
      <c r="P35" s="294" t="s">
        <v>38</v>
      </c>
      <c r="Q35" s="231"/>
      <c r="R35" s="231"/>
      <c r="S35" s="231"/>
      <c r="T35" s="231"/>
      <c r="U35" s="231"/>
      <c r="V35" s="231"/>
      <c r="W35" s="231"/>
      <c r="X35" s="231"/>
      <c r="Y35" s="231"/>
      <c r="Z35" s="231"/>
    </row>
  </sheetData>
  <sheetProtection formatCells="0"/>
  <mergeCells count="2">
    <mergeCell ref="A3:D3"/>
    <mergeCell ref="A33:P33"/>
  </mergeCells>
  <conditionalFormatting sqref="A9:P31">
    <cfRule type="expression" dxfId="442" priority="1">
      <formula>$A9=""</formula>
    </cfRule>
  </conditionalFormatting>
  <conditionalFormatting sqref="D5:D6">
    <cfRule type="containsText" dxfId="441" priority="2" operator="containsText" text="Choose">
      <formula>NOT(ISERROR(SEARCH("Choose",D5)))</formula>
    </cfRule>
  </conditionalFormatting>
  <dataValidations count="1">
    <dataValidation type="list" allowBlank="1" showInputMessage="1" showErrorMessage="1" sqref="P26 P14 P11 P17 P23 P29"/>
  </dataValidations>
  <hyperlinks>
    <hyperlink ref="A34:P3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rowBreaks count="1" manualBreakCount="1">
    <brk id="31"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D6</xm:sqref>
        </x14:dataValidation>
        <x14:dataValidation type="list" allowBlank="1" showInputMessage="1" showErrorMessage="1">
          <x14:formula1>
            <xm:f>Unitsets!$A$38:$A$41</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5.875" style="15" customWidth="1"/>
    <col min="4" max="4" width="44.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row>
    <row r="5" spans="1:27" ht="20.100000000000001" customHeight="1" x14ac:dyDescent="0.25">
      <c r="A5" s="237"/>
      <c r="B5" s="238"/>
      <c r="C5" s="239" t="s">
        <v>10</v>
      </c>
      <c r="D5" s="244" t="s">
        <v>40</v>
      </c>
      <c r="E5" s="241"/>
      <c r="F5" s="239" t="s">
        <v>12</v>
      </c>
      <c r="G5" s="246" t="str">
        <f>IFERROR(CONCATENATE(VLOOKUP(D5,TableCourses[],2,FALSE)," ",VLOOKUP(D5,TableCourses[],3,FALSE)),"")</f>
        <v>MC-EDUC v.3</v>
      </c>
      <c r="H5" s="302"/>
      <c r="I5" s="241"/>
      <c r="J5" s="241"/>
      <c r="K5" s="241"/>
      <c r="L5" s="241"/>
      <c r="M5" s="241"/>
      <c r="N5" s="241"/>
      <c r="O5" s="241"/>
      <c r="P5" s="303"/>
      <c r="Q5" s="297"/>
      <c r="R5" s="231"/>
      <c r="S5" s="231"/>
      <c r="T5" s="231"/>
      <c r="U5" s="231"/>
      <c r="V5" s="231"/>
      <c r="W5" s="231"/>
      <c r="X5" s="231"/>
      <c r="Y5" s="231"/>
      <c r="Z5" s="231"/>
    </row>
    <row r="6" spans="1:27" ht="20.100000000000001" customHeight="1" x14ac:dyDescent="0.25">
      <c r="A6" s="237"/>
      <c r="B6" s="238"/>
      <c r="C6" s="239" t="s">
        <v>41</v>
      </c>
      <c r="D6" s="335" t="s">
        <v>469</v>
      </c>
      <c r="E6" s="241"/>
      <c r="F6" s="239" t="s">
        <v>15</v>
      </c>
      <c r="G6" s="246" t="str">
        <f>IFERROR(CONCATENATE(VLOOKUP(D6,TableSpecialisationsMCEDUC[],2,FALSE)," ",VLOOKUP(D6,TableSpecialisationsMCEDUC[],3,FALSE)),"")</f>
        <v/>
      </c>
      <c r="H6" s="302"/>
      <c r="I6" s="241"/>
      <c r="J6" s="241"/>
      <c r="K6" s="241"/>
      <c r="L6" s="241"/>
      <c r="M6" s="241"/>
      <c r="N6" s="241"/>
      <c r="O6" s="241"/>
      <c r="P6" s="304" t="e">
        <f>CONCATENATE(VLOOKUP(D6,TableSpecialisationsMCEDUC[],2,FALSE),VLOOKUP(D7,TableStudyPeriods[],2,FALSE))</f>
        <v>#N/A</v>
      </c>
      <c r="Q6" s="297"/>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200 credit points required</v>
      </c>
      <c r="H7" s="250"/>
      <c r="I7" s="250"/>
      <c r="J7" s="250"/>
      <c r="K7" s="250"/>
      <c r="L7" s="250"/>
      <c r="M7" s="250"/>
      <c r="N7" s="250"/>
      <c r="O7" s="250"/>
      <c r="P7" s="304" t="str">
        <f>IFERROR(CONCATENATE("DD",MID(#REF!,6,5)),"")</f>
        <v/>
      </c>
      <c r="Q7" s="297"/>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85"/>
      <c r="R8" s="258"/>
      <c r="S8" s="258"/>
      <c r="T8" s="259"/>
      <c r="U8" s="259"/>
      <c r="V8" s="259"/>
      <c r="W8" s="259"/>
      <c r="X8" s="259"/>
      <c r="Y8" s="259"/>
      <c r="Z8" s="259"/>
      <c r="AA8" s="17"/>
    </row>
    <row r="9" spans="1:27" s="18" customFormat="1" ht="31.5" x14ac:dyDescent="0.25">
      <c r="A9" s="252" t="s">
        <v>20</v>
      </c>
      <c r="B9" s="252"/>
      <c r="C9" s="252"/>
      <c r="D9" s="253" t="s">
        <v>3</v>
      </c>
      <c r="E9" s="260" t="s">
        <v>21</v>
      </c>
      <c r="F9" s="252" t="s">
        <v>43</v>
      </c>
      <c r="G9" s="252" t="s">
        <v>23</v>
      </c>
      <c r="H9" s="261" t="s">
        <v>24</v>
      </c>
      <c r="I9" s="262" t="s">
        <v>25</v>
      </c>
      <c r="J9" s="261" t="s">
        <v>26</v>
      </c>
      <c r="K9" s="262" t="s">
        <v>27</v>
      </c>
      <c r="L9" s="261" t="s">
        <v>28</v>
      </c>
      <c r="M9" s="262" t="s">
        <v>29</v>
      </c>
      <c r="N9" s="261" t="s">
        <v>30</v>
      </c>
      <c r="O9" s="262" t="s">
        <v>31</v>
      </c>
      <c r="P9" s="252" t="s">
        <v>32</v>
      </c>
      <c r="Q9" s="285"/>
      <c r="R9" s="258"/>
      <c r="S9" s="258"/>
      <c r="T9" s="259"/>
      <c r="U9" s="259"/>
      <c r="V9" s="259"/>
      <c r="W9" s="259"/>
      <c r="X9" s="259"/>
      <c r="Y9" s="259"/>
      <c r="Z9" s="259"/>
      <c r="AA9" s="17"/>
    </row>
    <row r="10" spans="1:27" s="20" customFormat="1" ht="21" customHeight="1" x14ac:dyDescent="0.15">
      <c r="A10" s="263" t="str">
        <f>IFERROR(IF(HLOOKUP($P$6,RangeUnitsetsMCEDUC,Q10,FALSE)=0,"",HLOOKUP($P$6,RangeUnitsetsMCEDUC,Q10,FALSE)),"")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IF(OR(A10="",A10="--"),"",VLOOKUP($D$7,TableStudyPeriods[],2,FALSE))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305" t="str">
        <f>IFERROR(IF(HLOOKUP($P$6,RangeUnitsetsMCEDUC,Q11,FALSE)=0,"",HLOOKUP($P$6,RangeUnitsetsMCEDUC,Q11,FALSE)),"")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306"/>
      <c r="B12" s="307"/>
      <c r="C12" s="307"/>
      <c r="D12" s="308"/>
      <c r="E12" s="307"/>
      <c r="F12" s="309"/>
      <c r="G12" s="307"/>
      <c r="H12" s="310"/>
      <c r="I12" s="311"/>
      <c r="J12" s="310"/>
      <c r="K12" s="311"/>
      <c r="L12" s="310"/>
      <c r="M12" s="311"/>
      <c r="N12" s="310"/>
      <c r="O12" s="311"/>
      <c r="P12" s="174"/>
      <c r="Q12" s="269"/>
      <c r="R12" s="270"/>
      <c r="S12" s="270"/>
      <c r="T12" s="270"/>
      <c r="U12" s="271"/>
      <c r="V12" s="271"/>
      <c r="W12" s="271"/>
      <c r="X12" s="271"/>
      <c r="Y12" s="271"/>
      <c r="Z12" s="271"/>
      <c r="AA12" s="19"/>
    </row>
    <row r="13" spans="1:27" s="20" customFormat="1" ht="21" customHeight="1" x14ac:dyDescent="0.15">
      <c r="A13" s="263" t="str">
        <f>IFERROR(IF(HLOOKUP($P$6,RangeUnitsetsMCEDUC,Q13,FALSE)=0,"",HLOOKUP($P$6,RangeUnitsetsMCEDUC,Q13,FALSE)),"")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IF(OR(A13="",A13="--"),"",VLOOKUP($D$7,TableStudyPeriods[],3,FALSE))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IFERROR(IF(HLOOKUP($P$6,RangeUnitsetsMCEDUC,Q14,FALSE)=0,"",HLOOKUP($P$6,RangeUnitsetsMCEDUC,Q14,FALSE)),"")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306"/>
      <c r="B15" s="307"/>
      <c r="C15" s="307"/>
      <c r="D15" s="308"/>
      <c r="E15" s="307"/>
      <c r="F15" s="309"/>
      <c r="G15" s="307"/>
      <c r="H15" s="310"/>
      <c r="I15" s="311"/>
      <c r="J15" s="310"/>
      <c r="K15" s="311"/>
      <c r="L15" s="310"/>
      <c r="M15" s="311"/>
      <c r="N15" s="310"/>
      <c r="O15" s="311"/>
      <c r="P15" s="174"/>
      <c r="Q15" s="269"/>
      <c r="R15" s="270"/>
      <c r="S15" s="270"/>
      <c r="T15" s="270"/>
      <c r="U15" s="271"/>
      <c r="V15" s="271"/>
      <c r="W15" s="271"/>
      <c r="X15" s="271"/>
      <c r="Y15" s="271"/>
      <c r="Z15" s="271"/>
      <c r="AA15" s="19"/>
    </row>
    <row r="16" spans="1:27" s="20" customFormat="1" ht="21" customHeight="1" x14ac:dyDescent="0.15">
      <c r="A16" s="263" t="str">
        <f>IFERROR(IF(HLOOKUP($P$6,RangeUnitsetsMCEDUC,Q16,FALSE)=0,"",HLOOKUP($P$6,RangeUnitsetsMCEDUC,Q16,FALSE)),"")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IF(OR(A16="",A16="--"),"",VLOOKUP($D$7,TableStudyPeriods[],4,FALSE))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IFERROR(IF(HLOOKUP($P$6,RangeUnitsetsMCEDUC,Q17,FALSE)=0,"",HLOOKUP($P$6,RangeUnitsetsMCEDUC,Q17,FALSE)),"")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306"/>
      <c r="B18" s="307"/>
      <c r="C18" s="307"/>
      <c r="D18" s="308"/>
      <c r="E18" s="307"/>
      <c r="F18" s="309"/>
      <c r="G18" s="307"/>
      <c r="H18" s="310"/>
      <c r="I18" s="311"/>
      <c r="J18" s="310"/>
      <c r="K18" s="311"/>
      <c r="L18" s="310"/>
      <c r="M18" s="311"/>
      <c r="N18" s="310"/>
      <c r="O18" s="311"/>
      <c r="P18" s="174"/>
      <c r="Q18" s="269"/>
      <c r="R18" s="270"/>
      <c r="S18" s="270"/>
      <c r="T18" s="270"/>
      <c r="U18" s="271"/>
      <c r="V18" s="271"/>
      <c r="W18" s="271"/>
      <c r="X18" s="271"/>
      <c r="Y18" s="271"/>
      <c r="Z18" s="271"/>
      <c r="AA18" s="19"/>
    </row>
    <row r="19" spans="1:27" s="23" customFormat="1" ht="21" customHeight="1" x14ac:dyDescent="0.15">
      <c r="A19" s="263" t="str">
        <f>IFERROR(IF(HLOOKUP($P$6,RangeUnitsetsMCEDUC,Q19,FALSE)=0,"",HLOOKUP($P$6,RangeUnitsetsMCEDUC,Q19,FALSE)),"")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IF(OR(A19="",A19="--"),"",VLOOKUP($D$7,TableStudyPeriods[],5,FALSE))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IFERROR(IF(HLOOKUP($P$6,RangeUnitsetsMCEDUC,Q20,FALSE)=0,"",HLOOKUP($P$6,RangeUnitsetsMCEDUC,Q20,FALSE)),"")</f>
        <v/>
      </c>
      <c r="B20" s="278" t="str">
        <f>IFERROR(IF(VLOOKUP($A20,TableHandbook[],2,FALSE)=0,"",VLOOKUP($A20,TableHandbook[],2,FALSE)),"")</f>
        <v/>
      </c>
      <c r="C20" s="278" t="str">
        <f>IFERROR(IF(VLOOKUP($A20,TableHandbook[],3,FALSE)=0,"",VLOOKUP($A20,TableHandbook[],3,FALSE)),"")</f>
        <v/>
      </c>
      <c r="D20" s="312"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ht="16.5" customHeight="1" x14ac:dyDescent="0.25">
      <c r="A21" s="287"/>
      <c r="B21" s="287"/>
      <c r="C21" s="287"/>
      <c r="D21" s="288"/>
      <c r="E21" s="288"/>
      <c r="F21" s="289"/>
      <c r="G21" s="289"/>
      <c r="H21" s="289"/>
      <c r="I21" s="289"/>
      <c r="J21" s="289"/>
      <c r="K21" s="289"/>
      <c r="L21" s="289"/>
      <c r="M21" s="289"/>
      <c r="N21" s="289"/>
      <c r="O21" s="289"/>
      <c r="P21" s="289"/>
      <c r="Q21" s="297"/>
      <c r="R21" s="231"/>
      <c r="S21" s="231"/>
      <c r="T21" s="231"/>
      <c r="U21" s="231"/>
      <c r="V21" s="231"/>
      <c r="W21" s="231"/>
      <c r="X21" s="231"/>
      <c r="Y21" s="231"/>
      <c r="Z21" s="231"/>
      <c r="AA21" s="16"/>
    </row>
    <row r="22" spans="1:27" s="27" customFormat="1" ht="25.5" x14ac:dyDescent="0.25">
      <c r="A22" s="313" t="s">
        <v>44</v>
      </c>
      <c r="B22" s="314"/>
      <c r="C22" s="314"/>
      <c r="D22" s="315"/>
      <c r="E22" s="316"/>
      <c r="F22" s="316"/>
      <c r="G22" s="316"/>
      <c r="H22" s="317" t="s">
        <v>19</v>
      </c>
      <c r="I22" s="318"/>
      <c r="J22" s="318"/>
      <c r="K22" s="318"/>
      <c r="L22" s="318"/>
      <c r="M22" s="318"/>
      <c r="N22" s="319"/>
      <c r="O22" s="320"/>
      <c r="P22" s="321"/>
      <c r="Q22" s="297"/>
      <c r="R22" s="334"/>
      <c r="S22" s="334"/>
      <c r="T22" s="334"/>
      <c r="U22" s="334"/>
      <c r="V22" s="334"/>
      <c r="W22" s="334"/>
      <c r="X22" s="334"/>
      <c r="Y22" s="334"/>
      <c r="Z22" s="334"/>
      <c r="AA22" s="26"/>
    </row>
    <row r="23" spans="1:27" ht="21" customHeight="1" x14ac:dyDescent="0.25">
      <c r="A23" s="252"/>
      <c r="B23" s="252"/>
      <c r="C23" s="252"/>
      <c r="D23" s="253" t="s">
        <v>3</v>
      </c>
      <c r="E23" s="260" t="s">
        <v>21</v>
      </c>
      <c r="F23" s="252" t="s">
        <v>43</v>
      </c>
      <c r="G23" s="252" t="s">
        <v>23</v>
      </c>
      <c r="H23" s="261" t="s">
        <v>24</v>
      </c>
      <c r="I23" s="262" t="s">
        <v>25</v>
      </c>
      <c r="J23" s="261" t="s">
        <v>26</v>
      </c>
      <c r="K23" s="262" t="s">
        <v>27</v>
      </c>
      <c r="L23" s="261" t="s">
        <v>28</v>
      </c>
      <c r="M23" s="262" t="s">
        <v>29</v>
      </c>
      <c r="N23" s="261" t="s">
        <v>30</v>
      </c>
      <c r="O23" s="262" t="s">
        <v>31</v>
      </c>
      <c r="P23" s="252" t="s">
        <v>32</v>
      </c>
      <c r="Q23" s="269"/>
      <c r="R23" s="231"/>
      <c r="S23" s="231"/>
      <c r="T23" s="231"/>
      <c r="U23" s="231"/>
      <c r="V23" s="231"/>
      <c r="W23" s="231"/>
      <c r="X23" s="231"/>
      <c r="Y23" s="231"/>
      <c r="Z23" s="231"/>
      <c r="AA23" s="16"/>
    </row>
    <row r="24" spans="1:27" ht="21" customHeight="1" x14ac:dyDescent="0.25">
      <c r="A24" s="322" t="str">
        <f t="shared" ref="A24:A32" si="0">IFERROR(IF(HLOOKUP($P$6,RangeUnitsetsMCEDUC,Q24,FALSE)=0,"",HLOOKUP($P$6,RangeUnitsetsMCEDUC,Q24,FALSE)),"")</f>
        <v/>
      </c>
      <c r="B24" s="323" t="str">
        <f>IFERROR(IF(VLOOKUP($A24,TableHandbook[],2,FALSE)=0,"",VLOOKUP($A24,TableHandbook[],2,FALSE)),"")</f>
        <v/>
      </c>
      <c r="C24" s="324" t="str">
        <f>IFERROR(IF(VLOOKUP($A24,TableHandbook[],3,FALSE)=0,"",VLOOKUP($A24,TableHandbook[],3,FALSE)),"")</f>
        <v/>
      </c>
      <c r="D24" s="324" t="str">
        <f>IFERROR(IF(VLOOKUP($A24,TableHandbook[],4,FALSE)=0,"",VLOOKUP($A24,TableHandbook[],4,FALSE)),"")</f>
        <v/>
      </c>
      <c r="E24" s="325"/>
      <c r="F24" s="326" t="str">
        <f>IFERROR(IF(VLOOKUP($A24,TableHandbook[],6,FALSE)=0,"",VLOOKUP($A24,TableHandbook[],6,FALSE)),"")</f>
        <v/>
      </c>
      <c r="G24" s="326" t="str">
        <f>IFERROR(IF(VLOOKUP($A24,TableHandbook[],5,FALSE)=0,"",VLOOKUP($A24,TableHandbook[],5,FALSE)),"")</f>
        <v/>
      </c>
      <c r="H24" s="279" t="str">
        <f>IFERROR(VLOOKUP($A24,TableHandbook[],H$2,FALSE),"")</f>
        <v/>
      </c>
      <c r="I24" s="280" t="str">
        <f>IFERROR(VLOOKUP($A24,TableHandbook[],I$2,FALSE),"")</f>
        <v/>
      </c>
      <c r="J24" s="278" t="str">
        <f>IFERROR(VLOOKUP($A24,TableHandbook[],J$2,FALSE),"")</f>
        <v/>
      </c>
      <c r="K24" s="280" t="str">
        <f>IFERROR(VLOOKUP($A24,TableHandbook[],K$2,FALSE),"")</f>
        <v/>
      </c>
      <c r="L24" s="278" t="str">
        <f>IFERROR(VLOOKUP($A24,TableHandbook[],L$2,FALSE),"")</f>
        <v/>
      </c>
      <c r="M24" s="280" t="str">
        <f>IFERROR(VLOOKUP($A24,TableHandbook[],M$2,FALSE),"")</f>
        <v/>
      </c>
      <c r="N24" s="278" t="str">
        <f>IFERROR(VLOOKUP($A24,TableHandbook[],N$2,FALSE),"")</f>
        <v/>
      </c>
      <c r="O24" s="280" t="str">
        <f>IFERROR(VLOOKUP($A24,TableHandbook[],O$2,FALSE),"")</f>
        <v/>
      </c>
      <c r="P24" s="31"/>
      <c r="Q24" s="269">
        <v>10</v>
      </c>
      <c r="R24" s="231"/>
      <c r="S24" s="231"/>
      <c r="T24" s="231"/>
      <c r="U24" s="231"/>
      <c r="V24" s="231"/>
      <c r="W24" s="231"/>
      <c r="X24" s="231"/>
      <c r="Y24" s="231"/>
      <c r="Z24" s="231"/>
      <c r="AA24" s="16"/>
    </row>
    <row r="25" spans="1:27" ht="21" customHeight="1" x14ac:dyDescent="0.25">
      <c r="A25" s="322" t="str">
        <f t="shared" si="0"/>
        <v/>
      </c>
      <c r="B25" s="323" t="str">
        <f>IFERROR(IF(VLOOKUP($A25,TableHandbook[],2,FALSE)=0,"",VLOOKUP($A25,TableHandbook[],2,FALSE)),"")</f>
        <v/>
      </c>
      <c r="C25" s="324" t="str">
        <f>IFERROR(IF(VLOOKUP($A25,TableHandbook[],3,FALSE)=0,"",VLOOKUP($A25,TableHandbook[],3,FALSE)),"")</f>
        <v/>
      </c>
      <c r="D25" s="324" t="str">
        <f>IFERROR(IF(VLOOKUP($A25,TableHandbook[],4,FALSE)=0,"",VLOOKUP($A25,TableHandbook[],4,FALSE)),"")</f>
        <v/>
      </c>
      <c r="E25" s="325"/>
      <c r="F25" s="326" t="str">
        <f>IFERROR(IF(VLOOKUP($A25,TableHandbook[],6,FALSE)=0,"",VLOOKUP($A25,TableHandbook[],6,FALSE)),"")</f>
        <v/>
      </c>
      <c r="G25" s="326" t="str">
        <f>IFERROR(IF(VLOOKUP($A25,TableHandbook[],5,FALSE)=0,"",VLOOKUP($A25,TableHandbook[],5,FALSE)),"")</f>
        <v/>
      </c>
      <c r="H25" s="267" t="str">
        <f>IFERROR(VLOOKUP($A25,TableHandbook[],H$2,FALSE),"")</f>
        <v/>
      </c>
      <c r="I25" s="268" t="str">
        <f>IFERROR(VLOOKUP($A25,TableHandbook[],I$2,FALSE),"")</f>
        <v/>
      </c>
      <c r="J25" s="264" t="str">
        <f>IFERROR(VLOOKUP($A25,TableHandbook[],J$2,FALSE),"")</f>
        <v/>
      </c>
      <c r="K25" s="268" t="str">
        <f>IFERROR(VLOOKUP($A25,TableHandbook[],K$2,FALSE),"")</f>
        <v/>
      </c>
      <c r="L25" s="264" t="str">
        <f>IFERROR(VLOOKUP($A25,TableHandbook[],L$2,FALSE),"")</f>
        <v/>
      </c>
      <c r="M25" s="268" t="str">
        <f>IFERROR(VLOOKUP($A25,TableHandbook[],M$2,FALSE),"")</f>
        <v/>
      </c>
      <c r="N25" s="264" t="str">
        <f>IFERROR(VLOOKUP($A25,TableHandbook[],N$2,FALSE),"")</f>
        <v/>
      </c>
      <c r="O25" s="268" t="str">
        <f>IFERROR(VLOOKUP($A25,TableHandbook[],O$2,FALSE),"")</f>
        <v/>
      </c>
      <c r="P25" s="31"/>
      <c r="Q25" s="269">
        <v>11</v>
      </c>
      <c r="R25" s="231"/>
      <c r="S25" s="231"/>
      <c r="T25" s="231"/>
      <c r="U25" s="231"/>
      <c r="V25" s="231"/>
      <c r="W25" s="231"/>
      <c r="X25" s="231"/>
      <c r="Y25" s="231"/>
      <c r="Z25" s="231"/>
      <c r="AA25" s="16"/>
    </row>
    <row r="26" spans="1:27" ht="21" customHeight="1" x14ac:dyDescent="0.25">
      <c r="A26" s="322" t="str">
        <f t="shared" si="0"/>
        <v/>
      </c>
      <c r="B26" s="323" t="str">
        <f>IFERROR(IF(VLOOKUP($A26,TableHandbook[],2,FALSE)=0,"",VLOOKUP($A26,TableHandbook[],2,FALSE)),"")</f>
        <v/>
      </c>
      <c r="C26" s="324" t="str">
        <f>IFERROR(IF(VLOOKUP($A26,TableHandbook[],3,FALSE)=0,"",VLOOKUP($A26,TableHandbook[],3,FALSE)),"")</f>
        <v/>
      </c>
      <c r="D26" s="324" t="str">
        <f>IFERROR(IF(VLOOKUP($A26,TableHandbook[],4,FALSE)=0,"",VLOOKUP($A26,TableHandbook[],4,FALSE)),"")</f>
        <v/>
      </c>
      <c r="E26" s="325"/>
      <c r="F26" s="326" t="str">
        <f>IFERROR(IF(VLOOKUP($A26,TableHandbook[],6,FALSE)=0,"",VLOOKUP($A26,TableHandbook[],6,FALSE)),"")</f>
        <v/>
      </c>
      <c r="G26" s="326" t="str">
        <f>IFERROR(IF(VLOOKUP($A26,TableHandbook[],5,FALSE)=0,"",VLOOKUP($A26,TableHandbook[],5,FALSE)),"")</f>
        <v/>
      </c>
      <c r="H26" s="267" t="str">
        <f>IFERROR(VLOOKUP($A26,TableHandbook[],H$2,FALSE),"")</f>
        <v/>
      </c>
      <c r="I26" s="268" t="str">
        <f>IFERROR(VLOOKUP($A26,TableHandbook[],I$2,FALSE),"")</f>
        <v/>
      </c>
      <c r="J26" s="264" t="str">
        <f>IFERROR(VLOOKUP($A26,TableHandbook[],J$2,FALSE),"")</f>
        <v/>
      </c>
      <c r="K26" s="268" t="str">
        <f>IFERROR(VLOOKUP($A26,TableHandbook[],K$2,FALSE),"")</f>
        <v/>
      </c>
      <c r="L26" s="264" t="str">
        <f>IFERROR(VLOOKUP($A26,TableHandbook[],L$2,FALSE),"")</f>
        <v/>
      </c>
      <c r="M26" s="268" t="str">
        <f>IFERROR(VLOOKUP($A26,TableHandbook[],M$2,FALSE),"")</f>
        <v/>
      </c>
      <c r="N26" s="264" t="str">
        <f>IFERROR(VLOOKUP($A26,TableHandbook[],N$2,FALSE),"")</f>
        <v/>
      </c>
      <c r="O26" s="268" t="str">
        <f>IFERROR(VLOOKUP($A26,TableHandbook[],O$2,FALSE),"")</f>
        <v/>
      </c>
      <c r="P26" s="31"/>
      <c r="Q26" s="269">
        <v>12</v>
      </c>
      <c r="R26" s="231"/>
      <c r="S26" s="231"/>
      <c r="T26" s="231"/>
      <c r="U26" s="231"/>
      <c r="V26" s="231"/>
      <c r="W26" s="231"/>
      <c r="X26" s="231"/>
      <c r="Y26" s="231"/>
      <c r="Z26" s="231"/>
      <c r="AA26" s="16"/>
    </row>
    <row r="27" spans="1:27" ht="21" customHeight="1" x14ac:dyDescent="0.25">
      <c r="A27" s="322" t="str">
        <f t="shared" si="0"/>
        <v/>
      </c>
      <c r="B27" s="323" t="str">
        <f>IFERROR(IF(VLOOKUP($A27,TableHandbook[],2,FALSE)=0,"",VLOOKUP($A27,TableHandbook[],2,FALSE)),"")</f>
        <v/>
      </c>
      <c r="C27" s="324" t="str">
        <f>IFERROR(IF(VLOOKUP($A27,TableHandbook[],3,FALSE)=0,"",VLOOKUP($A27,TableHandbook[],3,FALSE)),"")</f>
        <v/>
      </c>
      <c r="D27" s="324" t="str">
        <f>IFERROR(IF(VLOOKUP($A27,TableHandbook[],4,FALSE)=0,"",VLOOKUP($A27,TableHandbook[],4,FALSE)),"")</f>
        <v/>
      </c>
      <c r="E27" s="325"/>
      <c r="F27" s="326" t="str">
        <f>IFERROR(IF(VLOOKUP($A27,TableHandbook[],6,FALSE)=0,"",VLOOKUP($A27,TableHandbook[],6,FALSE)),"")</f>
        <v/>
      </c>
      <c r="G27" s="326" t="str">
        <f>IFERROR(IF(VLOOKUP($A27,TableHandbook[],5,FALSE)=0,"",VLOOKUP($A27,TableHandbook[],5,FALSE)),"")</f>
        <v/>
      </c>
      <c r="H27" s="267" t="str">
        <f>IFERROR(VLOOKUP($A27,TableHandbook[],H$2,FALSE),"")</f>
        <v/>
      </c>
      <c r="I27" s="268" t="str">
        <f>IFERROR(VLOOKUP($A27,TableHandbook[],I$2,FALSE),"")</f>
        <v/>
      </c>
      <c r="J27" s="264" t="str">
        <f>IFERROR(VLOOKUP($A27,TableHandbook[],J$2,FALSE),"")</f>
        <v/>
      </c>
      <c r="K27" s="268" t="str">
        <f>IFERROR(VLOOKUP($A27,TableHandbook[],K$2,FALSE),"")</f>
        <v/>
      </c>
      <c r="L27" s="264" t="str">
        <f>IFERROR(VLOOKUP($A27,TableHandbook[],L$2,FALSE),"")</f>
        <v/>
      </c>
      <c r="M27" s="268" t="str">
        <f>IFERROR(VLOOKUP($A27,TableHandbook[],M$2,FALSE),"")</f>
        <v/>
      </c>
      <c r="N27" s="264" t="str">
        <f>IFERROR(VLOOKUP($A27,TableHandbook[],N$2,FALSE),"")</f>
        <v/>
      </c>
      <c r="O27" s="268" t="str">
        <f>IFERROR(VLOOKUP($A27,TableHandbook[],O$2,FALSE),"")</f>
        <v/>
      </c>
      <c r="P27" s="31"/>
      <c r="Q27" s="269">
        <v>13</v>
      </c>
      <c r="R27" s="231"/>
      <c r="S27" s="231"/>
      <c r="T27" s="231"/>
      <c r="U27" s="231"/>
      <c r="V27" s="231"/>
      <c r="W27" s="231"/>
      <c r="X27" s="231"/>
      <c r="Y27" s="231"/>
      <c r="Z27" s="231"/>
      <c r="AA27" s="16"/>
    </row>
    <row r="28" spans="1:27" ht="21" customHeight="1" x14ac:dyDescent="0.25">
      <c r="A28" s="322" t="str">
        <f t="shared" si="0"/>
        <v/>
      </c>
      <c r="B28" s="323" t="str">
        <f>IFERROR(IF(VLOOKUP($A28,TableHandbook[],2,FALSE)=0,"",VLOOKUP($A28,TableHandbook[],2,FALSE)),"")</f>
        <v/>
      </c>
      <c r="C28" s="324" t="str">
        <f>IFERROR(IF(VLOOKUP($A28,TableHandbook[],3,FALSE)=0,"",VLOOKUP($A28,TableHandbook[],3,FALSE)),"")</f>
        <v/>
      </c>
      <c r="D28" s="324" t="str">
        <f>IFERROR(IF(VLOOKUP($A28,TableHandbook[],4,FALSE)=0,"",VLOOKUP($A28,TableHandbook[],4,FALSE)),"")</f>
        <v/>
      </c>
      <c r="E28" s="325"/>
      <c r="F28" s="326" t="str">
        <f>IFERROR(IF(VLOOKUP($A28,TableHandbook[],6,FALSE)=0,"",VLOOKUP($A28,TableHandbook[],6,FALSE)),"")</f>
        <v/>
      </c>
      <c r="G28" s="326" t="str">
        <f>IFERROR(IF(VLOOKUP($A28,TableHandbook[],5,FALSE)=0,"",VLOOKUP($A28,TableHandbook[],5,FALSE)),"")</f>
        <v/>
      </c>
      <c r="H28" s="279" t="str">
        <f>IFERROR(VLOOKUP($A28,TableHandbook[],H$2,FALSE),"")</f>
        <v/>
      </c>
      <c r="I28" s="280" t="str">
        <f>IFERROR(VLOOKUP($A28,TableHandbook[],I$2,FALSE),"")</f>
        <v/>
      </c>
      <c r="J28" s="278" t="str">
        <f>IFERROR(VLOOKUP($A28,TableHandbook[],J$2,FALSE),"")</f>
        <v/>
      </c>
      <c r="K28" s="280" t="str">
        <f>IFERROR(VLOOKUP($A28,TableHandbook[],K$2,FALSE),"")</f>
        <v/>
      </c>
      <c r="L28" s="278" t="str">
        <f>IFERROR(VLOOKUP($A28,TableHandbook[],L$2,FALSE),"")</f>
        <v/>
      </c>
      <c r="M28" s="280" t="str">
        <f>IFERROR(VLOOKUP($A28,TableHandbook[],M$2,FALSE),"")</f>
        <v/>
      </c>
      <c r="N28" s="278" t="str">
        <f>IFERROR(VLOOKUP($A28,TableHandbook[],N$2,FALSE),"")</f>
        <v/>
      </c>
      <c r="O28" s="280" t="str">
        <f>IFERROR(VLOOKUP($A28,TableHandbook[],O$2,FALSE),"")</f>
        <v/>
      </c>
      <c r="P28" s="31"/>
      <c r="Q28" s="269">
        <v>14</v>
      </c>
      <c r="R28" s="231"/>
      <c r="S28" s="231"/>
      <c r="T28" s="231"/>
      <c r="U28" s="231"/>
      <c r="V28" s="231"/>
      <c r="W28" s="231"/>
      <c r="X28" s="231"/>
      <c r="Y28" s="231"/>
      <c r="Z28" s="231"/>
      <c r="AA28" s="16"/>
    </row>
    <row r="29" spans="1:27" ht="21" customHeight="1" x14ac:dyDescent="0.25">
      <c r="A29" s="322" t="str">
        <f t="shared" si="0"/>
        <v/>
      </c>
      <c r="B29" s="323" t="str">
        <f>IFERROR(IF(VLOOKUP($A29,TableHandbook[],2,FALSE)=0,"",VLOOKUP($A29,TableHandbook[],2,FALSE)),"")</f>
        <v/>
      </c>
      <c r="C29" s="324" t="str">
        <f>IFERROR(IF(VLOOKUP($A29,TableHandbook[],3,FALSE)=0,"",VLOOKUP($A29,TableHandbook[],3,FALSE)),"")</f>
        <v/>
      </c>
      <c r="D29" s="324" t="str">
        <f>IFERROR(IF(VLOOKUP($A29,TableHandbook[],4,FALSE)=0,"",VLOOKUP($A29,TableHandbook[],4,FALSE)),"")</f>
        <v/>
      </c>
      <c r="E29" s="325"/>
      <c r="F29" s="326" t="str">
        <f>IFERROR(IF(VLOOKUP($A29,TableHandbook[],6,FALSE)=0,"",VLOOKUP($A29,TableHandbook[],6,FALSE)),"")</f>
        <v/>
      </c>
      <c r="G29" s="326" t="str">
        <f>IFERROR(IF(VLOOKUP($A29,TableHandbook[],5,FALSE)=0,"",VLOOKUP($A29,TableHandbook[],5,FALSE)),"")</f>
        <v/>
      </c>
      <c r="H29" s="279" t="str">
        <f>IFERROR(VLOOKUP($A29,TableHandbook[],H$2,FALSE),"")</f>
        <v/>
      </c>
      <c r="I29" s="280" t="str">
        <f>IFERROR(VLOOKUP($A29,TableHandbook[],I$2,FALSE),"")</f>
        <v/>
      </c>
      <c r="J29" s="278" t="str">
        <f>IFERROR(VLOOKUP($A29,TableHandbook[],J$2,FALSE),"")</f>
        <v/>
      </c>
      <c r="K29" s="280" t="str">
        <f>IFERROR(VLOOKUP($A29,TableHandbook[],K$2,FALSE),"")</f>
        <v/>
      </c>
      <c r="L29" s="278" t="str">
        <f>IFERROR(VLOOKUP($A29,TableHandbook[],L$2,FALSE),"")</f>
        <v/>
      </c>
      <c r="M29" s="280" t="str">
        <f>IFERROR(VLOOKUP($A29,TableHandbook[],M$2,FALSE),"")</f>
        <v/>
      </c>
      <c r="N29" s="278" t="str">
        <f>IFERROR(VLOOKUP($A29,TableHandbook[],N$2,FALSE),"")</f>
        <v/>
      </c>
      <c r="O29" s="280" t="str">
        <f>IFERROR(VLOOKUP($A29,TableHandbook[],O$2,FALSE),"")</f>
        <v/>
      </c>
      <c r="P29" s="31"/>
      <c r="Q29" s="269">
        <v>15</v>
      </c>
      <c r="R29" s="231"/>
      <c r="S29" s="231"/>
      <c r="T29" s="231"/>
      <c r="U29" s="231"/>
      <c r="V29" s="231"/>
      <c r="W29" s="231"/>
      <c r="X29" s="231"/>
      <c r="Y29" s="231"/>
      <c r="Z29" s="231"/>
      <c r="AA29" s="16"/>
    </row>
    <row r="30" spans="1:27" ht="21" customHeight="1" x14ac:dyDescent="0.25">
      <c r="A30" s="322" t="str">
        <f t="shared" si="0"/>
        <v/>
      </c>
      <c r="B30" s="323" t="str">
        <f>IFERROR(IF(VLOOKUP($A30,TableHandbook[],2,FALSE)=0,"",VLOOKUP($A30,TableHandbook[],2,FALSE)),"")</f>
        <v/>
      </c>
      <c r="C30" s="324" t="str">
        <f>IFERROR(IF(VLOOKUP($A30,TableHandbook[],3,FALSE)=0,"",VLOOKUP($A30,TableHandbook[],3,FALSE)),"")</f>
        <v/>
      </c>
      <c r="D30" s="324" t="str">
        <f>IFERROR(IF(VLOOKUP($A30,TableHandbook[],4,FALSE)=0,"",VLOOKUP($A30,TableHandbook[],4,FALSE)),"")</f>
        <v/>
      </c>
      <c r="E30" s="325"/>
      <c r="F30" s="326" t="str">
        <f>IFERROR(IF(VLOOKUP($A30,TableHandbook[],6,FALSE)=0,"",VLOOKUP($A30,TableHandbook[],6,FALSE)),"")</f>
        <v/>
      </c>
      <c r="G30" s="326" t="str">
        <f>IFERROR(IF(VLOOKUP($A30,TableHandbook[],5,FALSE)=0,"",VLOOKUP($A30,TableHandbook[],5,FALSE)),"")</f>
        <v/>
      </c>
      <c r="H30" s="279" t="str">
        <f>IFERROR(VLOOKUP($A30,TableHandbook[],H$2,FALSE),"")</f>
        <v/>
      </c>
      <c r="I30" s="280" t="str">
        <f>IFERROR(VLOOKUP($A30,TableHandbook[],I$2,FALSE),"")</f>
        <v/>
      </c>
      <c r="J30" s="278" t="str">
        <f>IFERROR(VLOOKUP($A30,TableHandbook[],J$2,FALSE),"")</f>
        <v/>
      </c>
      <c r="K30" s="280" t="str">
        <f>IFERROR(VLOOKUP($A30,TableHandbook[],K$2,FALSE),"")</f>
        <v/>
      </c>
      <c r="L30" s="278" t="str">
        <f>IFERROR(VLOOKUP($A30,TableHandbook[],L$2,FALSE),"")</f>
        <v/>
      </c>
      <c r="M30" s="280" t="str">
        <f>IFERROR(VLOOKUP($A30,TableHandbook[],M$2,FALSE),"")</f>
        <v/>
      </c>
      <c r="N30" s="278" t="str">
        <f>IFERROR(VLOOKUP($A30,TableHandbook[],N$2,FALSE),"")</f>
        <v/>
      </c>
      <c r="O30" s="280" t="str">
        <f>IFERROR(VLOOKUP($A30,TableHandbook[],O$2,FALSE),"")</f>
        <v/>
      </c>
      <c r="P30" s="31"/>
      <c r="Q30" s="269">
        <v>16</v>
      </c>
      <c r="R30" s="231"/>
      <c r="S30" s="231"/>
      <c r="T30" s="231"/>
      <c r="U30" s="231"/>
      <c r="V30" s="231"/>
      <c r="W30" s="231"/>
      <c r="X30" s="231"/>
      <c r="Y30" s="231"/>
      <c r="Z30" s="231"/>
      <c r="AA30" s="16"/>
    </row>
    <row r="31" spans="1:27" ht="21" customHeight="1" x14ac:dyDescent="0.25">
      <c r="A31" s="322" t="str">
        <f t="shared" si="0"/>
        <v/>
      </c>
      <c r="B31" s="323" t="str">
        <f>IFERROR(IF(VLOOKUP($A31,TableHandbook[],2,FALSE)=0,"",VLOOKUP($A31,TableHandbook[],2,FALSE)),"")</f>
        <v/>
      </c>
      <c r="C31" s="324" t="str">
        <f>IFERROR(IF(VLOOKUP($A31,TableHandbook[],3,FALSE)=0,"",VLOOKUP($A31,TableHandbook[],3,FALSE)),"")</f>
        <v/>
      </c>
      <c r="D31" s="324" t="str">
        <f>IFERROR(IF(VLOOKUP($A31,TableHandbook[],4,FALSE)=0,"",VLOOKUP($A31,TableHandbook[],4,FALSE)),"")</f>
        <v/>
      </c>
      <c r="E31" s="325"/>
      <c r="F31" s="326" t="str">
        <f>IFERROR(IF(VLOOKUP($A31,TableHandbook[],6,FALSE)=0,"",VLOOKUP($A31,TableHandbook[],6,FALSE)),"")</f>
        <v/>
      </c>
      <c r="G31" s="326" t="str">
        <f>IFERROR(IF(VLOOKUP($A31,TableHandbook[],5,FALSE)=0,"",VLOOKUP($A31,TableHandbook[],5,FALSE)),"")</f>
        <v/>
      </c>
      <c r="H31" s="267" t="str">
        <f>IFERROR(VLOOKUP($A31,TableHandbook[],H$2,FALSE),"")</f>
        <v/>
      </c>
      <c r="I31" s="268" t="str">
        <f>IFERROR(VLOOKUP($A31,TableHandbook[],I$2,FALSE),"")</f>
        <v/>
      </c>
      <c r="J31" s="264" t="str">
        <f>IFERROR(VLOOKUP($A31,TableHandbook[],J$2,FALSE),"")</f>
        <v/>
      </c>
      <c r="K31" s="268" t="str">
        <f>IFERROR(VLOOKUP($A31,TableHandbook[],K$2,FALSE),"")</f>
        <v/>
      </c>
      <c r="L31" s="264" t="str">
        <f>IFERROR(VLOOKUP($A31,TableHandbook[],L$2,FALSE),"")</f>
        <v/>
      </c>
      <c r="M31" s="268" t="str">
        <f>IFERROR(VLOOKUP($A31,TableHandbook[],M$2,FALSE),"")</f>
        <v/>
      </c>
      <c r="N31" s="264" t="str">
        <f>IFERROR(VLOOKUP($A31,TableHandbook[],N$2,FALSE),"")</f>
        <v/>
      </c>
      <c r="O31" s="268" t="str">
        <f>IFERROR(VLOOKUP($A31,TableHandbook[],O$2,FALSE),"")</f>
        <v/>
      </c>
      <c r="P31" s="31"/>
      <c r="Q31" s="269">
        <v>17</v>
      </c>
      <c r="R31" s="231"/>
      <c r="S31" s="231"/>
      <c r="T31" s="231"/>
      <c r="U31" s="231"/>
      <c r="V31" s="231"/>
      <c r="W31" s="231"/>
      <c r="X31" s="231"/>
      <c r="Y31" s="231"/>
      <c r="Z31" s="231"/>
      <c r="AA31" s="16"/>
    </row>
    <row r="32" spans="1:27" ht="21" customHeight="1" x14ac:dyDescent="0.25">
      <c r="A32" s="322" t="str">
        <f t="shared" si="0"/>
        <v/>
      </c>
      <c r="B32" s="323" t="str">
        <f>IFERROR(IF(VLOOKUP($A32,TableHandbook[],2,FALSE)=0,"",VLOOKUP($A32,TableHandbook[],2,FALSE)),"")</f>
        <v/>
      </c>
      <c r="C32" s="324" t="str">
        <f>IFERROR(IF(VLOOKUP($A32,TableHandbook[],3,FALSE)=0,"",VLOOKUP($A32,TableHandbook[],3,FALSE)),"")</f>
        <v/>
      </c>
      <c r="D32" s="324" t="str">
        <f>IFERROR(IF(VLOOKUP($A32,TableHandbook[],4,FALSE)=0,"",VLOOKUP($A32,TableHandbook[],4,FALSE)),"")</f>
        <v/>
      </c>
      <c r="E32" s="325"/>
      <c r="F32" s="326" t="str">
        <f>IFERROR(IF(VLOOKUP($A32,TableHandbook[],6,FALSE)=0,"",VLOOKUP($A32,TableHandbook[],6,FALSE)),"")</f>
        <v/>
      </c>
      <c r="G32" s="326" t="str">
        <f>IFERROR(IF(VLOOKUP($A32,TableHandbook[],5,FALSE)=0,"",VLOOKUP($A32,TableHandbook[],5,FALSE)),"")</f>
        <v/>
      </c>
      <c r="H32" s="267" t="str">
        <f>IFERROR(VLOOKUP($A32,TableHandbook[],H$2,FALSE),"")</f>
        <v/>
      </c>
      <c r="I32" s="268" t="str">
        <f>IFERROR(VLOOKUP($A32,TableHandbook[],I$2,FALSE),"")</f>
        <v/>
      </c>
      <c r="J32" s="264" t="str">
        <f>IFERROR(VLOOKUP($A32,TableHandbook[],J$2,FALSE),"")</f>
        <v/>
      </c>
      <c r="K32" s="268" t="str">
        <f>IFERROR(VLOOKUP($A32,TableHandbook[],K$2,FALSE),"")</f>
        <v/>
      </c>
      <c r="L32" s="264" t="str">
        <f>IFERROR(VLOOKUP($A32,TableHandbook[],L$2,FALSE),"")</f>
        <v/>
      </c>
      <c r="M32" s="268" t="str">
        <f>IFERROR(VLOOKUP($A32,TableHandbook[],M$2,FALSE),"")</f>
        <v/>
      </c>
      <c r="N32" s="264" t="str">
        <f>IFERROR(VLOOKUP($A32,TableHandbook[],N$2,FALSE),"")</f>
        <v/>
      </c>
      <c r="O32" s="268" t="str">
        <f>IFERROR(VLOOKUP($A32,TableHandbook[],O$2,FALSE),"")</f>
        <v/>
      </c>
      <c r="P32" s="31"/>
      <c r="Q32" s="269">
        <v>18</v>
      </c>
      <c r="R32" s="231"/>
      <c r="S32" s="231"/>
      <c r="T32" s="231"/>
      <c r="U32" s="231"/>
      <c r="V32" s="231"/>
      <c r="W32" s="231"/>
      <c r="X32" s="231"/>
      <c r="Y32" s="231"/>
      <c r="Z32" s="231"/>
      <c r="AA32" s="16"/>
    </row>
    <row r="33" spans="1:27" ht="15" customHeight="1" x14ac:dyDescent="0.25">
      <c r="A33" s="327"/>
      <c r="B33" s="327"/>
      <c r="C33" s="328"/>
      <c r="D33" s="328"/>
      <c r="E33" s="329"/>
      <c r="F33" s="330"/>
      <c r="G33" s="330"/>
      <c r="H33" s="331"/>
      <c r="I33" s="331"/>
      <c r="J33" s="331"/>
      <c r="K33" s="331"/>
      <c r="L33" s="331"/>
      <c r="M33" s="331"/>
      <c r="N33" s="331"/>
      <c r="O33" s="331"/>
      <c r="P33" s="332"/>
      <c r="Q33" s="269"/>
      <c r="R33" s="231"/>
      <c r="S33" s="231"/>
      <c r="T33" s="231"/>
      <c r="U33" s="231"/>
      <c r="V33" s="231"/>
      <c r="W33" s="231"/>
      <c r="X33" s="231"/>
      <c r="Y33" s="231"/>
      <c r="Z33" s="231"/>
      <c r="AA33" s="16"/>
    </row>
    <row r="34" spans="1:27" s="16" customFormat="1" ht="18" x14ac:dyDescent="0.25">
      <c r="A34" s="333" t="s">
        <v>35</v>
      </c>
      <c r="B34" s="333"/>
      <c r="C34" s="333"/>
      <c r="D34" s="333"/>
      <c r="E34" s="333"/>
      <c r="F34" s="333"/>
      <c r="G34" s="333"/>
      <c r="H34" s="333"/>
      <c r="I34" s="333"/>
      <c r="J34" s="333"/>
      <c r="K34" s="333"/>
      <c r="L34" s="333"/>
      <c r="M34" s="333"/>
      <c r="N34" s="333"/>
      <c r="O34" s="333"/>
      <c r="P34" s="333"/>
      <c r="Q34" s="297"/>
      <c r="R34" s="231"/>
      <c r="S34" s="231"/>
      <c r="T34" s="231"/>
      <c r="U34" s="231"/>
      <c r="V34" s="231"/>
      <c r="W34" s="231"/>
      <c r="X34" s="231"/>
      <c r="Y34" s="231"/>
      <c r="Z34" s="231"/>
    </row>
    <row r="35" spans="1:27" s="25" customFormat="1" ht="17.25" x14ac:dyDescent="0.2">
      <c r="A35" s="117" t="s">
        <v>36</v>
      </c>
      <c r="B35" s="117"/>
      <c r="C35" s="117"/>
      <c r="D35" s="118"/>
      <c r="E35" s="118"/>
      <c r="F35" s="118"/>
      <c r="G35" s="118"/>
      <c r="H35" s="118"/>
      <c r="I35" s="118"/>
      <c r="J35" s="118"/>
      <c r="K35" s="118"/>
      <c r="L35" s="118"/>
      <c r="M35" s="118"/>
      <c r="N35" s="118"/>
      <c r="O35" s="118"/>
      <c r="P35" s="118"/>
      <c r="Q35" s="290"/>
      <c r="R35" s="290"/>
      <c r="S35" s="290"/>
      <c r="T35" s="291"/>
      <c r="U35" s="291"/>
      <c r="V35" s="291"/>
      <c r="W35" s="291"/>
      <c r="X35" s="291"/>
      <c r="Y35" s="291"/>
      <c r="Z35" s="291"/>
      <c r="AA35" s="24"/>
    </row>
    <row r="36" spans="1:27" x14ac:dyDescent="0.25">
      <c r="A36" s="292" t="s">
        <v>37</v>
      </c>
      <c r="B36" s="292"/>
      <c r="C36" s="292"/>
      <c r="D36" s="292"/>
      <c r="E36" s="293"/>
      <c r="F36" s="289"/>
      <c r="G36" s="294"/>
      <c r="H36" s="294"/>
      <c r="I36" s="294"/>
      <c r="J36" s="294"/>
      <c r="K36" s="294"/>
      <c r="L36" s="294"/>
      <c r="M36" s="294"/>
      <c r="N36" s="294"/>
      <c r="O36" s="294"/>
      <c r="P36" s="294" t="s">
        <v>38</v>
      </c>
      <c r="Q36" s="231"/>
      <c r="R36" s="231"/>
      <c r="S36" s="231"/>
      <c r="T36" s="231"/>
      <c r="U36" s="231"/>
      <c r="V36" s="231"/>
      <c r="W36" s="231"/>
      <c r="X36" s="231"/>
      <c r="Y36" s="231"/>
      <c r="Z36" s="231"/>
    </row>
  </sheetData>
  <sheetProtection formatCells="0"/>
  <mergeCells count="1">
    <mergeCell ref="A3:D3"/>
  </mergeCells>
  <conditionalFormatting sqref="A10:P20 A24:P32">
    <cfRule type="expression" dxfId="440" priority="1">
      <formula>$A10=""</formula>
    </cfRule>
  </conditionalFormatting>
  <conditionalFormatting sqref="D5:D7">
    <cfRule type="containsText" dxfId="439" priority="6" operator="containsText" text="Choose">
      <formula>NOT(ISERROR(SEARCH("Choose",D5)))</formula>
    </cfRule>
  </conditionalFormatting>
  <dataValidations count="1">
    <dataValidation type="list" allowBlank="1" showInputMessage="1" showErrorMessage="1" sqref="P15 P12 P18"/>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0"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D7</xm:sqref>
        </x14:dataValidation>
        <x14:dataValidation type="list" allowBlank="1" showInputMessage="1" showErrorMessage="1">
          <x14:formula1>
            <xm:f>Unitsets!$A$31:$A$35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O63"/>
  <sheetViews>
    <sheetView topLeftCell="A13" zoomScale="85" zoomScaleNormal="85" workbookViewId="0">
      <selection activeCell="D7" sqref="D7"/>
    </sheetView>
  </sheetViews>
  <sheetFormatPr defaultColWidth="9" defaultRowHeight="15.75" x14ac:dyDescent="0.25"/>
  <cols>
    <col min="1" max="1" width="62" style="39" bestFit="1" customWidth="1"/>
    <col min="2" max="2" width="11.5" style="36" bestFit="1" customWidth="1"/>
    <col min="3" max="3" width="8.875" style="36" bestFit="1" customWidth="1"/>
    <col min="4" max="4" width="19.375" style="36" bestFit="1" customWidth="1"/>
    <col min="5" max="5" width="14.25" style="36" bestFit="1" customWidth="1"/>
    <col min="6" max="6" width="14.25" style="36" customWidth="1"/>
    <col min="7" max="7" width="27.5" style="36" bestFit="1" customWidth="1"/>
    <col min="8" max="8" width="19.125" style="36" bestFit="1" customWidth="1"/>
    <col min="9" max="9" width="3.625" style="37" customWidth="1"/>
    <col min="10" max="10" width="6.125" style="37" bestFit="1" customWidth="1"/>
    <col min="11" max="11" width="16.125" style="37" bestFit="1" customWidth="1"/>
    <col min="12" max="12" width="6.125" style="37" bestFit="1" customWidth="1"/>
    <col min="13" max="13" width="16.5" style="37" bestFit="1" customWidth="1"/>
    <col min="14" max="14" width="6.125" style="37" bestFit="1" customWidth="1"/>
    <col min="15" max="15" width="16.5" style="37" bestFit="1" customWidth="1"/>
    <col min="16" max="16" width="6.125" style="37" bestFit="1" customWidth="1"/>
    <col min="17" max="17" width="16.5" style="37" bestFit="1" customWidth="1"/>
    <col min="18" max="18" width="6.125" style="37" bestFit="1" customWidth="1"/>
    <col min="19" max="19" width="12.25" style="37" customWidth="1"/>
    <col min="20" max="20" width="6.125" style="37" bestFit="1" customWidth="1"/>
    <col min="21" max="21" width="12" style="37" customWidth="1"/>
    <col min="22" max="22" width="6.125" style="37" bestFit="1" customWidth="1"/>
    <col min="23" max="23" width="11.125" style="37" customWidth="1"/>
    <col min="24" max="24" width="6.125" style="37" bestFit="1" customWidth="1"/>
    <col min="25" max="25" width="12.125" style="37" customWidth="1"/>
    <col min="26" max="26" width="6.125" style="37" bestFit="1" customWidth="1"/>
    <col min="27" max="27" width="13.625" style="37" bestFit="1" customWidth="1"/>
    <col min="28" max="28" width="6.125" style="37" bestFit="1" customWidth="1"/>
    <col min="29" max="29" width="14" style="37" bestFit="1" customWidth="1"/>
    <col min="30" max="30" width="6.125" style="37" bestFit="1" customWidth="1"/>
    <col min="31" max="31" width="14" style="37" bestFit="1" customWidth="1"/>
    <col min="32" max="32" width="6.125" style="37" bestFit="1" customWidth="1"/>
    <col min="33" max="33" width="14" style="37" bestFit="1" customWidth="1"/>
    <col min="34" max="34" width="5.875" style="37" bestFit="1" customWidth="1"/>
    <col min="35" max="35" width="13.625" style="37" bestFit="1" customWidth="1"/>
    <col min="36" max="36" width="5.875" style="37" bestFit="1" customWidth="1"/>
    <col min="37" max="37" width="14" style="37" bestFit="1" customWidth="1"/>
    <col min="38" max="38" width="5.875" style="37" bestFit="1" customWidth="1"/>
    <col min="39" max="39" width="14" style="37" bestFit="1" customWidth="1"/>
    <col min="40" max="40" width="5.875" style="37" bestFit="1" customWidth="1"/>
    <col min="41" max="41" width="14" style="37" bestFit="1" customWidth="1"/>
    <col min="42" max="42" width="4.5" style="37" bestFit="1" customWidth="1"/>
    <col min="43" max="43" width="5.25" style="37" bestFit="1" customWidth="1"/>
    <col min="44" max="44" width="69.125" style="37" bestFit="1" customWidth="1"/>
    <col min="45" max="45" width="7.375" style="37" bestFit="1" customWidth="1"/>
    <col min="46" max="46" width="32.25" style="37" bestFit="1" customWidth="1"/>
    <col min="47" max="47" width="8.75" style="37" bestFit="1" customWidth="1"/>
    <col min="48" max="48" width="7.5" style="37" bestFit="1" customWidth="1"/>
    <col min="49" max="49" width="8.75" style="37" bestFit="1" customWidth="1"/>
    <col min="50" max="50" width="7.5" style="37" bestFit="1" customWidth="1"/>
    <col min="51" max="51" width="8.75" style="37" bestFit="1" customWidth="1"/>
    <col min="52" max="52" width="7.5" style="37" bestFit="1" customWidth="1"/>
    <col min="53" max="53" width="8.75" style="37" bestFit="1" customWidth="1"/>
    <col min="54" max="54" width="7.5" style="37" bestFit="1" customWidth="1"/>
    <col min="55" max="16384" width="9" style="37"/>
  </cols>
  <sheetData>
    <row r="1" spans="1:67" x14ac:dyDescent="0.25">
      <c r="A1" s="34"/>
      <c r="B1" s="35"/>
      <c r="C1" s="35"/>
      <c r="D1" s="35"/>
      <c r="J1" s="38"/>
      <c r="AT1" s="90" t="s">
        <v>45</v>
      </c>
    </row>
    <row r="2" spans="1:67" x14ac:dyDescent="0.25">
      <c r="J2" s="40"/>
      <c r="K2" s="41"/>
      <c r="L2" s="42"/>
      <c r="M2" s="41"/>
      <c r="N2" s="43"/>
      <c r="O2" s="41"/>
      <c r="P2" s="42"/>
      <c r="Q2" s="41"/>
      <c r="R2" s="41"/>
      <c r="S2" s="41"/>
      <c r="T2" s="41"/>
      <c r="U2" s="41"/>
      <c r="V2" s="41"/>
      <c r="W2" s="41"/>
      <c r="X2" s="41"/>
      <c r="Y2" s="41"/>
      <c r="Z2" s="42"/>
      <c r="AA2" s="42"/>
      <c r="AB2" s="42"/>
      <c r="AC2" s="42"/>
      <c r="AD2" s="42"/>
      <c r="AE2" s="42"/>
      <c r="AF2" s="42"/>
      <c r="AG2" s="42"/>
      <c r="AH2" s="42"/>
      <c r="AI2" s="42"/>
      <c r="AJ2" s="42"/>
      <c r="AK2" s="42"/>
      <c r="AL2" s="42"/>
      <c r="AM2" s="42"/>
      <c r="AN2" s="42"/>
      <c r="AO2" s="42"/>
      <c r="AP2" s="42"/>
      <c r="AQ2" s="42"/>
      <c r="AR2" s="42"/>
      <c r="AS2" s="42"/>
      <c r="AT2" s="90" t="s">
        <v>46</v>
      </c>
      <c r="AU2">
        <v>2</v>
      </c>
      <c r="AV2">
        <v>3</v>
      </c>
      <c r="AW2">
        <v>4</v>
      </c>
      <c r="AX2">
        <v>5</v>
      </c>
      <c r="AY2">
        <v>6</v>
      </c>
      <c r="AZ2">
        <v>11</v>
      </c>
      <c r="BA2">
        <v>12</v>
      </c>
      <c r="BB2">
        <v>13</v>
      </c>
      <c r="BC2">
        <v>14</v>
      </c>
      <c r="BD2">
        <v>15</v>
      </c>
      <c r="BE2">
        <v>16</v>
      </c>
      <c r="BF2">
        <v>17</v>
      </c>
      <c r="BG2">
        <v>18</v>
      </c>
      <c r="BH2" s="44"/>
      <c r="BI2" s="44"/>
      <c r="BJ2" s="44"/>
      <c r="BK2" s="44"/>
      <c r="BL2" s="44"/>
      <c r="BM2" s="44"/>
      <c r="BN2" s="44"/>
      <c r="BO2" s="44"/>
    </row>
    <row r="3" spans="1:67" x14ac:dyDescent="0.25">
      <c r="J3" s="40"/>
      <c r="K3" s="41"/>
      <c r="L3" s="42"/>
      <c r="M3" s="41"/>
      <c r="N3" s="43"/>
      <c r="O3" s="41"/>
      <c r="P3" s="42"/>
      <c r="Q3" s="41"/>
      <c r="R3" s="41"/>
      <c r="S3" s="41"/>
      <c r="T3" s="41"/>
      <c r="U3" s="41"/>
      <c r="V3" s="41"/>
      <c r="W3" s="41"/>
      <c r="X3" s="41"/>
      <c r="Y3" s="41"/>
      <c r="Z3" s="42"/>
      <c r="AA3" s="42"/>
      <c r="AB3" s="42"/>
      <c r="AC3" s="42"/>
      <c r="AD3" s="42"/>
      <c r="AE3" s="42"/>
      <c r="AF3" s="42"/>
      <c r="AG3" s="42"/>
      <c r="AH3" s="42"/>
      <c r="AI3" s="42"/>
      <c r="AJ3" s="42"/>
      <c r="AK3" s="42"/>
      <c r="AL3" s="42"/>
      <c r="AM3" s="42"/>
      <c r="AN3" s="42"/>
      <c r="AO3" s="42"/>
      <c r="AP3" s="42"/>
      <c r="AQ3" s="42"/>
      <c r="AR3" s="42"/>
      <c r="AS3" s="42"/>
      <c r="AT3" s="90"/>
      <c r="AU3"/>
      <c r="AV3"/>
      <c r="AW3"/>
      <c r="AX3"/>
      <c r="AY3"/>
      <c r="AZ3"/>
      <c r="BA3"/>
      <c r="BB3"/>
      <c r="BC3"/>
      <c r="BD3"/>
      <c r="BE3"/>
      <c r="BF3"/>
      <c r="BG3"/>
      <c r="BH3" s="44"/>
      <c r="BI3" s="44"/>
      <c r="BJ3" s="44"/>
      <c r="BK3" s="44"/>
      <c r="BL3" s="44"/>
      <c r="BM3" s="44"/>
      <c r="BN3" s="44"/>
      <c r="BO3" s="44"/>
    </row>
    <row r="4" spans="1:67" ht="31.5" x14ac:dyDescent="0.25">
      <c r="H4" s="148" t="s">
        <v>47</v>
      </c>
      <c r="I4" s="45">
        <v>1</v>
      </c>
      <c r="J4" s="47"/>
      <c r="K4" s="46" t="s">
        <v>48</v>
      </c>
      <c r="L4" s="47"/>
      <c r="M4" s="46" t="s">
        <v>45</v>
      </c>
      <c r="N4" s="47"/>
      <c r="O4" s="46" t="s">
        <v>49</v>
      </c>
      <c r="P4" s="47"/>
      <c r="Q4" s="46" t="s">
        <v>50</v>
      </c>
      <c r="R4" s="47"/>
      <c r="S4" s="46" t="s">
        <v>51</v>
      </c>
      <c r="T4" s="47"/>
      <c r="U4" s="46" t="s">
        <v>52</v>
      </c>
      <c r="V4" s="47"/>
      <c r="W4" s="46" t="s">
        <v>53</v>
      </c>
      <c r="X4" s="47"/>
      <c r="Y4" s="46" t="s">
        <v>54</v>
      </c>
      <c r="Z4" s="48"/>
      <c r="AA4" s="48"/>
      <c r="AB4" s="48"/>
      <c r="AC4" s="48"/>
      <c r="AD4" s="48"/>
      <c r="AE4" s="48"/>
      <c r="AF4" s="48"/>
      <c r="AG4" s="48"/>
      <c r="AH4" s="48"/>
      <c r="AI4" s="48"/>
      <c r="AJ4" s="48"/>
      <c r="AK4" s="48"/>
      <c r="AL4" s="48"/>
      <c r="AM4" s="48"/>
      <c r="AN4" s="48"/>
      <c r="AO4" s="48"/>
      <c r="AP4" s="48"/>
      <c r="AQ4" s="48"/>
      <c r="AR4" s="48"/>
      <c r="AS4" s="48"/>
      <c r="AT4" s="61" t="s">
        <v>55</v>
      </c>
      <c r="AU4" s="61" t="s">
        <v>1</v>
      </c>
      <c r="AV4" s="62"/>
      <c r="AW4" s="61" t="s">
        <v>56</v>
      </c>
      <c r="AX4" s="63" t="s">
        <v>5</v>
      </c>
      <c r="AY4" s="63" t="s">
        <v>57</v>
      </c>
      <c r="AZ4" s="64" t="s">
        <v>24</v>
      </c>
      <c r="BA4" s="64" t="s">
        <v>25</v>
      </c>
      <c r="BB4" s="64" t="s">
        <v>26</v>
      </c>
      <c r="BC4" s="64" t="s">
        <v>27</v>
      </c>
      <c r="BD4" s="64" t="s">
        <v>28</v>
      </c>
      <c r="BE4" s="64" t="s">
        <v>29</v>
      </c>
      <c r="BF4" s="64" t="s">
        <v>30</v>
      </c>
      <c r="BG4" s="64" t="s">
        <v>31</v>
      </c>
      <c r="BH4" s="44"/>
      <c r="BI4" s="44"/>
      <c r="BJ4" s="44"/>
      <c r="BK4" s="44"/>
      <c r="BL4" s="44"/>
      <c r="BM4" s="44"/>
      <c r="BN4" s="44"/>
      <c r="BO4" s="44"/>
    </row>
    <row r="5" spans="1:67" x14ac:dyDescent="0.25">
      <c r="I5" s="49">
        <v>2</v>
      </c>
      <c r="J5" s="86" t="s">
        <v>58</v>
      </c>
      <c r="K5" s="92" t="s">
        <v>59</v>
      </c>
      <c r="L5" s="86" t="s">
        <v>60</v>
      </c>
      <c r="M5" s="92" t="s">
        <v>61</v>
      </c>
      <c r="N5" s="86" t="s">
        <v>62</v>
      </c>
      <c r="O5" s="92" t="s">
        <v>59</v>
      </c>
      <c r="P5" s="86" t="s">
        <v>63</v>
      </c>
      <c r="Q5" s="92" t="s">
        <v>64</v>
      </c>
      <c r="R5" s="86" t="s">
        <v>58</v>
      </c>
      <c r="S5" s="92" t="s">
        <v>59</v>
      </c>
      <c r="T5" s="86" t="s">
        <v>60</v>
      </c>
      <c r="U5" s="92" t="s">
        <v>64</v>
      </c>
      <c r="V5" s="86" t="s">
        <v>62</v>
      </c>
      <c r="W5" s="92" t="s">
        <v>65</v>
      </c>
      <c r="X5" s="86" t="s">
        <v>63</v>
      </c>
      <c r="Y5" s="92" t="s">
        <v>64</v>
      </c>
      <c r="Z5" s="45"/>
      <c r="AA5" s="45"/>
      <c r="AB5" s="45"/>
      <c r="AC5" s="45"/>
      <c r="AD5" s="45"/>
      <c r="AE5" s="45"/>
      <c r="AF5" s="45"/>
      <c r="AG5" s="45"/>
      <c r="AH5" s="45"/>
      <c r="AI5" s="45"/>
      <c r="AJ5" s="45"/>
      <c r="AK5" s="45"/>
      <c r="AL5" s="45"/>
      <c r="AM5" s="45"/>
      <c r="AN5" s="45"/>
      <c r="AO5" s="45"/>
      <c r="AP5" s="45"/>
      <c r="AQ5" s="45"/>
      <c r="AR5" s="45"/>
      <c r="AS5" s="45"/>
      <c r="AT5" s="98" t="str">
        <f t="shared" ref="AT5:AT22" si="0">HLOOKUP($AT$1,RangeUnitsetsECEPR,I5,FALSE)</f>
        <v>EDEC5010</v>
      </c>
      <c r="AU5" s="99">
        <f>VLOOKUP($AT5,TableHandbook[],AU$2,FALSE)</f>
        <v>1</v>
      </c>
      <c r="AV5" s="100">
        <f>VLOOKUP($AT5,TableHandbook[],AV$2,FALSE)</f>
        <v>0</v>
      </c>
      <c r="AW5" s="101" t="str">
        <f>VLOOKUP($AT5,TableHandbook[],AW$2,FALSE)</f>
        <v>Family and Community Contexts</v>
      </c>
      <c r="AX5" s="102">
        <f>VLOOKUP($AT5,TableHandbook[],AX$2,FALSE)</f>
        <v>25</v>
      </c>
      <c r="AY5" s="102" t="str">
        <f>VLOOKUP($AT5,TableHandbook[],AY$2,FALSE)</f>
        <v>Nil</v>
      </c>
      <c r="AZ5" s="103" t="str">
        <f>VLOOKUP($AT5,TableHandbook[],AZ$2,FALSE)</f>
        <v/>
      </c>
      <c r="BA5" s="103" t="str">
        <f>VLOOKUP($AT5,TableHandbook[],BA$2,FALSE)</f>
        <v/>
      </c>
      <c r="BB5" s="103" t="str">
        <f>VLOOKUP($AT5,TableHandbook[],BB$2,FALSE)</f>
        <v/>
      </c>
      <c r="BC5" s="103" t="str">
        <f>VLOOKUP($AT5,TableHandbook[],BC$2,FALSE)</f>
        <v/>
      </c>
      <c r="BD5" s="103">
        <f>VLOOKUP($AT5,TableHandbook[],BD$2,FALSE)</f>
        <v>0</v>
      </c>
      <c r="BE5" s="103" t="str">
        <f>VLOOKUP($AT5,TableHandbook[],BE$2,FALSE)</f>
        <v/>
      </c>
      <c r="BF5" s="103" t="str">
        <f>VLOOKUP($AT5,TableHandbook[],BF$2,FALSE)</f>
        <v>Core</v>
      </c>
      <c r="BG5" s="104" t="str">
        <f>VLOOKUP($AT5,TableHandbook[],BG$2,FALSE)</f>
        <v/>
      </c>
      <c r="BH5" s="44"/>
      <c r="BI5" s="44"/>
      <c r="BJ5" s="44"/>
      <c r="BK5" s="44"/>
      <c r="BL5" s="44"/>
      <c r="BM5" s="44"/>
      <c r="BN5" s="44"/>
      <c r="BO5" s="44"/>
    </row>
    <row r="6" spans="1:67" x14ac:dyDescent="0.25">
      <c r="A6" s="127" t="s">
        <v>66</v>
      </c>
      <c r="I6" s="49">
        <v>3</v>
      </c>
      <c r="J6" s="87" t="s">
        <v>58</v>
      </c>
      <c r="K6" s="93" t="s">
        <v>65</v>
      </c>
      <c r="L6" s="87" t="s">
        <v>60</v>
      </c>
      <c r="M6" s="93" t="s">
        <v>67</v>
      </c>
      <c r="N6" s="87" t="s">
        <v>62</v>
      </c>
      <c r="O6" s="93" t="s">
        <v>68</v>
      </c>
      <c r="P6" s="87" t="s">
        <v>63</v>
      </c>
      <c r="Q6" s="93" t="s">
        <v>69</v>
      </c>
      <c r="R6" s="87" t="s">
        <v>58</v>
      </c>
      <c r="S6" s="93" t="s">
        <v>65</v>
      </c>
      <c r="T6" s="87" t="s">
        <v>60</v>
      </c>
      <c r="U6" s="93" t="s">
        <v>70</v>
      </c>
      <c r="V6" s="87" t="s">
        <v>62</v>
      </c>
      <c r="W6" s="93" t="s">
        <v>59</v>
      </c>
      <c r="X6" s="87" t="s">
        <v>63</v>
      </c>
      <c r="Y6" s="93" t="s">
        <v>71</v>
      </c>
      <c r="Z6" s="45"/>
      <c r="AA6" s="45"/>
      <c r="AB6" s="45"/>
      <c r="AC6" s="45"/>
      <c r="AD6" s="45"/>
      <c r="AE6" s="45"/>
      <c r="AF6" s="45"/>
      <c r="AG6" s="45"/>
      <c r="AH6" s="45"/>
      <c r="AI6" s="45"/>
      <c r="AJ6" s="45"/>
      <c r="AK6" s="45"/>
      <c r="AL6" s="45"/>
      <c r="AM6" s="45"/>
      <c r="AN6" s="45"/>
      <c r="AO6" s="45"/>
      <c r="AP6" s="45"/>
      <c r="AQ6" s="45"/>
      <c r="AR6" s="45"/>
      <c r="AS6" s="45"/>
      <c r="AT6" s="105" t="str">
        <f t="shared" si="0"/>
        <v>EDEC5005</v>
      </c>
      <c r="AU6" s="106">
        <f>VLOOKUP($AT6,TableHandbook[],AU$2,FALSE)</f>
        <v>1</v>
      </c>
      <c r="AV6" s="107">
        <f>VLOOKUP($AT6,TableHandbook[],AV$2,FALSE)</f>
        <v>0</v>
      </c>
      <c r="AW6" s="108" t="str">
        <f>VLOOKUP($AT6,TableHandbook[],AW$2,FALSE)</f>
        <v>Humanities and Science in Early Childhood</v>
      </c>
      <c r="AX6" s="109">
        <f>VLOOKUP($AT6,TableHandbook[],AX$2,FALSE)</f>
        <v>25</v>
      </c>
      <c r="AY6" s="109" t="str">
        <f>VLOOKUP($AT6,TableHandbook[],AY$2,FALSE)</f>
        <v>Nil</v>
      </c>
      <c r="AZ6" s="110" t="str">
        <f>VLOOKUP($AT6,TableHandbook[],AZ$2,FALSE)</f>
        <v/>
      </c>
      <c r="BA6" s="110" t="str">
        <f>VLOOKUP($AT6,TableHandbook[],BA$2,FALSE)</f>
        <v/>
      </c>
      <c r="BB6" s="110" t="str">
        <f>VLOOKUP($AT6,TableHandbook[],BB$2,FALSE)</f>
        <v/>
      </c>
      <c r="BC6" s="110" t="str">
        <f>VLOOKUP($AT6,TableHandbook[],BC$2,FALSE)</f>
        <v/>
      </c>
      <c r="BD6" s="110">
        <f>VLOOKUP($AT6,TableHandbook[],BD$2,FALSE)</f>
        <v>0</v>
      </c>
      <c r="BE6" s="110" t="str">
        <f>VLOOKUP($AT6,TableHandbook[],BE$2,FALSE)</f>
        <v/>
      </c>
      <c r="BF6" s="110" t="str">
        <f>VLOOKUP($AT6,TableHandbook[],BF$2,FALSE)</f>
        <v>Core</v>
      </c>
      <c r="BG6" s="111" t="str">
        <f>VLOOKUP($AT6,TableHandbook[],BG$2,FALSE)</f>
        <v/>
      </c>
      <c r="BH6" s="44"/>
      <c r="BI6" s="44"/>
      <c r="BJ6" s="44"/>
      <c r="BK6" s="44"/>
      <c r="BL6" s="44"/>
      <c r="BM6" s="44"/>
      <c r="BN6" s="44"/>
      <c r="BO6" s="44"/>
    </row>
    <row r="7" spans="1:67" x14ac:dyDescent="0.25">
      <c r="A7" s="36" t="s">
        <v>72</v>
      </c>
      <c r="B7" s="39" t="s">
        <v>0</v>
      </c>
      <c r="C7" s="36" t="s">
        <v>73</v>
      </c>
      <c r="D7" s="36" t="s">
        <v>74</v>
      </c>
      <c r="E7" s="36" t="s">
        <v>75</v>
      </c>
      <c r="F7" s="36" t="s">
        <v>76</v>
      </c>
      <c r="G7" s="36" t="s">
        <v>6</v>
      </c>
      <c r="I7" s="49">
        <v>4</v>
      </c>
      <c r="J7" s="87" t="s">
        <v>60</v>
      </c>
      <c r="K7" s="93" t="s">
        <v>64</v>
      </c>
      <c r="L7" s="87" t="s">
        <v>62</v>
      </c>
      <c r="M7" s="93" t="s">
        <v>68</v>
      </c>
      <c r="N7" s="87" t="s">
        <v>63</v>
      </c>
      <c r="O7" s="93" t="s">
        <v>64</v>
      </c>
      <c r="P7" s="87" t="s">
        <v>58</v>
      </c>
      <c r="Q7" s="93" t="s">
        <v>59</v>
      </c>
      <c r="R7" s="87" t="s">
        <v>60</v>
      </c>
      <c r="S7" s="93" t="s">
        <v>64</v>
      </c>
      <c r="T7" s="87" t="s">
        <v>62</v>
      </c>
      <c r="U7" s="93" t="s">
        <v>59</v>
      </c>
      <c r="V7" s="87" t="s">
        <v>63</v>
      </c>
      <c r="W7" s="93" t="s">
        <v>71</v>
      </c>
      <c r="X7" s="87" t="s">
        <v>58</v>
      </c>
      <c r="Y7" s="93" t="s">
        <v>65</v>
      </c>
      <c r="Z7" s="45"/>
      <c r="AA7" s="45"/>
      <c r="AB7" s="45"/>
      <c r="AC7" s="45"/>
      <c r="AD7" s="45"/>
      <c r="AE7" s="45"/>
      <c r="AF7" s="45"/>
      <c r="AG7" s="45"/>
      <c r="AH7" s="45"/>
      <c r="AI7" s="45"/>
      <c r="AJ7" s="45"/>
      <c r="AK7" s="45"/>
      <c r="AL7" s="45"/>
      <c r="AM7" s="45"/>
      <c r="AN7" s="45"/>
      <c r="AO7" s="45"/>
      <c r="AP7" s="45"/>
      <c r="AQ7" s="45"/>
      <c r="AR7" s="45"/>
      <c r="AS7" s="45"/>
      <c r="AT7" s="65" t="str">
        <f t="shared" si="0"/>
        <v>EDEC5002</v>
      </c>
      <c r="AU7" s="66">
        <f>VLOOKUP($AT7,TableHandbook[],AU$2,FALSE)</f>
        <v>1</v>
      </c>
      <c r="AV7">
        <f>VLOOKUP($AT7,TableHandbook[],AV$2,FALSE)</f>
        <v>0</v>
      </c>
      <c r="AW7" s="67" t="str">
        <f>VLOOKUP($AT7,TableHandbook[],AW$2,FALSE)</f>
        <v>Numeracy for 5 to 8 Year-Olds</v>
      </c>
      <c r="AX7" s="68">
        <f>VLOOKUP($AT7,TableHandbook[],AX$2,FALSE)</f>
        <v>25</v>
      </c>
      <c r="AY7" s="68" t="str">
        <f>VLOOKUP($AT7,TableHandbook[],AY$2,FALSE)</f>
        <v>Nil</v>
      </c>
      <c r="AZ7" s="1" t="str">
        <f>VLOOKUP($AT7,TableHandbook[],AZ$2,FALSE)</f>
        <v>Y</v>
      </c>
      <c r="BA7" s="1" t="str">
        <f>VLOOKUP($AT7,TableHandbook[],BA$2,FALSE)</f>
        <v>Y</v>
      </c>
      <c r="BB7" s="1" t="str">
        <f>VLOOKUP($AT7,TableHandbook[],BB$2,FALSE)</f>
        <v/>
      </c>
      <c r="BC7" s="1" t="str">
        <f>VLOOKUP($AT7,TableHandbook[],BC$2,FALSE)</f>
        <v/>
      </c>
      <c r="BD7" s="1">
        <f>VLOOKUP($AT7,TableHandbook[],BD$2,FALSE)</f>
        <v>0</v>
      </c>
      <c r="BE7" s="1" t="str">
        <f>VLOOKUP($AT7,TableHandbook[],BE$2,FALSE)</f>
        <v/>
      </c>
      <c r="BF7" s="1" t="str">
        <f>VLOOKUP($AT7,TableHandbook[],BF$2,FALSE)</f>
        <v>Core</v>
      </c>
      <c r="BG7" s="69" t="str">
        <f>VLOOKUP($AT7,TableHandbook[],BG$2,FALSE)</f>
        <v/>
      </c>
      <c r="BH7" s="36"/>
      <c r="BI7" s="50"/>
      <c r="BJ7" s="44"/>
      <c r="BK7" s="44"/>
      <c r="BL7" s="44"/>
      <c r="BM7" s="44"/>
      <c r="BN7" s="44"/>
      <c r="BO7" s="44"/>
    </row>
    <row r="8" spans="1:67" x14ac:dyDescent="0.25">
      <c r="A8" s="165" t="s">
        <v>77</v>
      </c>
      <c r="B8" s="169" t="s">
        <v>78</v>
      </c>
      <c r="C8" s="166" t="s">
        <v>79</v>
      </c>
      <c r="D8" s="36" t="s">
        <v>80</v>
      </c>
      <c r="E8" s="175">
        <v>44197</v>
      </c>
      <c r="F8" s="175">
        <v>44562</v>
      </c>
      <c r="G8" s="36" t="s">
        <v>81</v>
      </c>
      <c r="I8" s="49">
        <v>5</v>
      </c>
      <c r="J8" s="87" t="s">
        <v>60</v>
      </c>
      <c r="K8" s="94" t="s">
        <v>82</v>
      </c>
      <c r="L8" s="87" t="s">
        <v>62</v>
      </c>
      <c r="M8" s="93" t="s">
        <v>65</v>
      </c>
      <c r="N8" s="87" t="s">
        <v>63</v>
      </c>
      <c r="O8" s="93" t="s">
        <v>69</v>
      </c>
      <c r="P8" s="87" t="s">
        <v>58</v>
      </c>
      <c r="Q8" s="93" t="s">
        <v>65</v>
      </c>
      <c r="R8" s="87" t="s">
        <v>60</v>
      </c>
      <c r="S8" s="93" t="s">
        <v>83</v>
      </c>
      <c r="T8" s="87" t="s">
        <v>62</v>
      </c>
      <c r="U8" s="93" t="s">
        <v>65</v>
      </c>
      <c r="V8" s="87" t="s">
        <v>63</v>
      </c>
      <c r="W8" s="93" t="s">
        <v>64</v>
      </c>
      <c r="X8" s="87" t="s">
        <v>58</v>
      </c>
      <c r="Y8" s="93" t="s">
        <v>59</v>
      </c>
      <c r="Z8" s="45"/>
      <c r="AA8" s="45"/>
      <c r="AB8" s="45"/>
      <c r="AC8" s="45"/>
      <c r="AD8" s="45"/>
      <c r="AE8" s="45"/>
      <c r="AF8" s="45"/>
      <c r="AG8" s="45"/>
      <c r="AH8" s="45"/>
      <c r="AI8" s="45"/>
      <c r="AJ8" s="45"/>
      <c r="AK8" s="45"/>
      <c r="AL8" s="45"/>
      <c r="AM8" s="45"/>
      <c r="AN8" s="45"/>
      <c r="AO8" s="45"/>
      <c r="AP8" s="45"/>
      <c r="AQ8" s="45"/>
      <c r="AR8" s="45"/>
      <c r="AS8" s="45"/>
      <c r="AT8" s="65" t="str">
        <f t="shared" si="0"/>
        <v>EDUC5031</v>
      </c>
      <c r="AU8" s="66">
        <f>VLOOKUP($AT8,TableHandbook[],AU$2,FALSE)</f>
        <v>1</v>
      </c>
      <c r="AV8">
        <f>VLOOKUP($AT8,TableHandbook[],AV$2,FALSE)</f>
        <v>0</v>
      </c>
      <c r="AW8" s="67" t="str">
        <f>VLOOKUP($AT8,TableHandbook[],AW$2,FALSE)</f>
        <v>Introduction to English: Reading</v>
      </c>
      <c r="AX8" s="68">
        <f>VLOOKUP($AT8,TableHandbook[],AX$2,FALSE)</f>
        <v>25</v>
      </c>
      <c r="AY8" s="68" t="str">
        <f>VLOOKUP($AT8,TableHandbook[],AY$2,FALSE)</f>
        <v>Nil</v>
      </c>
      <c r="AZ8" s="1" t="str">
        <f>VLOOKUP($AT8,TableHandbook[],AZ$2,FALSE)</f>
        <v>Y</v>
      </c>
      <c r="BA8" s="1" t="str">
        <f>VLOOKUP($AT8,TableHandbook[],BA$2,FALSE)</f>
        <v>Y</v>
      </c>
      <c r="BB8" s="1" t="str">
        <f>VLOOKUP($AT8,TableHandbook[],BB$2,FALSE)</f>
        <v/>
      </c>
      <c r="BC8" s="1" t="str">
        <f>VLOOKUP($AT8,TableHandbook[],BC$2,FALSE)</f>
        <v/>
      </c>
      <c r="BD8" s="1">
        <f>VLOOKUP($AT8,TableHandbook[],BD$2,FALSE)</f>
        <v>0</v>
      </c>
      <c r="BE8" s="1" t="str">
        <f>VLOOKUP($AT8,TableHandbook[],BE$2,FALSE)</f>
        <v/>
      </c>
      <c r="BF8" s="1" t="str">
        <f>VLOOKUP($AT8,TableHandbook[],BF$2,FALSE)</f>
        <v>Core</v>
      </c>
      <c r="BG8" s="69" t="str">
        <f>VLOOKUP($AT8,TableHandbook[],BG$2,FALSE)</f>
        <v>Core</v>
      </c>
      <c r="BH8" s="36"/>
      <c r="BI8" s="50"/>
      <c r="BJ8" s="51"/>
      <c r="BK8" s="50"/>
      <c r="BL8" s="51"/>
      <c r="BM8" s="50"/>
      <c r="BN8" s="50"/>
    </row>
    <row r="9" spans="1:67" x14ac:dyDescent="0.25">
      <c r="A9" s="165" t="s">
        <v>84</v>
      </c>
      <c r="B9" s="169" t="s">
        <v>85</v>
      </c>
      <c r="C9" s="166" t="s">
        <v>79</v>
      </c>
      <c r="D9" s="36" t="s">
        <v>80</v>
      </c>
      <c r="E9" s="175">
        <v>43466</v>
      </c>
      <c r="F9" s="175">
        <v>44197</v>
      </c>
      <c r="G9" s="36" t="s">
        <v>86</v>
      </c>
      <c r="I9" s="49">
        <v>6</v>
      </c>
      <c r="J9" s="87" t="s">
        <v>62</v>
      </c>
      <c r="K9" s="93" t="s">
        <v>68</v>
      </c>
      <c r="L9" s="87" t="s">
        <v>63</v>
      </c>
      <c r="M9" s="93" t="s">
        <v>69</v>
      </c>
      <c r="N9" s="87" t="s">
        <v>58</v>
      </c>
      <c r="O9" s="93" t="s">
        <v>65</v>
      </c>
      <c r="P9" s="87" t="s">
        <v>60</v>
      </c>
      <c r="Q9" s="93" t="s">
        <v>82</v>
      </c>
      <c r="R9" s="87" t="s">
        <v>62</v>
      </c>
      <c r="S9" s="93" t="s">
        <v>87</v>
      </c>
      <c r="T9" s="87" t="s">
        <v>63</v>
      </c>
      <c r="U9" s="93" t="s">
        <v>71</v>
      </c>
      <c r="V9" s="87" t="s">
        <v>58</v>
      </c>
      <c r="W9" s="93" t="s">
        <v>88</v>
      </c>
      <c r="X9" s="87" t="s">
        <v>60</v>
      </c>
      <c r="Y9" s="93" t="s">
        <v>70</v>
      </c>
      <c r="Z9" s="45"/>
      <c r="AA9" s="45"/>
      <c r="AB9" s="45"/>
      <c r="AC9" s="45"/>
      <c r="AD9" s="45"/>
      <c r="AE9" s="45"/>
      <c r="AF9" s="45"/>
      <c r="AG9" s="45"/>
      <c r="AH9" s="45"/>
      <c r="AI9" s="45"/>
      <c r="AJ9" s="45"/>
      <c r="AK9" s="45"/>
      <c r="AL9" s="45"/>
      <c r="AM9" s="45"/>
      <c r="AN9" s="45"/>
      <c r="AO9" s="45"/>
      <c r="AP9" s="45"/>
      <c r="AQ9" s="45"/>
      <c r="AR9" s="45"/>
      <c r="AS9" s="45"/>
      <c r="AT9" s="98" t="str">
        <f t="shared" si="0"/>
        <v>EDEC5008</v>
      </c>
      <c r="AU9" s="99">
        <f>VLOOKUP($AT9,TableHandbook[],AU$2,FALSE)</f>
        <v>1</v>
      </c>
      <c r="AV9" s="100">
        <f>VLOOKUP($AT9,TableHandbook[],AV$2,FALSE)</f>
        <v>0</v>
      </c>
      <c r="AW9" s="101" t="str">
        <f>VLOOKUP($AT9,TableHandbook[],AW$2,FALSE)</f>
        <v>Health, Safety and Physical Education in Early Childhood</v>
      </c>
      <c r="AX9" s="102">
        <f>VLOOKUP($AT9,TableHandbook[],AX$2,FALSE)</f>
        <v>25</v>
      </c>
      <c r="AY9" s="102" t="str">
        <f>VLOOKUP($AT9,TableHandbook[],AY$2,FALSE)</f>
        <v>Nil</v>
      </c>
      <c r="AZ9" s="103" t="str">
        <f>VLOOKUP($AT9,TableHandbook[],AZ$2,FALSE)</f>
        <v/>
      </c>
      <c r="BA9" s="103" t="str">
        <f>VLOOKUP($AT9,TableHandbook[],BA$2,FALSE)</f>
        <v/>
      </c>
      <c r="BB9" s="103" t="str">
        <f>VLOOKUP($AT9,TableHandbook[],BB$2,FALSE)</f>
        <v>Y</v>
      </c>
      <c r="BC9" s="103" t="str">
        <f>VLOOKUP($AT9,TableHandbook[],BC$2,FALSE)</f>
        <v>Y</v>
      </c>
      <c r="BD9" s="103">
        <f>VLOOKUP($AT9,TableHandbook[],BD$2,FALSE)</f>
        <v>0</v>
      </c>
      <c r="BE9" s="103" t="str">
        <f>VLOOKUP($AT9,TableHandbook[],BE$2,FALSE)</f>
        <v/>
      </c>
      <c r="BF9" s="103" t="str">
        <f>VLOOKUP($AT9,TableHandbook[],BF$2,FALSE)</f>
        <v>Core</v>
      </c>
      <c r="BG9" s="104" t="str">
        <f>VLOOKUP($AT9,TableHandbook[],BG$2,FALSE)</f>
        <v/>
      </c>
      <c r="BI9" s="53"/>
      <c r="BJ9" s="51"/>
      <c r="BK9" s="50"/>
      <c r="BL9" s="51"/>
      <c r="BM9" s="54"/>
      <c r="BN9" s="50"/>
    </row>
    <row r="10" spans="1:67" x14ac:dyDescent="0.25">
      <c r="A10" s="39" t="s">
        <v>89</v>
      </c>
      <c r="B10" s="199" t="s">
        <v>90</v>
      </c>
      <c r="C10" s="166" t="s">
        <v>91</v>
      </c>
      <c r="D10" s="36" t="s">
        <v>80</v>
      </c>
      <c r="E10" s="175">
        <v>42736</v>
      </c>
      <c r="F10" s="175">
        <v>44562</v>
      </c>
      <c r="G10" s="172" t="s">
        <v>92</v>
      </c>
      <c r="I10" s="49">
        <v>7</v>
      </c>
      <c r="J10" s="87" t="s">
        <v>62</v>
      </c>
      <c r="K10" s="94" t="s">
        <v>93</v>
      </c>
      <c r="L10" s="87" t="s">
        <v>63</v>
      </c>
      <c r="M10" s="93" t="s">
        <v>64</v>
      </c>
      <c r="N10" s="87" t="s">
        <v>58</v>
      </c>
      <c r="O10" s="93" t="s">
        <v>61</v>
      </c>
      <c r="P10" s="87" t="s">
        <v>60</v>
      </c>
      <c r="Q10" s="93" t="s">
        <v>61</v>
      </c>
      <c r="R10" s="87" t="s">
        <v>62</v>
      </c>
      <c r="S10" s="93" t="s">
        <v>94</v>
      </c>
      <c r="T10" s="87" t="s">
        <v>63</v>
      </c>
      <c r="U10" s="93" t="s">
        <v>87</v>
      </c>
      <c r="V10" s="87" t="s">
        <v>58</v>
      </c>
      <c r="W10" s="93" t="s">
        <v>83</v>
      </c>
      <c r="X10" s="87" t="s">
        <v>60</v>
      </c>
      <c r="Y10" s="93" t="s">
        <v>83</v>
      </c>
      <c r="Z10" s="45"/>
      <c r="AA10" s="45"/>
      <c r="AB10" s="45"/>
      <c r="AC10" s="45"/>
      <c r="AD10" s="45"/>
      <c r="AE10" s="45"/>
      <c r="AF10" s="45"/>
      <c r="AG10" s="45"/>
      <c r="AH10" s="45"/>
      <c r="AI10" s="45"/>
      <c r="AJ10" s="45"/>
      <c r="AK10" s="45"/>
      <c r="AL10" s="45"/>
      <c r="AM10" s="45"/>
      <c r="AN10" s="45"/>
      <c r="AO10" s="45"/>
      <c r="AP10" s="45"/>
      <c r="AQ10" s="45"/>
      <c r="AR10" s="45"/>
      <c r="AS10" s="45"/>
      <c r="AT10" s="105" t="str">
        <f t="shared" si="0"/>
        <v>EDUC5011</v>
      </c>
      <c r="AU10" s="106">
        <f>VLOOKUP($AT10,TableHandbook[],AU$2,FALSE)</f>
        <v>1</v>
      </c>
      <c r="AV10" s="107">
        <f>VLOOKUP($AT10,TableHandbook[],AV$2,FALSE)</f>
        <v>0</v>
      </c>
      <c r="AW10" s="108" t="str">
        <f>VLOOKUP($AT10,TableHandbook[],AW$2,FALSE)</f>
        <v>Developing Positive Learning Environments</v>
      </c>
      <c r="AX10" s="109">
        <f>VLOOKUP($AT10,TableHandbook[],AX$2,FALSE)</f>
        <v>25</v>
      </c>
      <c r="AY10" s="109" t="str">
        <f>VLOOKUP($AT10,TableHandbook[],AY$2,FALSE)</f>
        <v>Nil</v>
      </c>
      <c r="AZ10" s="110" t="str">
        <f>VLOOKUP($AT10,TableHandbook[],AZ$2,FALSE)</f>
        <v/>
      </c>
      <c r="BA10" s="110" t="str">
        <f>VLOOKUP($AT10,TableHandbook[],BA$2,FALSE)</f>
        <v/>
      </c>
      <c r="BB10" s="110" t="str">
        <f>VLOOKUP($AT10,TableHandbook[],BB$2,FALSE)</f>
        <v>Y</v>
      </c>
      <c r="BC10" s="110" t="str">
        <f>VLOOKUP($AT10,TableHandbook[],BC$2,FALSE)</f>
        <v>Y</v>
      </c>
      <c r="BD10" s="110">
        <f>VLOOKUP($AT10,TableHandbook[],BD$2,FALSE)</f>
        <v>0</v>
      </c>
      <c r="BE10" s="110" t="str">
        <f>VLOOKUP($AT10,TableHandbook[],BE$2,FALSE)</f>
        <v/>
      </c>
      <c r="BF10" s="110" t="str">
        <f>VLOOKUP($AT10,TableHandbook[],BF$2,FALSE)</f>
        <v>Core</v>
      </c>
      <c r="BG10" s="111" t="str">
        <f>VLOOKUP($AT10,TableHandbook[],BG$2,FALSE)</f>
        <v>Core</v>
      </c>
      <c r="BM10" s="50"/>
      <c r="BN10" s="50"/>
    </row>
    <row r="11" spans="1:67" x14ac:dyDescent="0.25">
      <c r="A11" s="39" t="s">
        <v>95</v>
      </c>
      <c r="B11" s="199" t="s">
        <v>96</v>
      </c>
      <c r="C11" s="166" t="s">
        <v>97</v>
      </c>
      <c r="D11" s="36" t="s">
        <v>98</v>
      </c>
      <c r="E11" s="175">
        <v>43647</v>
      </c>
      <c r="F11" s="175">
        <v>44927</v>
      </c>
      <c r="G11" s="36" t="s">
        <v>81</v>
      </c>
      <c r="I11" s="49">
        <v>8</v>
      </c>
      <c r="J11" s="87" t="s">
        <v>63</v>
      </c>
      <c r="K11" s="93" t="s">
        <v>87</v>
      </c>
      <c r="L11" s="87" t="s">
        <v>58</v>
      </c>
      <c r="M11" s="93" t="s">
        <v>59</v>
      </c>
      <c r="N11" s="87" t="s">
        <v>60</v>
      </c>
      <c r="O11" s="93" t="s">
        <v>82</v>
      </c>
      <c r="P11" s="87" t="s">
        <v>62</v>
      </c>
      <c r="Q11" s="93" t="s">
        <v>93</v>
      </c>
      <c r="R11" s="87" t="s">
        <v>63</v>
      </c>
      <c r="S11" s="93" t="s">
        <v>71</v>
      </c>
      <c r="T11" s="87" t="s">
        <v>58</v>
      </c>
      <c r="U11" s="93" t="s">
        <v>88</v>
      </c>
      <c r="V11" s="87" t="s">
        <v>60</v>
      </c>
      <c r="W11" s="93" t="s">
        <v>70</v>
      </c>
      <c r="X11" s="87" t="s">
        <v>62</v>
      </c>
      <c r="Y11" s="93" t="s">
        <v>88</v>
      </c>
      <c r="Z11" s="45"/>
      <c r="AA11" s="45"/>
      <c r="AB11" s="45"/>
      <c r="AC11" s="45"/>
      <c r="AD11" s="45"/>
      <c r="AE11" s="45"/>
      <c r="AF11" s="45"/>
      <c r="AG11" s="45"/>
      <c r="AH11" s="45"/>
      <c r="AI11" s="45"/>
      <c r="AJ11" s="45"/>
      <c r="AK11" s="45"/>
      <c r="AL11" s="45"/>
      <c r="AM11" s="45"/>
      <c r="AN11" s="45"/>
      <c r="AO11" s="45"/>
      <c r="AP11" s="45"/>
      <c r="AQ11" s="45"/>
      <c r="AR11" s="45"/>
      <c r="AS11" s="45"/>
      <c r="AT11" s="65" t="str">
        <f t="shared" si="0"/>
        <v>EDUC5005</v>
      </c>
      <c r="AU11" s="66">
        <f>VLOOKUP($AT11,TableHandbook[],AU$2,FALSE)</f>
        <v>2</v>
      </c>
      <c r="AV11">
        <f>VLOOKUP($AT11,TableHandbook[],AV$2,FALSE)</f>
        <v>0</v>
      </c>
      <c r="AW11" s="67" t="str">
        <f>VLOOKUP($AT11,TableHandbook[],AW$2,FALSE)</f>
        <v>Theories of Development and Learning</v>
      </c>
      <c r="AX11" s="68">
        <f>VLOOKUP($AT11,TableHandbook[],AX$2,FALSE)</f>
        <v>25</v>
      </c>
      <c r="AY11" s="68" t="str">
        <f>VLOOKUP($AT11,TableHandbook[],AY$2,FALSE)</f>
        <v>Nil</v>
      </c>
      <c r="AZ11" s="1" t="str">
        <f>VLOOKUP($AT11,TableHandbook[],AZ$2,FALSE)</f>
        <v>Y</v>
      </c>
      <c r="BA11" s="1" t="str">
        <f>VLOOKUP($AT11,TableHandbook[],BA$2,FALSE)</f>
        <v>Y</v>
      </c>
      <c r="BB11" s="1" t="str">
        <f>VLOOKUP($AT11,TableHandbook[],BB$2,FALSE)</f>
        <v/>
      </c>
      <c r="BC11" s="1" t="str">
        <f>VLOOKUP($AT11,TableHandbook[],BC$2,FALSE)</f>
        <v/>
      </c>
      <c r="BD11" s="1">
        <f>VLOOKUP($AT11,TableHandbook[],BD$2,FALSE)</f>
        <v>0</v>
      </c>
      <c r="BE11" s="1" t="str">
        <f>VLOOKUP($AT11,TableHandbook[],BE$2,FALSE)</f>
        <v/>
      </c>
      <c r="BF11" s="1" t="str">
        <f>VLOOKUP($AT11,TableHandbook[],BF$2,FALSE)</f>
        <v>Core</v>
      </c>
      <c r="BG11" s="69" t="str">
        <f>VLOOKUP($AT11,TableHandbook[],BG$2,FALSE)</f>
        <v>Core</v>
      </c>
      <c r="BI11"/>
      <c r="BM11" s="50"/>
      <c r="BN11" s="50"/>
    </row>
    <row r="12" spans="1:67" x14ac:dyDescent="0.25">
      <c r="A12" s="39" t="s">
        <v>40</v>
      </c>
      <c r="B12" s="199" t="s">
        <v>99</v>
      </c>
      <c r="C12" s="166" t="s">
        <v>100</v>
      </c>
      <c r="D12" s="36" t="s">
        <v>98</v>
      </c>
      <c r="E12" s="175">
        <v>44562</v>
      </c>
      <c r="F12" s="175">
        <v>44562</v>
      </c>
      <c r="G12" s="36" t="s">
        <v>81</v>
      </c>
      <c r="I12" s="49">
        <v>9</v>
      </c>
      <c r="J12" s="87" t="s">
        <v>63</v>
      </c>
      <c r="K12" s="93" t="s">
        <v>69</v>
      </c>
      <c r="L12" s="89" t="s">
        <v>58</v>
      </c>
      <c r="M12" s="93" t="s">
        <v>101</v>
      </c>
      <c r="N12" s="87" t="s">
        <v>60</v>
      </c>
      <c r="O12" s="93" t="s">
        <v>67</v>
      </c>
      <c r="P12" s="89" t="s">
        <v>62</v>
      </c>
      <c r="Q12" s="93" t="s">
        <v>68</v>
      </c>
      <c r="R12" s="87" t="s">
        <v>63</v>
      </c>
      <c r="S12" s="93" t="s">
        <v>102</v>
      </c>
      <c r="T12" s="89" t="s">
        <v>58</v>
      </c>
      <c r="U12" s="93" t="s">
        <v>83</v>
      </c>
      <c r="V12" s="87" t="s">
        <v>60</v>
      </c>
      <c r="W12" s="93" t="s">
        <v>94</v>
      </c>
      <c r="X12" s="89" t="s">
        <v>62</v>
      </c>
      <c r="Y12" s="93" t="s">
        <v>94</v>
      </c>
      <c r="Z12" s="45"/>
      <c r="AA12" s="45"/>
      <c r="AB12" s="45"/>
      <c r="AC12" s="45"/>
      <c r="AD12" s="45"/>
      <c r="AE12" s="45"/>
      <c r="AF12" s="45"/>
      <c r="AG12" s="45"/>
      <c r="AH12" s="45"/>
      <c r="AI12" s="45"/>
      <c r="AJ12" s="45"/>
      <c r="AK12" s="45"/>
      <c r="AL12" s="45"/>
      <c r="AM12" s="45"/>
      <c r="AN12" s="45"/>
      <c r="AO12" s="45"/>
      <c r="AP12" s="45"/>
      <c r="AQ12" s="45"/>
      <c r="AR12" s="45"/>
      <c r="AS12" s="45"/>
      <c r="AT12" s="65" t="str">
        <f t="shared" si="0"/>
        <v>EDEC5006</v>
      </c>
      <c r="AU12" s="66">
        <f>VLOOKUP($AT12,TableHandbook[],AU$2,FALSE)</f>
        <v>1</v>
      </c>
      <c r="AV12">
        <f>VLOOKUP($AT12,TableHandbook[],AV$2,FALSE)</f>
        <v>0</v>
      </c>
      <c r="AW12" s="67" t="str">
        <f>VLOOKUP($AT12,TableHandbook[],AW$2,FALSE)</f>
        <v>Creative and Media Arts in Early Childhood</v>
      </c>
      <c r="AX12" s="68">
        <f>VLOOKUP($AT12,TableHandbook[],AX$2,FALSE)</f>
        <v>25</v>
      </c>
      <c r="AY12" s="68" t="str">
        <f>VLOOKUP($AT12,TableHandbook[],AY$2,FALSE)</f>
        <v>Nil</v>
      </c>
      <c r="AZ12" s="1" t="str">
        <f>VLOOKUP($AT12,TableHandbook[],AZ$2,FALSE)</f>
        <v/>
      </c>
      <c r="BA12" s="1" t="str">
        <f>VLOOKUP($AT12,TableHandbook[],BA$2,FALSE)</f>
        <v/>
      </c>
      <c r="BB12" s="1" t="str">
        <f>VLOOKUP($AT12,TableHandbook[],BB$2,FALSE)</f>
        <v/>
      </c>
      <c r="BC12" s="1" t="str">
        <f>VLOOKUP($AT12,TableHandbook[],BC$2,FALSE)</f>
        <v/>
      </c>
      <c r="BD12" s="1">
        <f>VLOOKUP($AT12,TableHandbook[],BD$2,FALSE)</f>
        <v>0</v>
      </c>
      <c r="BE12" s="1" t="str">
        <f>VLOOKUP($AT12,TableHandbook[],BE$2,FALSE)</f>
        <v/>
      </c>
      <c r="BF12" s="1" t="str">
        <f>VLOOKUP($AT12,TableHandbook[],BF$2,FALSE)</f>
        <v>Core</v>
      </c>
      <c r="BG12" s="69" t="str">
        <f>VLOOKUP($AT12,TableHandbook[],BG$2,FALSE)</f>
        <v/>
      </c>
      <c r="BI12"/>
      <c r="BM12" s="50"/>
      <c r="BN12" s="50"/>
    </row>
    <row r="13" spans="1:67" x14ac:dyDescent="0.25">
      <c r="A13" s="36" t="s">
        <v>11</v>
      </c>
      <c r="B13" s="199" t="s">
        <v>103</v>
      </c>
      <c r="C13" s="166" t="s">
        <v>91</v>
      </c>
      <c r="D13" s="36" t="s">
        <v>104</v>
      </c>
      <c r="E13" s="175">
        <v>44562</v>
      </c>
      <c r="F13" s="175">
        <v>44562</v>
      </c>
      <c r="G13" s="36" t="s">
        <v>81</v>
      </c>
      <c r="I13" s="49">
        <v>10</v>
      </c>
      <c r="J13" s="86" t="s">
        <v>105</v>
      </c>
      <c r="K13" s="92" t="s">
        <v>61</v>
      </c>
      <c r="L13" s="86" t="s">
        <v>106</v>
      </c>
      <c r="M13" s="92" t="s">
        <v>82</v>
      </c>
      <c r="N13" s="86" t="s">
        <v>107</v>
      </c>
      <c r="O13" s="92" t="s">
        <v>93</v>
      </c>
      <c r="P13" s="86" t="s">
        <v>108</v>
      </c>
      <c r="Q13" s="92" t="s">
        <v>109</v>
      </c>
      <c r="R13" s="86" t="s">
        <v>105</v>
      </c>
      <c r="S13" s="92" t="s">
        <v>110</v>
      </c>
      <c r="T13" s="86" t="s">
        <v>106</v>
      </c>
      <c r="U13" s="92" t="s">
        <v>111</v>
      </c>
      <c r="V13" s="86" t="s">
        <v>107</v>
      </c>
      <c r="W13" s="92" t="s">
        <v>87</v>
      </c>
      <c r="X13" s="86" t="s">
        <v>108</v>
      </c>
      <c r="Y13" s="92" t="s">
        <v>102</v>
      </c>
      <c r="Z13" s="55"/>
      <c r="AA13" s="55"/>
      <c r="AB13" s="55"/>
      <c r="AC13" s="55"/>
      <c r="AD13" s="55"/>
      <c r="AE13" s="55"/>
      <c r="AF13" s="55"/>
      <c r="AG13" s="55"/>
      <c r="AH13" s="55"/>
      <c r="AI13" s="55"/>
      <c r="AJ13" s="55"/>
      <c r="AK13" s="55"/>
      <c r="AL13" s="55"/>
      <c r="AM13" s="55"/>
      <c r="AN13" s="55"/>
      <c r="AO13" s="55"/>
      <c r="AP13" s="55"/>
      <c r="AQ13" s="55"/>
      <c r="AR13" s="55"/>
      <c r="AS13" s="55"/>
      <c r="AT13" s="98" t="str">
        <f t="shared" si="0"/>
        <v>EDEC5000</v>
      </c>
      <c r="AU13" s="99">
        <f>VLOOKUP($AT13,TableHandbook[],AU$2,FALSE)</f>
        <v>1</v>
      </c>
      <c r="AV13" s="100">
        <f>VLOOKUP($AT13,TableHandbook[],AV$2,FALSE)</f>
        <v>0</v>
      </c>
      <c r="AW13" s="101" t="str">
        <f>VLOOKUP($AT13,TableHandbook[],AW$2,FALSE)</f>
        <v>Early Childhood Professional Experience 1: Planning and Documentation</v>
      </c>
      <c r="AX13" s="102">
        <f>VLOOKUP($AT13,TableHandbook[],AX$2,FALSE)</f>
        <v>25</v>
      </c>
      <c r="AY13" s="102" t="str">
        <f>VLOOKUP($AT13,TableHandbook[],AY$2,FALSE)</f>
        <v>EDUC5005</v>
      </c>
      <c r="AZ13" s="103" t="str">
        <f>VLOOKUP($AT13,TableHandbook[],AZ$2,FALSE)</f>
        <v/>
      </c>
      <c r="BA13" s="103" t="str">
        <f>VLOOKUP($AT13,TableHandbook[],BA$2,FALSE)</f>
        <v/>
      </c>
      <c r="BB13" s="103" t="str">
        <f>VLOOKUP($AT13,TableHandbook[],BB$2,FALSE)</f>
        <v/>
      </c>
      <c r="BC13" s="103" t="str">
        <f>VLOOKUP($AT13,TableHandbook[],BC$2,FALSE)</f>
        <v/>
      </c>
      <c r="BD13" s="103">
        <f>VLOOKUP($AT13,TableHandbook[],BD$2,FALSE)</f>
        <v>0</v>
      </c>
      <c r="BE13" s="103" t="str">
        <f>VLOOKUP($AT13,TableHandbook[],BE$2,FALSE)</f>
        <v/>
      </c>
      <c r="BF13" s="103" t="str">
        <f>VLOOKUP($AT13,TableHandbook[],BF$2,FALSE)</f>
        <v>Core</v>
      </c>
      <c r="BG13" s="104" t="str">
        <f>VLOOKUP($AT13,TableHandbook[],BG$2,FALSE)</f>
        <v/>
      </c>
      <c r="BI13"/>
      <c r="BM13" s="50"/>
      <c r="BN13" s="50"/>
    </row>
    <row r="14" spans="1:67" x14ac:dyDescent="0.25">
      <c r="A14" s="39" t="s">
        <v>39</v>
      </c>
      <c r="B14" s="199" t="s">
        <v>112</v>
      </c>
      <c r="C14" s="166" t="s">
        <v>91</v>
      </c>
      <c r="D14" s="36" t="s">
        <v>104</v>
      </c>
      <c r="E14" s="175">
        <v>44562</v>
      </c>
      <c r="F14" s="175">
        <v>44562</v>
      </c>
      <c r="G14" s="36" t="s">
        <v>81</v>
      </c>
      <c r="I14" s="49">
        <v>11</v>
      </c>
      <c r="J14" s="87" t="s">
        <v>105</v>
      </c>
      <c r="K14" s="93" t="s">
        <v>101</v>
      </c>
      <c r="L14" s="87" t="s">
        <v>106</v>
      </c>
      <c r="M14" s="93" t="s">
        <v>113</v>
      </c>
      <c r="N14" s="87" t="s">
        <v>107</v>
      </c>
      <c r="O14" s="93" t="s">
        <v>114</v>
      </c>
      <c r="P14" s="87" t="s">
        <v>108</v>
      </c>
      <c r="Q14" s="93" t="s">
        <v>87</v>
      </c>
      <c r="R14" s="87" t="s">
        <v>105</v>
      </c>
      <c r="S14" s="93" t="s">
        <v>115</v>
      </c>
      <c r="T14" s="87" t="s">
        <v>106</v>
      </c>
      <c r="U14" s="93" t="s">
        <v>94</v>
      </c>
      <c r="V14" s="87" t="s">
        <v>107</v>
      </c>
      <c r="W14" s="93" t="s">
        <v>116</v>
      </c>
      <c r="X14" s="87" t="s">
        <v>108</v>
      </c>
      <c r="Y14" s="93" t="s">
        <v>117</v>
      </c>
      <c r="Z14" s="55"/>
      <c r="AA14" s="55"/>
      <c r="AB14" s="55"/>
      <c r="AC14" s="55"/>
      <c r="AD14" s="55"/>
      <c r="AE14" s="55"/>
      <c r="AF14" s="55"/>
      <c r="AG14" s="55"/>
      <c r="AH14" s="55"/>
      <c r="AI14" s="55"/>
      <c r="AJ14" s="55"/>
      <c r="AK14" s="55"/>
      <c r="AL14" s="55"/>
      <c r="AM14" s="55"/>
      <c r="AN14" s="55"/>
      <c r="AO14" s="55"/>
      <c r="AP14" s="55"/>
      <c r="AQ14" s="55"/>
      <c r="AR14" s="55"/>
      <c r="AS14" s="55"/>
      <c r="AT14" s="105" t="str">
        <f t="shared" si="0"/>
        <v>EDEC5007</v>
      </c>
      <c r="AU14" s="106">
        <f>VLOOKUP($AT14,TableHandbook[],AU$2,FALSE)</f>
        <v>1</v>
      </c>
      <c r="AV14" s="107">
        <f>VLOOKUP($AT14,TableHandbook[],AV$2,FALSE)</f>
        <v>0</v>
      </c>
      <c r="AW14" s="108" t="str">
        <f>VLOOKUP($AT14,TableHandbook[],AW$2,FALSE)</f>
        <v>Numeracy for Birth to 4 Year-Olds</v>
      </c>
      <c r="AX14" s="109">
        <f>VLOOKUP($AT14,TableHandbook[],AX$2,FALSE)</f>
        <v>25</v>
      </c>
      <c r="AY14" s="109" t="str">
        <f>VLOOKUP($AT14,TableHandbook[],AY$2,FALSE)</f>
        <v>Nil</v>
      </c>
      <c r="AZ14" s="110" t="str">
        <f>VLOOKUP($AT14,TableHandbook[],AZ$2,FALSE)</f>
        <v/>
      </c>
      <c r="BA14" s="110" t="str">
        <f>VLOOKUP($AT14,TableHandbook[],BA$2,FALSE)</f>
        <v/>
      </c>
      <c r="BB14" s="110" t="str">
        <f>VLOOKUP($AT14,TableHandbook[],BB$2,FALSE)</f>
        <v/>
      </c>
      <c r="BC14" s="110" t="str">
        <f>VLOOKUP($AT14,TableHandbook[],BC$2,FALSE)</f>
        <v/>
      </c>
      <c r="BD14" s="110">
        <f>VLOOKUP($AT14,TableHandbook[],BD$2,FALSE)</f>
        <v>0</v>
      </c>
      <c r="BE14" s="110" t="str">
        <f>VLOOKUP($AT14,TableHandbook[],BE$2,FALSE)</f>
        <v/>
      </c>
      <c r="BF14" s="110" t="str">
        <f>VLOOKUP($AT14,TableHandbook[],BF$2,FALSE)</f>
        <v>Core</v>
      </c>
      <c r="BG14" s="111" t="str">
        <f>VLOOKUP($AT14,TableHandbook[],BG$2,FALSE)</f>
        <v/>
      </c>
      <c r="BI14"/>
      <c r="BM14" s="50"/>
      <c r="BN14" s="50"/>
    </row>
    <row r="15" spans="1:67" x14ac:dyDescent="0.25">
      <c r="A15" s="204" t="s">
        <v>118</v>
      </c>
      <c r="B15" s="207" t="s">
        <v>119</v>
      </c>
      <c r="C15" s="205" t="s">
        <v>79</v>
      </c>
      <c r="D15" s="60" t="s">
        <v>98</v>
      </c>
      <c r="E15" s="206">
        <v>45292</v>
      </c>
      <c r="F15" s="206">
        <v>45292</v>
      </c>
      <c r="G15" s="60" t="s">
        <v>120</v>
      </c>
      <c r="I15" s="49">
        <v>12</v>
      </c>
      <c r="J15" s="87" t="s">
        <v>106</v>
      </c>
      <c r="K15" s="93" t="s">
        <v>67</v>
      </c>
      <c r="L15" s="87" t="s">
        <v>107</v>
      </c>
      <c r="M15" s="93" t="s">
        <v>93</v>
      </c>
      <c r="N15" s="87" t="s">
        <v>108</v>
      </c>
      <c r="O15" s="93" t="s">
        <v>109</v>
      </c>
      <c r="P15" s="87" t="s">
        <v>105</v>
      </c>
      <c r="Q15" s="93" t="s">
        <v>101</v>
      </c>
      <c r="R15" s="87" t="s">
        <v>106</v>
      </c>
      <c r="S15" s="93" t="s">
        <v>111</v>
      </c>
      <c r="T15" s="87" t="s">
        <v>107</v>
      </c>
      <c r="U15" s="93" t="s">
        <v>116</v>
      </c>
      <c r="V15" s="87" t="s">
        <v>108</v>
      </c>
      <c r="W15" s="93" t="s">
        <v>102</v>
      </c>
      <c r="X15" s="87" t="s">
        <v>105</v>
      </c>
      <c r="Y15" s="93" t="s">
        <v>110</v>
      </c>
      <c r="Z15" s="55"/>
      <c r="AA15" s="55"/>
      <c r="AB15" s="55"/>
      <c r="AC15" s="55"/>
      <c r="AD15" s="55"/>
      <c r="AE15" s="55"/>
      <c r="AF15" s="55"/>
      <c r="AG15" s="55"/>
      <c r="AH15" s="55"/>
      <c r="AI15" s="55"/>
      <c r="AJ15" s="55"/>
      <c r="AK15" s="55"/>
      <c r="AL15" s="55"/>
      <c r="AM15" s="55"/>
      <c r="AN15" s="55"/>
      <c r="AO15" s="55"/>
      <c r="AP15" s="55"/>
      <c r="AQ15" s="55"/>
      <c r="AR15" s="55"/>
      <c r="AS15" s="55"/>
      <c r="AT15" s="65" t="str">
        <f t="shared" si="0"/>
        <v>EDEC5001</v>
      </c>
      <c r="AU15" s="66">
        <f>VLOOKUP($AT15,TableHandbook[],AU$2,FALSE)</f>
        <v>2</v>
      </c>
      <c r="AV15">
        <f>VLOOKUP($AT15,TableHandbook[],AV$2,FALSE)</f>
        <v>0</v>
      </c>
      <c r="AW15" s="67" t="str">
        <f>VLOOKUP($AT15,TableHandbook[],AW$2,FALSE)</f>
        <v>Early Childhood Professional Experience 2: Planning for Writing, Assessment and Reporting</v>
      </c>
      <c r="AX15" s="68">
        <f>VLOOKUP($AT15,TableHandbook[],AX$2,FALSE)</f>
        <v>25</v>
      </c>
      <c r="AY15" s="68" t="str">
        <f>VLOOKUP($AT15,TableHandbook[],AY$2,FALSE)</f>
        <v>EDEC5000 + EDUC5031</v>
      </c>
      <c r="AZ15" s="1" t="str">
        <f>VLOOKUP($AT15,TableHandbook[],AZ$2,FALSE)</f>
        <v>Y</v>
      </c>
      <c r="BA15" s="1" t="str">
        <f>VLOOKUP($AT15,TableHandbook[],BA$2,FALSE)</f>
        <v>Y</v>
      </c>
      <c r="BB15" s="1" t="str">
        <f>VLOOKUP($AT15,TableHandbook[],BB$2,FALSE)</f>
        <v/>
      </c>
      <c r="BC15" s="1" t="str">
        <f>VLOOKUP($AT15,TableHandbook[],BC$2,FALSE)</f>
        <v/>
      </c>
      <c r="BD15" s="1">
        <f>VLOOKUP($AT15,TableHandbook[],BD$2,FALSE)</f>
        <v>0</v>
      </c>
      <c r="BE15" s="1" t="str">
        <f>VLOOKUP($AT15,TableHandbook[],BE$2,FALSE)</f>
        <v/>
      </c>
      <c r="BF15" s="1" t="str">
        <f>VLOOKUP($AT15,TableHandbook[],BF$2,FALSE)</f>
        <v>Core</v>
      </c>
      <c r="BG15" s="69" t="str">
        <f>VLOOKUP($AT15,TableHandbook[],BG$2,FALSE)</f>
        <v/>
      </c>
      <c r="BM15" s="50"/>
      <c r="BN15" s="50"/>
    </row>
    <row r="16" spans="1:67" x14ac:dyDescent="0.25">
      <c r="I16" s="49">
        <v>13</v>
      </c>
      <c r="J16" s="87" t="s">
        <v>106</v>
      </c>
      <c r="K16" s="93" t="s">
        <v>113</v>
      </c>
      <c r="L16" s="87" t="s">
        <v>107</v>
      </c>
      <c r="M16" s="93" t="s">
        <v>114</v>
      </c>
      <c r="N16" s="87" t="s">
        <v>108</v>
      </c>
      <c r="O16" s="93" t="s">
        <v>87</v>
      </c>
      <c r="P16" s="87" t="s">
        <v>105</v>
      </c>
      <c r="Q16" s="93" t="s">
        <v>115</v>
      </c>
      <c r="R16" s="87" t="s">
        <v>106</v>
      </c>
      <c r="S16" s="93" t="s">
        <v>70</v>
      </c>
      <c r="T16" s="87" t="s">
        <v>107</v>
      </c>
      <c r="U16" s="93" t="s">
        <v>115</v>
      </c>
      <c r="V16" s="87" t="s">
        <v>108</v>
      </c>
      <c r="W16" s="93" t="s">
        <v>117</v>
      </c>
      <c r="X16" s="87" t="s">
        <v>105</v>
      </c>
      <c r="Y16" s="93" t="s">
        <v>115</v>
      </c>
      <c r="Z16" s="55"/>
      <c r="AA16" s="55"/>
      <c r="AB16" s="55"/>
      <c r="AC16" s="55"/>
      <c r="AD16" s="55"/>
      <c r="AE16" s="55"/>
      <c r="AF16" s="55"/>
      <c r="AG16" s="55"/>
      <c r="AH16" s="55"/>
      <c r="AI16" s="55"/>
      <c r="AJ16" s="55"/>
      <c r="AK16" s="55"/>
      <c r="AL16" s="55"/>
      <c r="AM16" s="55"/>
      <c r="AN16" s="55"/>
      <c r="AO16" s="55"/>
      <c r="AP16" s="55"/>
      <c r="AQ16" s="55"/>
      <c r="AR16" s="55"/>
      <c r="AS16" s="55"/>
      <c r="AT16" s="76" t="str">
        <f t="shared" si="0"/>
        <v>EDEC6003</v>
      </c>
      <c r="AU16" s="66">
        <f>VLOOKUP($AT16,TableHandbook[],AU$2,FALSE)</f>
        <v>1</v>
      </c>
      <c r="AV16">
        <f>VLOOKUP($AT16,TableHandbook[],AV$2,FALSE)</f>
        <v>0</v>
      </c>
      <c r="AW16" s="67" t="str">
        <f>VLOOKUP($AT16,TableHandbook[],AW$2,FALSE)</f>
        <v>Philosophy, Management and Leadership in Early Childhood Education and Care</v>
      </c>
      <c r="AX16" s="68">
        <f>VLOOKUP($AT16,TableHandbook[],AX$2,FALSE)</f>
        <v>25</v>
      </c>
      <c r="AY16" s="68" t="str">
        <f>VLOOKUP($AT16,TableHandbook[],AY$2,FALSE)</f>
        <v>Nil</v>
      </c>
      <c r="AZ16" s="1" t="str">
        <f>VLOOKUP($AT16,TableHandbook[],AZ$2,FALSE)</f>
        <v>Y</v>
      </c>
      <c r="BA16" s="1" t="str">
        <f>VLOOKUP($AT16,TableHandbook[],BA$2,FALSE)</f>
        <v>Y</v>
      </c>
      <c r="BB16" s="1" t="str">
        <f>VLOOKUP($AT16,TableHandbook[],BB$2,FALSE)</f>
        <v/>
      </c>
      <c r="BC16" s="1" t="str">
        <f>VLOOKUP($AT16,TableHandbook[],BC$2,FALSE)</f>
        <v/>
      </c>
      <c r="BD16" s="1">
        <f>VLOOKUP($AT16,TableHandbook[],BD$2,FALSE)</f>
        <v>0</v>
      </c>
      <c r="BE16" s="1" t="str">
        <f>VLOOKUP($AT16,TableHandbook[],BE$2,FALSE)</f>
        <v/>
      </c>
      <c r="BF16" s="1" t="str">
        <f>VLOOKUP($AT16,TableHandbook[],BF$2,FALSE)</f>
        <v>Core</v>
      </c>
      <c r="BG16" s="69" t="str">
        <f>VLOOKUP($AT16,TableHandbook[],BG$2,FALSE)</f>
        <v/>
      </c>
      <c r="BH16" s="36"/>
      <c r="BI16" s="50"/>
      <c r="BM16" s="50"/>
      <c r="BN16" s="50"/>
    </row>
    <row r="17" spans="1:67" x14ac:dyDescent="0.25">
      <c r="A17" s="127" t="s">
        <v>121</v>
      </c>
      <c r="I17" s="49">
        <v>14</v>
      </c>
      <c r="J17" s="87" t="s">
        <v>107</v>
      </c>
      <c r="K17" s="94" t="s">
        <v>115</v>
      </c>
      <c r="L17" s="87" t="s">
        <v>108</v>
      </c>
      <c r="M17" s="93" t="s">
        <v>109</v>
      </c>
      <c r="N17" s="87" t="s">
        <v>105</v>
      </c>
      <c r="O17" s="93" t="s">
        <v>115</v>
      </c>
      <c r="P17" s="87" t="s">
        <v>106</v>
      </c>
      <c r="Q17" s="93" t="s">
        <v>67</v>
      </c>
      <c r="R17" s="87" t="s">
        <v>107</v>
      </c>
      <c r="S17" s="93" t="s">
        <v>88</v>
      </c>
      <c r="T17" s="87" t="s">
        <v>108</v>
      </c>
      <c r="U17" s="93" t="s">
        <v>102</v>
      </c>
      <c r="V17" s="87" t="s">
        <v>105</v>
      </c>
      <c r="W17" s="93" t="s">
        <v>110</v>
      </c>
      <c r="X17" s="87" t="s">
        <v>106</v>
      </c>
      <c r="Y17" s="93" t="s">
        <v>111</v>
      </c>
      <c r="Z17" s="55"/>
      <c r="AA17" s="55"/>
      <c r="AB17" s="55"/>
      <c r="AC17" s="55"/>
      <c r="AD17" s="55"/>
      <c r="AE17" s="55"/>
      <c r="AF17" s="55"/>
      <c r="AG17" s="55"/>
      <c r="AH17" s="55"/>
      <c r="AI17" s="55"/>
      <c r="AJ17" s="55"/>
      <c r="AK17" s="55"/>
      <c r="AL17" s="55"/>
      <c r="AM17" s="55"/>
      <c r="AN17" s="55"/>
      <c r="AO17" s="55"/>
      <c r="AP17" s="55"/>
      <c r="AQ17" s="55"/>
      <c r="AR17" s="55"/>
      <c r="AS17" s="55"/>
      <c r="AT17" s="112" t="str">
        <f t="shared" si="0"/>
        <v>EDEC6001</v>
      </c>
      <c r="AU17" s="99">
        <f>VLOOKUP($AT17,TableHandbook[],AU$2,FALSE)</f>
        <v>1</v>
      </c>
      <c r="AV17" s="100">
        <f>VLOOKUP($AT17,TableHandbook[],AV$2,FALSE)</f>
        <v>0</v>
      </c>
      <c r="AW17" s="101" t="str">
        <f>VLOOKUP($AT17,TableHandbook[],AW$2,FALSE)</f>
        <v>Early Literacies and Play-Based Pedagogies</v>
      </c>
      <c r="AX17" s="102">
        <f>VLOOKUP($AT17,TableHandbook[],AX$2,FALSE)</f>
        <v>25</v>
      </c>
      <c r="AY17" s="102" t="str">
        <f>VLOOKUP($AT17,TableHandbook[],AY$2,FALSE)</f>
        <v>Nil</v>
      </c>
      <c r="AZ17" s="103" t="str">
        <f>VLOOKUP($AT17,TableHandbook[],AZ$2,FALSE)</f>
        <v/>
      </c>
      <c r="BA17" s="103" t="str">
        <f>VLOOKUP($AT17,TableHandbook[],BA$2,FALSE)</f>
        <v/>
      </c>
      <c r="BB17" s="103" t="str">
        <f>VLOOKUP($AT17,TableHandbook[],BB$2,FALSE)</f>
        <v>Y</v>
      </c>
      <c r="BC17" s="103" t="str">
        <f>VLOOKUP($AT17,TableHandbook[],BC$2,FALSE)</f>
        <v>Y</v>
      </c>
      <c r="BD17" s="103">
        <f>VLOOKUP($AT17,TableHandbook[],BD$2,FALSE)</f>
        <v>0</v>
      </c>
      <c r="BE17" s="103" t="str">
        <f>VLOOKUP($AT17,TableHandbook[],BE$2,FALSE)</f>
        <v/>
      </c>
      <c r="BF17" s="103" t="str">
        <f>VLOOKUP($AT17,TableHandbook[],BF$2,FALSE)</f>
        <v>Core</v>
      </c>
      <c r="BG17" s="104" t="str">
        <f>VLOOKUP($AT17,TableHandbook[],BG$2,FALSE)</f>
        <v/>
      </c>
      <c r="BH17" s="36"/>
      <c r="BI17" s="50"/>
      <c r="BJ17" s="51"/>
      <c r="BK17" s="50"/>
      <c r="BL17" s="59"/>
      <c r="BM17" s="50"/>
      <c r="BN17" s="50"/>
    </row>
    <row r="18" spans="1:67" x14ac:dyDescent="0.25">
      <c r="A18" s="56" t="s">
        <v>468</v>
      </c>
      <c r="B18" s="57" t="s">
        <v>122</v>
      </c>
      <c r="C18" s="36" t="s">
        <v>123</v>
      </c>
      <c r="D18" s="36" t="s">
        <v>124</v>
      </c>
      <c r="E18" s="36" t="s">
        <v>125</v>
      </c>
      <c r="I18" s="49">
        <v>15</v>
      </c>
      <c r="J18" s="87" t="s">
        <v>107</v>
      </c>
      <c r="K18" s="93" t="s">
        <v>114</v>
      </c>
      <c r="L18" s="87" t="s">
        <v>108</v>
      </c>
      <c r="M18" s="93" t="s">
        <v>87</v>
      </c>
      <c r="N18" s="87" t="s">
        <v>105</v>
      </c>
      <c r="O18" s="93" t="s">
        <v>101</v>
      </c>
      <c r="P18" s="87" t="s">
        <v>106</v>
      </c>
      <c r="Q18" s="93" t="s">
        <v>113</v>
      </c>
      <c r="R18" s="87" t="s">
        <v>107</v>
      </c>
      <c r="S18" s="93" t="s">
        <v>116</v>
      </c>
      <c r="T18" s="87" t="s">
        <v>108</v>
      </c>
      <c r="U18" s="93" t="s">
        <v>117</v>
      </c>
      <c r="V18" s="87" t="s">
        <v>105</v>
      </c>
      <c r="W18" s="93" t="s">
        <v>115</v>
      </c>
      <c r="X18" s="87" t="s">
        <v>106</v>
      </c>
      <c r="Y18" s="93" t="s">
        <v>87</v>
      </c>
      <c r="Z18" s="55"/>
      <c r="AA18" s="55"/>
      <c r="AB18" s="55"/>
      <c r="AC18" s="55"/>
      <c r="AD18" s="55"/>
      <c r="AE18" s="55"/>
      <c r="AF18" s="55"/>
      <c r="AG18" s="55"/>
      <c r="AH18" s="55"/>
      <c r="AI18" s="55"/>
      <c r="AJ18" s="55"/>
      <c r="AK18" s="55"/>
      <c r="AL18" s="55"/>
      <c r="AM18" s="55"/>
      <c r="AN18" s="55"/>
      <c r="AO18" s="55"/>
      <c r="AP18" s="55"/>
      <c r="AQ18" s="55"/>
      <c r="AR18" s="55"/>
      <c r="AS18" s="55"/>
      <c r="AT18" s="113" t="str">
        <f t="shared" si="0"/>
        <v>EDUC5006</v>
      </c>
      <c r="AU18" s="106">
        <f>VLOOKUP($AT18,TableHandbook[],AU$2,FALSE)</f>
        <v>1</v>
      </c>
      <c r="AV18" s="107">
        <f>VLOOKUP($AT18,TableHandbook[],AV$2,FALSE)</f>
        <v>0</v>
      </c>
      <c r="AW18" s="108" t="str">
        <f>VLOOKUP($AT18,TableHandbook[],AW$2,FALSE)</f>
        <v>Creative Technologies</v>
      </c>
      <c r="AX18" s="109">
        <f>VLOOKUP($AT18,TableHandbook[],AX$2,FALSE)</f>
        <v>25</v>
      </c>
      <c r="AY18" s="109" t="str">
        <f>VLOOKUP($AT18,TableHandbook[],AY$2,FALSE)</f>
        <v>Nil</v>
      </c>
      <c r="AZ18" s="110" t="str">
        <f>VLOOKUP($AT18,TableHandbook[],AZ$2,FALSE)</f>
        <v>Y</v>
      </c>
      <c r="BA18" s="110" t="str">
        <f>VLOOKUP($AT18,TableHandbook[],BA$2,FALSE)</f>
        <v>Y</v>
      </c>
      <c r="BB18" s="110" t="str">
        <f>VLOOKUP($AT18,TableHandbook[],BB$2,FALSE)</f>
        <v>Y</v>
      </c>
      <c r="BC18" s="110" t="str">
        <f>VLOOKUP($AT18,TableHandbook[],BC$2,FALSE)</f>
        <v>Y</v>
      </c>
      <c r="BD18" s="110">
        <f>VLOOKUP($AT18,TableHandbook[],BD$2,FALSE)</f>
        <v>0</v>
      </c>
      <c r="BE18" s="110" t="str">
        <f>VLOOKUP($AT18,TableHandbook[],BE$2,FALSE)</f>
        <v/>
      </c>
      <c r="BF18" s="110" t="str">
        <f>VLOOKUP($AT18,TableHandbook[],BF$2,FALSE)</f>
        <v>Core</v>
      </c>
      <c r="BG18" s="111" t="str">
        <f>VLOOKUP($AT18,TableHandbook[],BG$2,FALSE)</f>
        <v>Core</v>
      </c>
      <c r="BH18" s="36"/>
      <c r="BI18" s="50"/>
      <c r="BJ18" s="51"/>
      <c r="BK18" s="50"/>
      <c r="BL18" s="59"/>
      <c r="BM18" s="50"/>
      <c r="BN18" s="50"/>
    </row>
    <row r="19" spans="1:67" x14ac:dyDescent="0.25">
      <c r="A19" s="36" t="s">
        <v>17</v>
      </c>
      <c r="B19" s="166" t="s">
        <v>126</v>
      </c>
      <c r="C19" s="166" t="s">
        <v>127</v>
      </c>
      <c r="D19" s="166" t="s">
        <v>128</v>
      </c>
      <c r="E19" s="166" t="s">
        <v>129</v>
      </c>
      <c r="F19" s="166"/>
      <c r="I19" s="49">
        <v>16</v>
      </c>
      <c r="J19" s="87" t="s">
        <v>108</v>
      </c>
      <c r="K19" s="93" t="s">
        <v>109</v>
      </c>
      <c r="L19" s="87" t="s">
        <v>105</v>
      </c>
      <c r="M19" s="93" t="s">
        <v>115</v>
      </c>
      <c r="N19" s="87" t="s">
        <v>106</v>
      </c>
      <c r="O19" s="93" t="s">
        <v>113</v>
      </c>
      <c r="P19" s="87" t="s">
        <v>107</v>
      </c>
      <c r="Q19" s="93" t="s">
        <v>114</v>
      </c>
      <c r="R19" s="87" t="s">
        <v>108</v>
      </c>
      <c r="S19" s="93" t="s">
        <v>117</v>
      </c>
      <c r="T19" s="87" t="s">
        <v>105</v>
      </c>
      <c r="U19" s="93" t="s">
        <v>110</v>
      </c>
      <c r="V19" s="87" t="s">
        <v>106</v>
      </c>
      <c r="W19" s="93" t="s">
        <v>111</v>
      </c>
      <c r="X19" s="87" t="s">
        <v>107</v>
      </c>
      <c r="Y19" s="93" t="s">
        <v>116</v>
      </c>
      <c r="Z19" s="55"/>
      <c r="AA19" s="55"/>
      <c r="AB19" s="55"/>
      <c r="AC19" s="55"/>
      <c r="AD19" s="55"/>
      <c r="AE19" s="55"/>
      <c r="AF19" s="55"/>
      <c r="AG19" s="55"/>
      <c r="AH19" s="55"/>
      <c r="AI19" s="55"/>
      <c r="AJ19" s="55"/>
      <c r="AK19" s="55"/>
      <c r="AL19" s="55"/>
      <c r="AM19" s="55"/>
      <c r="AN19" s="55"/>
      <c r="AO19" s="55"/>
      <c r="AP19" s="55"/>
      <c r="AQ19" s="55"/>
      <c r="AR19" s="55"/>
      <c r="AS19" s="55"/>
      <c r="AT19" s="76" t="str">
        <f t="shared" si="0"/>
        <v>EDUC6062</v>
      </c>
      <c r="AU19" s="66">
        <f>VLOOKUP($AT19,TableHandbook[],AU$2,FALSE)</f>
        <v>1</v>
      </c>
      <c r="AV19">
        <f>VLOOKUP($AT19,TableHandbook[],AV$2,FALSE)</f>
        <v>0</v>
      </c>
      <c r="AW19" s="67" t="str">
        <f>VLOOKUP($AT19,TableHandbook[],AW$2,FALSE)</f>
        <v>Professional Experience 3: Using Data to Inform Teaching and Learning</v>
      </c>
      <c r="AX19" s="68">
        <f>VLOOKUP($AT19,TableHandbook[],AX$2,FALSE)</f>
        <v>25</v>
      </c>
      <c r="AY19" s="68" t="str">
        <f>VLOOKUP($AT19,TableHandbook[],AY$2,FALSE)</f>
        <v>EDEC5001 or EDPR5001 or EDSC5029</v>
      </c>
      <c r="AZ19" s="1" t="str">
        <f>VLOOKUP($AT19,TableHandbook[],AZ$2,FALSE)</f>
        <v>Y</v>
      </c>
      <c r="BA19" s="1" t="str">
        <f>VLOOKUP($AT19,TableHandbook[],BA$2,FALSE)</f>
        <v>Y</v>
      </c>
      <c r="BB19" s="1" t="str">
        <f>VLOOKUP($AT19,TableHandbook[],BB$2,FALSE)</f>
        <v/>
      </c>
      <c r="BC19" s="1" t="str">
        <f>VLOOKUP($AT19,TableHandbook[],BC$2,FALSE)</f>
        <v/>
      </c>
      <c r="BD19" s="1">
        <f>VLOOKUP($AT19,TableHandbook[],BD$2,FALSE)</f>
        <v>0</v>
      </c>
      <c r="BE19" s="1" t="str">
        <f>VLOOKUP($AT19,TableHandbook[],BE$2,FALSE)</f>
        <v/>
      </c>
      <c r="BF19" s="1" t="str">
        <f>VLOOKUP($AT19,TableHandbook[],BF$2,FALSE)</f>
        <v>Core</v>
      </c>
      <c r="BG19" s="69" t="str">
        <f>VLOOKUP($AT19,TableHandbook[],BG$2,FALSE)</f>
        <v>Core</v>
      </c>
      <c r="BH19" s="36"/>
      <c r="BI19" s="50"/>
      <c r="BJ19" s="51"/>
      <c r="BK19" s="50"/>
      <c r="BL19" s="59"/>
      <c r="BM19" s="50"/>
      <c r="BN19" s="50"/>
    </row>
    <row r="20" spans="1:67" x14ac:dyDescent="0.25">
      <c r="A20" s="36" t="s">
        <v>130</v>
      </c>
      <c r="B20" s="166" t="s">
        <v>127</v>
      </c>
      <c r="C20" s="166" t="s">
        <v>128</v>
      </c>
      <c r="D20" s="166" t="s">
        <v>129</v>
      </c>
      <c r="E20" s="166" t="s">
        <v>126</v>
      </c>
      <c r="F20" s="166"/>
      <c r="I20" s="49">
        <v>17</v>
      </c>
      <c r="J20" s="89" t="s">
        <v>108</v>
      </c>
      <c r="K20" s="115" t="s">
        <v>131</v>
      </c>
      <c r="L20" s="89" t="s">
        <v>105</v>
      </c>
      <c r="M20" s="97" t="s">
        <v>132</v>
      </c>
      <c r="N20" s="89" t="s">
        <v>106</v>
      </c>
      <c r="O20" s="88" t="s">
        <v>131</v>
      </c>
      <c r="P20" s="89" t="s">
        <v>107</v>
      </c>
      <c r="Q20" s="88" t="s">
        <v>131</v>
      </c>
      <c r="R20" s="89" t="s">
        <v>108</v>
      </c>
      <c r="S20" s="88" t="s">
        <v>131</v>
      </c>
      <c r="T20" s="89" t="s">
        <v>105</v>
      </c>
      <c r="U20" s="88" t="s">
        <v>131</v>
      </c>
      <c r="V20" s="89" t="s">
        <v>106</v>
      </c>
      <c r="W20" s="88" t="s">
        <v>131</v>
      </c>
      <c r="X20" s="89" t="s">
        <v>107</v>
      </c>
      <c r="Y20" s="88" t="s">
        <v>131</v>
      </c>
      <c r="Z20" s="55"/>
      <c r="AA20" s="55"/>
      <c r="AB20" s="55"/>
      <c r="AC20" s="55"/>
      <c r="AD20" s="55"/>
      <c r="AE20" s="55"/>
      <c r="AF20" s="55"/>
      <c r="AG20" s="55"/>
      <c r="AH20" s="55"/>
      <c r="AI20" s="55"/>
      <c r="AJ20" s="55"/>
      <c r="AK20" s="55"/>
      <c r="AL20" s="55"/>
      <c r="AM20" s="55"/>
      <c r="AN20" s="55"/>
      <c r="AO20" s="55"/>
      <c r="AP20" s="55"/>
      <c r="AQ20" s="55"/>
      <c r="AR20" s="55"/>
      <c r="AS20" s="55"/>
      <c r="AT20" s="91" t="str">
        <f t="shared" si="0"/>
        <v>---</v>
      </c>
      <c r="AU20" s="70">
        <f>VLOOKUP($AT20,TableHandbook[],AU$2,FALSE)</f>
        <v>0</v>
      </c>
      <c r="AV20" s="71">
        <f>VLOOKUP($AT20,TableHandbook[],AV$2,FALSE)</f>
        <v>0</v>
      </c>
      <c r="AW20" s="72" t="str">
        <f>VLOOKUP($AT20,TableHandbook[],AW$2,FALSE)</f>
        <v>No unit available</v>
      </c>
      <c r="AX20" s="73">
        <f>VLOOKUP($AT20,TableHandbook[],AX$2,FALSE)</f>
        <v>0</v>
      </c>
      <c r="AY20" s="73">
        <f>VLOOKUP($AT20,TableHandbook[],AY$2,FALSE)</f>
        <v>0</v>
      </c>
      <c r="AZ20" s="74" t="str">
        <f>VLOOKUP($AT20,TableHandbook[],AZ$2,FALSE)</f>
        <v/>
      </c>
      <c r="BA20" s="74" t="str">
        <f>VLOOKUP($AT20,TableHandbook[],BA$2,FALSE)</f>
        <v/>
      </c>
      <c r="BB20" s="74" t="str">
        <f>VLOOKUP($AT20,TableHandbook[],BB$2,FALSE)</f>
        <v/>
      </c>
      <c r="BC20" s="74" t="str">
        <f>VLOOKUP($AT20,TableHandbook[],BC$2,FALSE)</f>
        <v/>
      </c>
      <c r="BD20" s="74">
        <f>VLOOKUP($AT20,TableHandbook[],BD$2,FALSE)</f>
        <v>0</v>
      </c>
      <c r="BE20" s="74" t="str">
        <f>VLOOKUP($AT20,TableHandbook[],BE$2,FALSE)</f>
        <v/>
      </c>
      <c r="BF20" s="74" t="str">
        <f>VLOOKUP($AT20,TableHandbook[],BF$2,FALSE)</f>
        <v/>
      </c>
      <c r="BG20" s="75" t="str">
        <f>VLOOKUP($AT20,TableHandbook[],BG$2,FALSE)</f>
        <v/>
      </c>
      <c r="BJ20" s="51"/>
      <c r="BK20" s="50"/>
      <c r="BL20" s="60"/>
      <c r="BM20" s="50"/>
      <c r="BN20" s="54"/>
    </row>
    <row r="21" spans="1:67" x14ac:dyDescent="0.25">
      <c r="A21" s="36" t="s">
        <v>133</v>
      </c>
      <c r="B21" s="166" t="s">
        <v>128</v>
      </c>
      <c r="C21" s="166" t="s">
        <v>129</v>
      </c>
      <c r="D21" s="166" t="s">
        <v>126</v>
      </c>
      <c r="E21" s="166" t="s">
        <v>127</v>
      </c>
      <c r="F21" s="166"/>
      <c r="I21" s="49">
        <v>18</v>
      </c>
      <c r="J21" s="87" t="s">
        <v>134</v>
      </c>
      <c r="K21" s="96" t="s">
        <v>135</v>
      </c>
      <c r="L21" s="87" t="s">
        <v>136</v>
      </c>
      <c r="M21" s="93" t="s">
        <v>131</v>
      </c>
      <c r="N21" s="87" t="s">
        <v>137</v>
      </c>
      <c r="O21" s="96" t="s">
        <v>135</v>
      </c>
      <c r="P21" s="87" t="s">
        <v>138</v>
      </c>
      <c r="Q21" s="96" t="s">
        <v>135</v>
      </c>
      <c r="R21" s="87" t="s">
        <v>134</v>
      </c>
      <c r="S21" s="93" t="s">
        <v>135</v>
      </c>
      <c r="T21" s="87" t="s">
        <v>136</v>
      </c>
      <c r="U21" s="93" t="s">
        <v>135</v>
      </c>
      <c r="V21" s="87" t="s">
        <v>137</v>
      </c>
      <c r="W21" s="93" t="s">
        <v>135</v>
      </c>
      <c r="X21" s="87" t="s">
        <v>138</v>
      </c>
      <c r="Y21" s="93" t="s">
        <v>135</v>
      </c>
      <c r="Z21" s="55"/>
      <c r="AA21" s="55"/>
      <c r="AB21" s="55"/>
      <c r="AC21" s="55"/>
      <c r="AD21" s="55"/>
      <c r="AE21" s="55"/>
      <c r="AF21" s="55"/>
      <c r="AG21" s="55"/>
      <c r="AH21" s="55"/>
      <c r="AI21" s="55"/>
      <c r="AJ21" s="55"/>
      <c r="AK21" s="55"/>
      <c r="AL21" s="55"/>
      <c r="AM21" s="55"/>
      <c r="AN21" s="55"/>
      <c r="AO21" s="55"/>
      <c r="AP21" s="55"/>
      <c r="AQ21" s="55"/>
      <c r="AR21" s="55"/>
      <c r="AS21" s="55"/>
      <c r="AT21" s="76" t="str">
        <f t="shared" si="0"/>
        <v>EDUC6064</v>
      </c>
      <c r="AU21" s="66">
        <f>VLOOKUP($AT21,TableHandbook[],AU$2,FALSE)</f>
        <v>1</v>
      </c>
      <c r="AV21">
        <f>VLOOKUP($AT21,TableHandbook[],AV$2,FALSE)</f>
        <v>0</v>
      </c>
      <c r="AW21" s="67" t="str">
        <f>VLOOKUP($AT21,TableHandbook[],AW$2,FALSE)</f>
        <v>Professional Experience 4: Transition into the Profession</v>
      </c>
      <c r="AX21" s="68">
        <f>VLOOKUP($AT21,TableHandbook[],AX$2,FALSE)</f>
        <v>25</v>
      </c>
      <c r="AY21" s="68" t="str">
        <f>VLOOKUP($AT21,TableHandbook[],AY$2,FALSE)</f>
        <v>EDUC6062</v>
      </c>
      <c r="AZ21" s="1" t="str">
        <f>VLOOKUP($AT21,TableHandbook[],AZ$2,FALSE)</f>
        <v>Y</v>
      </c>
      <c r="BA21" s="1" t="str">
        <f>VLOOKUP($AT21,TableHandbook[],BA$2,FALSE)</f>
        <v>Y</v>
      </c>
      <c r="BB21" s="1" t="str">
        <f>VLOOKUP($AT21,TableHandbook[],BB$2,FALSE)</f>
        <v>Y</v>
      </c>
      <c r="BC21" s="1" t="str">
        <f>VLOOKUP($AT21,TableHandbook[],BC$2,FALSE)</f>
        <v>Y</v>
      </c>
      <c r="BD21" s="1">
        <f>VLOOKUP($AT21,TableHandbook[],BD$2,FALSE)</f>
        <v>0</v>
      </c>
      <c r="BE21" s="1" t="str">
        <f>VLOOKUP($AT21,TableHandbook[],BE$2,FALSE)</f>
        <v/>
      </c>
      <c r="BF21" s="1" t="str">
        <f>VLOOKUP($AT21,TableHandbook[],BF$2,FALSE)</f>
        <v>Core</v>
      </c>
      <c r="BG21" s="69" t="str">
        <f>VLOOKUP($AT21,TableHandbook[],BG$2,FALSE)</f>
        <v>Core</v>
      </c>
    </row>
    <row r="22" spans="1:67" x14ac:dyDescent="0.25">
      <c r="A22" s="36" t="s">
        <v>139</v>
      </c>
      <c r="B22" s="166" t="s">
        <v>129</v>
      </c>
      <c r="C22" s="166" t="s">
        <v>126</v>
      </c>
      <c r="D22" s="166" t="s">
        <v>127</v>
      </c>
      <c r="E22" s="166" t="s">
        <v>128</v>
      </c>
      <c r="F22" s="166"/>
      <c r="I22" s="49">
        <v>19</v>
      </c>
      <c r="J22" s="89" t="s">
        <v>134</v>
      </c>
      <c r="K22" s="97"/>
      <c r="L22" s="89" t="s">
        <v>136</v>
      </c>
      <c r="M22" s="97"/>
      <c r="N22" s="89" t="s">
        <v>137</v>
      </c>
      <c r="O22" s="97"/>
      <c r="P22" s="89" t="s">
        <v>138</v>
      </c>
      <c r="Q22" s="97"/>
      <c r="R22" s="89" t="s">
        <v>134</v>
      </c>
      <c r="S22" s="88"/>
      <c r="T22" s="89" t="s">
        <v>136</v>
      </c>
      <c r="U22" s="88"/>
      <c r="V22" s="89" t="s">
        <v>137</v>
      </c>
      <c r="W22" s="88"/>
      <c r="X22" s="89" t="s">
        <v>138</v>
      </c>
      <c r="Y22" s="88"/>
      <c r="Z22"/>
      <c r="AA22"/>
      <c r="AB22"/>
      <c r="AC22"/>
      <c r="AD22"/>
      <c r="AE22"/>
      <c r="AF22"/>
      <c r="AG22"/>
      <c r="AH22"/>
      <c r="AI22"/>
      <c r="AJ22"/>
      <c r="AK22"/>
      <c r="AL22"/>
      <c r="AM22"/>
      <c r="AN22"/>
      <c r="AO22"/>
      <c r="AP22"/>
      <c r="AQ22"/>
      <c r="AR22"/>
      <c r="AS22"/>
      <c r="AT22" s="91">
        <f t="shared" si="0"/>
        <v>0</v>
      </c>
      <c r="AU22" s="70" t="e">
        <f>VLOOKUP($AT22,TableHandbook[],AU$2,FALSE)</f>
        <v>#N/A</v>
      </c>
      <c r="AV22" s="71" t="e">
        <f>VLOOKUP($AT22,TableHandbook[],AV$2,FALSE)</f>
        <v>#N/A</v>
      </c>
      <c r="AW22" s="72" t="e">
        <f>VLOOKUP($AT22,TableHandbook[],AW$2,FALSE)</f>
        <v>#N/A</v>
      </c>
      <c r="AX22" s="73" t="e">
        <f>VLOOKUP($AT22,TableHandbook[],AX$2,FALSE)</f>
        <v>#N/A</v>
      </c>
      <c r="AY22" s="73" t="e">
        <f>VLOOKUP($AT22,TableHandbook[],AY$2,FALSE)</f>
        <v>#N/A</v>
      </c>
      <c r="AZ22" s="74" t="e">
        <f>VLOOKUP($AT22,TableHandbook[],AZ$2,FALSE)</f>
        <v>#N/A</v>
      </c>
      <c r="BA22" s="74" t="e">
        <f>VLOOKUP($AT22,TableHandbook[],BA$2,FALSE)</f>
        <v>#N/A</v>
      </c>
      <c r="BB22" s="74" t="e">
        <f>VLOOKUP($AT22,TableHandbook[],BB$2,FALSE)</f>
        <v>#N/A</v>
      </c>
      <c r="BC22" s="74" t="e">
        <f>VLOOKUP($AT22,TableHandbook[],BC$2,FALSE)</f>
        <v>#N/A</v>
      </c>
      <c r="BD22" s="74" t="e">
        <f>VLOOKUP($AT22,TableHandbook[],BD$2,FALSE)</f>
        <v>#N/A</v>
      </c>
      <c r="BE22" s="74" t="e">
        <f>VLOOKUP($AT22,TableHandbook[],BE$2,FALSE)</f>
        <v>#N/A</v>
      </c>
      <c r="BF22" s="74" t="e">
        <f>VLOOKUP($AT22,TableHandbook[],BF$2,FALSE)</f>
        <v>#N/A</v>
      </c>
      <c r="BG22" s="75" t="e">
        <f>VLOOKUP($AT22,TableHandbook[],BG$2,FALSE)</f>
        <v>#N/A</v>
      </c>
      <c r="BH22"/>
      <c r="BI22"/>
      <c r="BJ22"/>
      <c r="BK22"/>
      <c r="BL22"/>
      <c r="BM22"/>
      <c r="BN22"/>
      <c r="BO22"/>
    </row>
    <row r="23" spans="1:67" x14ac:dyDescent="0.25">
      <c r="E23" s="58"/>
      <c r="F23" s="58"/>
      <c r="Z23" s="55"/>
      <c r="AA23" s="55"/>
      <c r="AB23" s="55"/>
      <c r="AC23" s="55"/>
      <c r="AD23" s="55"/>
      <c r="AE23"/>
      <c r="AF23"/>
      <c r="AG23"/>
      <c r="AH23"/>
      <c r="AI23"/>
      <c r="AJ23"/>
      <c r="AK23"/>
      <c r="AL23"/>
      <c r="AM23"/>
      <c r="AN23"/>
    </row>
    <row r="24" spans="1:67" x14ac:dyDescent="0.25">
      <c r="A24" s="127" t="s">
        <v>140</v>
      </c>
      <c r="I24"/>
      <c r="J24"/>
      <c r="L24" s="49"/>
      <c r="M24" s="55"/>
      <c r="N24" s="45"/>
      <c r="O24"/>
      <c r="P24"/>
      <c r="Q24"/>
      <c r="R24"/>
      <c r="S24"/>
      <c r="T24"/>
      <c r="U24"/>
      <c r="V24"/>
      <c r="W24"/>
      <c r="X24"/>
      <c r="Y24"/>
      <c r="AE24" s="55"/>
      <c r="AF24"/>
      <c r="AG24"/>
      <c r="AH24"/>
      <c r="AI24"/>
      <c r="AJ24"/>
      <c r="AK24"/>
      <c r="AL24"/>
      <c r="AM24"/>
      <c r="AN24"/>
      <c r="AO24"/>
    </row>
    <row r="25" spans="1:67" x14ac:dyDescent="0.25">
      <c r="A25" s="56" t="s">
        <v>470</v>
      </c>
      <c r="B25" s="57" t="s">
        <v>0</v>
      </c>
      <c r="C25" s="36" t="s">
        <v>73</v>
      </c>
      <c r="D25" s="36" t="s">
        <v>74</v>
      </c>
      <c r="E25" s="36" t="s">
        <v>75</v>
      </c>
      <c r="F25" s="36" t="s">
        <v>76</v>
      </c>
      <c r="H25" s="148" t="s">
        <v>142</v>
      </c>
      <c r="I25" s="45">
        <v>1</v>
      </c>
      <c r="J25" s="47"/>
      <c r="K25" s="46" t="s">
        <v>143</v>
      </c>
      <c r="L25" s="47"/>
      <c r="M25" s="46" t="s">
        <v>144</v>
      </c>
      <c r="N25" s="47"/>
      <c r="O25" s="46" t="s">
        <v>145</v>
      </c>
      <c r="P25" s="47"/>
      <c r="Q25" s="46" t="s">
        <v>146</v>
      </c>
      <c r="R25" s="47"/>
      <c r="S25" s="46" t="s">
        <v>147</v>
      </c>
      <c r="T25" s="47"/>
      <c r="U25" s="46" t="s">
        <v>148</v>
      </c>
      <c r="V25" s="47"/>
      <c r="W25" s="46" t="s">
        <v>149</v>
      </c>
      <c r="X25" s="47"/>
      <c r="Y25" s="46" t="s">
        <v>150</v>
      </c>
      <c r="Z25" s="47"/>
      <c r="AA25" s="46" t="s">
        <v>151</v>
      </c>
      <c r="AB25" s="47"/>
      <c r="AC25" s="46" t="s">
        <v>152</v>
      </c>
      <c r="AD25" s="47"/>
      <c r="AE25" s="46" t="s">
        <v>153</v>
      </c>
      <c r="AF25" s="47"/>
      <c r="AG25" s="46" t="s">
        <v>154</v>
      </c>
      <c r="AH25"/>
      <c r="AI25"/>
      <c r="AJ25"/>
      <c r="AK25"/>
      <c r="AL25"/>
      <c r="AM25"/>
      <c r="AN25"/>
      <c r="AO25"/>
    </row>
    <row r="26" spans="1:67" x14ac:dyDescent="0.25">
      <c r="A26" s="51" t="s">
        <v>14</v>
      </c>
      <c r="B26" s="200" t="s">
        <v>155</v>
      </c>
      <c r="C26" s="50" t="s">
        <v>91</v>
      </c>
      <c r="D26" s="51" t="s">
        <v>104</v>
      </c>
      <c r="E26" s="52">
        <v>44562</v>
      </c>
      <c r="F26" s="173">
        <v>45017</v>
      </c>
      <c r="I26" s="49">
        <v>2</v>
      </c>
      <c r="J26" s="86" t="s">
        <v>58</v>
      </c>
      <c r="K26" s="92" t="s">
        <v>156</v>
      </c>
      <c r="L26" s="86" t="s">
        <v>60</v>
      </c>
      <c r="M26" s="92" t="s">
        <v>157</v>
      </c>
      <c r="N26" s="86" t="s">
        <v>62</v>
      </c>
      <c r="O26" s="92" t="s">
        <v>456</v>
      </c>
      <c r="P26" s="86" t="s">
        <v>63</v>
      </c>
      <c r="Q26" s="92" t="s">
        <v>157</v>
      </c>
      <c r="R26" s="86" t="s">
        <v>58</v>
      </c>
      <c r="S26" s="92" t="s">
        <v>158</v>
      </c>
      <c r="T26" s="86" t="s">
        <v>60</v>
      </c>
      <c r="U26" s="92" t="s">
        <v>159</v>
      </c>
      <c r="V26" s="86" t="s">
        <v>62</v>
      </c>
      <c r="W26" s="92" t="s">
        <v>158</v>
      </c>
      <c r="X26" s="86" t="s">
        <v>63</v>
      </c>
      <c r="Y26" s="92" t="s">
        <v>458</v>
      </c>
      <c r="Z26" s="86" t="s">
        <v>58</v>
      </c>
      <c r="AA26" s="92" t="s">
        <v>59</v>
      </c>
      <c r="AB26" s="86" t="s">
        <v>60</v>
      </c>
      <c r="AC26" s="92" t="s">
        <v>157</v>
      </c>
      <c r="AD26" s="86" t="s">
        <v>62</v>
      </c>
      <c r="AE26" s="92" t="s">
        <v>59</v>
      </c>
      <c r="AF26" s="86" t="s">
        <v>63</v>
      </c>
      <c r="AG26" s="92" t="s">
        <v>157</v>
      </c>
      <c r="AH26" s="45"/>
    </row>
    <row r="27" spans="1:67" x14ac:dyDescent="0.25">
      <c r="A27" s="51" t="s">
        <v>160</v>
      </c>
      <c r="B27" s="200" t="s">
        <v>161</v>
      </c>
      <c r="C27" s="50" t="s">
        <v>91</v>
      </c>
      <c r="D27" s="51" t="s">
        <v>104</v>
      </c>
      <c r="E27" s="52">
        <v>44562</v>
      </c>
      <c r="F27" s="173">
        <v>45017</v>
      </c>
      <c r="I27" s="49">
        <v>3</v>
      </c>
      <c r="J27" s="87" t="s">
        <v>58</v>
      </c>
      <c r="K27" s="93" t="s">
        <v>455</v>
      </c>
      <c r="L27" s="87" t="s">
        <v>60</v>
      </c>
      <c r="M27" s="93" t="s">
        <v>163</v>
      </c>
      <c r="N27" s="87" t="s">
        <v>62</v>
      </c>
      <c r="O27" s="93" t="s">
        <v>162</v>
      </c>
      <c r="P27" s="87" t="s">
        <v>63</v>
      </c>
      <c r="Q27" s="93" t="s">
        <v>454</v>
      </c>
      <c r="R27" s="87" t="s">
        <v>58</v>
      </c>
      <c r="S27" s="93" t="s">
        <v>457</v>
      </c>
      <c r="T27" s="87" t="s">
        <v>60</v>
      </c>
      <c r="U27" s="93" t="s">
        <v>165</v>
      </c>
      <c r="V27" s="87" t="s">
        <v>62</v>
      </c>
      <c r="W27" s="93" t="s">
        <v>166</v>
      </c>
      <c r="X27" s="87" t="s">
        <v>63</v>
      </c>
      <c r="Y27" s="93" t="s">
        <v>165</v>
      </c>
      <c r="Z27" s="87" t="s">
        <v>58</v>
      </c>
      <c r="AA27" s="93" t="s">
        <v>156</v>
      </c>
      <c r="AB27" s="87" t="s">
        <v>60</v>
      </c>
      <c r="AC27" s="93" t="s">
        <v>87</v>
      </c>
      <c r="AD27" s="87" t="s">
        <v>62</v>
      </c>
      <c r="AE27" s="93" t="s">
        <v>162</v>
      </c>
      <c r="AF27" s="87" t="s">
        <v>63</v>
      </c>
      <c r="AG27" s="93" t="s">
        <v>87</v>
      </c>
      <c r="AH27" s="45"/>
    </row>
    <row r="28" spans="1:67" x14ac:dyDescent="0.25">
      <c r="A28" s="51" t="s">
        <v>167</v>
      </c>
      <c r="B28" s="200" t="s">
        <v>168</v>
      </c>
      <c r="C28" s="50" t="s">
        <v>91</v>
      </c>
      <c r="D28" s="51" t="s">
        <v>104</v>
      </c>
      <c r="E28" s="52">
        <v>44562</v>
      </c>
      <c r="F28" s="173">
        <v>45017</v>
      </c>
      <c r="I28" s="49">
        <v>4</v>
      </c>
      <c r="J28" s="87" t="s">
        <v>60</v>
      </c>
      <c r="K28" s="93" t="s">
        <v>157</v>
      </c>
      <c r="L28" s="87" t="s">
        <v>62</v>
      </c>
      <c r="M28" s="93" t="s">
        <v>456</v>
      </c>
      <c r="N28" s="87" t="s">
        <v>63</v>
      </c>
      <c r="O28" s="93" t="s">
        <v>157</v>
      </c>
      <c r="P28" s="87" t="s">
        <v>58</v>
      </c>
      <c r="Q28" s="93" t="s">
        <v>156</v>
      </c>
      <c r="R28" s="87" t="s">
        <v>60</v>
      </c>
      <c r="S28" s="93" t="s">
        <v>159</v>
      </c>
      <c r="T28" s="87" t="s">
        <v>62</v>
      </c>
      <c r="U28" s="93" t="s">
        <v>158</v>
      </c>
      <c r="V28" s="87" t="s">
        <v>63</v>
      </c>
      <c r="W28" s="93" t="s">
        <v>458</v>
      </c>
      <c r="X28" s="87" t="s">
        <v>58</v>
      </c>
      <c r="Y28" s="93" t="s">
        <v>158</v>
      </c>
      <c r="Z28" s="87" t="s">
        <v>60</v>
      </c>
      <c r="AA28" s="93" t="s">
        <v>157</v>
      </c>
      <c r="AB28" s="87" t="s">
        <v>62</v>
      </c>
      <c r="AC28" s="93" t="s">
        <v>59</v>
      </c>
      <c r="AD28" s="87" t="s">
        <v>63</v>
      </c>
      <c r="AE28" s="93" t="s">
        <v>157</v>
      </c>
      <c r="AF28" s="87" t="s">
        <v>58</v>
      </c>
      <c r="AG28" s="93" t="s">
        <v>59</v>
      </c>
    </row>
    <row r="29" spans="1:67" x14ac:dyDescent="0.25">
      <c r="A29" s="56"/>
      <c r="B29" s="57"/>
      <c r="I29" s="49">
        <v>5</v>
      </c>
      <c r="J29" s="89" t="s">
        <v>60</v>
      </c>
      <c r="K29" s="88" t="s">
        <v>163</v>
      </c>
      <c r="L29" s="89" t="s">
        <v>62</v>
      </c>
      <c r="M29" s="88" t="s">
        <v>162</v>
      </c>
      <c r="N29" s="89" t="s">
        <v>63</v>
      </c>
      <c r="O29" s="88" t="s">
        <v>454</v>
      </c>
      <c r="P29" s="89" t="s">
        <v>58</v>
      </c>
      <c r="Q29" s="88" t="s">
        <v>455</v>
      </c>
      <c r="R29" s="87" t="s">
        <v>60</v>
      </c>
      <c r="S29" s="93" t="s">
        <v>165</v>
      </c>
      <c r="T29" s="87" t="s">
        <v>62</v>
      </c>
      <c r="U29" s="93" t="s">
        <v>166</v>
      </c>
      <c r="V29" s="87" t="s">
        <v>63</v>
      </c>
      <c r="W29" s="93" t="s">
        <v>165</v>
      </c>
      <c r="X29" s="87" t="s">
        <v>58</v>
      </c>
      <c r="Y29" s="93" t="s">
        <v>457</v>
      </c>
      <c r="Z29" s="87" t="s">
        <v>60</v>
      </c>
      <c r="AA29" s="93" t="s">
        <v>87</v>
      </c>
      <c r="AB29" s="87" t="s">
        <v>62</v>
      </c>
      <c r="AC29" s="93" t="s">
        <v>162</v>
      </c>
      <c r="AD29" s="87" t="s">
        <v>63</v>
      </c>
      <c r="AE29" s="93" t="s">
        <v>169</v>
      </c>
      <c r="AF29" s="87" t="s">
        <v>58</v>
      </c>
      <c r="AG29" s="93" t="s">
        <v>156</v>
      </c>
    </row>
    <row r="30" spans="1:67" x14ac:dyDescent="0.25">
      <c r="A30" s="127" t="s">
        <v>170</v>
      </c>
      <c r="G30"/>
      <c r="I30" s="49">
        <v>6</v>
      </c>
      <c r="J30" s="87"/>
      <c r="K30" s="93"/>
      <c r="L30" s="87"/>
      <c r="M30" s="93"/>
      <c r="N30" s="87"/>
      <c r="O30" s="93"/>
      <c r="P30" s="87"/>
      <c r="Q30" s="93"/>
      <c r="R30" s="87" t="s">
        <v>62</v>
      </c>
      <c r="S30" s="93" t="s">
        <v>171</v>
      </c>
      <c r="T30" s="87" t="s">
        <v>63</v>
      </c>
      <c r="U30" s="93" t="s">
        <v>172</v>
      </c>
      <c r="V30" s="87" t="s">
        <v>58</v>
      </c>
      <c r="W30" s="93" t="s">
        <v>171</v>
      </c>
      <c r="X30" s="87" t="s">
        <v>60</v>
      </c>
      <c r="Y30" s="93" t="s">
        <v>172</v>
      </c>
      <c r="Z30" s="87" t="s">
        <v>62</v>
      </c>
      <c r="AA30" s="93" t="s">
        <v>173</v>
      </c>
      <c r="AB30" s="87" t="s">
        <v>63</v>
      </c>
      <c r="AC30" s="93" t="s">
        <v>454</v>
      </c>
      <c r="AD30" s="87" t="s">
        <v>58</v>
      </c>
      <c r="AE30" s="93" t="s">
        <v>156</v>
      </c>
      <c r="AF30" s="87" t="s">
        <v>60</v>
      </c>
      <c r="AG30" s="93" t="s">
        <v>163</v>
      </c>
    </row>
    <row r="31" spans="1:67" x14ac:dyDescent="0.25">
      <c r="A31" s="56" t="s">
        <v>469</v>
      </c>
      <c r="B31" s="57" t="s">
        <v>0</v>
      </c>
      <c r="C31" s="36" t="s">
        <v>73</v>
      </c>
      <c r="D31" s="36" t="s">
        <v>74</v>
      </c>
      <c r="E31" s="36" t="s">
        <v>75</v>
      </c>
      <c r="F31" s="36" t="s">
        <v>76</v>
      </c>
      <c r="G31"/>
      <c r="I31" s="49">
        <v>7</v>
      </c>
      <c r="J31" s="87"/>
      <c r="K31" s="93"/>
      <c r="L31" s="87"/>
      <c r="M31" s="93"/>
      <c r="N31" s="87"/>
      <c r="O31" s="93"/>
      <c r="P31" s="87"/>
      <c r="Q31" s="93"/>
      <c r="R31" s="87" t="s">
        <v>62</v>
      </c>
      <c r="S31" s="93" t="s">
        <v>166</v>
      </c>
      <c r="T31" s="87" t="s">
        <v>63</v>
      </c>
      <c r="U31" s="96" t="s">
        <v>174</v>
      </c>
      <c r="V31" s="87" t="s">
        <v>58</v>
      </c>
      <c r="W31" s="93" t="s">
        <v>457</v>
      </c>
      <c r="X31" s="87" t="s">
        <v>60</v>
      </c>
      <c r="Y31" s="96" t="s">
        <v>174</v>
      </c>
      <c r="Z31" s="87" t="s">
        <v>62</v>
      </c>
      <c r="AA31" s="93" t="s">
        <v>162</v>
      </c>
      <c r="AB31" s="87" t="s">
        <v>63</v>
      </c>
      <c r="AC31" s="93" t="s">
        <v>169</v>
      </c>
      <c r="AD31" s="87" t="s">
        <v>58</v>
      </c>
      <c r="AE31" s="93" t="s">
        <v>173</v>
      </c>
      <c r="AF31" s="87" t="s">
        <v>60</v>
      </c>
      <c r="AG31" s="93" t="s">
        <v>169</v>
      </c>
    </row>
    <row r="32" spans="1:67" x14ac:dyDescent="0.25">
      <c r="A32" s="188" t="s">
        <v>42</v>
      </c>
      <c r="B32" s="50" t="s">
        <v>175</v>
      </c>
      <c r="C32" s="50"/>
      <c r="D32" s="51"/>
      <c r="E32" s="173"/>
      <c r="F32" s="173"/>
      <c r="G32"/>
      <c r="I32" s="49">
        <v>8</v>
      </c>
      <c r="J32" s="87"/>
      <c r="K32" s="93"/>
      <c r="L32" s="87"/>
      <c r="M32" s="93"/>
      <c r="N32" s="87"/>
      <c r="O32" s="93"/>
      <c r="P32" s="87"/>
      <c r="Q32" s="93"/>
      <c r="R32" s="87" t="s">
        <v>63</v>
      </c>
      <c r="S32" s="93" t="s">
        <v>172</v>
      </c>
      <c r="T32" s="87" t="s">
        <v>58</v>
      </c>
      <c r="U32" s="93" t="s">
        <v>171</v>
      </c>
      <c r="V32" s="87" t="s">
        <v>60</v>
      </c>
      <c r="W32" s="93" t="s">
        <v>172</v>
      </c>
      <c r="X32" s="87" t="s">
        <v>62</v>
      </c>
      <c r="Y32" s="93" t="s">
        <v>171</v>
      </c>
      <c r="Z32" s="87" t="s">
        <v>63</v>
      </c>
      <c r="AA32" s="93" t="s">
        <v>169</v>
      </c>
      <c r="AB32" s="87" t="s">
        <v>58</v>
      </c>
      <c r="AC32" s="93" t="s">
        <v>156</v>
      </c>
      <c r="AD32" s="87" t="s">
        <v>60</v>
      </c>
      <c r="AE32" s="93" t="s">
        <v>87</v>
      </c>
      <c r="AF32" s="87" t="s">
        <v>62</v>
      </c>
      <c r="AG32" s="93" t="s">
        <v>173</v>
      </c>
    </row>
    <row r="33" spans="1:41" x14ac:dyDescent="0.25">
      <c r="A33" s="51" t="s">
        <v>176</v>
      </c>
      <c r="B33" s="200" t="s">
        <v>177</v>
      </c>
      <c r="C33" s="50" t="s">
        <v>79</v>
      </c>
      <c r="D33" s="51" t="s">
        <v>80</v>
      </c>
      <c r="E33" s="52">
        <v>44562</v>
      </c>
      <c r="F33" s="52">
        <v>44562</v>
      </c>
      <c r="G33"/>
      <c r="I33" s="49">
        <v>9</v>
      </c>
      <c r="J33" s="87"/>
      <c r="K33" s="93"/>
      <c r="L33" s="89"/>
      <c r="M33" s="93"/>
      <c r="N33" s="87"/>
      <c r="O33" s="93"/>
      <c r="P33" s="89"/>
      <c r="Q33" s="93"/>
      <c r="R33" s="87" t="s">
        <v>63</v>
      </c>
      <c r="S33" s="96" t="s">
        <v>174</v>
      </c>
      <c r="T33" s="89" t="s">
        <v>58</v>
      </c>
      <c r="U33" s="93" t="s">
        <v>457</v>
      </c>
      <c r="V33" s="87" t="s">
        <v>60</v>
      </c>
      <c r="W33" s="96" t="s">
        <v>174</v>
      </c>
      <c r="X33" s="89" t="s">
        <v>62</v>
      </c>
      <c r="Y33" s="93" t="s">
        <v>166</v>
      </c>
      <c r="Z33" s="87" t="s">
        <v>63</v>
      </c>
      <c r="AA33" s="93" t="s">
        <v>454</v>
      </c>
      <c r="AB33" s="89" t="s">
        <v>58</v>
      </c>
      <c r="AC33" s="93" t="s">
        <v>173</v>
      </c>
      <c r="AD33" s="87" t="s">
        <v>60</v>
      </c>
      <c r="AE33" s="93" t="s">
        <v>163</v>
      </c>
      <c r="AF33" s="89" t="s">
        <v>62</v>
      </c>
      <c r="AG33" s="93" t="s">
        <v>162</v>
      </c>
    </row>
    <row r="34" spans="1:41" x14ac:dyDescent="0.25">
      <c r="A34" s="51" t="s">
        <v>178</v>
      </c>
      <c r="B34" s="200" t="s">
        <v>179</v>
      </c>
      <c r="C34" s="50" t="s">
        <v>79</v>
      </c>
      <c r="D34" s="51" t="s">
        <v>80</v>
      </c>
      <c r="E34" s="52">
        <v>44562</v>
      </c>
      <c r="F34" s="173">
        <v>44562</v>
      </c>
      <c r="G34"/>
      <c r="I34" s="49">
        <v>10</v>
      </c>
      <c r="J34" s="86"/>
      <c r="K34" s="92"/>
      <c r="L34" s="86"/>
      <c r="M34" s="92"/>
      <c r="N34" s="86"/>
      <c r="O34" s="92"/>
      <c r="P34" s="86"/>
      <c r="Q34" s="92"/>
      <c r="R34" s="86"/>
      <c r="S34" s="92"/>
      <c r="T34" s="86"/>
      <c r="U34" s="92"/>
      <c r="V34" s="86"/>
      <c r="W34" s="92"/>
      <c r="X34" s="86"/>
      <c r="Y34" s="92"/>
      <c r="Z34" s="86" t="s">
        <v>105</v>
      </c>
      <c r="AA34" s="92" t="s">
        <v>158</v>
      </c>
      <c r="AB34" s="86" t="s">
        <v>106</v>
      </c>
      <c r="AC34" s="92" t="s">
        <v>159</v>
      </c>
      <c r="AD34" s="86" t="s">
        <v>107</v>
      </c>
      <c r="AE34" s="92" t="s">
        <v>158</v>
      </c>
      <c r="AF34" s="86" t="s">
        <v>108</v>
      </c>
      <c r="AG34" s="92" t="s">
        <v>458</v>
      </c>
    </row>
    <row r="35" spans="1:41" ht="15.75" customHeight="1" x14ac:dyDescent="0.25">
      <c r="A35" s="51" t="s">
        <v>180</v>
      </c>
      <c r="B35" s="200" t="s">
        <v>181</v>
      </c>
      <c r="C35" s="50" t="s">
        <v>79</v>
      </c>
      <c r="D35" s="51" t="s">
        <v>80</v>
      </c>
      <c r="E35" s="52">
        <v>44562</v>
      </c>
      <c r="F35" s="173">
        <v>44562</v>
      </c>
      <c r="G35"/>
      <c r="I35" s="49">
        <v>11</v>
      </c>
      <c r="J35" s="87"/>
      <c r="K35" s="93"/>
      <c r="L35" s="87"/>
      <c r="M35" s="93"/>
      <c r="N35" s="87"/>
      <c r="O35" s="93"/>
      <c r="P35" s="87"/>
      <c r="Q35" s="93"/>
      <c r="R35" s="87"/>
      <c r="S35" s="93"/>
      <c r="T35" s="87"/>
      <c r="U35" s="93"/>
      <c r="V35" s="87"/>
      <c r="W35" s="93"/>
      <c r="X35" s="87"/>
      <c r="Y35" s="93"/>
      <c r="Z35" s="87" t="s">
        <v>105</v>
      </c>
      <c r="AA35" s="93" t="s">
        <v>457</v>
      </c>
      <c r="AB35" s="87" t="s">
        <v>106</v>
      </c>
      <c r="AC35" s="93" t="s">
        <v>165</v>
      </c>
      <c r="AD35" s="87" t="s">
        <v>107</v>
      </c>
      <c r="AE35" s="93" t="s">
        <v>166</v>
      </c>
      <c r="AF35" s="87" t="s">
        <v>108</v>
      </c>
      <c r="AG35" s="93" t="s">
        <v>165</v>
      </c>
    </row>
    <row r="36" spans="1:41" x14ac:dyDescent="0.25">
      <c r="A36"/>
      <c r="B36"/>
      <c r="C36"/>
      <c r="D36"/>
      <c r="E36"/>
      <c r="F36"/>
      <c r="G36"/>
      <c r="I36" s="49">
        <v>12</v>
      </c>
      <c r="J36" s="87"/>
      <c r="K36" s="93"/>
      <c r="L36" s="87"/>
      <c r="M36" s="93"/>
      <c r="N36" s="87"/>
      <c r="O36" s="93"/>
      <c r="P36" s="87"/>
      <c r="Q36" s="93"/>
      <c r="R36" s="87"/>
      <c r="S36" s="93"/>
      <c r="T36" s="87"/>
      <c r="U36" s="93"/>
      <c r="V36" s="87"/>
      <c r="W36" s="93"/>
      <c r="X36" s="87"/>
      <c r="Y36" s="93"/>
      <c r="Z36" s="87" t="s">
        <v>106</v>
      </c>
      <c r="AA36" s="93" t="s">
        <v>159</v>
      </c>
      <c r="AB36" s="87" t="s">
        <v>107</v>
      </c>
      <c r="AC36" s="93" t="s">
        <v>158</v>
      </c>
      <c r="AD36" s="87" t="s">
        <v>108</v>
      </c>
      <c r="AE36" s="93" t="s">
        <v>458</v>
      </c>
      <c r="AF36" s="87" t="s">
        <v>105</v>
      </c>
      <c r="AG36" s="93" t="s">
        <v>158</v>
      </c>
    </row>
    <row r="37" spans="1:41" ht="15.75" customHeight="1" x14ac:dyDescent="0.25">
      <c r="A37" s="127" t="s">
        <v>182</v>
      </c>
      <c r="B37"/>
      <c r="C37"/>
      <c r="D37"/>
      <c r="E37"/>
      <c r="F37"/>
      <c r="G37"/>
      <c r="I37" s="49">
        <v>13</v>
      </c>
      <c r="J37" s="87"/>
      <c r="K37" s="93"/>
      <c r="L37" s="87"/>
      <c r="M37" s="93"/>
      <c r="N37" s="87"/>
      <c r="O37" s="93"/>
      <c r="P37" s="87"/>
      <c r="Q37" s="93"/>
      <c r="R37" s="87"/>
      <c r="S37" s="93"/>
      <c r="T37" s="87"/>
      <c r="U37" s="93"/>
      <c r="V37" s="87"/>
      <c r="W37" s="93"/>
      <c r="X37" s="87"/>
      <c r="Y37" s="93"/>
      <c r="Z37" s="87" t="s">
        <v>106</v>
      </c>
      <c r="AA37" s="93" t="s">
        <v>165</v>
      </c>
      <c r="AB37" s="87" t="s">
        <v>107</v>
      </c>
      <c r="AC37" s="93" t="s">
        <v>166</v>
      </c>
      <c r="AD37" s="87" t="s">
        <v>108</v>
      </c>
      <c r="AE37" s="93" t="s">
        <v>165</v>
      </c>
      <c r="AF37" s="87" t="s">
        <v>105</v>
      </c>
      <c r="AG37" s="93" t="s">
        <v>457</v>
      </c>
    </row>
    <row r="38" spans="1:41" ht="15.75" customHeight="1" x14ac:dyDescent="0.25">
      <c r="A38" s="160" t="s">
        <v>471</v>
      </c>
      <c r="B38"/>
      <c r="C38"/>
      <c r="D38"/>
      <c r="E38"/>
      <c r="F38"/>
      <c r="G38"/>
      <c r="I38" s="49">
        <v>14</v>
      </c>
      <c r="J38" s="87"/>
      <c r="K38" s="93"/>
      <c r="L38" s="87"/>
      <c r="M38" s="93"/>
      <c r="N38" s="87"/>
      <c r="O38" s="93"/>
      <c r="P38" s="87"/>
      <c r="Q38" s="93"/>
      <c r="R38" s="87"/>
      <c r="S38" s="93"/>
      <c r="T38" s="87"/>
      <c r="U38" s="93"/>
      <c r="V38" s="87"/>
      <c r="W38" s="93"/>
      <c r="X38" s="87"/>
      <c r="Y38" s="93"/>
      <c r="Z38" s="87" t="s">
        <v>107</v>
      </c>
      <c r="AA38" s="93" t="s">
        <v>171</v>
      </c>
      <c r="AB38" s="87" t="s">
        <v>108</v>
      </c>
      <c r="AC38" s="93" t="s">
        <v>172</v>
      </c>
      <c r="AD38" s="87" t="s">
        <v>105</v>
      </c>
      <c r="AE38" s="93" t="s">
        <v>171</v>
      </c>
      <c r="AF38" s="87" t="s">
        <v>106</v>
      </c>
      <c r="AG38" s="93" t="s">
        <v>172</v>
      </c>
    </row>
    <row r="39" spans="1:41" x14ac:dyDescent="0.25">
      <c r="A39" s="158" t="s">
        <v>89</v>
      </c>
      <c r="B39"/>
      <c r="C39"/>
      <c r="D39"/>
      <c r="E39"/>
      <c r="F39"/>
      <c r="I39" s="49">
        <v>15</v>
      </c>
      <c r="J39" s="87"/>
      <c r="K39" s="93"/>
      <c r="L39" s="87"/>
      <c r="M39" s="93"/>
      <c r="N39" s="87"/>
      <c r="O39" s="93"/>
      <c r="P39" s="87"/>
      <c r="Q39" s="93"/>
      <c r="R39" s="87"/>
      <c r="S39" s="93"/>
      <c r="T39" s="87"/>
      <c r="U39" s="93"/>
      <c r="V39" s="87"/>
      <c r="W39" s="93"/>
      <c r="X39" s="87"/>
      <c r="Y39" s="93"/>
      <c r="Z39" s="87" t="s">
        <v>107</v>
      </c>
      <c r="AA39" s="93" t="s">
        <v>166</v>
      </c>
      <c r="AB39" s="87" t="s">
        <v>108</v>
      </c>
      <c r="AC39" s="96" t="s">
        <v>174</v>
      </c>
      <c r="AD39" s="87" t="s">
        <v>105</v>
      </c>
      <c r="AE39" s="93" t="s">
        <v>457</v>
      </c>
      <c r="AF39" s="87" t="s">
        <v>106</v>
      </c>
      <c r="AG39" s="96" t="s">
        <v>174</v>
      </c>
    </row>
    <row r="40" spans="1:41" x14ac:dyDescent="0.25">
      <c r="A40" s="158" t="s">
        <v>95</v>
      </c>
      <c r="C40"/>
      <c r="I40" s="49">
        <v>16</v>
      </c>
      <c r="J40" s="87"/>
      <c r="K40" s="93"/>
      <c r="L40" s="87"/>
      <c r="M40" s="93"/>
      <c r="N40" s="87"/>
      <c r="O40" s="93"/>
      <c r="P40" s="87"/>
      <c r="Q40" s="93"/>
      <c r="R40" s="87"/>
      <c r="S40" s="93"/>
      <c r="T40" s="87"/>
      <c r="U40" s="93"/>
      <c r="V40" s="87"/>
      <c r="W40" s="93"/>
      <c r="X40" s="87"/>
      <c r="Y40" s="93"/>
      <c r="Z40" s="87" t="s">
        <v>108</v>
      </c>
      <c r="AA40" s="93" t="s">
        <v>172</v>
      </c>
      <c r="AB40" s="87" t="s">
        <v>105</v>
      </c>
      <c r="AC40" s="93" t="s">
        <v>171</v>
      </c>
      <c r="AD40" s="87" t="s">
        <v>106</v>
      </c>
      <c r="AE40" s="93" t="s">
        <v>172</v>
      </c>
      <c r="AF40" s="87" t="s">
        <v>107</v>
      </c>
      <c r="AG40" s="93" t="s">
        <v>171</v>
      </c>
    </row>
    <row r="41" spans="1:41" x14ac:dyDescent="0.25">
      <c r="A41" s="159" t="s">
        <v>39</v>
      </c>
      <c r="I41" s="49">
        <v>17</v>
      </c>
      <c r="J41" s="89"/>
      <c r="K41" s="88"/>
      <c r="L41" s="89"/>
      <c r="M41" s="88"/>
      <c r="N41" s="89"/>
      <c r="O41" s="88"/>
      <c r="P41" s="89"/>
      <c r="Q41" s="88"/>
      <c r="R41" s="89"/>
      <c r="S41" s="88"/>
      <c r="T41" s="89"/>
      <c r="U41" s="88"/>
      <c r="V41" s="89"/>
      <c r="W41" s="88"/>
      <c r="X41" s="89"/>
      <c r="Y41" s="88"/>
      <c r="Z41" s="89" t="s">
        <v>108</v>
      </c>
      <c r="AA41" s="97" t="s">
        <v>174</v>
      </c>
      <c r="AB41" s="89" t="s">
        <v>105</v>
      </c>
      <c r="AC41" s="88" t="s">
        <v>457</v>
      </c>
      <c r="AD41" s="89" t="s">
        <v>106</v>
      </c>
      <c r="AE41" s="97" t="s">
        <v>174</v>
      </c>
      <c r="AF41" s="89" t="s">
        <v>107</v>
      </c>
      <c r="AG41" s="88" t="s">
        <v>166</v>
      </c>
    </row>
    <row r="42" spans="1:41" x14ac:dyDescent="0.25">
      <c r="A42"/>
      <c r="I42"/>
      <c r="J42"/>
      <c r="K42"/>
      <c r="L42"/>
      <c r="M42"/>
      <c r="N42"/>
      <c r="O42"/>
      <c r="P42"/>
      <c r="Q42"/>
      <c r="R42"/>
      <c r="S42"/>
      <c r="T42"/>
      <c r="U42"/>
      <c r="V42"/>
      <c r="W42"/>
      <c r="X42"/>
      <c r="Y42"/>
      <c r="Z42"/>
      <c r="AA42"/>
      <c r="AB42"/>
      <c r="AC42"/>
      <c r="AD42"/>
      <c r="AE42"/>
      <c r="AF42"/>
      <c r="AG42"/>
    </row>
    <row r="43" spans="1:41" x14ac:dyDescent="0.25">
      <c r="A43"/>
      <c r="I43"/>
      <c r="J43"/>
      <c r="K43"/>
      <c r="L43"/>
      <c r="M43"/>
      <c r="N43"/>
      <c r="O43"/>
      <c r="P43"/>
      <c r="Q43"/>
      <c r="R43"/>
      <c r="S43"/>
      <c r="T43"/>
      <c r="U43"/>
      <c r="V43"/>
      <c r="W43"/>
      <c r="X43"/>
      <c r="Y43"/>
      <c r="Z43"/>
      <c r="AA43"/>
      <c r="AB43"/>
      <c r="AC43"/>
      <c r="AD43"/>
      <c r="AE43"/>
      <c r="AF43"/>
      <c r="AG43"/>
    </row>
    <row r="44" spans="1:41" x14ac:dyDescent="0.25">
      <c r="A44" s="164" t="s">
        <v>183</v>
      </c>
      <c r="B44" s="36" t="s">
        <v>77</v>
      </c>
      <c r="H44" s="148" t="s">
        <v>184</v>
      </c>
      <c r="I44" s="45">
        <v>1</v>
      </c>
      <c r="J44" s="161"/>
      <c r="K44" s="162" t="s">
        <v>185</v>
      </c>
      <c r="L44" s="161"/>
      <c r="M44" s="162" t="s">
        <v>186</v>
      </c>
      <c r="N44" s="161"/>
      <c r="O44" s="162" t="s">
        <v>187</v>
      </c>
      <c r="P44" s="161"/>
      <c r="Q44" s="162" t="s">
        <v>188</v>
      </c>
      <c r="R44" s="161"/>
      <c r="S44" s="162" t="s">
        <v>189</v>
      </c>
      <c r="T44" s="161"/>
      <c r="U44" s="162" t="s">
        <v>190</v>
      </c>
      <c r="V44" s="161"/>
      <c r="W44" s="162" t="s">
        <v>191</v>
      </c>
      <c r="X44" s="161"/>
      <c r="Y44" s="162" t="s">
        <v>192</v>
      </c>
      <c r="Z44" s="47"/>
      <c r="AA44" s="46" t="s">
        <v>193</v>
      </c>
      <c r="AB44" s="47"/>
      <c r="AC44" s="46" t="s">
        <v>194</v>
      </c>
      <c r="AD44" s="47"/>
      <c r="AE44" s="46" t="s">
        <v>195</v>
      </c>
      <c r="AF44" s="47"/>
      <c r="AG44" s="46" t="s">
        <v>196</v>
      </c>
      <c r="AH44" s="47"/>
      <c r="AI44" s="46" t="s">
        <v>197</v>
      </c>
      <c r="AJ44" s="47"/>
      <c r="AK44" s="46" t="s">
        <v>198</v>
      </c>
      <c r="AL44" s="47"/>
      <c r="AM44" s="46" t="s">
        <v>199</v>
      </c>
      <c r="AN44" s="47"/>
      <c r="AO44" s="46" t="s">
        <v>200</v>
      </c>
    </row>
    <row r="45" spans="1:41" x14ac:dyDescent="0.25">
      <c r="A45" s="164" t="s">
        <v>201</v>
      </c>
      <c r="B45" s="36" t="s">
        <v>202</v>
      </c>
      <c r="I45" s="49">
        <v>2</v>
      </c>
      <c r="J45" s="86" t="s">
        <v>58</v>
      </c>
      <c r="K45" s="92" t="s">
        <v>203</v>
      </c>
      <c r="L45" s="86" t="s">
        <v>60</v>
      </c>
      <c r="M45" s="92" t="s">
        <v>204</v>
      </c>
      <c r="N45" s="86" t="s">
        <v>62</v>
      </c>
      <c r="O45" s="92" t="s">
        <v>203</v>
      </c>
      <c r="P45" s="86" t="s">
        <v>63</v>
      </c>
      <c r="Q45" s="92" t="s">
        <v>204</v>
      </c>
      <c r="R45" s="86" t="s">
        <v>58</v>
      </c>
      <c r="S45" s="92" t="s">
        <v>203</v>
      </c>
      <c r="T45" s="86" t="s">
        <v>60</v>
      </c>
      <c r="U45" s="92" t="s">
        <v>204</v>
      </c>
      <c r="V45" s="86" t="s">
        <v>62</v>
      </c>
      <c r="W45" s="92" t="s">
        <v>203</v>
      </c>
      <c r="X45" s="86" t="s">
        <v>63</v>
      </c>
      <c r="Y45" s="92" t="s">
        <v>204</v>
      </c>
      <c r="Z45" s="86" t="s">
        <v>58</v>
      </c>
      <c r="AA45" s="92" t="s">
        <v>203</v>
      </c>
      <c r="AB45" s="86" t="s">
        <v>60</v>
      </c>
      <c r="AC45" s="92" t="s">
        <v>204</v>
      </c>
      <c r="AD45" s="86" t="s">
        <v>62</v>
      </c>
      <c r="AE45" s="92" t="s">
        <v>203</v>
      </c>
      <c r="AF45" s="86" t="s">
        <v>63</v>
      </c>
      <c r="AG45" s="92" t="s">
        <v>204</v>
      </c>
      <c r="AH45" s="86" t="s">
        <v>58</v>
      </c>
      <c r="AI45" s="92" t="s">
        <v>203</v>
      </c>
      <c r="AJ45" s="86" t="s">
        <v>60</v>
      </c>
      <c r="AK45" s="92" t="s">
        <v>204</v>
      </c>
      <c r="AL45" s="86" t="s">
        <v>62</v>
      </c>
      <c r="AM45" s="92" t="s">
        <v>203</v>
      </c>
      <c r="AN45" s="86" t="s">
        <v>63</v>
      </c>
      <c r="AO45" s="92" t="s">
        <v>204</v>
      </c>
    </row>
    <row r="46" spans="1:41" x14ac:dyDescent="0.25">
      <c r="A46" s="164" t="s">
        <v>205</v>
      </c>
      <c r="B46" s="36" t="s">
        <v>206</v>
      </c>
      <c r="I46" s="49">
        <v>3</v>
      </c>
      <c r="J46" s="87" t="s">
        <v>58</v>
      </c>
      <c r="K46" s="93" t="s">
        <v>207</v>
      </c>
      <c r="L46" s="87" t="s">
        <v>60</v>
      </c>
      <c r="M46" s="93" t="s">
        <v>207</v>
      </c>
      <c r="N46" s="87" t="s">
        <v>62</v>
      </c>
      <c r="O46" s="93" t="s">
        <v>207</v>
      </c>
      <c r="P46" s="87" t="s">
        <v>63</v>
      </c>
      <c r="Q46" s="93" t="s">
        <v>207</v>
      </c>
      <c r="R46" s="87" t="s">
        <v>58</v>
      </c>
      <c r="S46" s="93" t="s">
        <v>208</v>
      </c>
      <c r="T46" s="87" t="s">
        <v>60</v>
      </c>
      <c r="U46" s="93" t="s">
        <v>209</v>
      </c>
      <c r="V46" s="87" t="s">
        <v>62</v>
      </c>
      <c r="W46" s="93" t="s">
        <v>166</v>
      </c>
      <c r="X46" s="87" t="s">
        <v>63</v>
      </c>
      <c r="Y46" s="93" t="s">
        <v>209</v>
      </c>
      <c r="Z46" s="87" t="s">
        <v>58</v>
      </c>
      <c r="AA46" s="93" t="s">
        <v>210</v>
      </c>
      <c r="AB46" s="87" t="s">
        <v>60</v>
      </c>
      <c r="AC46" s="93" t="s">
        <v>209</v>
      </c>
      <c r="AD46" s="87" t="s">
        <v>62</v>
      </c>
      <c r="AE46" s="93" t="s">
        <v>211</v>
      </c>
      <c r="AF46" s="87" t="s">
        <v>63</v>
      </c>
      <c r="AG46" s="93" t="s">
        <v>209</v>
      </c>
      <c r="AH46" s="87" t="s">
        <v>58</v>
      </c>
      <c r="AI46" s="93" t="s">
        <v>212</v>
      </c>
      <c r="AJ46" s="87" t="s">
        <v>60</v>
      </c>
      <c r="AK46" s="93" t="s">
        <v>209</v>
      </c>
      <c r="AL46" s="87" t="s">
        <v>62</v>
      </c>
      <c r="AM46" s="93" t="s">
        <v>213</v>
      </c>
      <c r="AN46" s="87" t="s">
        <v>63</v>
      </c>
      <c r="AO46" s="93" t="s">
        <v>209</v>
      </c>
    </row>
    <row r="47" spans="1:41" x14ac:dyDescent="0.25">
      <c r="I47" s="49">
        <v>4</v>
      </c>
      <c r="J47" s="87" t="s">
        <v>60</v>
      </c>
      <c r="K47" s="93" t="s">
        <v>204</v>
      </c>
      <c r="L47" s="87" t="s">
        <v>62</v>
      </c>
      <c r="M47" s="93" t="s">
        <v>203</v>
      </c>
      <c r="N47" s="87" t="s">
        <v>63</v>
      </c>
      <c r="O47" s="93" t="s">
        <v>204</v>
      </c>
      <c r="P47" s="87" t="s">
        <v>58</v>
      </c>
      <c r="Q47" s="93" t="s">
        <v>203</v>
      </c>
      <c r="R47" s="87" t="s">
        <v>60</v>
      </c>
      <c r="S47" s="93" t="s">
        <v>204</v>
      </c>
      <c r="T47" s="87" t="s">
        <v>62</v>
      </c>
      <c r="U47" s="93" t="s">
        <v>203</v>
      </c>
      <c r="V47" s="87" t="s">
        <v>63</v>
      </c>
      <c r="W47" s="93" t="s">
        <v>204</v>
      </c>
      <c r="X47" s="87" t="s">
        <v>58</v>
      </c>
      <c r="Y47" s="93" t="s">
        <v>203</v>
      </c>
      <c r="Z47" s="87" t="s">
        <v>60</v>
      </c>
      <c r="AA47" s="93" t="s">
        <v>204</v>
      </c>
      <c r="AB47" s="87" t="s">
        <v>62</v>
      </c>
      <c r="AC47" s="93" t="s">
        <v>203</v>
      </c>
      <c r="AD47" s="87" t="s">
        <v>63</v>
      </c>
      <c r="AE47" s="93" t="s">
        <v>204</v>
      </c>
      <c r="AF47" s="87" t="s">
        <v>58</v>
      </c>
      <c r="AG47" s="93" t="s">
        <v>203</v>
      </c>
      <c r="AH47" s="87" t="s">
        <v>60</v>
      </c>
      <c r="AI47" s="93" t="s">
        <v>204</v>
      </c>
      <c r="AJ47" s="87" t="s">
        <v>62</v>
      </c>
      <c r="AK47" s="93" t="s">
        <v>203</v>
      </c>
      <c r="AL47" s="87" t="s">
        <v>63</v>
      </c>
      <c r="AM47" s="93" t="s">
        <v>204</v>
      </c>
      <c r="AN47" s="87" t="s">
        <v>58</v>
      </c>
      <c r="AO47" s="93" t="s">
        <v>203</v>
      </c>
    </row>
    <row r="48" spans="1:41" x14ac:dyDescent="0.25">
      <c r="I48" s="49">
        <v>5</v>
      </c>
      <c r="J48" s="87" t="s">
        <v>60</v>
      </c>
      <c r="K48" s="93" t="s">
        <v>207</v>
      </c>
      <c r="L48" s="87" t="s">
        <v>62</v>
      </c>
      <c r="M48" s="93" t="s">
        <v>207</v>
      </c>
      <c r="N48" s="87" t="s">
        <v>63</v>
      </c>
      <c r="O48" s="93" t="s">
        <v>207</v>
      </c>
      <c r="P48" s="87" t="s">
        <v>58</v>
      </c>
      <c r="Q48" s="93" t="s">
        <v>207</v>
      </c>
      <c r="R48" s="87" t="s">
        <v>60</v>
      </c>
      <c r="S48" s="93" t="s">
        <v>209</v>
      </c>
      <c r="T48" s="87" t="s">
        <v>62</v>
      </c>
      <c r="U48" s="93" t="s">
        <v>166</v>
      </c>
      <c r="V48" s="87" t="s">
        <v>63</v>
      </c>
      <c r="W48" s="93" t="s">
        <v>209</v>
      </c>
      <c r="X48" s="87" t="s">
        <v>58</v>
      </c>
      <c r="Y48" s="93" t="s">
        <v>208</v>
      </c>
      <c r="Z48" s="87" t="s">
        <v>60</v>
      </c>
      <c r="AA48" s="93" t="s">
        <v>209</v>
      </c>
      <c r="AB48" s="87" t="s">
        <v>62</v>
      </c>
      <c r="AC48" s="93" t="s">
        <v>211</v>
      </c>
      <c r="AD48" s="87" t="s">
        <v>63</v>
      </c>
      <c r="AE48" s="93" t="s">
        <v>209</v>
      </c>
      <c r="AF48" s="87" t="s">
        <v>58</v>
      </c>
      <c r="AG48" s="93" t="s">
        <v>210</v>
      </c>
      <c r="AH48" s="87" t="s">
        <v>60</v>
      </c>
      <c r="AI48" s="93" t="s">
        <v>209</v>
      </c>
      <c r="AJ48" s="87" t="s">
        <v>62</v>
      </c>
      <c r="AK48" s="93" t="s">
        <v>213</v>
      </c>
      <c r="AL48" s="87" t="s">
        <v>63</v>
      </c>
      <c r="AM48" s="93" t="s">
        <v>209</v>
      </c>
      <c r="AN48" s="87" t="s">
        <v>58</v>
      </c>
      <c r="AO48" s="93" t="s">
        <v>212</v>
      </c>
    </row>
    <row r="49" spans="9:41" x14ac:dyDescent="0.25">
      <c r="I49" s="49">
        <v>6</v>
      </c>
      <c r="J49" s="87" t="s">
        <v>62</v>
      </c>
      <c r="K49" s="93" t="s">
        <v>207</v>
      </c>
      <c r="L49" s="87" t="s">
        <v>63</v>
      </c>
      <c r="M49" s="93" t="s">
        <v>172</v>
      </c>
      <c r="N49" s="87" t="s">
        <v>58</v>
      </c>
      <c r="O49" s="93" t="s">
        <v>207</v>
      </c>
      <c r="P49" s="87" t="s">
        <v>60</v>
      </c>
      <c r="Q49" s="93" t="s">
        <v>172</v>
      </c>
      <c r="R49" s="87" t="s">
        <v>62</v>
      </c>
      <c r="S49" s="93" t="s">
        <v>171</v>
      </c>
      <c r="T49" s="87" t="s">
        <v>63</v>
      </c>
      <c r="U49" s="93" t="s">
        <v>172</v>
      </c>
      <c r="V49" s="87" t="s">
        <v>58</v>
      </c>
      <c r="W49" s="93" t="s">
        <v>171</v>
      </c>
      <c r="X49" s="87" t="s">
        <v>60</v>
      </c>
      <c r="Y49" s="93" t="s">
        <v>172</v>
      </c>
      <c r="Z49" s="87" t="s">
        <v>62</v>
      </c>
      <c r="AA49" s="93" t="s">
        <v>214</v>
      </c>
      <c r="AB49" s="87" t="s">
        <v>63</v>
      </c>
      <c r="AC49" s="93" t="s">
        <v>172</v>
      </c>
      <c r="AD49" s="87" t="s">
        <v>58</v>
      </c>
      <c r="AE49" s="93" t="s">
        <v>214</v>
      </c>
      <c r="AF49" s="87" t="s">
        <v>60</v>
      </c>
      <c r="AG49" s="93" t="s">
        <v>172</v>
      </c>
      <c r="AH49" s="87" t="s">
        <v>62</v>
      </c>
      <c r="AI49" s="93" t="s">
        <v>214</v>
      </c>
      <c r="AJ49" s="87" t="s">
        <v>63</v>
      </c>
      <c r="AK49" s="93" t="s">
        <v>172</v>
      </c>
      <c r="AL49" s="87" t="s">
        <v>58</v>
      </c>
      <c r="AM49" s="93" t="s">
        <v>214</v>
      </c>
      <c r="AN49" s="87" t="s">
        <v>60</v>
      </c>
      <c r="AO49" s="93" t="s">
        <v>172</v>
      </c>
    </row>
    <row r="50" spans="9:41" x14ac:dyDescent="0.25">
      <c r="I50" s="49">
        <v>7</v>
      </c>
      <c r="J50" s="87" t="s">
        <v>62</v>
      </c>
      <c r="K50" s="93" t="s">
        <v>207</v>
      </c>
      <c r="L50" s="87" t="s">
        <v>63</v>
      </c>
      <c r="M50" s="96" t="s">
        <v>174</v>
      </c>
      <c r="N50" s="87" t="s">
        <v>58</v>
      </c>
      <c r="O50" s="93" t="s">
        <v>207</v>
      </c>
      <c r="P50" s="87" t="s">
        <v>60</v>
      </c>
      <c r="Q50" s="96" t="s">
        <v>174</v>
      </c>
      <c r="R50" s="87" t="s">
        <v>62</v>
      </c>
      <c r="S50" s="93" t="s">
        <v>166</v>
      </c>
      <c r="T50" s="87" t="s">
        <v>63</v>
      </c>
      <c r="U50" s="96" t="s">
        <v>174</v>
      </c>
      <c r="V50" s="87" t="s">
        <v>58</v>
      </c>
      <c r="W50" s="93" t="s">
        <v>208</v>
      </c>
      <c r="X50" s="87" t="s">
        <v>60</v>
      </c>
      <c r="Y50" s="96" t="s">
        <v>174</v>
      </c>
      <c r="Z50" s="87" t="s">
        <v>62</v>
      </c>
      <c r="AA50" s="93" t="s">
        <v>211</v>
      </c>
      <c r="AB50" s="87" t="s">
        <v>63</v>
      </c>
      <c r="AC50" s="96" t="s">
        <v>174</v>
      </c>
      <c r="AD50" s="87" t="s">
        <v>58</v>
      </c>
      <c r="AE50" s="93" t="s">
        <v>210</v>
      </c>
      <c r="AF50" s="87" t="s">
        <v>60</v>
      </c>
      <c r="AG50" s="96" t="s">
        <v>174</v>
      </c>
      <c r="AH50" s="87" t="s">
        <v>62</v>
      </c>
      <c r="AI50" s="93" t="s">
        <v>213</v>
      </c>
      <c r="AJ50" s="87" t="s">
        <v>63</v>
      </c>
      <c r="AK50" s="96" t="s">
        <v>174</v>
      </c>
      <c r="AL50" s="87" t="s">
        <v>58</v>
      </c>
      <c r="AM50" s="93" t="s">
        <v>212</v>
      </c>
      <c r="AN50" s="87" t="s">
        <v>60</v>
      </c>
      <c r="AO50" s="96" t="s">
        <v>174</v>
      </c>
    </row>
    <row r="51" spans="9:41" x14ac:dyDescent="0.25">
      <c r="I51" s="49">
        <v>8</v>
      </c>
      <c r="J51" s="87" t="s">
        <v>63</v>
      </c>
      <c r="K51" s="93" t="s">
        <v>172</v>
      </c>
      <c r="L51" s="87" t="s">
        <v>58</v>
      </c>
      <c r="M51" s="93" t="s">
        <v>207</v>
      </c>
      <c r="N51" s="87" t="s">
        <v>60</v>
      </c>
      <c r="O51" s="93" t="s">
        <v>172</v>
      </c>
      <c r="P51" s="87" t="s">
        <v>62</v>
      </c>
      <c r="Q51" s="93" t="s">
        <v>207</v>
      </c>
      <c r="R51" s="87" t="s">
        <v>63</v>
      </c>
      <c r="S51" s="93" t="s">
        <v>172</v>
      </c>
      <c r="T51" s="87" t="s">
        <v>58</v>
      </c>
      <c r="U51" s="93" t="s">
        <v>171</v>
      </c>
      <c r="V51" s="87" t="s">
        <v>60</v>
      </c>
      <c r="W51" s="93" t="s">
        <v>172</v>
      </c>
      <c r="X51" s="87" t="s">
        <v>62</v>
      </c>
      <c r="Y51" s="93" t="s">
        <v>171</v>
      </c>
      <c r="Z51" s="87" t="s">
        <v>63</v>
      </c>
      <c r="AA51" s="93" t="s">
        <v>172</v>
      </c>
      <c r="AB51" s="87" t="s">
        <v>58</v>
      </c>
      <c r="AC51" s="93" t="s">
        <v>214</v>
      </c>
      <c r="AD51" s="87" t="s">
        <v>60</v>
      </c>
      <c r="AE51" s="93" t="s">
        <v>172</v>
      </c>
      <c r="AF51" s="87" t="s">
        <v>62</v>
      </c>
      <c r="AG51" s="93" t="s">
        <v>214</v>
      </c>
      <c r="AH51" s="87" t="s">
        <v>63</v>
      </c>
      <c r="AI51" s="93" t="s">
        <v>172</v>
      </c>
      <c r="AJ51" s="87" t="s">
        <v>58</v>
      </c>
      <c r="AK51" s="93" t="s">
        <v>214</v>
      </c>
      <c r="AL51" s="87" t="s">
        <v>60</v>
      </c>
      <c r="AM51" s="93" t="s">
        <v>172</v>
      </c>
      <c r="AN51" s="87" t="s">
        <v>62</v>
      </c>
      <c r="AO51" s="93" t="s">
        <v>214</v>
      </c>
    </row>
    <row r="52" spans="9:41" x14ac:dyDescent="0.25">
      <c r="I52" s="49">
        <v>9</v>
      </c>
      <c r="J52" s="89" t="s">
        <v>63</v>
      </c>
      <c r="K52" s="97" t="s">
        <v>174</v>
      </c>
      <c r="L52" s="89" t="s">
        <v>58</v>
      </c>
      <c r="M52" s="88" t="s">
        <v>207</v>
      </c>
      <c r="N52" s="89" t="s">
        <v>60</v>
      </c>
      <c r="O52" s="97" t="s">
        <v>174</v>
      </c>
      <c r="P52" s="89" t="s">
        <v>62</v>
      </c>
      <c r="Q52" s="88" t="s">
        <v>207</v>
      </c>
      <c r="R52" s="89" t="s">
        <v>63</v>
      </c>
      <c r="S52" s="97" t="s">
        <v>174</v>
      </c>
      <c r="T52" s="89" t="s">
        <v>58</v>
      </c>
      <c r="U52" s="88" t="s">
        <v>208</v>
      </c>
      <c r="V52" s="89" t="s">
        <v>60</v>
      </c>
      <c r="W52" s="97" t="s">
        <v>174</v>
      </c>
      <c r="X52" s="89" t="s">
        <v>62</v>
      </c>
      <c r="Y52" s="88" t="s">
        <v>166</v>
      </c>
      <c r="Z52" s="89" t="s">
        <v>63</v>
      </c>
      <c r="AA52" s="97" t="s">
        <v>174</v>
      </c>
      <c r="AB52" s="89" t="s">
        <v>58</v>
      </c>
      <c r="AC52" s="88" t="s">
        <v>210</v>
      </c>
      <c r="AD52" s="89" t="s">
        <v>60</v>
      </c>
      <c r="AE52" s="97" t="s">
        <v>174</v>
      </c>
      <c r="AF52" s="89" t="s">
        <v>62</v>
      </c>
      <c r="AG52" s="88" t="s">
        <v>211</v>
      </c>
      <c r="AH52" s="89" t="s">
        <v>63</v>
      </c>
      <c r="AI52" s="97" t="s">
        <v>174</v>
      </c>
      <c r="AJ52" s="89" t="s">
        <v>58</v>
      </c>
      <c r="AK52" s="88" t="s">
        <v>212</v>
      </c>
      <c r="AL52" s="89" t="s">
        <v>60</v>
      </c>
      <c r="AM52" s="97" t="s">
        <v>174</v>
      </c>
      <c r="AN52" s="89" t="s">
        <v>62</v>
      </c>
      <c r="AO52" s="88" t="s">
        <v>213</v>
      </c>
    </row>
    <row r="53" spans="9:41" x14ac:dyDescent="0.25">
      <c r="I53" s="49">
        <v>10</v>
      </c>
      <c r="J53" s="86" t="s">
        <v>215</v>
      </c>
      <c r="K53" s="92" t="s">
        <v>166</v>
      </c>
      <c r="L53" s="86" t="s">
        <v>215</v>
      </c>
      <c r="M53" s="92" t="s">
        <v>166</v>
      </c>
      <c r="N53" s="86" t="s">
        <v>215</v>
      </c>
      <c r="O53" s="92" t="s">
        <v>166</v>
      </c>
      <c r="P53" s="86" t="s">
        <v>215</v>
      </c>
      <c r="Q53" s="92" t="s">
        <v>166</v>
      </c>
      <c r="R53" s="86"/>
      <c r="S53" s="163" t="s">
        <v>135</v>
      </c>
      <c r="T53" s="86"/>
      <c r="U53" s="163" t="s">
        <v>135</v>
      </c>
      <c r="V53" s="86"/>
      <c r="W53" s="163" t="s">
        <v>135</v>
      </c>
      <c r="X53" s="86"/>
      <c r="Y53" s="163" t="s">
        <v>135</v>
      </c>
      <c r="Z53" s="86"/>
      <c r="AA53" s="163" t="s">
        <v>135</v>
      </c>
      <c r="AB53" s="86"/>
      <c r="AC53" s="163" t="s">
        <v>135</v>
      </c>
      <c r="AD53" s="86"/>
      <c r="AE53" s="163" t="s">
        <v>135</v>
      </c>
      <c r="AF53" s="86"/>
      <c r="AG53" s="163" t="s">
        <v>135</v>
      </c>
      <c r="AH53" s="86"/>
      <c r="AI53" s="163" t="s">
        <v>135</v>
      </c>
      <c r="AJ53" s="86"/>
      <c r="AK53" s="163" t="s">
        <v>135</v>
      </c>
      <c r="AL53" s="86"/>
      <c r="AM53" s="163" t="s">
        <v>135</v>
      </c>
      <c r="AN53" s="86"/>
      <c r="AO53" s="163" t="s">
        <v>135</v>
      </c>
    </row>
    <row r="54" spans="9:41" x14ac:dyDescent="0.25">
      <c r="I54" s="49">
        <v>11</v>
      </c>
      <c r="J54" s="87" t="s">
        <v>216</v>
      </c>
      <c r="K54" s="93" t="s">
        <v>213</v>
      </c>
      <c r="L54" s="87" t="s">
        <v>216</v>
      </c>
      <c r="M54" s="93" t="s">
        <v>213</v>
      </c>
      <c r="N54" s="87" t="s">
        <v>216</v>
      </c>
      <c r="O54" s="93" t="s">
        <v>213</v>
      </c>
      <c r="P54" s="87" t="s">
        <v>216</v>
      </c>
      <c r="Q54" s="93" t="s">
        <v>213</v>
      </c>
      <c r="R54" s="87"/>
      <c r="S54" s="93"/>
      <c r="T54" s="87"/>
      <c r="U54" s="93"/>
      <c r="V54" s="87"/>
      <c r="W54" s="93"/>
      <c r="X54" s="87"/>
      <c r="Y54" s="93"/>
      <c r="Z54" s="87"/>
      <c r="AA54" s="93"/>
      <c r="AB54" s="87"/>
      <c r="AC54" s="93"/>
      <c r="AD54" s="87"/>
      <c r="AE54" s="93"/>
      <c r="AF54" s="87"/>
      <c r="AG54" s="93"/>
      <c r="AH54" s="87"/>
      <c r="AI54" s="93"/>
      <c r="AJ54" s="87"/>
      <c r="AK54" s="93"/>
      <c r="AL54" s="87"/>
      <c r="AM54" s="93"/>
      <c r="AN54" s="87"/>
      <c r="AO54" s="93"/>
    </row>
    <row r="55" spans="9:41" x14ac:dyDescent="0.25">
      <c r="I55" s="49">
        <v>12</v>
      </c>
      <c r="J55" s="87" t="s">
        <v>217</v>
      </c>
      <c r="K55" s="93" t="s">
        <v>214</v>
      </c>
      <c r="L55" s="87" t="s">
        <v>217</v>
      </c>
      <c r="M55" s="93" t="s">
        <v>214</v>
      </c>
      <c r="N55" s="87" t="s">
        <v>217</v>
      </c>
      <c r="O55" s="93" t="s">
        <v>214</v>
      </c>
      <c r="P55" s="87" t="s">
        <v>217</v>
      </c>
      <c r="Q55" s="93" t="s">
        <v>214</v>
      </c>
      <c r="R55" s="87"/>
      <c r="S55" s="93"/>
      <c r="T55" s="87"/>
      <c r="U55" s="93"/>
      <c r="V55" s="87"/>
      <c r="W55" s="93"/>
      <c r="X55" s="87"/>
      <c r="Y55" s="93"/>
      <c r="Z55" s="87"/>
      <c r="AA55" s="93"/>
      <c r="AB55" s="87"/>
      <c r="AC55" s="93"/>
      <c r="AD55" s="87"/>
      <c r="AE55" s="93"/>
      <c r="AF55" s="87"/>
      <c r="AG55" s="93"/>
      <c r="AH55" s="87"/>
      <c r="AI55" s="93"/>
      <c r="AJ55" s="87"/>
      <c r="AK55" s="93"/>
      <c r="AL55" s="87"/>
      <c r="AM55" s="93"/>
      <c r="AN55" s="87"/>
      <c r="AO55" s="93"/>
    </row>
    <row r="56" spans="9:41" x14ac:dyDescent="0.25">
      <c r="I56" s="49">
        <v>13</v>
      </c>
      <c r="J56" s="87" t="s">
        <v>218</v>
      </c>
      <c r="K56" s="93" t="s">
        <v>209</v>
      </c>
      <c r="L56" s="87" t="s">
        <v>218</v>
      </c>
      <c r="M56" s="93" t="s">
        <v>209</v>
      </c>
      <c r="N56" s="87" t="s">
        <v>218</v>
      </c>
      <c r="O56" s="93" t="s">
        <v>209</v>
      </c>
      <c r="P56" s="87" t="s">
        <v>218</v>
      </c>
      <c r="Q56" s="93" t="s">
        <v>209</v>
      </c>
      <c r="R56" s="87"/>
      <c r="S56" s="93"/>
      <c r="T56" s="87"/>
      <c r="U56" s="93"/>
      <c r="V56" s="87"/>
      <c r="W56" s="93"/>
      <c r="X56" s="87"/>
      <c r="Y56" s="93"/>
      <c r="Z56" s="87"/>
      <c r="AA56" s="93"/>
      <c r="AB56" s="87"/>
      <c r="AC56" s="93"/>
      <c r="AD56" s="87"/>
      <c r="AE56" s="93"/>
      <c r="AF56" s="87"/>
      <c r="AG56" s="93"/>
      <c r="AH56" s="87"/>
      <c r="AI56" s="93"/>
      <c r="AJ56" s="87"/>
      <c r="AK56" s="93"/>
      <c r="AL56" s="87"/>
      <c r="AM56" s="93"/>
      <c r="AN56" s="87"/>
      <c r="AO56" s="93"/>
    </row>
    <row r="57" spans="9:41" x14ac:dyDescent="0.25">
      <c r="I57" s="49">
        <v>14</v>
      </c>
      <c r="J57" s="87" t="s">
        <v>219</v>
      </c>
      <c r="K57" s="93" t="s">
        <v>210</v>
      </c>
      <c r="L57" s="87" t="s">
        <v>219</v>
      </c>
      <c r="M57" s="93" t="s">
        <v>210</v>
      </c>
      <c r="N57" s="87" t="s">
        <v>219</v>
      </c>
      <c r="O57" s="93" t="s">
        <v>210</v>
      </c>
      <c r="P57" s="87" t="s">
        <v>219</v>
      </c>
      <c r="Q57" s="93" t="s">
        <v>210</v>
      </c>
      <c r="R57" s="87"/>
      <c r="S57" s="93"/>
      <c r="T57" s="87"/>
      <c r="U57" s="93"/>
      <c r="V57" s="87"/>
      <c r="W57" s="93"/>
      <c r="X57" s="87"/>
      <c r="Y57" s="93"/>
      <c r="Z57" s="87"/>
      <c r="AA57" s="93"/>
      <c r="AB57" s="87"/>
      <c r="AC57" s="93"/>
      <c r="AD57" s="87"/>
      <c r="AE57" s="93"/>
      <c r="AF57" s="87"/>
      <c r="AG57" s="93"/>
      <c r="AH57" s="87"/>
      <c r="AI57" s="93"/>
      <c r="AJ57" s="87"/>
      <c r="AK57" s="93"/>
      <c r="AL57" s="87"/>
      <c r="AM57" s="93"/>
      <c r="AN57" s="87"/>
      <c r="AO57" s="93"/>
    </row>
    <row r="58" spans="9:41" x14ac:dyDescent="0.25">
      <c r="I58" s="49">
        <v>15</v>
      </c>
      <c r="J58" s="87" t="s">
        <v>220</v>
      </c>
      <c r="K58" s="93" t="s">
        <v>208</v>
      </c>
      <c r="L58" s="87" t="s">
        <v>220</v>
      </c>
      <c r="M58" s="93" t="s">
        <v>208</v>
      </c>
      <c r="N58" s="87" t="s">
        <v>220</v>
      </c>
      <c r="O58" s="93" t="s">
        <v>208</v>
      </c>
      <c r="P58" s="87" t="s">
        <v>220</v>
      </c>
      <c r="Q58" s="93" t="s">
        <v>208</v>
      </c>
      <c r="R58" s="87"/>
      <c r="S58" s="93"/>
      <c r="T58" s="87"/>
      <c r="U58" s="96"/>
      <c r="V58" s="87"/>
      <c r="W58" s="93"/>
      <c r="X58" s="87"/>
      <c r="Y58" s="93"/>
      <c r="Z58" s="87"/>
      <c r="AA58" s="93"/>
      <c r="AB58" s="87"/>
      <c r="AC58" s="96"/>
      <c r="AD58" s="87"/>
      <c r="AE58" s="93"/>
      <c r="AF58" s="87"/>
      <c r="AG58" s="96"/>
      <c r="AH58" s="87"/>
      <c r="AI58" s="93"/>
      <c r="AJ58" s="87"/>
      <c r="AK58" s="93"/>
      <c r="AL58" s="87"/>
      <c r="AM58" s="93"/>
      <c r="AN58" s="87"/>
      <c r="AO58" s="93"/>
    </row>
    <row r="59" spans="9:41" x14ac:dyDescent="0.25">
      <c r="I59" s="49">
        <v>16</v>
      </c>
      <c r="J59" s="87" t="s">
        <v>221</v>
      </c>
      <c r="K59" s="93" t="s">
        <v>211</v>
      </c>
      <c r="L59" s="87" t="s">
        <v>221</v>
      </c>
      <c r="M59" s="93" t="s">
        <v>211</v>
      </c>
      <c r="N59" s="87" t="s">
        <v>221</v>
      </c>
      <c r="O59" s="93" t="s">
        <v>211</v>
      </c>
      <c r="P59" s="87" t="s">
        <v>221</v>
      </c>
      <c r="Q59" s="93" t="s">
        <v>211</v>
      </c>
      <c r="R59" s="87"/>
      <c r="S59" s="93"/>
      <c r="T59" s="87"/>
      <c r="U59" s="96"/>
      <c r="V59" s="87"/>
      <c r="W59" s="93"/>
      <c r="X59" s="87"/>
      <c r="Y59" s="93"/>
      <c r="Z59" s="87"/>
      <c r="AA59" s="93"/>
      <c r="AB59" s="87"/>
      <c r="AC59" s="96"/>
      <c r="AD59" s="87"/>
      <c r="AE59" s="93"/>
      <c r="AF59" s="87"/>
      <c r="AG59" s="96"/>
      <c r="AH59" s="87"/>
      <c r="AI59" s="93"/>
      <c r="AJ59" s="87"/>
      <c r="AK59" s="93"/>
      <c r="AL59" s="87"/>
      <c r="AM59" s="93"/>
      <c r="AN59" s="87"/>
      <c r="AO59" s="93"/>
    </row>
    <row r="60" spans="9:41" x14ac:dyDescent="0.25">
      <c r="I60" s="49">
        <v>17</v>
      </c>
      <c r="J60" s="87" t="s">
        <v>222</v>
      </c>
      <c r="K60" s="93" t="s">
        <v>212</v>
      </c>
      <c r="L60" s="87" t="s">
        <v>222</v>
      </c>
      <c r="M60" s="93" t="s">
        <v>212</v>
      </c>
      <c r="N60" s="87" t="s">
        <v>222</v>
      </c>
      <c r="O60" s="93" t="s">
        <v>212</v>
      </c>
      <c r="P60" s="87" t="s">
        <v>222</v>
      </c>
      <c r="Q60" s="93" t="s">
        <v>212</v>
      </c>
      <c r="R60" s="87"/>
      <c r="S60" s="93"/>
      <c r="T60" s="87"/>
      <c r="U60" s="93"/>
      <c r="V60" s="87"/>
      <c r="W60" s="93"/>
      <c r="X60" s="87"/>
      <c r="Y60" s="93"/>
      <c r="Z60" s="87"/>
      <c r="AA60" s="93"/>
      <c r="AB60" s="87"/>
      <c r="AC60" s="93"/>
      <c r="AD60" s="87"/>
      <c r="AE60" s="93"/>
      <c r="AF60" s="87"/>
      <c r="AG60" s="93"/>
      <c r="AH60" s="87"/>
      <c r="AI60" s="93"/>
      <c r="AJ60" s="87"/>
      <c r="AK60" s="93"/>
      <c r="AL60" s="87"/>
      <c r="AM60" s="93"/>
      <c r="AN60" s="87"/>
      <c r="AO60" s="93"/>
    </row>
    <row r="61" spans="9:41" x14ac:dyDescent="0.25">
      <c r="I61" s="49">
        <v>18</v>
      </c>
      <c r="J61" s="89" t="s">
        <v>223</v>
      </c>
      <c r="K61" s="97" t="s">
        <v>171</v>
      </c>
      <c r="L61" s="89" t="s">
        <v>223</v>
      </c>
      <c r="M61" s="97" t="s">
        <v>171</v>
      </c>
      <c r="N61" s="89" t="s">
        <v>223</v>
      </c>
      <c r="O61" s="97" t="s">
        <v>171</v>
      </c>
      <c r="P61" s="89" t="s">
        <v>223</v>
      </c>
      <c r="Q61" s="97" t="s">
        <v>171</v>
      </c>
      <c r="R61" s="89"/>
      <c r="S61" s="97"/>
      <c r="T61" s="89"/>
      <c r="U61" s="88"/>
      <c r="V61" s="89"/>
      <c r="W61" s="97"/>
      <c r="X61" s="89"/>
      <c r="Y61" s="88"/>
      <c r="Z61" s="89"/>
      <c r="AA61" s="97"/>
      <c r="AB61" s="89"/>
      <c r="AC61" s="88"/>
      <c r="AD61" s="89"/>
      <c r="AE61" s="97"/>
      <c r="AF61" s="89"/>
      <c r="AG61" s="88"/>
      <c r="AH61" s="89"/>
      <c r="AI61" s="88"/>
      <c r="AJ61" s="89"/>
      <c r="AK61" s="88"/>
      <c r="AL61" s="89"/>
      <c r="AM61" s="88"/>
      <c r="AN61" s="89"/>
      <c r="AO61" s="88"/>
    </row>
    <row r="63" spans="9:41" x14ac:dyDescent="0.25">
      <c r="K63"/>
      <c r="L63"/>
      <c r="M63"/>
      <c r="N63"/>
      <c r="O63"/>
      <c r="P63"/>
      <c r="Q63"/>
    </row>
  </sheetData>
  <dataValidations count="2">
    <dataValidation type="list" allowBlank="1" showInputMessage="1" showErrorMessage="1" sqref="AT1">
      <formula1>$K$4:$Y$4</formula1>
    </dataValidation>
    <dataValidation type="list" allowBlank="1" showInputMessage="1" showErrorMessage="1" sqref="AT2:AT3">
      <formula1>$K$25:$Q$25</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27"/>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3.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c r="AA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c r="AA4" s="231"/>
    </row>
    <row r="5" spans="1:27" ht="19.5" customHeight="1" x14ac:dyDescent="0.25">
      <c r="A5" s="237"/>
      <c r="B5" s="238"/>
      <c r="C5" s="239" t="s">
        <v>10</v>
      </c>
      <c r="D5" s="240" t="s">
        <v>118</v>
      </c>
      <c r="E5" s="241"/>
      <c r="F5" s="239" t="s">
        <v>12</v>
      </c>
      <c r="G5" s="246" t="str">
        <f>IFERROR(CONCATENATE(VLOOKUP(D5,TableCourses[],2,FALSE)," ",VLOOKUP(D5,TableCourses[],3,FALSE)),"")</f>
        <v>GD-EDUC v.1</v>
      </c>
      <c r="H5" s="302"/>
      <c r="I5" s="241"/>
      <c r="J5" s="241"/>
      <c r="K5" s="241"/>
      <c r="L5" s="241"/>
      <c r="M5" s="241"/>
      <c r="N5" s="241"/>
      <c r="O5" s="241"/>
      <c r="P5" s="336"/>
      <c r="Q5" s="297"/>
      <c r="R5" s="231"/>
      <c r="S5" s="231"/>
      <c r="T5" s="231"/>
      <c r="U5" s="231"/>
      <c r="V5" s="231"/>
      <c r="W5" s="231"/>
      <c r="X5" s="231"/>
      <c r="Y5" s="231"/>
      <c r="Z5" s="231"/>
      <c r="AA5" s="231"/>
    </row>
    <row r="6" spans="1:27" ht="19.5" customHeight="1" x14ac:dyDescent="0.25">
      <c r="A6" s="237"/>
      <c r="B6" s="238"/>
      <c r="C6" s="239" t="s">
        <v>13</v>
      </c>
      <c r="D6" s="244" t="s">
        <v>284</v>
      </c>
      <c r="E6" s="241"/>
      <c r="F6" s="239" t="s">
        <v>15</v>
      </c>
      <c r="G6" s="246" t="str">
        <f>IFERROR(CONCATENATE(VLOOKUP(D6,TableMajorsGDEDUC[],2,FALSE)," ",VLOOKUP(D6,TableMajorsGDEDUC[],3,FALSE)),"")</f>
        <v>MJRP-EDUPR v.1</v>
      </c>
      <c r="H6" s="302"/>
      <c r="I6" s="241"/>
      <c r="J6" s="241"/>
      <c r="K6" s="241"/>
      <c r="L6" s="241"/>
      <c r="M6" s="241"/>
      <c r="N6" s="241"/>
      <c r="O6" s="241"/>
      <c r="P6" s="304" t="str">
        <f>CONCATENATE(VLOOKUP(D6,TableMajorsGDEDUC[],2,FALSE),VLOOKUP(D7,TableStudyPeriods[],2,FALSE))</f>
        <v>MJRP-EDUPRSSP1</v>
      </c>
      <c r="Q6" s="297"/>
      <c r="R6" s="231"/>
      <c r="S6" s="231"/>
      <c r="T6" s="231"/>
      <c r="U6" s="231"/>
      <c r="V6" s="231"/>
      <c r="W6" s="231"/>
      <c r="X6" s="231"/>
      <c r="Y6" s="231"/>
      <c r="Z6" s="231"/>
      <c r="AA6" s="231"/>
    </row>
    <row r="7" spans="1:27" ht="19.5" customHeight="1" x14ac:dyDescent="0.25">
      <c r="A7" s="246"/>
      <c r="B7" s="247"/>
      <c r="C7" s="239" t="s">
        <v>16</v>
      </c>
      <c r="D7" s="248" t="s">
        <v>17</v>
      </c>
      <c r="E7" s="249"/>
      <c r="F7" s="239" t="s">
        <v>18</v>
      </c>
      <c r="G7" s="241" t="str">
        <f>IFERROR(VLOOKUP($D$5,TableCourses[],4,FALSE),"")</f>
        <v>200 credit points required</v>
      </c>
      <c r="H7" s="250"/>
      <c r="I7" s="250"/>
      <c r="J7" s="250"/>
      <c r="K7" s="250"/>
      <c r="L7" s="250"/>
      <c r="M7" s="250"/>
      <c r="N7" s="250"/>
      <c r="O7" s="250"/>
      <c r="P7" s="304" t="str">
        <f>IFERROR(CONCATENATE("DDGD",MID(G6,6,5)),"")</f>
        <v>DDGDEDUPR</v>
      </c>
      <c r="Q7" s="297"/>
      <c r="R7" s="231"/>
      <c r="S7" s="231"/>
      <c r="T7" s="231"/>
      <c r="U7" s="231"/>
      <c r="V7" s="231"/>
      <c r="W7" s="231"/>
      <c r="X7" s="231"/>
      <c r="Y7" s="231"/>
      <c r="Z7" s="231"/>
      <c r="AA7" s="231"/>
    </row>
    <row r="8" spans="1:27" s="18" customFormat="1" ht="14.1" customHeight="1" x14ac:dyDescent="0.25">
      <c r="A8" s="252"/>
      <c r="B8" s="252"/>
      <c r="C8" s="252"/>
      <c r="D8" s="253"/>
      <c r="E8" s="254"/>
      <c r="F8" s="252"/>
      <c r="G8" s="252"/>
      <c r="H8" s="255" t="s">
        <v>19</v>
      </c>
      <c r="I8" s="256"/>
      <c r="J8" s="256"/>
      <c r="K8" s="256"/>
      <c r="L8" s="256"/>
      <c r="M8" s="256"/>
      <c r="N8" s="256"/>
      <c r="O8" s="257"/>
      <c r="P8" s="254"/>
      <c r="Q8" s="285"/>
      <c r="R8" s="258"/>
      <c r="S8" s="258"/>
      <c r="T8" s="259"/>
      <c r="U8" s="259"/>
      <c r="V8" s="259"/>
      <c r="W8" s="259"/>
      <c r="X8" s="259"/>
      <c r="Y8" s="259"/>
      <c r="Z8" s="259"/>
      <c r="AA8" s="259"/>
    </row>
    <row r="9" spans="1:27" s="18" customFormat="1" ht="31.5" x14ac:dyDescent="0.25">
      <c r="A9" s="252" t="s">
        <v>20</v>
      </c>
      <c r="B9" s="252"/>
      <c r="C9" s="252"/>
      <c r="D9" s="253" t="s">
        <v>3</v>
      </c>
      <c r="E9" s="260" t="s">
        <v>21</v>
      </c>
      <c r="F9" s="252" t="s">
        <v>43</v>
      </c>
      <c r="G9" s="252" t="s">
        <v>23</v>
      </c>
      <c r="H9" s="261" t="s">
        <v>24</v>
      </c>
      <c r="I9" s="262" t="s">
        <v>25</v>
      </c>
      <c r="J9" s="261" t="s">
        <v>26</v>
      </c>
      <c r="K9" s="262" t="s">
        <v>27</v>
      </c>
      <c r="L9" s="261" t="s">
        <v>28</v>
      </c>
      <c r="M9" s="262" t="s">
        <v>29</v>
      </c>
      <c r="N9" s="261" t="s">
        <v>30</v>
      </c>
      <c r="O9" s="262" t="s">
        <v>31</v>
      </c>
      <c r="P9" s="252" t="s">
        <v>32</v>
      </c>
      <c r="Q9" s="285"/>
      <c r="R9" s="258"/>
      <c r="S9" s="258"/>
      <c r="T9" s="259"/>
      <c r="U9" s="259"/>
      <c r="V9" s="259"/>
      <c r="W9" s="259"/>
      <c r="X9" s="259"/>
      <c r="Y9" s="259"/>
      <c r="Z9" s="259"/>
      <c r="AA9" s="259"/>
    </row>
    <row r="10" spans="1:27" s="20" customFormat="1" ht="21" customHeight="1" x14ac:dyDescent="0.15">
      <c r="A10" s="263" t="str">
        <f>IFERROR(IF(HLOOKUP($P$6,RangeUnitsetsGDEDUC,Q10,FALSE)=0,"",HLOOKUP($P$6,RangeUnitsetsGDEDUC,Q10,FALSE)),"")</f>
        <v>EDUC5005</v>
      </c>
      <c r="B10" s="264">
        <f>IFERROR(IF(VLOOKUP($A10,TableHandbook[],2,FALSE)=0,"",VLOOKUP($A10,TableHandbook[],2,FALSE)),"")</f>
        <v>2</v>
      </c>
      <c r="C10" s="264" t="str">
        <f>IFERROR(IF(VLOOKUP($A10,TableHandbook[],3,FALSE)=0,"",VLOOKUP($A10,TableHandbook[],3,FALSE)),"")</f>
        <v/>
      </c>
      <c r="D10" s="265" t="str">
        <f>IFERROR(IF(VLOOKUP($A10,TableHandbook[],4,FALSE)=0,"",VLOOKUP($A10,TableHandbook[],4,FALSE)),"")</f>
        <v>Theories of Development and Learning</v>
      </c>
      <c r="E10" s="264" t="str">
        <f>IF(OR(A10="",A10="--"),"",VLOOKUP($D$7,TableStudyPeriods[],2,FALSE))</f>
        <v>SSP1</v>
      </c>
      <c r="F10" s="266" t="str">
        <f>IFERROR(IF(VLOOKUP($A10,TableHandbook[],6,FALSE)=0,"",VLOOKUP($A10,TableHandbook[],6,FALSE)),"")</f>
        <v>Nil</v>
      </c>
      <c r="G10" s="264">
        <f>IFERROR(IF(VLOOKUP($A10,TableHandbook[],5,FALSE)=0,"",VLOOKUP($A10,TableHandbook[],5,FALSE)),"")</f>
        <v>25</v>
      </c>
      <c r="H10" s="267" t="str">
        <f>IFERROR(VLOOKUP($A10,TableHandbook[],H$2,FALSE),"")</f>
        <v>Y</v>
      </c>
      <c r="I10" s="268" t="str">
        <f>IFERROR(VLOOKUP($A10,TableHandbook[],I$2,FALSE),"")</f>
        <v>Y</v>
      </c>
      <c r="J10" s="267" t="str">
        <f>IFERROR(VLOOKUP($A10,TableHandbook[],J$2,FALSE),"")</f>
        <v/>
      </c>
      <c r="K10" s="268" t="str">
        <f>IFERROR(VLOOKUP($A10,TableHandbook[],K$2,FALSE),"")</f>
        <v/>
      </c>
      <c r="L10" s="267" t="str">
        <f>IFERROR(VLOOKUP($A10,TableHandbook[],L$2,FALSE),"")</f>
        <v>Y</v>
      </c>
      <c r="M10" s="268" t="str">
        <f>IFERROR(VLOOKUP($A10,TableHandbook[],M$2,FALSE),"")</f>
        <v>Y</v>
      </c>
      <c r="N10" s="267" t="str">
        <f>IFERROR(VLOOKUP($A10,TableHandbook[],N$2,FALSE),"")</f>
        <v/>
      </c>
      <c r="O10" s="268" t="str">
        <f>IFERROR(VLOOKUP($A10,TableHandbook[],O$2,FALSE),"")</f>
        <v/>
      </c>
      <c r="P10" s="30"/>
      <c r="Q10" s="269">
        <v>2</v>
      </c>
      <c r="R10" s="270"/>
      <c r="S10" s="270"/>
      <c r="T10" s="271"/>
      <c r="U10" s="271"/>
      <c r="V10" s="271"/>
      <c r="W10" s="271"/>
      <c r="X10" s="271"/>
      <c r="Y10" s="271"/>
      <c r="Z10" s="271"/>
      <c r="AA10" s="271"/>
    </row>
    <row r="11" spans="1:27" s="20" customFormat="1" ht="21" customHeight="1" x14ac:dyDescent="0.15">
      <c r="A11" s="305" t="str">
        <f>IFERROR(IF(HLOOKUP($P$6,RangeUnitsetsGDEDUC,Q11,FALSE)=0,"",HLOOKUP($P$6,RangeUnitsetsGDEDUC,Q11,FALSE)),"")</f>
        <v>EDPR5000</v>
      </c>
      <c r="B11" s="264">
        <f>IFERROR(IF(VLOOKUP($A11,TableHandbook[],2,FALSE)=0,"",VLOOKUP($A11,TableHandbook[],2,FALSE)),"")</f>
        <v>2</v>
      </c>
      <c r="C11" s="264" t="str">
        <f>IFERROR(IF(VLOOKUP($A11,TableHandbook[],3,FALSE)=0,"",VLOOKUP($A11,TableHandbook[],3,FALSE)),"")</f>
        <v/>
      </c>
      <c r="D11" s="265" t="str">
        <f>IFERROR(IF(VLOOKUP($A11,TableHandbook[],4,FALSE)=0,"",VLOOKUP($A11,TableHandbook[],4,FALSE)),"")</f>
        <v>Primary Professional Experience 1: Planning for Writing</v>
      </c>
      <c r="E11" s="264" t="str">
        <f>IF(A11="","",E10)</f>
        <v>SSP1</v>
      </c>
      <c r="F11" s="266" t="str">
        <f>IFERROR(IF(VLOOKUP($A11,TableHandbook[],6,FALSE)=0,"",VLOOKUP($A11,TableHandbook[],6,FALSE)),"")</f>
        <v>Nil</v>
      </c>
      <c r="G11" s="264">
        <f>IFERROR(IF(VLOOKUP($A11,TableHandbook[],5,FALSE)=0,"",VLOOKUP($A11,TableHandbook[],5,FALSE)),"")</f>
        <v>25</v>
      </c>
      <c r="H11" s="267" t="str">
        <f>IFERROR(VLOOKUP($A11,TableHandbook[],H$2,FALSE),"")</f>
        <v>Y</v>
      </c>
      <c r="I11" s="268" t="str">
        <f>IFERROR(VLOOKUP($A11,TableHandbook[],I$2,FALSE),"")</f>
        <v>Y</v>
      </c>
      <c r="J11" s="267" t="str">
        <f>IFERROR(VLOOKUP($A11,TableHandbook[],J$2,FALSE),"")</f>
        <v>Y</v>
      </c>
      <c r="K11" s="268" t="str">
        <f>IFERROR(VLOOKUP($A11,TableHandbook[],K$2,FALSE),"")</f>
        <v>Y</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271"/>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271"/>
    </row>
    <row r="13" spans="1:27" s="20" customFormat="1" ht="21" customHeight="1" x14ac:dyDescent="0.15">
      <c r="A13" s="263" t="str">
        <f>IFERROR(IF(HLOOKUP($P$6,RangeUnitsetsGDEDUC,Q13,FALSE)=0,"",HLOOKUP($P$6,RangeUnitsetsGDEDUC,Q13,FALSE)),"")</f>
        <v>EDPR5005</v>
      </c>
      <c r="B13" s="264">
        <f>IFERROR(IF(VLOOKUP($A13,TableHandbook[],2,FALSE)=0,"",VLOOKUP($A13,TableHandbook[],2,FALSE)),"")</f>
        <v>1</v>
      </c>
      <c r="C13" s="264" t="str">
        <f>IFERROR(IF(VLOOKUP($A13,TableHandbook[],3,FALSE)=0,"",VLOOKUP($A13,TableHandbook[],3,FALSE)),"")</f>
        <v/>
      </c>
      <c r="D13" s="265" t="str">
        <f>IFERROR(IF(VLOOKUP($A13,TableHandbook[],4,FALSE)=0,"",VLOOKUP($A13,TableHandbook[],4,FALSE)),"")</f>
        <v>Teaching Science in the Primary Years</v>
      </c>
      <c r="E13" s="264" t="str">
        <f>IF(OR(A13="",A13="--"),"",VLOOKUP($D$7,TableStudyPeriods[],3,FALSE))</f>
        <v>SSP2</v>
      </c>
      <c r="F13" s="266" t="str">
        <f>IFERROR(IF(VLOOKUP($A13,TableHandbook[],6,FALSE)=0,"",VLOOKUP($A13,TableHandbook[],6,FALSE)),"")</f>
        <v>Nil</v>
      </c>
      <c r="G13" s="264">
        <f>IFERROR(IF(VLOOKUP($A13,TableHandbook[],5,FALSE)=0,"",VLOOKUP($A13,TableHandbook[],5,FALSE)),"")</f>
        <v>25</v>
      </c>
      <c r="H13" s="267" t="str">
        <f>IFERROR(VLOOKUP($A13,TableHandbook[],H$2,FALSE),"")</f>
        <v/>
      </c>
      <c r="I13" s="268" t="str">
        <f>IFERROR(VLOOKUP($A13,TableHandbook[],I$2,FALSE),"")</f>
        <v/>
      </c>
      <c r="J13" s="267" t="str">
        <f>IFERROR(VLOOKUP($A13,TableHandbook[],J$2,FALSE),"")</f>
        <v>Y</v>
      </c>
      <c r="K13" s="268" t="str">
        <f>IFERROR(VLOOKUP($A13,TableHandbook[],K$2,FALSE),"")</f>
        <v>Y</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271"/>
    </row>
    <row r="14" spans="1:27" s="20" customFormat="1" ht="21" customHeight="1" x14ac:dyDescent="0.15">
      <c r="A14" s="263" t="str">
        <f>IFERROR(IF(HLOOKUP($P$6,RangeUnitsetsGDEDUC,Q14,FALSE)=0,"",HLOOKUP($P$6,RangeUnitsetsGDEDUC,Q14,FALSE)),"")</f>
        <v>EDPR5001</v>
      </c>
      <c r="B14" s="264">
        <f>IFERROR(IF(VLOOKUP($A14,TableHandbook[],2,FALSE)=0,"",VLOOKUP($A14,TableHandbook[],2,FALSE)),"")</f>
        <v>1</v>
      </c>
      <c r="C14" s="264" t="str">
        <f>IFERROR(IF(VLOOKUP($A14,TableHandbook[],3,FALSE)=0,"",VLOOKUP($A14,TableHandbook[],3,FALSE)),"")</f>
        <v/>
      </c>
      <c r="D14" s="265" t="str">
        <f>IFERROR(IF(VLOOKUP($A14,TableHandbook[],4,FALSE)=0,"",VLOOKUP($A14,TableHandbook[],4,FALSE)),"")</f>
        <v>Primary Professional Experience 2: Assessment and Reporting</v>
      </c>
      <c r="E14" s="264" t="str">
        <f>IF(A14="","",E13)</f>
        <v>SSP2</v>
      </c>
      <c r="F14" s="266" t="str">
        <f>IFERROR(IF(VLOOKUP($A14,TableHandbook[],6,FALSE)=0,"",VLOOKUP($A14,TableHandbook[],6,FALSE)),"")</f>
        <v>EDPR5000</v>
      </c>
      <c r="G14" s="264">
        <f>IFERROR(IF(VLOOKUP($A14,TableHandbook[],5,FALSE)=0,"",VLOOKUP($A14,TableHandbook[],5,FALSE)),"")</f>
        <v>25</v>
      </c>
      <c r="H14" s="267" t="str">
        <f>IFERROR(VLOOKUP($A14,TableHandbook[],H$2,FALSE),"")</f>
        <v/>
      </c>
      <c r="I14" s="268" t="str">
        <f>IFERROR(VLOOKUP($A14,TableHandbook[],I$2,FALSE),"")</f>
        <v/>
      </c>
      <c r="J14" s="267" t="str">
        <f>IFERROR(VLOOKUP($A14,TableHandbook[],J$2,FALSE),"")</f>
        <v>Y</v>
      </c>
      <c r="K14" s="268" t="str">
        <f>IFERROR(VLOOKUP($A14,TableHandbook[],K$2,FALSE),"")</f>
        <v>Y</v>
      </c>
      <c r="L14" s="267" t="str">
        <f>IFERROR(VLOOKUP($A14,TableHandbook[],L$2,FALSE),"")</f>
        <v>Y</v>
      </c>
      <c r="M14" s="268" t="str">
        <f>IFERROR(VLOOKUP($A14,TableHandbook[],M$2,FALSE),"")</f>
        <v>Y</v>
      </c>
      <c r="N14" s="267" t="str">
        <f>IFERROR(VLOOKUP($A14,TableHandbook[],N$2,FALSE),"")</f>
        <v/>
      </c>
      <c r="O14" s="268" t="str">
        <f>IFERROR(VLOOKUP($A14,TableHandbook[],O$2,FALSE),"")</f>
        <v/>
      </c>
      <c r="P14" s="30"/>
      <c r="Q14" s="269">
        <v>5</v>
      </c>
      <c r="R14" s="270"/>
      <c r="S14" s="270"/>
      <c r="T14" s="271"/>
      <c r="U14" s="271"/>
      <c r="V14" s="271"/>
      <c r="W14" s="271"/>
      <c r="X14" s="271"/>
      <c r="Y14" s="271"/>
      <c r="Z14" s="271"/>
      <c r="AA14" s="271"/>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271"/>
    </row>
    <row r="16" spans="1:27" s="20" customFormat="1" ht="21" customHeight="1" x14ac:dyDescent="0.15">
      <c r="A16" s="263" t="str">
        <f>IFERROR(IF(HLOOKUP($P$6,RangeUnitsetsGDEDUC,Q16,FALSE)=0,"",HLOOKUP($P$6,RangeUnitsetsGDEDUC,Q16,FALSE)),"")</f>
        <v>EDUC6062</v>
      </c>
      <c r="B16" s="278">
        <f>IFERROR(IF(VLOOKUP($A16,TableHandbook[],2,FALSE)=0,"",VLOOKUP($A16,TableHandbook[],2,FALSE)),"")</f>
        <v>1</v>
      </c>
      <c r="C16" s="278" t="str">
        <f>IFERROR(IF(VLOOKUP($A16,TableHandbook[],3,FALSE)=0,"",VLOOKUP($A16,TableHandbook[],3,FALSE)),"")</f>
        <v/>
      </c>
      <c r="D16" s="265" t="str">
        <f>IFERROR(IF(VLOOKUP($A16,TableHandbook[],4,FALSE)=0,"",VLOOKUP($A16,TableHandbook[],4,FALSE)),"")</f>
        <v>Professional Experience 3: Using Data to Inform Teaching and Learning</v>
      </c>
      <c r="E16" s="264" t="str">
        <f>IF(OR(A16="",A16="--"),"",VLOOKUP($D$7,TableStudyPeriods[],4,FALSE))</f>
        <v>SSP3</v>
      </c>
      <c r="F16" s="266" t="str">
        <f>IFERROR(IF(VLOOKUP($A16,TableHandbook[],6,FALSE)=0,"",VLOOKUP($A16,TableHandbook[],6,FALSE)),"")</f>
        <v>EDEC5001 or EDPR5001 or EDSC5029</v>
      </c>
      <c r="G16" s="278">
        <f>IFERROR(IF(VLOOKUP($A16,TableHandbook[],5,FALSE)=0,"",VLOOKUP($A16,TableHandbook[],5,FALSE)),"")</f>
        <v>25</v>
      </c>
      <c r="H16" s="279" t="str">
        <f>IFERROR(VLOOKUP($A16,TableHandbook[],H$2,FALSE),"")</f>
        <v>Y</v>
      </c>
      <c r="I16" s="280" t="str">
        <f>IFERROR(VLOOKUP($A16,TableHandbook[],I$2,FALSE),"")</f>
        <v>Y</v>
      </c>
      <c r="J16" s="279" t="str">
        <f>IFERROR(VLOOKUP($A16,TableHandbook[],J$2,FALSE),"")</f>
        <v/>
      </c>
      <c r="K16" s="280" t="str">
        <f>IFERROR(VLOOKUP($A16,TableHandbook[],K$2,FALSE),"")</f>
        <v/>
      </c>
      <c r="L16" s="279" t="str">
        <f>IFERROR(VLOOKUP($A16,TableHandbook[],L$2,FALSE),"")</f>
        <v>Y</v>
      </c>
      <c r="M16" s="280" t="str">
        <f>IFERROR(VLOOKUP($A16,TableHandbook[],M$2,FALSE),"")</f>
        <v>Y</v>
      </c>
      <c r="N16" s="279" t="str">
        <f>IFERROR(VLOOKUP($A16,TableHandbook[],N$2,FALSE),"")</f>
        <v/>
      </c>
      <c r="O16" s="280" t="str">
        <f>IFERROR(VLOOKUP($A16,TableHandbook[],O$2,FALSE),"")</f>
        <v/>
      </c>
      <c r="P16" s="31"/>
      <c r="Q16" s="269">
        <v>6</v>
      </c>
      <c r="R16" s="270"/>
      <c r="S16" s="270"/>
      <c r="T16" s="271"/>
      <c r="U16" s="271"/>
      <c r="V16" s="271"/>
      <c r="W16" s="271"/>
      <c r="X16" s="271"/>
      <c r="Y16" s="271"/>
      <c r="Z16" s="271"/>
      <c r="AA16" s="271"/>
    </row>
    <row r="17" spans="1:27" s="23" customFormat="1" ht="21" customHeight="1" x14ac:dyDescent="0.15">
      <c r="A17" s="263" t="str">
        <f>IFERROR(IF(HLOOKUP($P$6,RangeUnitsetsGDEDUC,Q17,FALSE)=0,"",HLOOKUP($P$6,RangeUnitsetsGDEDUC,Q17,FALSE)),"")</f>
        <v>EDUC5031</v>
      </c>
      <c r="B17" s="278">
        <f>IFERROR(IF(VLOOKUP($A17,TableHandbook[],2,FALSE)=0,"",VLOOKUP($A17,TableHandbook[],2,FALSE)),"")</f>
        <v>1</v>
      </c>
      <c r="C17" s="278" t="str">
        <f>IFERROR(IF(VLOOKUP($A17,TableHandbook[],3,FALSE)=0,"",VLOOKUP($A17,TableHandbook[],3,FALSE)),"")</f>
        <v/>
      </c>
      <c r="D17" s="265" t="str">
        <f>IFERROR(IF(VLOOKUP($A17,TableHandbook[],4,FALSE)=0,"",VLOOKUP($A17,TableHandbook[],4,FALSE)),"")</f>
        <v>Introduction to English: Reading</v>
      </c>
      <c r="E17" s="264" t="str">
        <f>IF(A17="","",E16)</f>
        <v>SSP3</v>
      </c>
      <c r="F17" s="266" t="str">
        <f>IFERROR(IF(VLOOKUP($A17,TableHandbook[],6,FALSE)=0,"",VLOOKUP($A17,TableHandbook[],6,FALSE)),"")</f>
        <v>Nil</v>
      </c>
      <c r="G17" s="278">
        <f>IFERROR(IF(VLOOKUP($A17,TableHandbook[],5,FALSE)=0,"",VLOOKUP($A17,TableHandbook[],5,FALSE)),"")</f>
        <v>25</v>
      </c>
      <c r="H17" s="279" t="str">
        <f>IFERROR(VLOOKUP($A17,TableHandbook[],H$2,FALSE),"")</f>
        <v>Y</v>
      </c>
      <c r="I17" s="280" t="str">
        <f>IFERROR(VLOOKUP($A17,TableHandbook[],I$2,FALSE),"")</f>
        <v>Y</v>
      </c>
      <c r="J17" s="279" t="str">
        <f>IFERROR(VLOOKUP($A17,TableHandbook[],J$2,FALSE),"")</f>
        <v/>
      </c>
      <c r="K17" s="280" t="str">
        <f>IFERROR(VLOOKUP($A17,TableHandbook[],K$2,FALSE),"")</f>
        <v/>
      </c>
      <c r="L17" s="279" t="str">
        <f>IFERROR(VLOOKUP($A17,TableHandbook[],L$2,FALSE),"")</f>
        <v>Y</v>
      </c>
      <c r="M17" s="280" t="str">
        <f>IFERROR(VLOOKUP($A17,TableHandbook[],M$2,FALSE),"")</f>
        <v>Y</v>
      </c>
      <c r="N17" s="279" t="str">
        <f>IFERROR(VLOOKUP($A17,TableHandbook[],N$2,FALSE),"")</f>
        <v/>
      </c>
      <c r="O17" s="280" t="str">
        <f>IFERROR(VLOOKUP($A17,TableHandbook[],O$2,FALSE),"")</f>
        <v/>
      </c>
      <c r="P17" s="31"/>
      <c r="Q17" s="269">
        <v>7</v>
      </c>
      <c r="R17" s="281"/>
      <c r="S17" s="281"/>
      <c r="T17" s="282"/>
      <c r="U17" s="282"/>
      <c r="V17" s="282"/>
      <c r="W17" s="282"/>
      <c r="X17" s="282"/>
      <c r="Y17" s="282"/>
      <c r="Z17" s="282"/>
      <c r="AA17" s="28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271"/>
    </row>
    <row r="19" spans="1:27" s="23" customFormat="1" ht="21" customHeight="1" x14ac:dyDescent="0.15">
      <c r="A19" s="263" t="str">
        <f>IFERROR(IF(HLOOKUP($P$6,RangeUnitsetsGDEDUC,Q19,FALSE)=0,"",HLOOKUP($P$6,RangeUnitsetsGDEDUC,Q19,FALSE)),"")</f>
        <v>EDPR5003</v>
      </c>
      <c r="B19" s="278">
        <f>IFERROR(IF(VLOOKUP($A19,TableHandbook[],2,FALSE)=0,"",VLOOKUP($A19,TableHandbook[],2,FALSE)),"")</f>
        <v>1</v>
      </c>
      <c r="C19" s="278" t="str">
        <f>IFERROR(IF(VLOOKUP($A19,TableHandbook[],3,FALSE)=0,"",VLOOKUP($A19,TableHandbook[],3,FALSE)),"")</f>
        <v/>
      </c>
      <c r="D19" s="265" t="str">
        <f>IFERROR(IF(VLOOKUP($A19,TableHandbook[],4,FALSE)=0,"",VLOOKUP($A19,TableHandbook[],4,FALSE)),"")</f>
        <v>Teaching Number, Algebra and Probability in the Primary Years</v>
      </c>
      <c r="E19" s="264" t="str">
        <f>IF(OR(A19="",A19="--"),"",VLOOKUP($D$7,TableStudyPeriods[],5,FALSE))</f>
        <v>SSP4</v>
      </c>
      <c r="F19" s="266" t="str">
        <f>IFERROR(IF(VLOOKUP($A19,TableHandbook[],6,FALSE)=0,"",VLOOKUP($A19,TableHandbook[],6,FALSE)),"")</f>
        <v>Nil</v>
      </c>
      <c r="G19" s="278">
        <f>IFERROR(IF(VLOOKUP($A19,TableHandbook[],5,FALSE)=0,"",VLOOKUP($A19,TableHandbook[],5,FALSE)),"")</f>
        <v>25</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Y</v>
      </c>
      <c r="O19" s="280" t="str">
        <f>IFERROR(VLOOKUP($A19,TableHandbook[],O$2,FALSE),"")</f>
        <v>Y</v>
      </c>
      <c r="P19" s="31"/>
      <c r="Q19" s="269">
        <v>8</v>
      </c>
      <c r="R19" s="281"/>
      <c r="S19" s="281"/>
      <c r="T19" s="282"/>
      <c r="U19" s="282"/>
      <c r="V19" s="282"/>
      <c r="W19" s="282"/>
      <c r="X19" s="282"/>
      <c r="Y19" s="282"/>
      <c r="Z19" s="282"/>
      <c r="AA19" s="282"/>
    </row>
    <row r="20" spans="1:27" s="23" customFormat="1" ht="21" customHeight="1" x14ac:dyDescent="0.15">
      <c r="A20" s="263" t="str">
        <f>IFERROR(IF(HLOOKUP($P$6,RangeUnitsetsGDEDUC,Q20,FALSE)=0,"",HLOOKUP($P$6,RangeUnitsetsGDEDUC,Q20,FALSE)),"")</f>
        <v>EDUC5006</v>
      </c>
      <c r="B20" s="278">
        <f>IFERROR(IF(VLOOKUP($A20,TableHandbook[],2,FALSE)=0,"",VLOOKUP($A20,TableHandbook[],2,FALSE)),"")</f>
        <v>1</v>
      </c>
      <c r="C20" s="278" t="str">
        <f>IFERROR(IF(VLOOKUP($A20,TableHandbook[],3,FALSE)=0,"",VLOOKUP($A20,TableHandbook[],3,FALSE)),"")</f>
        <v/>
      </c>
      <c r="D20" s="312" t="str">
        <f>IFERROR(IF(VLOOKUP($A20,TableHandbook[],4,FALSE)=0,"",VLOOKUP($A20,TableHandbook[],4,FALSE)),"")</f>
        <v>Creative Technologies</v>
      </c>
      <c r="E20" s="278" t="str">
        <f>IF(A20="","",E19)</f>
        <v>SSP4</v>
      </c>
      <c r="F20" s="266" t="str">
        <f>IFERROR(IF(VLOOKUP($A20,TableHandbook[],6,FALSE)=0,"",VLOOKUP($A20,TableHandbook[],6,FALSE)),"")</f>
        <v>Nil</v>
      </c>
      <c r="G20" s="278">
        <f>IFERROR(IF(VLOOKUP($A20,TableHandbook[],5,FALSE)=0,"",VLOOKUP($A20,TableHandbook[],5,FALSE)),"")</f>
        <v>25</v>
      </c>
      <c r="H20" s="279" t="str">
        <f>IFERROR(VLOOKUP($A20,TableHandbook[],H$2,FALSE),"")</f>
        <v/>
      </c>
      <c r="I20" s="280" t="str">
        <f>IFERROR(VLOOKUP($A20,TableHandbook[],I$2,FALSE),"")</f>
        <v/>
      </c>
      <c r="J20" s="279" t="str">
        <f>IFERROR(VLOOKUP($A20,TableHandbook[],J$2,FALSE),"")</f>
        <v>Y</v>
      </c>
      <c r="K20" s="280" t="str">
        <f>IFERROR(VLOOKUP($A20,TableHandbook[],K$2,FALSE),"")</f>
        <v>Y</v>
      </c>
      <c r="L20" s="279" t="str">
        <f>IFERROR(VLOOKUP($A20,TableHandbook[],L$2,FALSE),"")</f>
        <v>Y</v>
      </c>
      <c r="M20" s="280" t="str">
        <f>IFERROR(VLOOKUP($A20,TableHandbook[],M$2,FALSE),"")</f>
        <v>Y</v>
      </c>
      <c r="N20" s="279" t="str">
        <f>IFERROR(VLOOKUP($A20,TableHandbook[],N$2,FALSE),"")</f>
        <v>Y</v>
      </c>
      <c r="O20" s="280" t="str">
        <f>IFERROR(VLOOKUP($A20,TableHandbook[],O$2,FALSE),"")</f>
        <v>Y</v>
      </c>
      <c r="P20" s="31"/>
      <c r="Q20" s="269">
        <v>9</v>
      </c>
      <c r="R20" s="281"/>
      <c r="S20" s="281"/>
      <c r="T20" s="282"/>
      <c r="U20" s="282"/>
      <c r="V20" s="282"/>
      <c r="W20" s="282"/>
      <c r="X20" s="282"/>
      <c r="Y20" s="282"/>
      <c r="Z20" s="282"/>
      <c r="AA20" s="282"/>
    </row>
    <row r="21" spans="1:27" ht="16.5" customHeight="1" x14ac:dyDescent="0.25">
      <c r="A21" s="287"/>
      <c r="B21" s="287"/>
      <c r="C21" s="287"/>
      <c r="D21" s="288"/>
      <c r="E21" s="288"/>
      <c r="F21" s="289"/>
      <c r="G21" s="289"/>
      <c r="H21" s="289"/>
      <c r="I21" s="289"/>
      <c r="J21" s="289"/>
      <c r="K21" s="289"/>
      <c r="L21" s="289"/>
      <c r="M21" s="289"/>
      <c r="N21" s="289"/>
      <c r="O21" s="289"/>
      <c r="P21" s="289"/>
      <c r="Q21" s="297"/>
      <c r="R21" s="231"/>
      <c r="S21" s="231"/>
      <c r="T21" s="231"/>
      <c r="U21" s="231"/>
      <c r="V21" s="231"/>
      <c r="W21" s="231"/>
      <c r="X21" s="231"/>
      <c r="Y21" s="231"/>
      <c r="Z21" s="231"/>
      <c r="AA21" s="231"/>
    </row>
    <row r="22" spans="1:27" s="16" customFormat="1" ht="18" x14ac:dyDescent="0.25">
      <c r="A22" s="333" t="s">
        <v>35</v>
      </c>
      <c r="B22" s="333"/>
      <c r="C22" s="333"/>
      <c r="D22" s="333"/>
      <c r="E22" s="333"/>
      <c r="F22" s="333"/>
      <c r="G22" s="333"/>
      <c r="H22" s="333"/>
      <c r="I22" s="333"/>
      <c r="J22" s="333"/>
      <c r="K22" s="333"/>
      <c r="L22" s="333"/>
      <c r="M22" s="333"/>
      <c r="N22" s="333"/>
      <c r="O22" s="333"/>
      <c r="P22" s="333"/>
      <c r="Q22" s="297"/>
      <c r="R22" s="231"/>
      <c r="S22" s="231"/>
      <c r="T22" s="231"/>
      <c r="U22" s="231"/>
      <c r="V22" s="231"/>
      <c r="W22" s="231"/>
      <c r="X22" s="231"/>
      <c r="Y22" s="231"/>
      <c r="Z22" s="231"/>
      <c r="AA22" s="231"/>
    </row>
    <row r="23" spans="1:27" s="25" customFormat="1" ht="17.25" x14ac:dyDescent="0.2">
      <c r="A23" s="117" t="s">
        <v>36</v>
      </c>
      <c r="B23" s="117"/>
      <c r="C23" s="117"/>
      <c r="D23" s="118"/>
      <c r="E23" s="118"/>
      <c r="F23" s="118"/>
      <c r="G23" s="118"/>
      <c r="H23" s="118"/>
      <c r="I23" s="118"/>
      <c r="J23" s="118"/>
      <c r="K23" s="118"/>
      <c r="L23" s="118"/>
      <c r="M23" s="118"/>
      <c r="N23" s="118"/>
      <c r="O23" s="118"/>
      <c r="P23" s="118"/>
      <c r="Q23" s="290"/>
      <c r="R23" s="290"/>
      <c r="S23" s="290"/>
      <c r="T23" s="291"/>
      <c r="U23" s="291"/>
      <c r="V23" s="291"/>
      <c r="W23" s="291"/>
      <c r="X23" s="291"/>
      <c r="Y23" s="291"/>
      <c r="Z23" s="291"/>
      <c r="AA23" s="291"/>
    </row>
    <row r="24" spans="1:27" x14ac:dyDescent="0.25">
      <c r="A24" s="292" t="s">
        <v>37</v>
      </c>
      <c r="B24" s="292"/>
      <c r="C24" s="292"/>
      <c r="D24" s="292"/>
      <c r="E24" s="293"/>
      <c r="F24" s="289"/>
      <c r="G24" s="294"/>
      <c r="H24" s="294"/>
      <c r="I24" s="294"/>
      <c r="J24" s="294"/>
      <c r="K24" s="294"/>
      <c r="L24" s="294"/>
      <c r="M24" s="294"/>
      <c r="N24" s="294"/>
      <c r="O24" s="294"/>
      <c r="P24" s="294" t="s">
        <v>38</v>
      </c>
      <c r="Q24" s="231"/>
      <c r="R24" s="231"/>
      <c r="S24" s="231"/>
      <c r="T24" s="231"/>
      <c r="U24" s="231"/>
      <c r="V24" s="231"/>
      <c r="W24" s="231"/>
      <c r="X24" s="231"/>
      <c r="Y24" s="231"/>
      <c r="Z24" s="231"/>
      <c r="AA24" s="231"/>
    </row>
    <row r="25" spans="1:27" x14ac:dyDescent="0.25">
      <c r="A25" s="237"/>
      <c r="B25" s="237"/>
      <c r="C25" s="237"/>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row>
    <row r="26" spans="1:27" x14ac:dyDescent="0.25">
      <c r="A26" s="237"/>
      <c r="B26" s="237"/>
      <c r="C26" s="237"/>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row>
    <row r="27" spans="1:27" x14ac:dyDescent="0.25">
      <c r="A27" s="237"/>
      <c r="B27" s="237"/>
      <c r="C27" s="237"/>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row>
  </sheetData>
  <sheetProtection formatCells="0"/>
  <mergeCells count="1">
    <mergeCell ref="A3:D3"/>
  </mergeCells>
  <conditionalFormatting sqref="A10:Q20">
    <cfRule type="expression" dxfId="406" priority="1">
      <formula>LEFT($A10,4)="GDTA"</formula>
    </cfRule>
  </conditionalFormatting>
  <conditionalFormatting sqref="D5:D7">
    <cfRule type="containsText" dxfId="405" priority="2" operator="containsText" text="Choose">
      <formula>NOT(ISERROR(SEARCH("Choose",D5)))</formula>
    </cfRule>
  </conditionalFormatting>
  <dataValidations count="1">
    <dataValidation type="list" allowBlank="1" showInputMessage="1" showErrorMessage="1" sqref="P15 P12 P18"/>
  </dataValidations>
  <hyperlinks>
    <hyperlink ref="A23:P2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31"/>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5.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c r="AA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c r="AA4" s="231"/>
    </row>
    <row r="5" spans="1:27" ht="20.100000000000001" customHeight="1" x14ac:dyDescent="0.25">
      <c r="A5" s="237"/>
      <c r="B5" s="238"/>
      <c r="C5" s="239" t="s">
        <v>10</v>
      </c>
      <c r="D5" s="240" t="s">
        <v>118</v>
      </c>
      <c r="E5" s="241"/>
      <c r="F5" s="239" t="s">
        <v>12</v>
      </c>
      <c r="G5" s="246" t="str">
        <f>IFERROR(CONCATENATE(VLOOKUP(D5,TableCourses[],2,FALSE)," ",VLOOKUP(D5,TableCourses[],3,FALSE)),"")</f>
        <v>GD-EDUC v.1</v>
      </c>
      <c r="H5" s="302"/>
      <c r="I5" s="241"/>
      <c r="J5" s="241"/>
      <c r="K5" s="241"/>
      <c r="L5" s="241"/>
      <c r="M5" s="241"/>
      <c r="N5" s="241"/>
      <c r="O5" s="241"/>
      <c r="P5" s="336"/>
      <c r="Q5" s="297"/>
      <c r="R5" s="231"/>
      <c r="S5" s="231"/>
      <c r="T5" s="231"/>
      <c r="U5" s="231"/>
      <c r="V5" s="231"/>
      <c r="W5" s="231"/>
      <c r="X5" s="231"/>
      <c r="Y5" s="231"/>
      <c r="Z5" s="231"/>
      <c r="AA5" s="231"/>
    </row>
    <row r="6" spans="1:27" ht="20.100000000000001" customHeight="1" x14ac:dyDescent="0.25">
      <c r="A6" s="237"/>
      <c r="B6" s="238"/>
      <c r="C6" s="239" t="s">
        <v>13</v>
      </c>
      <c r="D6" s="244" t="s">
        <v>231</v>
      </c>
      <c r="E6" s="241"/>
      <c r="F6" s="239" t="s">
        <v>15</v>
      </c>
      <c r="G6" s="246" t="str">
        <f>IFERROR(CONCATENATE(VLOOKUP(D6,TableMajorsGDEDUC[],2,FALSE)," ",VLOOKUP(D6,TableMajorsGDEDUC[],3,FALSE)),"")</f>
        <v>MJRP-EDUSC v.1</v>
      </c>
      <c r="H6" s="302"/>
      <c r="I6" s="241"/>
      <c r="J6" s="241"/>
      <c r="K6" s="241"/>
      <c r="L6" s="241"/>
      <c r="M6" s="241"/>
      <c r="N6" s="241"/>
      <c r="O6" s="241"/>
      <c r="P6" s="304" t="str">
        <f>CONCATENATE(VLOOKUP(D6,TableMajorsGDEDUC[],2,FALSE),VLOOKUP(D8,TableStudyPeriods[],2,FALSE))</f>
        <v>MJRP-EDUSCSSP1</v>
      </c>
      <c r="Q6" s="297"/>
      <c r="R6" s="231"/>
      <c r="S6" s="231"/>
      <c r="T6" s="231"/>
      <c r="U6" s="231"/>
      <c r="V6" s="231"/>
      <c r="W6" s="231"/>
      <c r="X6" s="231"/>
      <c r="Y6" s="231"/>
      <c r="Z6" s="231"/>
      <c r="AA6" s="231"/>
    </row>
    <row r="7" spans="1:27" ht="20.100000000000001" customHeight="1" x14ac:dyDescent="0.25">
      <c r="A7" s="237"/>
      <c r="B7" s="238"/>
      <c r="C7" s="239" t="s">
        <v>232</v>
      </c>
      <c r="D7" s="337" t="s">
        <v>304</v>
      </c>
      <c r="E7" s="241"/>
      <c r="F7" s="239" t="s">
        <v>233</v>
      </c>
      <c r="G7" s="246" t="str">
        <f>IFERROR(CONCATENATE(VLOOKUP(D7,#REF!,2,FALSE)," ",VLOOKUP(D7,#REF!,3,FALSE)),"")</f>
        <v/>
      </c>
      <c r="H7" s="302"/>
      <c r="I7" s="241"/>
      <c r="J7" s="241"/>
      <c r="K7" s="241"/>
      <c r="L7" s="241"/>
      <c r="M7" s="241"/>
      <c r="N7" s="241"/>
      <c r="O7" s="241"/>
      <c r="P7" s="304" t="e">
        <f>VLOOKUP(D7,TableTeachingArea1[],2,FALSE)</f>
        <v>#N/A</v>
      </c>
      <c r="Q7" s="297"/>
      <c r="R7" s="231"/>
      <c r="S7" s="231"/>
      <c r="T7" s="231"/>
      <c r="U7" s="231"/>
      <c r="V7" s="231"/>
      <c r="W7" s="231"/>
      <c r="X7" s="231"/>
      <c r="Y7" s="231"/>
      <c r="Z7" s="231"/>
      <c r="AA7" s="231"/>
    </row>
    <row r="8" spans="1:27" ht="20.100000000000001" customHeight="1" x14ac:dyDescent="0.25">
      <c r="A8" s="246"/>
      <c r="B8" s="247"/>
      <c r="C8" s="239" t="s">
        <v>16</v>
      </c>
      <c r="D8" s="248" t="s">
        <v>17</v>
      </c>
      <c r="E8" s="249"/>
      <c r="F8" s="239" t="s">
        <v>18</v>
      </c>
      <c r="G8" s="241" t="str">
        <f>IFERROR(VLOOKUP($D$5,TableCourses[],4,FALSE),"")</f>
        <v>200 credit points required</v>
      </c>
      <c r="H8" s="250"/>
      <c r="I8" s="250"/>
      <c r="J8" s="250"/>
      <c r="K8" s="250"/>
      <c r="L8" s="250"/>
      <c r="M8" s="250"/>
      <c r="N8" s="250"/>
      <c r="O8" s="250"/>
      <c r="P8" s="304" t="str">
        <f>IFERROR(CONCATENATE("DDGD",MID(G6,6,5)),"")</f>
        <v>DDGDEDUSC</v>
      </c>
      <c r="Q8" s="297"/>
      <c r="R8" s="231"/>
      <c r="S8" s="231"/>
      <c r="T8" s="231"/>
      <c r="U8" s="231"/>
      <c r="V8" s="231"/>
      <c r="W8" s="231"/>
      <c r="X8" s="231"/>
      <c r="Y8" s="231"/>
      <c r="Z8" s="231"/>
      <c r="AA8" s="231"/>
    </row>
    <row r="9" spans="1:27" s="18" customFormat="1" ht="14.1" customHeight="1" x14ac:dyDescent="0.25">
      <c r="A9" s="252"/>
      <c r="B9" s="252"/>
      <c r="C9" s="252"/>
      <c r="D9" s="253"/>
      <c r="E9" s="254"/>
      <c r="F9" s="252"/>
      <c r="G9" s="252"/>
      <c r="H9" s="255" t="s">
        <v>19</v>
      </c>
      <c r="I9" s="256"/>
      <c r="J9" s="256"/>
      <c r="K9" s="256"/>
      <c r="L9" s="256"/>
      <c r="M9" s="256"/>
      <c r="N9" s="256"/>
      <c r="O9" s="257"/>
      <c r="P9" s="254"/>
      <c r="Q9" s="285"/>
      <c r="R9" s="258"/>
      <c r="S9" s="258"/>
      <c r="T9" s="259"/>
      <c r="U9" s="259"/>
      <c r="V9" s="259"/>
      <c r="W9" s="259"/>
      <c r="X9" s="259"/>
      <c r="Y9" s="259"/>
      <c r="Z9" s="259"/>
      <c r="AA9" s="259"/>
    </row>
    <row r="10" spans="1:27" s="18" customFormat="1" ht="31.5" x14ac:dyDescent="0.25">
      <c r="A10" s="252" t="s">
        <v>20</v>
      </c>
      <c r="B10" s="252"/>
      <c r="C10" s="252"/>
      <c r="D10" s="253" t="s">
        <v>3</v>
      </c>
      <c r="E10" s="260" t="s">
        <v>21</v>
      </c>
      <c r="F10" s="252" t="s">
        <v>43</v>
      </c>
      <c r="G10" s="252" t="s">
        <v>23</v>
      </c>
      <c r="H10" s="261" t="s">
        <v>24</v>
      </c>
      <c r="I10" s="262" t="s">
        <v>25</v>
      </c>
      <c r="J10" s="261" t="s">
        <v>26</v>
      </c>
      <c r="K10" s="262" t="s">
        <v>27</v>
      </c>
      <c r="L10" s="261" t="s">
        <v>28</v>
      </c>
      <c r="M10" s="262" t="s">
        <v>29</v>
      </c>
      <c r="N10" s="261" t="s">
        <v>30</v>
      </c>
      <c r="O10" s="262" t="s">
        <v>31</v>
      </c>
      <c r="P10" s="252" t="s">
        <v>32</v>
      </c>
      <c r="Q10" s="285"/>
      <c r="R10" s="258"/>
      <c r="S10" s="258"/>
      <c r="T10" s="259"/>
      <c r="U10" s="259"/>
      <c r="V10" s="259"/>
      <c r="W10" s="259"/>
      <c r="X10" s="259"/>
      <c r="Y10" s="259"/>
      <c r="Z10" s="259"/>
      <c r="AA10" s="259"/>
    </row>
    <row r="11" spans="1:27" s="20" customFormat="1" ht="21" customHeight="1" x14ac:dyDescent="0.15">
      <c r="A11" s="263" t="str">
        <f>IFERROR(IF(HLOOKUP($P$6,RangeUnitsetsGDEDUC,Q11,FALSE)=0,"",HLOOKUP($P$6,RangeUnitsetsGDEDUC,Q11,FALSE)),"")</f>
        <v>EDSC5035</v>
      </c>
      <c r="B11" s="264">
        <f>IFERROR(IF(VLOOKUP($A11,TableHandbook[],2,FALSE)=0,"",VLOOKUP($A11,TableHandbook[],2,FALSE)),"")</f>
        <v>1</v>
      </c>
      <c r="C11" s="264" t="str">
        <f>IFERROR(IF(VLOOKUP($A11,TableHandbook[],3,FALSE)=0,"",VLOOKUP($A11,TableHandbook[],3,FALSE)),"")</f>
        <v/>
      </c>
      <c r="D11" s="265" t="str">
        <f>IFERROR(IF(VLOOKUP($A11,TableHandbook[],4,FALSE)=0,"",VLOOKUP($A11,TableHandbook[],4,FALSE)),"")</f>
        <v>Teaching in the Secondary School</v>
      </c>
      <c r="E11" s="264" t="str">
        <f>IF(OR(A11="",A11="--"),"",VLOOKUP($D$8,TableStudyPeriods[],2,FALSE))</f>
        <v>SSP1</v>
      </c>
      <c r="F11" s="266" t="str">
        <f>IFERROR(IF(VLOOKUP($A11,TableHandbook[],6,FALSE)=0,"",VLOOKUP($A11,TableHandbook[],6,FALSE)),"")</f>
        <v>Nil</v>
      </c>
      <c r="G11" s="264" t="str">
        <f>IFERROR(IF(VLOOKUP($A11,TableHandbook[],5,FALSE)=0,"",VLOOKUP($A11,TableHandbook[],5,FALSE)),"")</f>
        <v>25</v>
      </c>
      <c r="H11" s="267" t="str">
        <f>IFERROR(VLOOKUP($A11,TableHandbook[],H$2,FALSE),"")</f>
        <v>Y</v>
      </c>
      <c r="I11" s="268" t="str">
        <f>IFERROR(VLOOKUP($A11,TableHandbook[],I$2,FALSE),"")</f>
        <v>Y</v>
      </c>
      <c r="J11" s="267" t="str">
        <f>IFERROR(VLOOKUP($A11,TableHandbook[],J$2,FALSE),"")</f>
        <v>Y</v>
      </c>
      <c r="K11" s="268" t="str">
        <f>IFERROR(VLOOKUP($A11,TableHandbook[],K$2,FALSE),"")</f>
        <v>Y</v>
      </c>
      <c r="L11" s="267" t="str">
        <f>IFERROR(VLOOKUP($A11,TableHandbook[],L$2,FALSE),"")</f>
        <v/>
      </c>
      <c r="M11" s="268" t="str">
        <f>IFERROR(VLOOKUP($A11,TableHandbook[],M$2,FALSE),"")</f>
        <v/>
      </c>
      <c r="N11" s="267" t="str">
        <f>IFERROR(VLOOKUP($A11,TableHandbook[],N$2,FALSE),"")</f>
        <v/>
      </c>
      <c r="O11" s="268" t="str">
        <f>IFERROR(VLOOKUP($A11,TableHandbook[],O$2,FALSE),"")</f>
        <v/>
      </c>
      <c r="P11" s="30"/>
      <c r="Q11" s="269">
        <v>2</v>
      </c>
      <c r="R11" s="270"/>
      <c r="S11" s="270"/>
      <c r="T11" s="271"/>
      <c r="U11" s="271"/>
      <c r="V11" s="271"/>
      <c r="W11" s="271"/>
      <c r="X11" s="271"/>
      <c r="Y11" s="271"/>
      <c r="Z11" s="271"/>
      <c r="AA11" s="271"/>
    </row>
    <row r="12" spans="1:27" s="20" customFormat="1" ht="21" customHeight="1" x14ac:dyDescent="0.15">
      <c r="A12" s="305" t="str">
        <f>IFERROR(IF(HLOOKUP($P$6,RangeUnitsetsGDEDUC,Q12,FALSE)=0,"",HLOOKUP($P$6,RangeUnitsetsGDEDUC,Q12,FALSE)),"")</f>
        <v>EDSC5028</v>
      </c>
      <c r="B12" s="264">
        <f>IFERROR(IF(VLOOKUP($A12,TableHandbook[],2,FALSE)=0,"",VLOOKUP($A12,TableHandbook[],2,FALSE)),"")</f>
        <v>1</v>
      </c>
      <c r="C12" s="264" t="str">
        <f>IFERROR(IF(VLOOKUP($A12,TableHandbook[],3,FALSE)=0,"",VLOOKUP($A12,TableHandbook[],3,FALSE)),"")</f>
        <v/>
      </c>
      <c r="D12" s="265" t="str">
        <f>IFERROR(IF(VLOOKUP($A12,TableHandbook[],4,FALSE)=0,"",VLOOKUP($A12,TableHandbook[],4,FALSE)),"")</f>
        <v>Secondary Professional Experience 1: Planning</v>
      </c>
      <c r="E12" s="264" t="str">
        <f>IF(A12="","",E11)</f>
        <v>SSP1</v>
      </c>
      <c r="F12" s="266" t="str">
        <f>IFERROR(IF(VLOOKUP($A12,TableHandbook[],6,FALSE)=0,"",VLOOKUP($A12,TableHandbook[],6,FALSE)),"")</f>
        <v>Nil</v>
      </c>
      <c r="G12" s="264" t="str">
        <f>IFERROR(IF(VLOOKUP($A12,TableHandbook[],5,FALSE)=0,"",VLOOKUP($A12,TableHandbook[],5,FALSE)),"")</f>
        <v>25</v>
      </c>
      <c r="H12" s="267" t="str">
        <f>IFERROR(VLOOKUP($A12,TableHandbook[],H$2,FALSE),"")</f>
        <v>Y</v>
      </c>
      <c r="I12" s="268" t="str">
        <f>IFERROR(VLOOKUP($A12,TableHandbook[],I$2,FALSE),"")</f>
        <v>Y</v>
      </c>
      <c r="J12" s="267" t="str">
        <f>IFERROR(VLOOKUP($A12,TableHandbook[],J$2,FALSE),"")</f>
        <v>Y</v>
      </c>
      <c r="K12" s="268" t="str">
        <f>IFERROR(VLOOKUP($A12,TableHandbook[],K$2,FALSE),"")</f>
        <v>Y</v>
      </c>
      <c r="L12" s="267" t="str">
        <f>IFERROR(VLOOKUP($A12,TableHandbook[],L$2,FALSE),"")</f>
        <v/>
      </c>
      <c r="M12" s="268" t="str">
        <f>IFERROR(VLOOKUP($A12,TableHandbook[],M$2,FALSE),"")</f>
        <v/>
      </c>
      <c r="N12" s="267" t="str">
        <f>IFERROR(VLOOKUP($A12,TableHandbook[],N$2,FALSE),"")</f>
        <v/>
      </c>
      <c r="O12" s="268" t="str">
        <f>IFERROR(VLOOKUP($A12,TableHandbook[],O$2,FALSE),"")</f>
        <v/>
      </c>
      <c r="P12" s="30"/>
      <c r="Q12" s="269">
        <v>3</v>
      </c>
      <c r="R12" s="270"/>
      <c r="S12" s="270"/>
      <c r="T12" s="271"/>
      <c r="U12" s="271"/>
      <c r="V12" s="271"/>
      <c r="W12" s="271"/>
      <c r="X12" s="271"/>
      <c r="Y12" s="271"/>
      <c r="Z12" s="271"/>
      <c r="AA12" s="271"/>
    </row>
    <row r="13" spans="1:27" s="20" customFormat="1" ht="6" customHeight="1" x14ac:dyDescent="0.15">
      <c r="A13" s="272"/>
      <c r="B13" s="273"/>
      <c r="C13" s="273"/>
      <c r="D13" s="274"/>
      <c r="E13" s="273"/>
      <c r="F13" s="275"/>
      <c r="G13" s="273"/>
      <c r="H13" s="276"/>
      <c r="I13" s="277"/>
      <c r="J13" s="276"/>
      <c r="K13" s="277"/>
      <c r="L13" s="276"/>
      <c r="M13" s="277"/>
      <c r="N13" s="276"/>
      <c r="O13" s="277"/>
      <c r="P13" s="116"/>
      <c r="Q13" s="269"/>
      <c r="R13" s="270"/>
      <c r="S13" s="270"/>
      <c r="T13" s="270"/>
      <c r="U13" s="271"/>
      <c r="V13" s="271"/>
      <c r="W13" s="271"/>
      <c r="X13" s="271"/>
      <c r="Y13" s="271"/>
      <c r="Z13" s="271"/>
      <c r="AA13" s="271"/>
    </row>
    <row r="14" spans="1:27" s="20" customFormat="1" ht="21" customHeight="1" x14ac:dyDescent="0.15">
      <c r="A14" s="263" t="str">
        <f>IFERROR(IF(HLOOKUP($P$6,RangeUnitsetsGDEDUC,Q14,FALSE)=0,"",HLOOKUP($P$6,RangeUnitsetsGDEDUC,Q14,FALSE)),"")</f>
        <v>EDSC5029</v>
      </c>
      <c r="B14" s="264">
        <f>IFERROR(IF(VLOOKUP($A14,TableHandbook[],2,FALSE)=0,"",VLOOKUP($A14,TableHandbook[],2,FALSE)),"")</f>
        <v>1</v>
      </c>
      <c r="C14" s="264" t="str">
        <f>IFERROR(IF(VLOOKUP($A14,TableHandbook[],3,FALSE)=0,"",VLOOKUP($A14,TableHandbook[],3,FALSE)),"")</f>
        <v/>
      </c>
      <c r="D14" s="265" t="str">
        <f>IFERROR(IF(VLOOKUP($A14,TableHandbook[],4,FALSE)=0,"",VLOOKUP($A14,TableHandbook[],4,FALSE)),"")</f>
        <v>Secondary Professional Experience 2: Assessment and Reporting</v>
      </c>
      <c r="E14" s="264" t="str">
        <f>IF(OR(A14="",A14="--"),"",VLOOKUP($D$8,TableStudyPeriods[],3,FALSE))</f>
        <v>SSP2</v>
      </c>
      <c r="F14" s="266" t="str">
        <f>IFERROR(IF(VLOOKUP($A14,TableHandbook[],6,FALSE)=0,"",VLOOKUP($A14,TableHandbook[],6,FALSE)),"")</f>
        <v>EDSC5028</v>
      </c>
      <c r="G14" s="264" t="str">
        <f>IFERROR(IF(VLOOKUP($A14,TableHandbook[],5,FALSE)=0,"",VLOOKUP($A14,TableHandbook[],5,FALSE)),"")</f>
        <v>25</v>
      </c>
      <c r="H14" s="267" t="str">
        <f>IFERROR(VLOOKUP($A14,TableHandbook[],H$2,FALSE),"")</f>
        <v/>
      </c>
      <c r="I14" s="268" t="str">
        <f>IFERROR(VLOOKUP($A14,TableHandbook[],I$2,FALSE),"")</f>
        <v/>
      </c>
      <c r="J14" s="267" t="str">
        <f>IFERROR(VLOOKUP($A14,TableHandbook[],J$2,FALSE),"")</f>
        <v>Y</v>
      </c>
      <c r="K14" s="268" t="str">
        <f>IFERROR(VLOOKUP($A14,TableHandbook[],K$2,FALSE),"")</f>
        <v>Y</v>
      </c>
      <c r="L14" s="267" t="str">
        <f>IFERROR(VLOOKUP($A14,TableHandbook[],L$2,FALSE),"")</f>
        <v>Y</v>
      </c>
      <c r="M14" s="268" t="str">
        <f>IFERROR(VLOOKUP($A14,TableHandbook[],M$2,FALSE),"")</f>
        <v>Y</v>
      </c>
      <c r="N14" s="267" t="str">
        <f>IFERROR(VLOOKUP($A14,TableHandbook[],N$2,FALSE),"")</f>
        <v/>
      </c>
      <c r="O14" s="268" t="str">
        <f>IFERROR(VLOOKUP($A14,TableHandbook[],O$2,FALSE),"")</f>
        <v/>
      </c>
      <c r="P14" s="31"/>
      <c r="Q14" s="269">
        <v>4</v>
      </c>
      <c r="R14" s="270"/>
      <c r="S14" s="270"/>
      <c r="T14" s="271"/>
      <c r="U14" s="271"/>
      <c r="V14" s="271"/>
      <c r="W14" s="271"/>
      <c r="X14" s="271"/>
      <c r="Y14" s="271"/>
      <c r="Z14" s="271"/>
      <c r="AA14" s="271"/>
    </row>
    <row r="15" spans="1:27" s="20" customFormat="1" ht="21" customHeight="1" x14ac:dyDescent="0.15">
      <c r="A15" s="263" t="str">
        <f>IFERROR(IF(HLOOKUP($P$6,RangeUnitsetsGDEDUC,Q15,FALSE)=0,"",HLOOKUP($P$6,RangeUnitsetsGDEDUC,Q15,FALSE)),"")</f>
        <v>GDTAL</v>
      </c>
      <c r="B15" s="264" t="str">
        <f>IFERROR(IF(VLOOKUP($A15,TableHandbook[],2,FALSE)=0,"",VLOOKUP($A15,TableHandbook[],2,FALSE)),"")</f>
        <v/>
      </c>
      <c r="C15" s="264" t="str">
        <f>IFERROR(IF(VLOOKUP($A15,TableHandbook[],3,FALSE)=0,"",VLOOKUP($A15,TableHandbook[],3,FALSE)),"")</f>
        <v/>
      </c>
      <c r="D15" s="265" t="str">
        <f>IFERROR(IF(VLOOKUP($A15,TableHandbook[],4,FALSE)=0,"",VLOOKUP($A15,TableHandbook[],4,FALSE)),"")</f>
        <v>Teaching Area LOWER subject (see below)</v>
      </c>
      <c r="E15" s="264" t="str">
        <f>IF(A15="","",E14)</f>
        <v>SSP2</v>
      </c>
      <c r="F15" s="266" t="str">
        <f>IFERROR(IF(VLOOKUP($A15,TableHandbook[],6,FALSE)=0,"",VLOOKUP($A15,TableHandbook[],6,FALSE)),"")</f>
        <v>See below</v>
      </c>
      <c r="G15" s="264">
        <f>IFERROR(IF(VLOOKUP($A15,TableHandbook[],5,FALSE)=0,"",VLOOKUP($A15,TableHandbook[],5,FALSE)),"")</f>
        <v>25</v>
      </c>
      <c r="H15" s="267" t="str">
        <f>IFERROR(VLOOKUP($A15,TableHandbook[],H$2,FALSE),"")</f>
        <v/>
      </c>
      <c r="I15" s="268" t="str">
        <f>IFERROR(VLOOKUP($A15,TableHandbook[],I$2,FALSE),"")</f>
        <v/>
      </c>
      <c r="J15" s="267" t="str">
        <f>IFERROR(VLOOKUP($A15,TableHandbook[],J$2,FALSE),"")</f>
        <v/>
      </c>
      <c r="K15" s="268" t="str">
        <f>IFERROR(VLOOKUP($A15,TableHandbook[],K$2,FALSE),"")</f>
        <v/>
      </c>
      <c r="L15" s="267" t="str">
        <f>IFERROR(VLOOKUP($A15,TableHandbook[],L$2,FALSE),"")</f>
        <v/>
      </c>
      <c r="M15" s="268" t="str">
        <f>IFERROR(VLOOKUP($A15,TableHandbook[],M$2,FALSE),"")</f>
        <v/>
      </c>
      <c r="N15" s="267" t="str">
        <f>IFERROR(VLOOKUP($A15,TableHandbook[],N$2,FALSE),"")</f>
        <v/>
      </c>
      <c r="O15" s="268" t="str">
        <f>IFERROR(VLOOKUP($A15,TableHandbook[],O$2,FALSE),"")</f>
        <v/>
      </c>
      <c r="P15" s="30"/>
      <c r="Q15" s="269">
        <v>5</v>
      </c>
      <c r="R15" s="270"/>
      <c r="S15" s="270"/>
      <c r="T15" s="271"/>
      <c r="U15" s="271"/>
      <c r="V15" s="271"/>
      <c r="W15" s="271"/>
      <c r="X15" s="271"/>
      <c r="Y15" s="271"/>
      <c r="Z15" s="271"/>
      <c r="AA15" s="271"/>
    </row>
    <row r="16" spans="1:27" s="20" customFormat="1" ht="6" customHeight="1" x14ac:dyDescent="0.15">
      <c r="A16" s="272"/>
      <c r="B16" s="273"/>
      <c r="C16" s="273"/>
      <c r="D16" s="274"/>
      <c r="E16" s="273"/>
      <c r="F16" s="275"/>
      <c r="G16" s="273"/>
      <c r="H16" s="276"/>
      <c r="I16" s="277"/>
      <c r="J16" s="276"/>
      <c r="K16" s="277"/>
      <c r="L16" s="276"/>
      <c r="M16" s="277"/>
      <c r="N16" s="276"/>
      <c r="O16" s="277"/>
      <c r="P16" s="116"/>
      <c r="Q16" s="269"/>
      <c r="R16" s="270"/>
      <c r="S16" s="270"/>
      <c r="T16" s="270"/>
      <c r="U16" s="271"/>
      <c r="V16" s="271"/>
      <c r="W16" s="271"/>
      <c r="X16" s="271"/>
      <c r="Y16" s="271"/>
      <c r="Z16" s="271"/>
      <c r="AA16" s="271"/>
    </row>
    <row r="17" spans="1:27" s="20" customFormat="1" ht="21" customHeight="1" x14ac:dyDescent="0.15">
      <c r="A17" s="263" t="str">
        <f>IFERROR(IF(HLOOKUP($P$6,RangeUnitsetsGDEDUC,Q17,FALSE)=0,"",HLOOKUP($P$6,RangeUnitsetsGDEDUC,Q17,FALSE)),"")</f>
        <v>EDUC5009</v>
      </c>
      <c r="B17" s="278">
        <f>IFERROR(IF(VLOOKUP($A17,TableHandbook[],2,FALSE)=0,"",VLOOKUP($A17,TableHandbook[],2,FALSE)),"")</f>
        <v>1</v>
      </c>
      <c r="C17" s="278" t="str">
        <f>IFERROR(IF(VLOOKUP($A17,TableHandbook[],3,FALSE)=0,"",VLOOKUP($A17,TableHandbook[],3,FALSE)),"")</f>
        <v/>
      </c>
      <c r="D17" s="265" t="str">
        <f>IFERROR(IF(VLOOKUP($A17,TableHandbook[],4,FALSE)=0,"",VLOOKUP($A17,TableHandbook[],4,FALSE)),"")</f>
        <v>Pedagogies for Diversity</v>
      </c>
      <c r="E17" s="264" t="str">
        <f>IF(OR(A17="",A17="--"),"",VLOOKUP($D$8,TableStudyPeriods[],4,FALSE))</f>
        <v>SSP3</v>
      </c>
      <c r="F17" s="266" t="str">
        <f>IFERROR(IF(VLOOKUP($A17,TableHandbook[],6,FALSE)=0,"",VLOOKUP($A17,TableHandbook[],6,FALSE)),"")</f>
        <v>Nil</v>
      </c>
      <c r="G17" s="278">
        <f>IFERROR(IF(VLOOKUP($A17,TableHandbook[],5,FALSE)=0,"",VLOOKUP($A17,TableHandbook[],5,FALSE)),"")</f>
        <v>25</v>
      </c>
      <c r="H17" s="279" t="str">
        <f>IFERROR(VLOOKUP($A17,TableHandbook[],H$2,FALSE),"")</f>
        <v>Y</v>
      </c>
      <c r="I17" s="280" t="str">
        <f>IFERROR(VLOOKUP($A17,TableHandbook[],I$2,FALSE),"")</f>
        <v>Y</v>
      </c>
      <c r="J17" s="279" t="str">
        <f>IFERROR(VLOOKUP($A17,TableHandbook[],J$2,FALSE),"")</f>
        <v/>
      </c>
      <c r="K17" s="280" t="str">
        <f>IFERROR(VLOOKUP($A17,TableHandbook[],K$2,FALSE),"")</f>
        <v/>
      </c>
      <c r="L17" s="279" t="str">
        <f>IFERROR(VLOOKUP($A17,TableHandbook[],L$2,FALSE),"")</f>
        <v>Y</v>
      </c>
      <c r="M17" s="280" t="str">
        <f>IFERROR(VLOOKUP($A17,TableHandbook[],M$2,FALSE),"")</f>
        <v>Y</v>
      </c>
      <c r="N17" s="279" t="str">
        <f>IFERROR(VLOOKUP($A17,TableHandbook[],N$2,FALSE),"")</f>
        <v/>
      </c>
      <c r="O17" s="280" t="str">
        <f>IFERROR(VLOOKUP($A17,TableHandbook[],O$2,FALSE),"")</f>
        <v/>
      </c>
      <c r="P17" s="31"/>
      <c r="Q17" s="269">
        <v>6</v>
      </c>
      <c r="R17" s="270"/>
      <c r="S17" s="270"/>
      <c r="T17" s="271"/>
      <c r="U17" s="271"/>
      <c r="V17" s="271"/>
      <c r="W17" s="271"/>
      <c r="X17" s="271"/>
      <c r="Y17" s="271"/>
      <c r="Z17" s="271"/>
      <c r="AA17" s="271"/>
    </row>
    <row r="18" spans="1:27" s="23" customFormat="1" ht="21" customHeight="1" x14ac:dyDescent="0.15">
      <c r="A18" s="263" t="str">
        <f>IFERROR(IF(HLOOKUP($P$6,RangeUnitsetsGDEDUC,Q18,FALSE)=0,"",HLOOKUP($P$6,RangeUnitsetsGDEDUC,Q18,FALSE)),"")</f>
        <v>EDUC6062</v>
      </c>
      <c r="B18" s="278">
        <f>IFERROR(IF(VLOOKUP($A18,TableHandbook[],2,FALSE)=0,"",VLOOKUP($A18,TableHandbook[],2,FALSE)),"")</f>
        <v>1</v>
      </c>
      <c r="C18" s="278" t="str">
        <f>IFERROR(IF(VLOOKUP($A18,TableHandbook[],3,FALSE)=0,"",VLOOKUP($A18,TableHandbook[],3,FALSE)),"")</f>
        <v/>
      </c>
      <c r="D18" s="265" t="str">
        <f>IFERROR(IF(VLOOKUP($A18,TableHandbook[],4,FALSE)=0,"",VLOOKUP($A18,TableHandbook[],4,FALSE)),"")</f>
        <v>Professional Experience 3: Using Data to Inform Teaching and Learning</v>
      </c>
      <c r="E18" s="264" t="str">
        <f>IF(A18="","",E17)</f>
        <v>SSP3</v>
      </c>
      <c r="F18" s="266" t="str">
        <f>IFERROR(IF(VLOOKUP($A18,TableHandbook[],6,FALSE)=0,"",VLOOKUP($A18,TableHandbook[],6,FALSE)),"")</f>
        <v>EDEC5001 or EDPR5001 or EDSC5029</v>
      </c>
      <c r="G18" s="278">
        <f>IFERROR(IF(VLOOKUP($A18,TableHandbook[],5,FALSE)=0,"",VLOOKUP($A18,TableHandbook[],5,FALSE)),"")</f>
        <v>25</v>
      </c>
      <c r="H18" s="279" t="str">
        <f>IFERROR(VLOOKUP($A18,TableHandbook[],H$2,FALSE),"")</f>
        <v>Y</v>
      </c>
      <c r="I18" s="280" t="str">
        <f>IFERROR(VLOOKUP($A18,TableHandbook[],I$2,FALSE),"")</f>
        <v>Y</v>
      </c>
      <c r="J18" s="279" t="str">
        <f>IFERROR(VLOOKUP($A18,TableHandbook[],J$2,FALSE),"")</f>
        <v/>
      </c>
      <c r="K18" s="280" t="str">
        <f>IFERROR(VLOOKUP($A18,TableHandbook[],K$2,FALSE),"")</f>
        <v/>
      </c>
      <c r="L18" s="279" t="str">
        <f>IFERROR(VLOOKUP($A18,TableHandbook[],L$2,FALSE),"")</f>
        <v>Y</v>
      </c>
      <c r="M18" s="280" t="str">
        <f>IFERROR(VLOOKUP($A18,TableHandbook[],M$2,FALSE),"")</f>
        <v>Y</v>
      </c>
      <c r="N18" s="279" t="str">
        <f>IFERROR(VLOOKUP($A18,TableHandbook[],N$2,FALSE),"")</f>
        <v/>
      </c>
      <c r="O18" s="280" t="str">
        <f>IFERROR(VLOOKUP($A18,TableHandbook[],O$2,FALSE),"")</f>
        <v/>
      </c>
      <c r="P18" s="31"/>
      <c r="Q18" s="269">
        <v>7</v>
      </c>
      <c r="R18" s="281"/>
      <c r="S18" s="281"/>
      <c r="T18" s="282"/>
      <c r="U18" s="282"/>
      <c r="V18" s="282"/>
      <c r="W18" s="282"/>
      <c r="X18" s="282"/>
      <c r="Y18" s="282"/>
      <c r="Z18" s="282"/>
      <c r="AA18" s="282"/>
    </row>
    <row r="19" spans="1:27" s="20" customFormat="1" ht="6" customHeight="1" x14ac:dyDescent="0.15">
      <c r="A19" s="272"/>
      <c r="B19" s="273"/>
      <c r="C19" s="273"/>
      <c r="D19" s="274"/>
      <c r="E19" s="273"/>
      <c r="F19" s="275"/>
      <c r="G19" s="273"/>
      <c r="H19" s="276"/>
      <c r="I19" s="277"/>
      <c r="J19" s="276"/>
      <c r="K19" s="277"/>
      <c r="L19" s="276"/>
      <c r="M19" s="277"/>
      <c r="N19" s="276"/>
      <c r="O19" s="277"/>
      <c r="P19" s="116"/>
      <c r="Q19" s="269"/>
      <c r="R19" s="270"/>
      <c r="S19" s="270"/>
      <c r="T19" s="270"/>
      <c r="U19" s="271"/>
      <c r="V19" s="271"/>
      <c r="W19" s="271"/>
      <c r="X19" s="271"/>
      <c r="Y19" s="271"/>
      <c r="Z19" s="271"/>
      <c r="AA19" s="271"/>
    </row>
    <row r="20" spans="1:27" s="23" customFormat="1" ht="21" customHeight="1" x14ac:dyDescent="0.15">
      <c r="A20" s="263" t="str">
        <f>IFERROR(IF(HLOOKUP($P$6,RangeUnitsetsGDEDUC,Q20,FALSE)=0,"",HLOOKUP($P$6,RangeUnitsetsGDEDUC,Q20,FALSE)),"")</f>
        <v>EDUC5006</v>
      </c>
      <c r="B20" s="278">
        <f>IFERROR(IF(VLOOKUP($A20,TableHandbook[],2,FALSE)=0,"",VLOOKUP($A20,TableHandbook[],2,FALSE)),"")</f>
        <v>1</v>
      </c>
      <c r="C20" s="278" t="str">
        <f>IFERROR(IF(VLOOKUP($A20,TableHandbook[],3,FALSE)=0,"",VLOOKUP($A20,TableHandbook[],3,FALSE)),"")</f>
        <v/>
      </c>
      <c r="D20" s="265" t="str">
        <f>IFERROR(IF(VLOOKUP($A20,TableHandbook[],4,FALSE)=0,"",VLOOKUP($A20,TableHandbook[],4,FALSE)),"")</f>
        <v>Creative Technologies</v>
      </c>
      <c r="E20" s="264" t="str">
        <f>IF(OR(A20="",A20="--"),"",VLOOKUP($D$8,TableStudyPeriods[],5,FALSE))</f>
        <v>SSP4</v>
      </c>
      <c r="F20" s="266" t="str">
        <f>IFERROR(IF(VLOOKUP($A20,TableHandbook[],6,FALSE)=0,"",VLOOKUP($A20,TableHandbook[],6,FALSE)),"")</f>
        <v>Nil</v>
      </c>
      <c r="G20" s="278">
        <f>IFERROR(IF(VLOOKUP($A20,TableHandbook[],5,FALSE)=0,"",VLOOKUP($A20,TableHandbook[],5,FALSE)),"")</f>
        <v>25</v>
      </c>
      <c r="H20" s="279" t="str">
        <f>IFERROR(VLOOKUP($A20,TableHandbook[],H$2,FALSE),"")</f>
        <v/>
      </c>
      <c r="I20" s="280" t="str">
        <f>IFERROR(VLOOKUP($A20,TableHandbook[],I$2,FALSE),"")</f>
        <v/>
      </c>
      <c r="J20" s="279" t="str">
        <f>IFERROR(VLOOKUP($A20,TableHandbook[],J$2,FALSE),"")</f>
        <v>Y</v>
      </c>
      <c r="K20" s="280" t="str">
        <f>IFERROR(VLOOKUP($A20,TableHandbook[],K$2,FALSE),"")</f>
        <v>Y</v>
      </c>
      <c r="L20" s="279" t="str">
        <f>IFERROR(VLOOKUP($A20,TableHandbook[],L$2,FALSE),"")</f>
        <v>Y</v>
      </c>
      <c r="M20" s="280" t="str">
        <f>IFERROR(VLOOKUP($A20,TableHandbook[],M$2,FALSE),"")</f>
        <v>Y</v>
      </c>
      <c r="N20" s="279" t="str">
        <f>IFERROR(VLOOKUP($A20,TableHandbook[],N$2,FALSE),"")</f>
        <v>Y</v>
      </c>
      <c r="O20" s="280" t="str">
        <f>IFERROR(VLOOKUP($A20,TableHandbook[],O$2,FALSE),"")</f>
        <v>Y</v>
      </c>
      <c r="P20" s="31"/>
      <c r="Q20" s="269">
        <v>8</v>
      </c>
      <c r="R20" s="281"/>
      <c r="S20" s="281"/>
      <c r="T20" s="282"/>
      <c r="U20" s="282"/>
      <c r="V20" s="282"/>
      <c r="W20" s="282"/>
      <c r="X20" s="282"/>
      <c r="Y20" s="282"/>
      <c r="Z20" s="282"/>
      <c r="AA20" s="282"/>
    </row>
    <row r="21" spans="1:27" s="23" customFormat="1" ht="21" customHeight="1" x14ac:dyDescent="0.15">
      <c r="A21" s="263" t="str">
        <f>IFERROR(IF(HLOOKUP($P$6,RangeUnitsetsGDEDUC,Q21,FALSE)=0,"",HLOOKUP($P$6,RangeUnitsetsGDEDUC,Q21,FALSE)),"")</f>
        <v>GDTAS</v>
      </c>
      <c r="B21" s="278" t="str">
        <f>IFERROR(IF(VLOOKUP($A21,TableHandbook[],2,FALSE)=0,"",VLOOKUP($A21,TableHandbook[],2,FALSE)),"")</f>
        <v/>
      </c>
      <c r="C21" s="278" t="str">
        <f>IFERROR(IF(VLOOKUP($A21,TableHandbook[],3,FALSE)=0,"",VLOOKUP($A21,TableHandbook[],3,FALSE)),"")</f>
        <v/>
      </c>
      <c r="D21" s="312" t="str">
        <f>IFERROR(IF(VLOOKUP($A21,TableHandbook[],4,FALSE)=0,"",VLOOKUP($A21,TableHandbook[],4,FALSE)),"")</f>
        <v>Teaching Area SENIOR subject (see below)</v>
      </c>
      <c r="E21" s="278" t="str">
        <f>IF(A21="","",E20)</f>
        <v>SSP4</v>
      </c>
      <c r="F21" s="266" t="str">
        <f>IFERROR(IF(VLOOKUP($A21,TableHandbook[],6,FALSE)=0,"",VLOOKUP($A21,TableHandbook[],6,FALSE)),"")</f>
        <v>See below</v>
      </c>
      <c r="G21" s="278">
        <f>IFERROR(IF(VLOOKUP($A21,TableHandbook[],5,FALSE)=0,"",VLOOKUP($A21,TableHandbook[],5,FALSE)),"")</f>
        <v>25</v>
      </c>
      <c r="H21" s="279" t="str">
        <f>IFERROR(VLOOKUP($A21,TableHandbook[],H$2,FALSE),"")</f>
        <v/>
      </c>
      <c r="I21" s="280" t="str">
        <f>IFERROR(VLOOKUP($A21,TableHandbook[],I$2,FALSE),"")</f>
        <v/>
      </c>
      <c r="J21" s="279" t="str">
        <f>IFERROR(VLOOKUP($A21,TableHandbook[],J$2,FALSE),"")</f>
        <v/>
      </c>
      <c r="K21" s="280" t="str">
        <f>IFERROR(VLOOKUP($A21,TableHandbook[],K$2,FALSE),"")</f>
        <v/>
      </c>
      <c r="L21" s="279" t="str">
        <f>IFERROR(VLOOKUP($A21,TableHandbook[],L$2,FALSE),"")</f>
        <v/>
      </c>
      <c r="M21" s="280" t="str">
        <f>IFERROR(VLOOKUP($A21,TableHandbook[],M$2,FALSE),"")</f>
        <v/>
      </c>
      <c r="N21" s="279" t="str">
        <f>IFERROR(VLOOKUP($A21,TableHandbook[],N$2,FALSE),"")</f>
        <v/>
      </c>
      <c r="O21" s="280" t="str">
        <f>IFERROR(VLOOKUP($A21,TableHandbook[],O$2,FALSE),"")</f>
        <v/>
      </c>
      <c r="P21" s="31"/>
      <c r="Q21" s="269">
        <v>9</v>
      </c>
      <c r="R21" s="281"/>
      <c r="S21" s="281"/>
      <c r="T21" s="282"/>
      <c r="U21" s="282"/>
      <c r="V21" s="282"/>
      <c r="W21" s="282"/>
      <c r="X21" s="282"/>
      <c r="Y21" s="282"/>
      <c r="Z21" s="282"/>
      <c r="AA21" s="282"/>
    </row>
    <row r="22" spans="1:27" ht="16.5" customHeight="1" x14ac:dyDescent="0.25">
      <c r="A22" s="287"/>
      <c r="B22" s="287"/>
      <c r="C22" s="287"/>
      <c r="D22" s="288"/>
      <c r="E22" s="288"/>
      <c r="F22" s="289"/>
      <c r="G22" s="289"/>
      <c r="H22" s="289"/>
      <c r="I22" s="289"/>
      <c r="J22" s="289"/>
      <c r="K22" s="289"/>
      <c r="L22" s="289"/>
      <c r="M22" s="289"/>
      <c r="N22" s="289"/>
      <c r="O22" s="289"/>
      <c r="P22" s="289"/>
      <c r="Q22" s="297"/>
      <c r="R22" s="231"/>
      <c r="S22" s="231"/>
      <c r="T22" s="231"/>
      <c r="U22" s="231"/>
      <c r="V22" s="231"/>
      <c r="W22" s="231"/>
      <c r="X22" s="231"/>
      <c r="Y22" s="231"/>
      <c r="Z22" s="231"/>
      <c r="AA22" s="231"/>
    </row>
    <row r="23" spans="1:27" s="27" customFormat="1" ht="25.5" x14ac:dyDescent="0.25">
      <c r="A23" s="313" t="s">
        <v>230</v>
      </c>
      <c r="B23" s="314"/>
      <c r="C23" s="314"/>
      <c r="D23" s="315"/>
      <c r="E23" s="316"/>
      <c r="F23" s="316"/>
      <c r="G23" s="316"/>
      <c r="H23" s="317" t="s">
        <v>19</v>
      </c>
      <c r="I23" s="318"/>
      <c r="J23" s="318"/>
      <c r="K23" s="318"/>
      <c r="L23" s="318"/>
      <c r="M23" s="318"/>
      <c r="N23" s="319"/>
      <c r="O23" s="320"/>
      <c r="P23" s="321"/>
      <c r="Q23" s="297"/>
      <c r="R23" s="334"/>
      <c r="S23" s="334"/>
      <c r="T23" s="334"/>
      <c r="U23" s="334"/>
      <c r="V23" s="334"/>
      <c r="W23" s="334"/>
      <c r="X23" s="334"/>
      <c r="Y23" s="334"/>
      <c r="Z23" s="334"/>
      <c r="AA23" s="334"/>
    </row>
    <row r="24" spans="1:27" ht="21" customHeight="1" x14ac:dyDescent="0.25">
      <c r="A24" s="252"/>
      <c r="B24" s="252"/>
      <c r="C24" s="252"/>
      <c r="D24" s="253" t="s">
        <v>3</v>
      </c>
      <c r="E24" s="260" t="s">
        <v>21</v>
      </c>
      <c r="F24" s="252" t="s">
        <v>43</v>
      </c>
      <c r="G24" s="252" t="s">
        <v>23</v>
      </c>
      <c r="H24" s="261" t="s">
        <v>24</v>
      </c>
      <c r="I24" s="262" t="s">
        <v>25</v>
      </c>
      <c r="J24" s="261" t="s">
        <v>26</v>
      </c>
      <c r="K24" s="262" t="s">
        <v>27</v>
      </c>
      <c r="L24" s="261" t="s">
        <v>28</v>
      </c>
      <c r="M24" s="262" t="s">
        <v>29</v>
      </c>
      <c r="N24" s="261" t="s">
        <v>30</v>
      </c>
      <c r="O24" s="262" t="s">
        <v>31</v>
      </c>
      <c r="P24" s="252" t="s">
        <v>32</v>
      </c>
      <c r="Q24" s="269"/>
      <c r="R24" s="231"/>
      <c r="S24" s="231"/>
      <c r="T24" s="231"/>
      <c r="U24" s="231"/>
      <c r="V24" s="231"/>
      <c r="W24" s="231"/>
      <c r="X24" s="231"/>
      <c r="Y24" s="231"/>
      <c r="Z24" s="231"/>
      <c r="AA24" s="231"/>
    </row>
    <row r="25" spans="1:27" ht="21" customHeight="1" x14ac:dyDescent="0.25">
      <c r="A25" s="322" t="str">
        <f>IFERROR(IF(HLOOKUP($P$6,RangeUnitsetsGDEDUC,Q25,FALSE)=0,"",HLOOKUP($P$6,RangeUnitsetsGDEDUC,Q25,FALSE)),"")</f>
        <v>GDTA</v>
      </c>
      <c r="B25" s="323" t="str">
        <f>IFERROR(IF(VLOOKUP($A25,TableHandbook[],2,FALSE)=0,"",VLOOKUP($A25,TableHandbook[],2,FALSE)),"")</f>
        <v/>
      </c>
      <c r="C25" s="324" t="str">
        <f>IFERROR(IF(VLOOKUP($A25,TableHandbook[],3,FALSE)=0,"",VLOOKUP($A25,TableHandbook[],3,FALSE)),"")</f>
        <v/>
      </c>
      <c r="D25" s="324" t="str">
        <f>IFERROR(IF(VLOOKUP($A25,TableHandbook[],4,FALSE)=0,"",VLOOKUP($A25,TableHandbook[],4,FALSE)),"")</f>
        <v>Teaching Area (study Lower before Senior)</v>
      </c>
      <c r="E25" s="325"/>
      <c r="F25" s="326" t="str">
        <f>IFERROR(IF(VLOOKUP($A25,TableHandbook[],6,FALSE)=0,"",VLOOKUP($A25,TableHandbook[],6,FALSE)),"")</f>
        <v/>
      </c>
      <c r="G25" s="326" t="str">
        <f>IFERROR(IF(VLOOKUP($A25,TableHandbook[],5,FALSE)=0,"",VLOOKUP($A25,TableHandbook[],5,FALSE)),"")</f>
        <v/>
      </c>
      <c r="H25" s="279" t="str">
        <f>IFERROR(VLOOKUP($A25,TableHandbook[],H$2,FALSE),"")</f>
        <v/>
      </c>
      <c r="I25" s="280" t="str">
        <f>IFERROR(VLOOKUP($A25,TableHandbook[],I$2,FALSE),"")</f>
        <v/>
      </c>
      <c r="J25" s="278" t="str">
        <f>IFERROR(VLOOKUP($A25,TableHandbook[],J$2,FALSE),"")</f>
        <v/>
      </c>
      <c r="K25" s="280" t="str">
        <f>IFERROR(VLOOKUP($A25,TableHandbook[],K$2,FALSE),"")</f>
        <v/>
      </c>
      <c r="L25" s="278" t="str">
        <f>IFERROR(VLOOKUP($A25,TableHandbook[],L$2,FALSE),"")</f>
        <v/>
      </c>
      <c r="M25" s="280" t="str">
        <f>IFERROR(VLOOKUP($A25,TableHandbook[],M$2,FALSE),"")</f>
        <v/>
      </c>
      <c r="N25" s="278" t="str">
        <f>IFERROR(VLOOKUP($A25,TableHandbook[],N$2,FALSE),"")</f>
        <v/>
      </c>
      <c r="O25" s="280" t="str">
        <f>IFERROR(VLOOKUP($A25,TableHandbook[],O$2,FALSE),"")</f>
        <v/>
      </c>
      <c r="P25" s="31"/>
      <c r="Q25" s="269">
        <v>10</v>
      </c>
      <c r="R25" s="231"/>
      <c r="S25" s="231"/>
      <c r="T25" s="231"/>
      <c r="U25" s="231"/>
      <c r="V25" s="231"/>
      <c r="W25" s="231"/>
      <c r="X25" s="231"/>
      <c r="Y25" s="231"/>
      <c r="Z25" s="231"/>
      <c r="AA25" s="231"/>
    </row>
    <row r="26" spans="1:27" ht="21" customHeight="1" x14ac:dyDescent="0.25">
      <c r="A26" s="322" t="str">
        <f>IFERROR(IF(HLOOKUP($P$7,RangeTeachingAreas,Q26,FALSE)=0,"",HLOOKUP($P$7,RangeTeachingAreas,Q26,FALSE)),"")</f>
        <v/>
      </c>
      <c r="B26" s="323" t="str">
        <f>IFERROR(IF(VLOOKUP($A26,TableHandbook[],2,FALSE)=0,"",VLOOKUP($A26,TableHandbook[],2,FALSE)),"")</f>
        <v/>
      </c>
      <c r="C26" s="324" t="str">
        <f>IFERROR(IF(VLOOKUP($A26,TableHandbook[],3,FALSE)=0,"",VLOOKUP($A26,TableHandbook[],3,FALSE)),"")</f>
        <v/>
      </c>
      <c r="D26" s="324" t="str">
        <f>IFERROR(IF(VLOOKUP($A26,TableHandbook[],4,FALSE)=0,"",VLOOKUP($A26,TableHandbook[],4,FALSE)),"")</f>
        <v/>
      </c>
      <c r="E26" s="325"/>
      <c r="F26" s="326" t="str">
        <f>IFERROR(IF(VLOOKUP($A26,TableHandbook[],6,FALSE)=0,"",VLOOKUP($A26,TableHandbook[],6,FALSE)),"")</f>
        <v/>
      </c>
      <c r="G26" s="326" t="str">
        <f>IFERROR(IF(VLOOKUP($A26,TableHandbook[],5,FALSE)=0,"",VLOOKUP($A26,TableHandbook[],5,FALSE)),"")</f>
        <v/>
      </c>
      <c r="H26" s="267" t="str">
        <f>IFERROR(VLOOKUP($A26,TableHandbook[],H$2,FALSE),"")</f>
        <v/>
      </c>
      <c r="I26" s="268" t="str">
        <f>IFERROR(VLOOKUP($A26,TableHandbook[],I$2,FALSE),"")</f>
        <v/>
      </c>
      <c r="J26" s="264" t="str">
        <f>IFERROR(VLOOKUP($A26,TableHandbook[],J$2,FALSE),"")</f>
        <v/>
      </c>
      <c r="K26" s="268" t="str">
        <f>IFERROR(VLOOKUP($A26,TableHandbook[],K$2,FALSE),"")</f>
        <v/>
      </c>
      <c r="L26" s="264" t="str">
        <f>IFERROR(VLOOKUP($A26,TableHandbook[],L$2,FALSE),"")</f>
        <v/>
      </c>
      <c r="M26" s="268" t="str">
        <f>IFERROR(VLOOKUP($A26,TableHandbook[],M$2,FALSE),"")</f>
        <v/>
      </c>
      <c r="N26" s="264" t="str">
        <f>IFERROR(VLOOKUP($A26,TableHandbook[],N$2,FALSE),"")</f>
        <v/>
      </c>
      <c r="O26" s="268" t="str">
        <f>IFERROR(VLOOKUP($A26,TableHandbook[],O$2,FALSE),"")</f>
        <v/>
      </c>
      <c r="P26" s="31"/>
      <c r="Q26" s="269">
        <v>3</v>
      </c>
      <c r="R26" s="231"/>
      <c r="S26" s="231"/>
      <c r="T26" s="231"/>
      <c r="U26" s="231"/>
      <c r="V26" s="231"/>
      <c r="W26" s="231"/>
      <c r="X26" s="231"/>
      <c r="Y26" s="231"/>
      <c r="Z26" s="231"/>
      <c r="AA26" s="231"/>
    </row>
    <row r="27" spans="1:27" ht="21" customHeight="1" x14ac:dyDescent="0.25">
      <c r="A27" s="322" t="str">
        <f>IFERROR(IF(HLOOKUP($P$7,RangeTeachingAreas,Q27,FALSE)=0,"",HLOOKUP($P$7,RangeTeachingAreas,Q27,FALSE)),"")</f>
        <v/>
      </c>
      <c r="B27" s="323" t="str">
        <f>IFERROR(IF(VLOOKUP($A27,TableHandbook[],2,FALSE)=0,"",VLOOKUP($A27,TableHandbook[],2,FALSE)),"")</f>
        <v/>
      </c>
      <c r="C27" s="324" t="str">
        <f>IFERROR(IF(VLOOKUP($A27,TableHandbook[],3,FALSE)=0,"",VLOOKUP($A27,TableHandbook[],3,FALSE)),"")</f>
        <v/>
      </c>
      <c r="D27" s="324" t="str">
        <f>IFERROR(IF(VLOOKUP($A27,TableHandbook[],4,FALSE)=0,"",VLOOKUP($A27,TableHandbook[],4,FALSE)),"")</f>
        <v/>
      </c>
      <c r="E27" s="325"/>
      <c r="F27" s="326" t="str">
        <f>IFERROR(IF(VLOOKUP($A27,TableHandbook[],6,FALSE)=0,"",VLOOKUP($A27,TableHandbook[],6,FALSE)),"")</f>
        <v/>
      </c>
      <c r="G27" s="326" t="str">
        <f>IFERROR(IF(VLOOKUP($A27,TableHandbook[],5,FALSE)=0,"",VLOOKUP($A27,TableHandbook[],5,FALSE)),"")</f>
        <v/>
      </c>
      <c r="H27" s="267" t="str">
        <f>IFERROR(VLOOKUP($A27,TableHandbook[],H$2,FALSE),"")</f>
        <v/>
      </c>
      <c r="I27" s="268" t="str">
        <f>IFERROR(VLOOKUP($A27,TableHandbook[],I$2,FALSE),"")</f>
        <v/>
      </c>
      <c r="J27" s="264" t="str">
        <f>IFERROR(VLOOKUP($A27,TableHandbook[],J$2,FALSE),"")</f>
        <v/>
      </c>
      <c r="K27" s="268" t="str">
        <f>IFERROR(VLOOKUP($A27,TableHandbook[],K$2,FALSE),"")</f>
        <v/>
      </c>
      <c r="L27" s="264" t="str">
        <f>IFERROR(VLOOKUP($A27,TableHandbook[],L$2,FALSE),"")</f>
        <v/>
      </c>
      <c r="M27" s="268" t="str">
        <f>IFERROR(VLOOKUP($A27,TableHandbook[],M$2,FALSE),"")</f>
        <v/>
      </c>
      <c r="N27" s="264" t="str">
        <f>IFERROR(VLOOKUP($A27,TableHandbook[],N$2,FALSE),"")</f>
        <v/>
      </c>
      <c r="O27" s="268" t="str">
        <f>IFERROR(VLOOKUP($A27,TableHandbook[],O$2,FALSE),"")</f>
        <v/>
      </c>
      <c r="P27" s="31"/>
      <c r="Q27" s="269">
        <v>4</v>
      </c>
      <c r="R27" s="231"/>
      <c r="S27" s="231"/>
      <c r="T27" s="231"/>
      <c r="U27" s="231"/>
      <c r="V27" s="231"/>
      <c r="W27" s="231"/>
      <c r="X27" s="231"/>
      <c r="Y27" s="231"/>
      <c r="Z27" s="231"/>
      <c r="AA27" s="231"/>
    </row>
    <row r="28" spans="1:27" ht="15" customHeight="1" x14ac:dyDescent="0.25">
      <c r="A28" s="327"/>
      <c r="B28" s="327"/>
      <c r="C28" s="328"/>
      <c r="D28" s="328"/>
      <c r="E28" s="329"/>
      <c r="F28" s="330"/>
      <c r="G28" s="330"/>
      <c r="H28" s="331"/>
      <c r="I28" s="331"/>
      <c r="J28" s="331"/>
      <c r="K28" s="331"/>
      <c r="L28" s="331"/>
      <c r="M28" s="331"/>
      <c r="N28" s="331"/>
      <c r="O28" s="331"/>
      <c r="P28" s="332"/>
      <c r="Q28" s="269"/>
      <c r="R28" s="231"/>
      <c r="S28" s="231"/>
      <c r="T28" s="231"/>
      <c r="U28" s="231"/>
      <c r="V28" s="231"/>
      <c r="W28" s="231"/>
      <c r="X28" s="231"/>
      <c r="Y28" s="231"/>
      <c r="Z28" s="231"/>
      <c r="AA28" s="231"/>
    </row>
    <row r="29" spans="1:27" s="16" customFormat="1" ht="18" x14ac:dyDescent="0.25">
      <c r="A29" s="333" t="s">
        <v>35</v>
      </c>
      <c r="B29" s="333"/>
      <c r="C29" s="333"/>
      <c r="D29" s="333"/>
      <c r="E29" s="333"/>
      <c r="F29" s="333"/>
      <c r="G29" s="333"/>
      <c r="H29" s="333"/>
      <c r="I29" s="333"/>
      <c r="J29" s="333"/>
      <c r="K29" s="333"/>
      <c r="L29" s="333"/>
      <c r="M29" s="333"/>
      <c r="N29" s="333"/>
      <c r="O29" s="333"/>
      <c r="P29" s="333"/>
      <c r="Q29" s="297"/>
      <c r="R29" s="231"/>
      <c r="S29" s="231"/>
      <c r="T29" s="231"/>
      <c r="U29" s="231"/>
      <c r="V29" s="231"/>
      <c r="W29" s="231"/>
      <c r="X29" s="231"/>
      <c r="Y29" s="231"/>
      <c r="Z29" s="231"/>
      <c r="AA29" s="231"/>
    </row>
    <row r="30" spans="1:27" s="25" customFormat="1" ht="17.25" x14ac:dyDescent="0.2">
      <c r="A30" s="117" t="s">
        <v>36</v>
      </c>
      <c r="B30" s="117"/>
      <c r="C30" s="117"/>
      <c r="D30" s="118"/>
      <c r="E30" s="118"/>
      <c r="F30" s="118"/>
      <c r="G30" s="118"/>
      <c r="H30" s="118"/>
      <c r="I30" s="118"/>
      <c r="J30" s="118"/>
      <c r="K30" s="118"/>
      <c r="L30" s="118"/>
      <c r="M30" s="118"/>
      <c r="N30" s="118"/>
      <c r="O30" s="118"/>
      <c r="P30" s="118"/>
      <c r="Q30" s="290"/>
      <c r="R30" s="290"/>
      <c r="S30" s="290"/>
      <c r="T30" s="291"/>
      <c r="U30" s="291"/>
      <c r="V30" s="291"/>
      <c r="W30" s="291"/>
      <c r="X30" s="291"/>
      <c r="Y30" s="291"/>
      <c r="Z30" s="291"/>
      <c r="AA30" s="291"/>
    </row>
    <row r="31" spans="1:27" x14ac:dyDescent="0.25">
      <c r="A31" s="292" t="s">
        <v>37</v>
      </c>
      <c r="B31" s="292"/>
      <c r="C31" s="292"/>
      <c r="D31" s="292"/>
      <c r="E31" s="293"/>
      <c r="F31" s="289"/>
      <c r="G31" s="294"/>
      <c r="H31" s="294"/>
      <c r="I31" s="294"/>
      <c r="J31" s="294"/>
      <c r="K31" s="294"/>
      <c r="L31" s="294"/>
      <c r="M31" s="294"/>
      <c r="N31" s="294"/>
      <c r="O31" s="294"/>
      <c r="P31" s="294" t="s">
        <v>38</v>
      </c>
      <c r="Q31" s="231"/>
      <c r="R31" s="231"/>
      <c r="S31" s="231"/>
      <c r="T31" s="231"/>
      <c r="U31" s="231"/>
      <c r="V31" s="231"/>
      <c r="W31" s="231"/>
      <c r="X31" s="231"/>
      <c r="Y31" s="231"/>
      <c r="Z31" s="231"/>
      <c r="AA31" s="231"/>
    </row>
  </sheetData>
  <sheetProtection formatCells="0"/>
  <mergeCells count="1">
    <mergeCell ref="A3:D3"/>
  </mergeCells>
  <conditionalFormatting sqref="A11:Q21 A25:Q27">
    <cfRule type="expression" dxfId="404" priority="4">
      <formula>LEFT($A11,4)="GDTA"</formula>
    </cfRule>
  </conditionalFormatting>
  <conditionalFormatting sqref="D5:D8">
    <cfRule type="containsText" dxfId="403" priority="5" operator="containsText" text="Choose">
      <formula>NOT(ISERROR(SEARCH("Choose",D5)))</formula>
    </cfRule>
  </conditionalFormatting>
  <dataValidations count="2">
    <dataValidation type="list" allowBlank="1" showInputMessage="1" showErrorMessage="1" sqref="P16 P13 P19"/>
    <dataValidation type="list" allowBlank="1" showInputMessage="1" showErrorMessage="1" sqref="D7">
      <formula1>INDIRECT($P$8)</formula1>
    </dataValidation>
  </dataValidations>
  <hyperlinks>
    <hyperlink ref="A30:P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48"/>
  <sheetViews>
    <sheetView showGridLines="0" tabSelected="1" topLeftCell="A3" workbookViewId="0">
      <selection activeCell="D7" sqref="D7"/>
    </sheetView>
  </sheetViews>
  <sheetFormatPr defaultColWidth="9" defaultRowHeight="15" x14ac:dyDescent="0.25"/>
  <cols>
    <col min="1" max="1" width="8.5" style="15" customWidth="1"/>
    <col min="2" max="2" width="3.25" style="15" customWidth="1"/>
    <col min="3" max="3" width="5.875" style="15" customWidth="1"/>
    <col min="4" max="4" width="56.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row>
    <row r="5" spans="1:27" ht="20.100000000000001" customHeight="1" x14ac:dyDescent="0.25">
      <c r="A5" s="237"/>
      <c r="B5" s="238"/>
      <c r="C5" s="239" t="s">
        <v>10</v>
      </c>
      <c r="D5" s="240" t="s">
        <v>11</v>
      </c>
      <c r="E5" s="241"/>
      <c r="F5" s="239" t="s">
        <v>12</v>
      </c>
      <c r="G5" s="246" t="str">
        <f>IFERROR(CONCATENATE(VLOOKUP(D5,TableCourses[],2,FALSE)," ",VLOOKUP(D5,TableCourses[],3,FALSE)),"")</f>
        <v>MC-TEACH v.2</v>
      </c>
      <c r="H5" s="302"/>
      <c r="I5" s="241"/>
      <c r="J5" s="241"/>
      <c r="K5" s="241"/>
      <c r="L5" s="241"/>
      <c r="M5" s="241"/>
      <c r="N5" s="241"/>
      <c r="O5" s="241"/>
      <c r="P5" s="336"/>
      <c r="Q5" s="297"/>
      <c r="R5" s="231"/>
      <c r="S5" s="231"/>
      <c r="T5" s="231"/>
      <c r="U5" s="231"/>
      <c r="V5" s="231"/>
      <c r="W5" s="231"/>
      <c r="X5" s="231"/>
      <c r="Y5" s="231"/>
      <c r="Z5" s="231"/>
    </row>
    <row r="6" spans="1:27" ht="20.100000000000001" customHeight="1" x14ac:dyDescent="0.25">
      <c r="A6" s="237"/>
      <c r="B6" s="238"/>
      <c r="C6" s="239" t="s">
        <v>13</v>
      </c>
      <c r="D6" s="244" t="s">
        <v>167</v>
      </c>
      <c r="E6" s="241"/>
      <c r="F6" s="239" t="s">
        <v>15</v>
      </c>
      <c r="G6" s="246" t="str">
        <f>IFERROR(CONCATENATE(VLOOKUP(D6,TableMajors[],2,FALSE)," ",VLOOKUP(D6,TableMajors[],3,FALSE)),"")</f>
        <v>MJRP-TCHSC v.2</v>
      </c>
      <c r="H6" s="302"/>
      <c r="I6" s="241"/>
      <c r="J6" s="241"/>
      <c r="K6" s="241"/>
      <c r="L6" s="241"/>
      <c r="M6" s="241"/>
      <c r="N6" s="241"/>
      <c r="O6" s="241"/>
      <c r="P6" s="304" t="e">
        <f>CONCATENATE(VLOOKUP(D6,TableMajors[],2,FALSE),VLOOKUP(D9,TableStudyPeriods[],2,FALSE))</f>
        <v>#N/A</v>
      </c>
      <c r="Q6" s="297"/>
      <c r="R6" s="231"/>
      <c r="S6" s="231"/>
      <c r="T6" s="231"/>
      <c r="U6" s="231"/>
      <c r="V6" s="231"/>
      <c r="W6" s="231"/>
      <c r="X6" s="231"/>
      <c r="Y6" s="231"/>
      <c r="Z6" s="231"/>
    </row>
    <row r="7" spans="1:27" ht="20.100000000000001" customHeight="1" x14ac:dyDescent="0.25">
      <c r="A7" s="237"/>
      <c r="B7" s="238"/>
      <c r="C7" s="239" t="s">
        <v>224</v>
      </c>
      <c r="D7" s="337" t="s">
        <v>466</v>
      </c>
      <c r="E7" s="241"/>
      <c r="F7" s="239" t="s">
        <v>226</v>
      </c>
      <c r="G7" s="246" t="str">
        <f>IFERROR(CONCATENATE(VLOOKUP(D7,TableTeachingArea1[],2,FALSE)," ",VLOOKUP(D7,TableTeachingArea1[],3,FALSE)),"")</f>
        <v/>
      </c>
      <c r="H7" s="302"/>
      <c r="I7" s="241"/>
      <c r="J7" s="241"/>
      <c r="K7" s="241"/>
      <c r="L7" s="241"/>
      <c r="M7" s="241"/>
      <c r="N7" s="241"/>
      <c r="O7" s="241"/>
      <c r="P7" s="304" t="e">
        <f>VLOOKUP(D7,TableTeachingArea1[],2,FALSE)</f>
        <v>#N/A</v>
      </c>
      <c r="Q7" s="297"/>
      <c r="R7" s="231"/>
      <c r="S7" s="231"/>
      <c r="T7" s="231"/>
      <c r="U7" s="231"/>
      <c r="V7" s="231"/>
      <c r="W7" s="231"/>
      <c r="X7" s="231"/>
      <c r="Y7" s="231"/>
      <c r="Z7" s="231"/>
    </row>
    <row r="8" spans="1:27" ht="20.100000000000001" customHeight="1" x14ac:dyDescent="0.25">
      <c r="A8" s="237"/>
      <c r="B8" s="238"/>
      <c r="C8" s="239" t="s">
        <v>227</v>
      </c>
      <c r="D8" s="362" t="s">
        <v>467</v>
      </c>
      <c r="E8" s="241"/>
      <c r="F8" s="239" t="s">
        <v>229</v>
      </c>
      <c r="G8" s="246" t="str">
        <f>IFERROR(CONCATENATE(VLOOKUP(D8,TableTeachingArea2[],2,FALSE)," ",VLOOKUP(D8,TableTeachingArea2[],3,FALSE)),"")</f>
        <v/>
      </c>
      <c r="H8" s="302"/>
      <c r="I8" s="241"/>
      <c r="J8" s="241"/>
      <c r="K8" s="241"/>
      <c r="L8" s="241"/>
      <c r="M8" s="241"/>
      <c r="N8" s="241"/>
      <c r="O8" s="241"/>
      <c r="P8" s="304" t="e">
        <f>VLOOKUP(D8,TableTeachingArea2[],2,FALSE)</f>
        <v>#N/A</v>
      </c>
      <c r="Q8" s="297"/>
      <c r="R8" s="231"/>
      <c r="S8" s="231"/>
      <c r="T8" s="231"/>
      <c r="U8" s="231"/>
      <c r="V8" s="231"/>
      <c r="W8" s="231"/>
      <c r="X8" s="231"/>
      <c r="Y8" s="231"/>
      <c r="Z8" s="231"/>
    </row>
    <row r="9" spans="1:27" ht="20.100000000000001" customHeight="1" x14ac:dyDescent="0.25">
      <c r="A9" s="246"/>
      <c r="B9" s="247"/>
      <c r="C9" s="239" t="s">
        <v>16</v>
      </c>
      <c r="D9" s="295" t="s">
        <v>468</v>
      </c>
      <c r="E9" s="249"/>
      <c r="F9" s="239" t="s">
        <v>18</v>
      </c>
      <c r="G9" s="241" t="str">
        <f>IFERROR(VLOOKUP($D$5,TableCourses[],4,FALSE),"")</f>
        <v>400 credit points required</v>
      </c>
      <c r="H9" s="250"/>
      <c r="I9" s="250"/>
      <c r="J9" s="250"/>
      <c r="K9" s="250"/>
      <c r="L9" s="250"/>
      <c r="M9" s="250"/>
      <c r="N9" s="250"/>
      <c r="O9" s="250"/>
      <c r="P9" s="304" t="str">
        <f>IFERROR(CONCATENATE("DD",MID(G7,6,5)),"")</f>
        <v>DD</v>
      </c>
      <c r="Q9" s="297"/>
      <c r="R9" s="231"/>
      <c r="S9" s="231"/>
      <c r="T9" s="231"/>
      <c r="U9" s="231"/>
      <c r="V9" s="231"/>
      <c r="W9" s="231"/>
      <c r="X9" s="231"/>
      <c r="Y9" s="231"/>
      <c r="Z9" s="231"/>
      <c r="AA9" s="16"/>
    </row>
    <row r="10" spans="1:27" s="18" customFormat="1" ht="14.1" customHeight="1" x14ac:dyDescent="0.25">
      <c r="A10" s="252"/>
      <c r="B10" s="252"/>
      <c r="C10" s="252"/>
      <c r="D10" s="253"/>
      <c r="E10" s="254"/>
      <c r="F10" s="252"/>
      <c r="G10" s="252"/>
      <c r="H10" s="255" t="s">
        <v>19</v>
      </c>
      <c r="I10" s="256"/>
      <c r="J10" s="256"/>
      <c r="K10" s="256"/>
      <c r="L10" s="256"/>
      <c r="M10" s="256"/>
      <c r="N10" s="256"/>
      <c r="O10" s="257"/>
      <c r="P10" s="254"/>
      <c r="Q10" s="285"/>
      <c r="R10" s="258"/>
      <c r="S10" s="258"/>
      <c r="T10" s="259"/>
      <c r="U10" s="259"/>
      <c r="V10" s="259"/>
      <c r="W10" s="259"/>
      <c r="X10" s="259"/>
      <c r="Y10" s="259"/>
      <c r="Z10" s="259"/>
      <c r="AA10" s="17"/>
    </row>
    <row r="11" spans="1:27" s="18" customFormat="1" ht="31.5" x14ac:dyDescent="0.25">
      <c r="A11" s="252" t="s">
        <v>20</v>
      </c>
      <c r="B11" s="252"/>
      <c r="C11" s="252"/>
      <c r="D11" s="253" t="s">
        <v>3</v>
      </c>
      <c r="E11" s="260" t="s">
        <v>21</v>
      </c>
      <c r="F11" s="252" t="s">
        <v>43</v>
      </c>
      <c r="G11" s="252" t="s">
        <v>23</v>
      </c>
      <c r="H11" s="261" t="s">
        <v>24</v>
      </c>
      <c r="I11" s="262" t="s">
        <v>25</v>
      </c>
      <c r="J11" s="261" t="s">
        <v>26</v>
      </c>
      <c r="K11" s="262" t="s">
        <v>27</v>
      </c>
      <c r="L11" s="261" t="s">
        <v>28</v>
      </c>
      <c r="M11" s="262" t="s">
        <v>29</v>
      </c>
      <c r="N11" s="261" t="s">
        <v>30</v>
      </c>
      <c r="O11" s="262" t="s">
        <v>31</v>
      </c>
      <c r="P11" s="252" t="s">
        <v>32</v>
      </c>
      <c r="Q11" s="285"/>
      <c r="R11" s="258"/>
      <c r="S11" s="258"/>
      <c r="T11" s="259"/>
      <c r="U11" s="259"/>
      <c r="V11" s="259"/>
      <c r="W11" s="259"/>
      <c r="X11" s="259"/>
      <c r="Y11" s="259"/>
      <c r="Z11" s="259"/>
      <c r="AA11" s="17"/>
    </row>
    <row r="12" spans="1:27" s="20" customFormat="1" ht="21" customHeight="1" x14ac:dyDescent="0.15">
      <c r="A12" s="263" t="str">
        <f>IFERROR(IF(HLOOKUP($P$6,RangeUnitsetsSec,Q12,FALSE)=0,"",HLOOKUP($P$6,RangeUnitsetsSec,Q12,FALSE)),"")</f>
        <v/>
      </c>
      <c r="B12" s="264" t="str">
        <f>IFERROR(IF(VLOOKUP($A12,TableHandbook[],2,FALSE)=0,"",VLOOKUP($A12,TableHandbook[],2,FALSE)),"")</f>
        <v/>
      </c>
      <c r="C12" s="264" t="str">
        <f>IFERROR(IF(VLOOKUP($A12,TableHandbook[],3,FALSE)=0,"",VLOOKUP($A12,TableHandbook[],3,FALSE)),"")</f>
        <v/>
      </c>
      <c r="D12" s="265" t="str">
        <f>IFERROR(IF(VLOOKUP($A12,TableHandbook[],4,FALSE)=0,"",VLOOKUP($A12,TableHandbook[],4,FALSE)),"")</f>
        <v/>
      </c>
      <c r="E12" s="264" t="str">
        <f>IF(OR(A12="",A12="--"),"",VLOOKUP($D$9,TableStudyPeriods[],2,FALSE))</f>
        <v/>
      </c>
      <c r="F12" s="266" t="str">
        <f>IFERROR(IF(VLOOKUP($A12,TableHandbook[],6,FALSE)=0,"",VLOOKUP($A12,TableHandbook[],6,FALSE)),"")</f>
        <v/>
      </c>
      <c r="G12" s="264" t="str">
        <f>IFERROR(IF(VLOOKUP($A12,TableHandbook[],5,FALSE)=0,"",VLOOKUP($A12,TableHandbook[],5,FALSE)),"")</f>
        <v/>
      </c>
      <c r="H12" s="267" t="str">
        <f>IFERROR(VLOOKUP($A12,TableHandbook[],H$2,FALSE),"")</f>
        <v/>
      </c>
      <c r="I12" s="268" t="str">
        <f>IFERROR(VLOOKUP($A12,TableHandbook[],I$2,FALSE),"")</f>
        <v/>
      </c>
      <c r="J12" s="267" t="str">
        <f>IFERROR(VLOOKUP($A12,TableHandbook[],J$2,FALSE),"")</f>
        <v/>
      </c>
      <c r="K12" s="268" t="str">
        <f>IFERROR(VLOOKUP($A12,TableHandbook[],K$2,FALSE),"")</f>
        <v/>
      </c>
      <c r="L12" s="267" t="str">
        <f>IFERROR(VLOOKUP($A12,TableHandbook[],L$2,FALSE),"")</f>
        <v/>
      </c>
      <c r="M12" s="268" t="str">
        <f>IFERROR(VLOOKUP($A12,TableHandbook[],M$2,FALSE),"")</f>
        <v/>
      </c>
      <c r="N12" s="267" t="str">
        <f>IFERROR(VLOOKUP($A12,TableHandbook[],N$2,FALSE),"")</f>
        <v/>
      </c>
      <c r="O12" s="268" t="str">
        <f>IFERROR(VLOOKUP($A12,TableHandbook[],O$2,FALSE),"")</f>
        <v/>
      </c>
      <c r="P12" s="30"/>
      <c r="Q12" s="269">
        <v>2</v>
      </c>
      <c r="R12" s="270"/>
      <c r="S12" s="270"/>
      <c r="T12" s="271"/>
      <c r="U12" s="271"/>
      <c r="V12" s="271"/>
      <c r="W12" s="271"/>
      <c r="X12" s="271"/>
      <c r="Y12" s="271"/>
      <c r="Z12" s="271"/>
      <c r="AA12" s="19"/>
    </row>
    <row r="13" spans="1:27" s="20" customFormat="1" ht="21" customHeight="1" x14ac:dyDescent="0.15">
      <c r="A13" s="305" t="str">
        <f>IFERROR(IF(HLOOKUP($P$6,RangeUnitsetsSec,Q13,FALSE)=0,"",HLOOKUP($P$6,RangeUnitsetsSec,Q13,FALSE)),"")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IF(A13="","",E12)</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0"/>
      <c r="Q13" s="269">
        <v>3</v>
      </c>
      <c r="R13" s="270"/>
      <c r="S13" s="270"/>
      <c r="T13" s="271"/>
      <c r="U13" s="271"/>
      <c r="V13" s="271"/>
      <c r="W13" s="271"/>
      <c r="X13" s="271"/>
      <c r="Y13" s="271"/>
      <c r="Z13" s="271"/>
      <c r="AA13" s="19"/>
    </row>
    <row r="14" spans="1:27" s="20" customFormat="1" ht="6" customHeight="1" x14ac:dyDescent="0.15">
      <c r="A14" s="272"/>
      <c r="B14" s="273"/>
      <c r="C14" s="273"/>
      <c r="D14" s="274"/>
      <c r="E14" s="273"/>
      <c r="F14" s="275"/>
      <c r="G14" s="273"/>
      <c r="H14" s="276"/>
      <c r="I14" s="277"/>
      <c r="J14" s="276"/>
      <c r="K14" s="277"/>
      <c r="L14" s="276"/>
      <c r="M14" s="277"/>
      <c r="N14" s="276"/>
      <c r="O14" s="277"/>
      <c r="P14" s="116"/>
      <c r="Q14" s="269"/>
      <c r="R14" s="270"/>
      <c r="S14" s="270"/>
      <c r="T14" s="270"/>
      <c r="U14" s="271"/>
      <c r="V14" s="271"/>
      <c r="W14" s="271"/>
      <c r="X14" s="271"/>
      <c r="Y14" s="271"/>
      <c r="Z14" s="271"/>
      <c r="AA14" s="19"/>
    </row>
    <row r="15" spans="1:27" s="20" customFormat="1" ht="21" customHeight="1" x14ac:dyDescent="0.15">
      <c r="A15" s="263" t="str">
        <f>IFERROR(IF(HLOOKUP($P$6,RangeUnitsetsSec,Q15,FALSE)=0,"",HLOOKUP($P$6,RangeUnitsetsSec,Q15,FALSE)),"")</f>
        <v/>
      </c>
      <c r="B15" s="264" t="str">
        <f>IFERROR(IF(VLOOKUP($A15,TableHandbook[],2,FALSE)=0,"",VLOOKUP($A15,TableHandbook[],2,FALSE)),"")</f>
        <v/>
      </c>
      <c r="C15" s="264" t="str">
        <f>IFERROR(IF(VLOOKUP($A15,TableHandbook[],3,FALSE)=0,"",VLOOKUP($A15,TableHandbook[],3,FALSE)),"")</f>
        <v/>
      </c>
      <c r="D15" s="265" t="str">
        <f>IFERROR(IF(VLOOKUP($A15,TableHandbook[],4,FALSE)=0,"",VLOOKUP($A15,TableHandbook[],4,FALSE)),"")</f>
        <v/>
      </c>
      <c r="E15" s="264" t="str">
        <f>IF(OR(A15="",A15="--"),"",VLOOKUP($D$9,TableStudyPeriods[],3,FALSE))</f>
        <v/>
      </c>
      <c r="F15" s="266" t="str">
        <f>IFERROR(IF(VLOOKUP($A15,TableHandbook[],6,FALSE)=0,"",VLOOKUP($A15,TableHandbook[],6,FALSE)),"")</f>
        <v/>
      </c>
      <c r="G15" s="264" t="str">
        <f>IFERROR(IF(VLOOKUP($A15,TableHandbook[],5,FALSE)=0,"",VLOOKUP($A15,TableHandbook[],5,FALSE)),"")</f>
        <v/>
      </c>
      <c r="H15" s="267" t="str">
        <f>IFERROR(VLOOKUP($A15,TableHandbook[],H$2,FALSE),"")</f>
        <v/>
      </c>
      <c r="I15" s="268" t="str">
        <f>IFERROR(VLOOKUP($A15,TableHandbook[],I$2,FALSE),"")</f>
        <v/>
      </c>
      <c r="J15" s="267" t="str">
        <f>IFERROR(VLOOKUP($A15,TableHandbook[],J$2,FALSE),"")</f>
        <v/>
      </c>
      <c r="K15" s="268" t="str">
        <f>IFERROR(VLOOKUP($A15,TableHandbook[],K$2,FALSE),"")</f>
        <v/>
      </c>
      <c r="L15" s="267" t="str">
        <f>IFERROR(VLOOKUP($A15,TableHandbook[],L$2,FALSE),"")</f>
        <v/>
      </c>
      <c r="M15" s="268" t="str">
        <f>IFERROR(VLOOKUP($A15,TableHandbook[],M$2,FALSE),"")</f>
        <v/>
      </c>
      <c r="N15" s="267" t="str">
        <f>IFERROR(VLOOKUP($A15,TableHandbook[],N$2,FALSE),"")</f>
        <v/>
      </c>
      <c r="O15" s="268" t="str">
        <f>IFERROR(VLOOKUP($A15,TableHandbook[],O$2,FALSE),"")</f>
        <v/>
      </c>
      <c r="P15" s="31"/>
      <c r="Q15" s="269">
        <v>4</v>
      </c>
      <c r="R15" s="270"/>
      <c r="S15" s="270"/>
      <c r="T15" s="271"/>
      <c r="U15" s="271"/>
      <c r="V15" s="271"/>
      <c r="W15" s="271"/>
      <c r="X15" s="271"/>
      <c r="Y15" s="271"/>
      <c r="Z15" s="271"/>
      <c r="AA15" s="19"/>
    </row>
    <row r="16" spans="1:27" s="20" customFormat="1" ht="21" customHeight="1" x14ac:dyDescent="0.15">
      <c r="A16" s="263" t="str">
        <f>IFERROR(IF(HLOOKUP($P$6,RangeUnitsetsSec,Q16,FALSE)=0,"",HLOOKUP($P$6,RangeUnitsetsSec,Q16,FALSE)),"")</f>
        <v/>
      </c>
      <c r="B16" s="264" t="str">
        <f>IFERROR(IF(VLOOKUP($A16,TableHandbook[],2,FALSE)=0,"",VLOOKUP($A16,TableHandbook[],2,FALSE)),"")</f>
        <v/>
      </c>
      <c r="C16" s="264" t="str">
        <f>IFERROR(IF(VLOOKUP($A16,TableHandbook[],3,FALSE)=0,"",VLOOKUP($A16,TableHandbook[],3,FALSE)),"")</f>
        <v/>
      </c>
      <c r="D16" s="265" t="str">
        <f>IFERROR(IF(VLOOKUP($A16,TableHandbook[],4,FALSE)=0,"",VLOOKUP($A16,TableHandbook[],4,FALSE)),"")</f>
        <v/>
      </c>
      <c r="E16" s="264" t="str">
        <f>IF(A16="","",E15)</f>
        <v/>
      </c>
      <c r="F16" s="266" t="str">
        <f>IFERROR(IF(VLOOKUP($A16,TableHandbook[],6,FALSE)=0,"",VLOOKUP($A16,TableHandbook[],6,FALSE)),"")</f>
        <v/>
      </c>
      <c r="G16" s="264" t="str">
        <f>IFERROR(IF(VLOOKUP($A16,TableHandbook[],5,FALSE)=0,"",VLOOKUP($A16,TableHandbook[],5,FALSE)),"")</f>
        <v/>
      </c>
      <c r="H16" s="267" t="str">
        <f>IFERROR(VLOOKUP($A16,TableHandbook[],H$2,FALSE),"")</f>
        <v/>
      </c>
      <c r="I16" s="268" t="str">
        <f>IFERROR(VLOOKUP($A16,TableHandbook[],I$2,FALSE),"")</f>
        <v/>
      </c>
      <c r="J16" s="267" t="str">
        <f>IFERROR(VLOOKUP($A16,TableHandbook[],J$2,FALSE),"")</f>
        <v/>
      </c>
      <c r="K16" s="268" t="str">
        <f>IFERROR(VLOOKUP($A16,TableHandbook[],K$2,FALSE),"")</f>
        <v/>
      </c>
      <c r="L16" s="267" t="str">
        <f>IFERROR(VLOOKUP($A16,TableHandbook[],L$2,FALSE),"")</f>
        <v/>
      </c>
      <c r="M16" s="268" t="str">
        <f>IFERROR(VLOOKUP($A16,TableHandbook[],M$2,FALSE),"")</f>
        <v/>
      </c>
      <c r="N16" s="267" t="str">
        <f>IFERROR(VLOOKUP($A16,TableHandbook[],N$2,FALSE),"")</f>
        <v/>
      </c>
      <c r="O16" s="268" t="str">
        <f>IFERROR(VLOOKUP($A16,TableHandbook[],O$2,FALSE),"")</f>
        <v/>
      </c>
      <c r="P16" s="30"/>
      <c r="Q16" s="269">
        <v>5</v>
      </c>
      <c r="R16" s="270"/>
      <c r="S16" s="270"/>
      <c r="T16" s="271"/>
      <c r="U16" s="271"/>
      <c r="V16" s="271"/>
      <c r="W16" s="271"/>
      <c r="X16" s="271"/>
      <c r="Y16" s="271"/>
      <c r="Z16" s="271"/>
      <c r="AA16" s="19"/>
    </row>
    <row r="17" spans="1:27" s="20" customFormat="1" ht="6" customHeight="1" x14ac:dyDescent="0.15">
      <c r="A17" s="272"/>
      <c r="B17" s="273"/>
      <c r="C17" s="273"/>
      <c r="D17" s="274"/>
      <c r="E17" s="273"/>
      <c r="F17" s="275"/>
      <c r="G17" s="273"/>
      <c r="H17" s="276"/>
      <c r="I17" s="277"/>
      <c r="J17" s="276"/>
      <c r="K17" s="277"/>
      <c r="L17" s="276"/>
      <c r="M17" s="277"/>
      <c r="N17" s="276"/>
      <c r="O17" s="277"/>
      <c r="P17" s="116"/>
      <c r="Q17" s="269"/>
      <c r="R17" s="270"/>
      <c r="S17" s="270"/>
      <c r="T17" s="270"/>
      <c r="U17" s="271"/>
      <c r="V17" s="271"/>
      <c r="W17" s="271"/>
      <c r="X17" s="271"/>
      <c r="Y17" s="271"/>
      <c r="Z17" s="271"/>
      <c r="AA17" s="19"/>
    </row>
    <row r="18" spans="1:27" s="20" customFormat="1" ht="21" customHeight="1" x14ac:dyDescent="0.15">
      <c r="A18" s="263" t="str">
        <f>IFERROR(IF(HLOOKUP($P$6,RangeUnitsetsSec,Q18,FALSE)=0,"",HLOOKUP($P$6,RangeUnitsetsSec,Q18,FALSE)),"")</f>
        <v/>
      </c>
      <c r="B18" s="278" t="str">
        <f>IFERROR(IF(VLOOKUP($A18,TableHandbook[],2,FALSE)=0,"",VLOOKUP($A18,TableHandbook[],2,FALSE)),"")</f>
        <v/>
      </c>
      <c r="C18" s="278" t="str">
        <f>IFERROR(IF(VLOOKUP($A18,TableHandbook[],3,FALSE)=0,"",VLOOKUP($A18,TableHandbook[],3,FALSE)),"")</f>
        <v/>
      </c>
      <c r="D18" s="265" t="str">
        <f>IFERROR(IF(VLOOKUP($A18,TableHandbook[],4,FALSE)=0,"",VLOOKUP($A18,TableHandbook[],4,FALSE)),"")</f>
        <v/>
      </c>
      <c r="E18" s="264" t="str">
        <f>IF(OR(A18="",A18="--"),"",VLOOKUP($D$9,TableStudyPeriods[],4,FALSE))</f>
        <v/>
      </c>
      <c r="F18" s="266" t="str">
        <f>IFERROR(IF(VLOOKUP($A18,TableHandbook[],6,FALSE)=0,"",VLOOKUP($A18,TableHandbook[],6,FALSE)),"")</f>
        <v/>
      </c>
      <c r="G18" s="278" t="str">
        <f>IFERROR(IF(VLOOKUP($A18,TableHandbook[],5,FALSE)=0,"",VLOOKUP($A18,TableHandbook[],5,FALSE)),"")</f>
        <v/>
      </c>
      <c r="H18" s="279" t="str">
        <f>IFERROR(VLOOKUP($A18,TableHandbook[],H$2,FALSE),"")</f>
        <v/>
      </c>
      <c r="I18" s="280" t="str">
        <f>IFERROR(VLOOKUP($A18,TableHandbook[],I$2,FALSE),"")</f>
        <v/>
      </c>
      <c r="J18" s="279" t="str">
        <f>IFERROR(VLOOKUP($A18,TableHandbook[],J$2,FALSE),"")</f>
        <v/>
      </c>
      <c r="K18" s="280" t="str">
        <f>IFERROR(VLOOKUP($A18,TableHandbook[],K$2,FALSE),"")</f>
        <v/>
      </c>
      <c r="L18" s="279" t="str">
        <f>IFERROR(VLOOKUP($A18,TableHandbook[],L$2,FALSE),"")</f>
        <v/>
      </c>
      <c r="M18" s="280" t="str">
        <f>IFERROR(VLOOKUP($A18,TableHandbook[],M$2,FALSE),"")</f>
        <v/>
      </c>
      <c r="N18" s="279" t="str">
        <f>IFERROR(VLOOKUP($A18,TableHandbook[],N$2,FALSE),"")</f>
        <v/>
      </c>
      <c r="O18" s="280" t="str">
        <f>IFERROR(VLOOKUP($A18,TableHandbook[],O$2,FALSE),"")</f>
        <v/>
      </c>
      <c r="P18" s="31"/>
      <c r="Q18" s="269">
        <v>6</v>
      </c>
      <c r="R18" s="270"/>
      <c r="S18" s="270"/>
      <c r="T18" s="271"/>
      <c r="U18" s="271"/>
      <c r="V18" s="271"/>
      <c r="W18" s="271"/>
      <c r="X18" s="271"/>
      <c r="Y18" s="271"/>
      <c r="Z18" s="271"/>
      <c r="AA18" s="19"/>
    </row>
    <row r="19" spans="1:27" s="23" customFormat="1" ht="21" customHeight="1" x14ac:dyDescent="0.15">
      <c r="A19" s="263" t="str">
        <f>IFERROR(IF(HLOOKUP($P$6,RangeUnitsetsSec,Q19,FALSE)=0,"",HLOOKUP($P$6,RangeUnitsetsSec,Q19,FALSE)),"")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IF(A19="","",E18)</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7</v>
      </c>
      <c r="R19" s="281"/>
      <c r="S19" s="281"/>
      <c r="T19" s="282"/>
      <c r="U19" s="282"/>
      <c r="V19" s="282"/>
      <c r="W19" s="282"/>
      <c r="X19" s="282"/>
      <c r="Y19" s="282"/>
      <c r="Z19" s="282"/>
      <c r="AA19" s="22"/>
    </row>
    <row r="20" spans="1:27" s="20" customFormat="1" ht="6" customHeight="1" x14ac:dyDescent="0.15">
      <c r="A20" s="272"/>
      <c r="B20" s="273"/>
      <c r="C20" s="273"/>
      <c r="D20" s="274"/>
      <c r="E20" s="273"/>
      <c r="F20" s="275"/>
      <c r="G20" s="273"/>
      <c r="H20" s="276"/>
      <c r="I20" s="277"/>
      <c r="J20" s="276"/>
      <c r="K20" s="277"/>
      <c r="L20" s="276"/>
      <c r="M20" s="277"/>
      <c r="N20" s="276"/>
      <c r="O20" s="277"/>
      <c r="P20" s="116"/>
      <c r="Q20" s="269"/>
      <c r="R20" s="270"/>
      <c r="S20" s="270"/>
      <c r="T20" s="270"/>
      <c r="U20" s="271"/>
      <c r="V20" s="271"/>
      <c r="W20" s="271"/>
      <c r="X20" s="271"/>
      <c r="Y20" s="271"/>
      <c r="Z20" s="271"/>
      <c r="AA20" s="19"/>
    </row>
    <row r="21" spans="1:27" s="23" customFormat="1" ht="21" customHeight="1" x14ac:dyDescent="0.15">
      <c r="A21" s="263" t="str">
        <f>IFERROR(IF(HLOOKUP($P$6,RangeUnitsetsSec,Q21,FALSE)=0,"",HLOOKUP($P$6,RangeUnitsetsSec,Q21,FALSE)),"")</f>
        <v/>
      </c>
      <c r="B21" s="278" t="str">
        <f>IFERROR(IF(VLOOKUP($A21,TableHandbook[],2,FALSE)=0,"",VLOOKUP($A21,TableHandbook[],2,FALSE)),"")</f>
        <v/>
      </c>
      <c r="C21" s="278" t="str">
        <f>IFERROR(IF(VLOOKUP($A21,TableHandbook[],3,FALSE)=0,"",VLOOKUP($A21,TableHandbook[],3,FALSE)),"")</f>
        <v/>
      </c>
      <c r="D21" s="265" t="str">
        <f>IFERROR(IF(VLOOKUP($A21,TableHandbook[],4,FALSE)=0,"",VLOOKUP($A21,TableHandbook[],4,FALSE)),"")</f>
        <v/>
      </c>
      <c r="E21" s="264" t="str">
        <f>IF(OR(A21="",A21="--"),"",VLOOKUP($D$9,TableStudyPeriods[],5,FALSE))</f>
        <v/>
      </c>
      <c r="F21" s="266" t="str">
        <f>IFERROR(IF(VLOOKUP($A21,TableHandbook[],6,FALSE)=0,"",VLOOKUP($A21,TableHandbook[],6,FALSE)),"")</f>
        <v/>
      </c>
      <c r="G21" s="278" t="str">
        <f>IFERROR(IF(VLOOKUP($A21,TableHandbook[],5,FALSE)=0,"",VLOOKUP($A21,TableHandbook[],5,FALSE)),"")</f>
        <v/>
      </c>
      <c r="H21" s="279" t="str">
        <f>IFERROR(VLOOKUP($A21,TableHandbook[],H$2,FALSE),"")</f>
        <v/>
      </c>
      <c r="I21" s="280" t="str">
        <f>IFERROR(VLOOKUP($A21,TableHandbook[],I$2,FALSE),"")</f>
        <v/>
      </c>
      <c r="J21" s="279" t="str">
        <f>IFERROR(VLOOKUP($A21,TableHandbook[],J$2,FALSE),"")</f>
        <v/>
      </c>
      <c r="K21" s="280" t="str">
        <f>IFERROR(VLOOKUP($A21,TableHandbook[],K$2,FALSE),"")</f>
        <v/>
      </c>
      <c r="L21" s="279" t="str">
        <f>IFERROR(VLOOKUP($A21,TableHandbook[],L$2,FALSE),"")</f>
        <v/>
      </c>
      <c r="M21" s="280" t="str">
        <f>IFERROR(VLOOKUP($A21,TableHandbook[],M$2,FALSE),"")</f>
        <v/>
      </c>
      <c r="N21" s="279" t="str">
        <f>IFERROR(VLOOKUP($A21,TableHandbook[],N$2,FALSE),"")</f>
        <v/>
      </c>
      <c r="O21" s="280" t="str">
        <f>IFERROR(VLOOKUP($A21,TableHandbook[],O$2,FALSE),"")</f>
        <v/>
      </c>
      <c r="P21" s="31"/>
      <c r="Q21" s="269">
        <v>8</v>
      </c>
      <c r="R21" s="281"/>
      <c r="S21" s="281"/>
      <c r="T21" s="282"/>
      <c r="U21" s="282"/>
      <c r="V21" s="282"/>
      <c r="W21" s="282"/>
      <c r="X21" s="282"/>
      <c r="Y21" s="282"/>
      <c r="Z21" s="282"/>
      <c r="AA21" s="22"/>
    </row>
    <row r="22" spans="1:27" s="23" customFormat="1" ht="21" customHeight="1" x14ac:dyDescent="0.15">
      <c r="A22" s="263" t="str">
        <f>IFERROR(IF(HLOOKUP($P$6,RangeUnitsetsSec,Q22,FALSE)=0,"",HLOOKUP($P$6,RangeUnitsetsSec,Q22,FALSE)),"")</f>
        <v/>
      </c>
      <c r="B22" s="278" t="str">
        <f>IFERROR(IF(VLOOKUP($A22,TableHandbook[],2,FALSE)=0,"",VLOOKUP($A22,TableHandbook[],2,FALSE)),"")</f>
        <v/>
      </c>
      <c r="C22" s="278" t="str">
        <f>IFERROR(IF(VLOOKUP($A22,TableHandbook[],3,FALSE)=0,"",VLOOKUP($A22,TableHandbook[],3,FALSE)),"")</f>
        <v/>
      </c>
      <c r="D22" s="312" t="str">
        <f>IFERROR(IF(VLOOKUP($A22,TableHandbook[],4,FALSE)=0,"",VLOOKUP($A22,TableHandbook[],4,FALSE)),"")</f>
        <v/>
      </c>
      <c r="E22" s="278" t="str">
        <f>IF(A22="","",E21)</f>
        <v/>
      </c>
      <c r="F22" s="266" t="str">
        <f>IFERROR(IF(VLOOKUP($A22,TableHandbook[],6,FALSE)=0,"",VLOOKUP($A22,TableHandbook[],6,FALSE)),"")</f>
        <v/>
      </c>
      <c r="G22" s="278" t="str">
        <f>IFERROR(IF(VLOOKUP($A22,TableHandbook[],5,FALSE)=0,"",VLOOKUP($A22,TableHandbook[],5,FALSE)),"")</f>
        <v/>
      </c>
      <c r="H22" s="279" t="str">
        <f>IFERROR(VLOOKUP($A22,TableHandbook[],H$2,FALSE),"")</f>
        <v/>
      </c>
      <c r="I22" s="280" t="str">
        <f>IFERROR(VLOOKUP($A22,TableHandbook[],I$2,FALSE),"")</f>
        <v/>
      </c>
      <c r="J22" s="279" t="str">
        <f>IFERROR(VLOOKUP($A22,TableHandbook[],J$2,FALSE),"")</f>
        <v/>
      </c>
      <c r="K22" s="280" t="str">
        <f>IFERROR(VLOOKUP($A22,TableHandbook[],K$2,FALSE),"")</f>
        <v/>
      </c>
      <c r="L22" s="279" t="str">
        <f>IFERROR(VLOOKUP($A22,TableHandbook[],L$2,FALSE),"")</f>
        <v/>
      </c>
      <c r="M22" s="280" t="str">
        <f>IFERROR(VLOOKUP($A22,TableHandbook[],M$2,FALSE),"")</f>
        <v/>
      </c>
      <c r="N22" s="279" t="str">
        <f>IFERROR(VLOOKUP($A22,TableHandbook[],N$2,FALSE),"")</f>
        <v/>
      </c>
      <c r="O22" s="280" t="str">
        <f>IFERROR(VLOOKUP($A22,TableHandbook[],O$2,FALSE),"")</f>
        <v/>
      </c>
      <c r="P22" s="31"/>
      <c r="Q22" s="269">
        <v>9</v>
      </c>
      <c r="R22" s="281"/>
      <c r="S22" s="281"/>
      <c r="T22" s="282"/>
      <c r="U22" s="282"/>
      <c r="V22" s="282"/>
      <c r="W22" s="282"/>
      <c r="X22" s="282"/>
      <c r="Y22" s="282"/>
      <c r="Z22" s="282"/>
      <c r="AA22" s="22"/>
    </row>
    <row r="23" spans="1:27" s="18" customFormat="1" ht="31.5" x14ac:dyDescent="0.25">
      <c r="A23" s="252" t="s">
        <v>33</v>
      </c>
      <c r="B23" s="252"/>
      <c r="C23" s="252"/>
      <c r="D23" s="253" t="s">
        <v>3</v>
      </c>
      <c r="E23" s="260" t="s">
        <v>21</v>
      </c>
      <c r="F23" s="252" t="s">
        <v>43</v>
      </c>
      <c r="G23" s="252" t="s">
        <v>23</v>
      </c>
      <c r="H23" s="261" t="s">
        <v>24</v>
      </c>
      <c r="I23" s="262" t="s">
        <v>25</v>
      </c>
      <c r="J23" s="261" t="s">
        <v>26</v>
      </c>
      <c r="K23" s="262" t="s">
        <v>27</v>
      </c>
      <c r="L23" s="261" t="s">
        <v>28</v>
      </c>
      <c r="M23" s="262" t="s">
        <v>29</v>
      </c>
      <c r="N23" s="261" t="s">
        <v>30</v>
      </c>
      <c r="O23" s="262" t="s">
        <v>31</v>
      </c>
      <c r="P23" s="252" t="s">
        <v>32</v>
      </c>
      <c r="Q23" s="285"/>
      <c r="R23" s="258"/>
      <c r="S23" s="258"/>
      <c r="T23" s="259"/>
      <c r="U23" s="259"/>
      <c r="V23" s="259"/>
      <c r="W23" s="259"/>
      <c r="X23" s="259"/>
      <c r="Y23" s="259"/>
      <c r="Z23" s="259"/>
      <c r="AA23" s="17"/>
    </row>
    <row r="24" spans="1:27" s="20" customFormat="1" ht="21" customHeight="1" x14ac:dyDescent="0.15">
      <c r="A24" s="263" t="str">
        <f>IFERROR(IF(HLOOKUP($P$6,RangeUnitsetsSec,Q24,FALSE)=0,"",HLOOKUP($P$6,RangeUnitsetsSec,Q24,FALSE)),"")</f>
        <v/>
      </c>
      <c r="B24" s="278" t="str">
        <f>IFERROR(IF(VLOOKUP($A24,TableHandbook[],2,FALSE)=0,"",VLOOKUP($A24,TableHandbook[],2,FALSE)),"")</f>
        <v/>
      </c>
      <c r="C24" s="278" t="str">
        <f>IFERROR(IF(VLOOKUP($A24,TableHandbook[],3,FALSE)=0,"",VLOOKUP($A24,TableHandbook[],3,FALSE)),"")</f>
        <v/>
      </c>
      <c r="D24" s="286" t="str">
        <f>IFERROR(IF(VLOOKUP($A24,TableHandbook[],4,FALSE)=0,"",VLOOKUP($A24,TableHandbook[],4,FALSE)),"")</f>
        <v/>
      </c>
      <c r="E24" s="278" t="str">
        <f>IF(OR(A24="",A24="--"),"",VLOOKUP($D$9,TableStudyPeriods[],2,FALSE))</f>
        <v/>
      </c>
      <c r="F24" s="266" t="str">
        <f>IFERROR(IF(VLOOKUP($A24,TableHandbook[],6,FALSE)=0,"",VLOOKUP($A24,TableHandbook[],6,FALSE)),"")</f>
        <v/>
      </c>
      <c r="G24" s="264" t="str">
        <f>IFERROR(IF(VLOOKUP($A24,TableHandbook[],5,FALSE)=0,"",VLOOKUP($A24,TableHandbook[],5,FALSE)),"")</f>
        <v/>
      </c>
      <c r="H24" s="267" t="str">
        <f>IFERROR(VLOOKUP($A24,TableHandbook[],H$2,FALSE),"")</f>
        <v/>
      </c>
      <c r="I24" s="268" t="str">
        <f>IFERROR(VLOOKUP($A24,TableHandbook[],I$2,FALSE),"")</f>
        <v/>
      </c>
      <c r="J24" s="267" t="str">
        <f>IFERROR(VLOOKUP($A24,TableHandbook[],J$2,FALSE),"")</f>
        <v/>
      </c>
      <c r="K24" s="268" t="str">
        <f>IFERROR(VLOOKUP($A24,TableHandbook[],K$2,FALSE),"")</f>
        <v/>
      </c>
      <c r="L24" s="267" t="str">
        <f>IFERROR(VLOOKUP($A24,TableHandbook[],L$2,FALSE),"")</f>
        <v/>
      </c>
      <c r="M24" s="268" t="str">
        <f>IFERROR(VLOOKUP($A24,TableHandbook[],M$2,FALSE),"")</f>
        <v/>
      </c>
      <c r="N24" s="267" t="str">
        <f>IFERROR(VLOOKUP($A24,TableHandbook[],N$2,FALSE),"")</f>
        <v/>
      </c>
      <c r="O24" s="268" t="str">
        <f>IFERROR(VLOOKUP($A24,TableHandbook[],O$2,FALSE),"")</f>
        <v/>
      </c>
      <c r="P24" s="29"/>
      <c r="Q24" s="269">
        <v>10</v>
      </c>
      <c r="R24" s="270"/>
      <c r="S24" s="270"/>
      <c r="T24" s="271"/>
      <c r="U24" s="271"/>
      <c r="V24" s="271"/>
      <c r="W24" s="271"/>
      <c r="X24" s="271"/>
      <c r="Y24" s="271"/>
      <c r="Z24" s="271"/>
      <c r="AA24" s="19"/>
    </row>
    <row r="25" spans="1:27" s="20" customFormat="1" ht="21" customHeight="1" x14ac:dyDescent="0.15">
      <c r="A25" s="263" t="str">
        <f>IFERROR(IF(HLOOKUP($P$6,RangeUnitsetsSec,Q25,FALSE)=0,"",HLOOKUP($P$6,RangeUnitsetsSec,Q25,FALSE)),"")</f>
        <v/>
      </c>
      <c r="B25" s="278" t="str">
        <f>IFERROR(IF(VLOOKUP($A25,TableHandbook[],2,FALSE)=0,"",VLOOKUP($A25,TableHandbook[],2,FALSE)),"")</f>
        <v/>
      </c>
      <c r="C25" s="278" t="str">
        <f>IFERROR(IF(VLOOKUP($A25,TableHandbook[],3,FALSE)=0,"",VLOOKUP($A25,TableHandbook[],3,FALSE)),"")</f>
        <v/>
      </c>
      <c r="D25" s="312" t="str">
        <f>IFERROR(IF(VLOOKUP($A25,TableHandbook[],4,FALSE)=0,"",VLOOKUP($A25,TableHandbook[],4,FALSE)),"")</f>
        <v/>
      </c>
      <c r="E25" s="278" t="str">
        <f>IF(A25="","",E24)</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11</v>
      </c>
      <c r="R25" s="270"/>
      <c r="S25" s="270"/>
      <c r="T25" s="271"/>
      <c r="U25" s="271"/>
      <c r="V25" s="271"/>
      <c r="W25" s="271"/>
      <c r="X25" s="271"/>
      <c r="Y25" s="271"/>
      <c r="Z25" s="271"/>
      <c r="AA25" s="19"/>
    </row>
    <row r="26" spans="1:27" s="20" customFormat="1" ht="6" customHeight="1" x14ac:dyDescent="0.15">
      <c r="A26" s="338"/>
      <c r="B26" s="339"/>
      <c r="C26" s="339"/>
      <c r="D26" s="340"/>
      <c r="E26" s="339"/>
      <c r="F26" s="341"/>
      <c r="G26" s="339"/>
      <c r="H26" s="342"/>
      <c r="I26" s="343"/>
      <c r="J26" s="342"/>
      <c r="K26" s="343"/>
      <c r="L26" s="342"/>
      <c r="M26" s="343"/>
      <c r="N26" s="342"/>
      <c r="O26" s="343"/>
      <c r="P26" s="21"/>
      <c r="Q26" s="269"/>
      <c r="R26" s="270"/>
      <c r="S26" s="270"/>
      <c r="T26" s="270"/>
      <c r="U26" s="271"/>
      <c r="V26" s="271"/>
      <c r="W26" s="271"/>
      <c r="X26" s="271"/>
      <c r="Y26" s="271"/>
      <c r="Z26" s="271"/>
      <c r="AA26" s="19"/>
    </row>
    <row r="27" spans="1:27" s="20" customFormat="1" ht="21" customHeight="1" x14ac:dyDescent="0.15">
      <c r="A27" s="263" t="str">
        <f>IFERROR(IF(HLOOKUP($P$6,RangeUnitsetsSec,Q27,FALSE)=0,"",HLOOKUP($P$6,RangeUnitsetsSec,Q27,FALSE)),"")</f>
        <v/>
      </c>
      <c r="B27" s="278" t="str">
        <f>IFERROR(IF(VLOOKUP($A27,TableHandbook[],2,FALSE)=0,"",VLOOKUP($A27,TableHandbook[],2,FALSE)),"")</f>
        <v/>
      </c>
      <c r="C27" s="278" t="str">
        <f>IFERROR(IF(VLOOKUP($A27,TableHandbook[],3,FALSE)=0,"",VLOOKUP($A27,TableHandbook[],3,FALSE)),"")</f>
        <v/>
      </c>
      <c r="D27" s="312" t="str">
        <f>IFERROR(IF(VLOOKUP($A27,TableHandbook[],4,FALSE)=0,"",VLOOKUP($A27,TableHandbook[],4,FALSE)),"")</f>
        <v/>
      </c>
      <c r="E27" s="278" t="str">
        <f>IF(OR(A27="",A27="--"),"",VLOOKUP($D$9,TableStudyPeriods[],3,FALSE))</f>
        <v/>
      </c>
      <c r="F27" s="266" t="str">
        <f>IFERROR(IF(VLOOKUP($A27,TableHandbook[],6,FALSE)=0,"",VLOOKUP($A27,TableHandbook[],6,FALSE)),"")</f>
        <v/>
      </c>
      <c r="G27" s="264" t="str">
        <f>IFERROR(IF(VLOOKUP($A27,TableHandbook[],5,FALSE)=0,"",VLOOKUP($A27,TableHandbook[],5,FALSE)),"")</f>
        <v/>
      </c>
      <c r="H27" s="267" t="str">
        <f>IFERROR(VLOOKUP($A27,TableHandbook[],H$2,FALSE),"")</f>
        <v/>
      </c>
      <c r="I27" s="268" t="str">
        <f>IFERROR(VLOOKUP($A27,TableHandbook[],I$2,FALSE),"")</f>
        <v/>
      </c>
      <c r="J27" s="267" t="str">
        <f>IFERROR(VLOOKUP($A27,TableHandbook[],J$2,FALSE),"")</f>
        <v/>
      </c>
      <c r="K27" s="268" t="str">
        <f>IFERROR(VLOOKUP($A27,TableHandbook[],K$2,FALSE),"")</f>
        <v/>
      </c>
      <c r="L27" s="267" t="str">
        <f>IFERROR(VLOOKUP($A27,TableHandbook[],L$2,FALSE),"")</f>
        <v/>
      </c>
      <c r="M27" s="268" t="str">
        <f>IFERROR(VLOOKUP($A27,TableHandbook[],M$2,FALSE),"")</f>
        <v/>
      </c>
      <c r="N27" s="267" t="str">
        <f>IFERROR(VLOOKUP($A27,TableHandbook[],N$2,FALSE),"")</f>
        <v/>
      </c>
      <c r="O27" s="268" t="str">
        <f>IFERROR(VLOOKUP($A27,TableHandbook[],O$2,FALSE),"")</f>
        <v/>
      </c>
      <c r="P27" s="29"/>
      <c r="Q27" s="269">
        <v>12</v>
      </c>
      <c r="R27" s="270"/>
      <c r="S27" s="270"/>
      <c r="T27" s="271"/>
      <c r="U27" s="271"/>
      <c r="V27" s="271"/>
      <c r="W27" s="271"/>
      <c r="X27" s="271"/>
      <c r="Y27" s="271"/>
      <c r="Z27" s="271"/>
      <c r="AA27" s="19"/>
    </row>
    <row r="28" spans="1:27" s="20" customFormat="1" ht="21" customHeight="1" x14ac:dyDescent="0.15">
      <c r="A28" s="263" t="str">
        <f>IFERROR(IF(HLOOKUP($P$6,RangeUnitsetsSec,Q28,FALSE)=0,"",HLOOKUP($P$6,RangeUnitsetsSec,Q28,FALSE)),"")</f>
        <v/>
      </c>
      <c r="B28" s="278" t="str">
        <f>IFERROR(IF(VLOOKUP($A28,TableHandbook[],2,FALSE)=0,"",VLOOKUP($A28,TableHandbook[],2,FALSE)),"")</f>
        <v/>
      </c>
      <c r="C28" s="278" t="str">
        <f>IFERROR(IF(VLOOKUP($A28,TableHandbook[],3,FALSE)=0,"",VLOOKUP($A28,TableHandbook[],3,FALSE)),"")</f>
        <v/>
      </c>
      <c r="D28" s="312" t="str">
        <f>IFERROR(IF(VLOOKUP($A28,TableHandbook[],4,FALSE)=0,"",VLOOKUP($A28,TableHandbook[],4,FALSE)),"")</f>
        <v/>
      </c>
      <c r="E28" s="278" t="str">
        <f>IF(A28="","",E27)</f>
        <v/>
      </c>
      <c r="F28" s="266" t="str">
        <f>IFERROR(IF(VLOOKUP($A28,TableHandbook[],6,FALSE)=0,"",VLOOKUP($A28,TableHandbook[],6,FALSE)),"")</f>
        <v/>
      </c>
      <c r="G28" s="264" t="str">
        <f>IFERROR(IF(VLOOKUP($A28,TableHandbook[],5,FALSE)=0,"",VLOOKUP($A28,TableHandbook[],5,FALSE)),"")</f>
        <v/>
      </c>
      <c r="H28" s="267" t="str">
        <f>IFERROR(VLOOKUP($A28,TableHandbook[],H$2,FALSE),"")</f>
        <v/>
      </c>
      <c r="I28" s="268" t="str">
        <f>IFERROR(VLOOKUP($A28,TableHandbook[],I$2,FALSE),"")</f>
        <v/>
      </c>
      <c r="J28" s="267" t="str">
        <f>IFERROR(VLOOKUP($A28,TableHandbook[],J$2,FALSE),"")</f>
        <v/>
      </c>
      <c r="K28" s="268" t="str">
        <f>IFERROR(VLOOKUP($A28,TableHandbook[],K$2,FALSE),"")</f>
        <v/>
      </c>
      <c r="L28" s="267" t="str">
        <f>IFERROR(VLOOKUP($A28,TableHandbook[],L$2,FALSE),"")</f>
        <v/>
      </c>
      <c r="M28" s="268" t="str">
        <f>IFERROR(VLOOKUP($A28,TableHandbook[],M$2,FALSE),"")</f>
        <v/>
      </c>
      <c r="N28" s="267" t="str">
        <f>IFERROR(VLOOKUP($A28,TableHandbook[],N$2,FALSE),"")</f>
        <v/>
      </c>
      <c r="O28" s="268" t="str">
        <f>IFERROR(VLOOKUP($A28,TableHandbook[],O$2,FALSE),"")</f>
        <v/>
      </c>
      <c r="P28" s="29"/>
      <c r="Q28" s="269">
        <v>13</v>
      </c>
      <c r="R28" s="270"/>
      <c r="S28" s="270"/>
      <c r="T28" s="271"/>
      <c r="U28" s="271"/>
      <c r="V28" s="271"/>
      <c r="W28" s="271"/>
      <c r="X28" s="271"/>
      <c r="Y28" s="271"/>
      <c r="Z28" s="271"/>
      <c r="AA28" s="19"/>
    </row>
    <row r="29" spans="1:27" s="20" customFormat="1" ht="6" customHeight="1" x14ac:dyDescent="0.15">
      <c r="A29" s="338"/>
      <c r="B29" s="339"/>
      <c r="C29" s="339"/>
      <c r="D29" s="340"/>
      <c r="E29" s="339"/>
      <c r="F29" s="341"/>
      <c r="G29" s="339"/>
      <c r="H29" s="342"/>
      <c r="I29" s="343"/>
      <c r="J29" s="342"/>
      <c r="K29" s="343"/>
      <c r="L29" s="342"/>
      <c r="M29" s="343"/>
      <c r="N29" s="342"/>
      <c r="O29" s="343"/>
      <c r="P29" s="21"/>
      <c r="Q29" s="269"/>
      <c r="R29" s="270"/>
      <c r="S29" s="270"/>
      <c r="T29" s="270"/>
      <c r="U29" s="271"/>
      <c r="V29" s="271"/>
      <c r="W29" s="271"/>
      <c r="X29" s="271"/>
      <c r="Y29" s="271"/>
      <c r="Z29" s="271"/>
      <c r="AA29" s="19"/>
    </row>
    <row r="30" spans="1:27" s="20" customFormat="1" ht="21" customHeight="1" x14ac:dyDescent="0.15">
      <c r="A30" s="263" t="str">
        <f>IFERROR(IF(HLOOKUP($P$6,RangeUnitsetsSec,Q30,FALSE)=0,"",HLOOKUP($P$6,RangeUnitsetsSec,Q30,FALSE)),"")</f>
        <v/>
      </c>
      <c r="B30" s="278" t="str">
        <f>IFERROR(IF(VLOOKUP($A30,TableHandbook[],2,FALSE)=0,"",VLOOKUP($A30,TableHandbook[],2,FALSE)),"")</f>
        <v/>
      </c>
      <c r="C30" s="278" t="str">
        <f>IFERROR(IF(VLOOKUP($A30,TableHandbook[],3,FALSE)=0,"",VLOOKUP($A30,TableHandbook[],3,FALSE)),"")</f>
        <v/>
      </c>
      <c r="D30" s="312" t="str">
        <f>IFERROR(IF(VLOOKUP($A30,TableHandbook[],4,FALSE)=0,"",VLOOKUP($A30,TableHandbook[],4,FALSE)),"")</f>
        <v/>
      </c>
      <c r="E30" s="278" t="str">
        <f>IF(OR(A30="",A30="--"),"",VLOOKUP($D$9,TableStudyPeriods[],4,FALSE))</f>
        <v/>
      </c>
      <c r="F30" s="266" t="str">
        <f>IFERROR(IF(VLOOKUP($A30,TableHandbook[],6,FALSE)=0,"",VLOOKUP($A30,TableHandbook[],6,FALSE)),"")</f>
        <v/>
      </c>
      <c r="G30" s="264" t="str">
        <f>IFERROR(IF(VLOOKUP($A30,TableHandbook[],5,FALSE)=0,"",VLOOKUP($A30,TableHandbook[],5,FALSE)),"")</f>
        <v/>
      </c>
      <c r="H30" s="279" t="str">
        <f>IFERROR(VLOOKUP($A30,TableHandbook[],H$2,FALSE),"")</f>
        <v/>
      </c>
      <c r="I30" s="280" t="str">
        <f>IFERROR(VLOOKUP($A30,TableHandbook[],I$2,FALSE),"")</f>
        <v/>
      </c>
      <c r="J30" s="279" t="str">
        <f>IFERROR(VLOOKUP($A30,TableHandbook[],J$2,FALSE),"")</f>
        <v/>
      </c>
      <c r="K30" s="280" t="str">
        <f>IFERROR(VLOOKUP($A30,TableHandbook[],K$2,FALSE),"")</f>
        <v/>
      </c>
      <c r="L30" s="279" t="str">
        <f>IFERROR(VLOOKUP($A30,TableHandbook[],L$2,FALSE),"")</f>
        <v/>
      </c>
      <c r="M30" s="280" t="str">
        <f>IFERROR(VLOOKUP($A30,TableHandbook[],M$2,FALSE),"")</f>
        <v/>
      </c>
      <c r="N30" s="279" t="str">
        <f>IFERROR(VLOOKUP($A30,TableHandbook[],N$2,FALSE),"")</f>
        <v/>
      </c>
      <c r="O30" s="280" t="str">
        <f>IFERROR(VLOOKUP($A30,TableHandbook[],O$2,FALSE),"")</f>
        <v/>
      </c>
      <c r="P30" s="29"/>
      <c r="Q30" s="269">
        <v>14</v>
      </c>
      <c r="R30" s="270"/>
      <c r="S30" s="270"/>
      <c r="T30" s="271"/>
      <c r="U30" s="271"/>
      <c r="V30" s="271"/>
      <c r="W30" s="271"/>
      <c r="X30" s="271"/>
      <c r="Y30" s="271"/>
      <c r="Z30" s="271"/>
      <c r="AA30" s="19"/>
    </row>
    <row r="31" spans="1:27" s="20" customFormat="1" ht="21" customHeight="1" x14ac:dyDescent="0.15">
      <c r="A31" s="263" t="str">
        <f>IFERROR(IF(HLOOKUP($P$6,RangeUnitsetsSec,Q31,FALSE)=0,"",HLOOKUP($P$6,RangeUnitsetsSec,Q31,FALSE)),"")</f>
        <v/>
      </c>
      <c r="B31" s="278" t="str">
        <f>IFERROR(IF(VLOOKUP($A31,TableHandbook[],2,FALSE)=0,"",VLOOKUP($A31,TableHandbook[],2,FALSE)),"")</f>
        <v/>
      </c>
      <c r="C31" s="278" t="str">
        <f>IFERROR(IF(VLOOKUP($A31,TableHandbook[],3,FALSE)=0,"",VLOOKUP($A31,TableHandbook[],3,FALSE)),"")</f>
        <v/>
      </c>
      <c r="D31" s="312" t="str">
        <f>IFERROR(IF(VLOOKUP($A31,TableHandbook[],4,FALSE)=0,"",VLOOKUP($A31,TableHandbook[],4,FALSE)),"")</f>
        <v/>
      </c>
      <c r="E31" s="278" t="str">
        <f>IF(A31="","",E30)</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15</v>
      </c>
      <c r="R31" s="270"/>
      <c r="S31" s="270"/>
      <c r="T31" s="271"/>
      <c r="U31" s="271"/>
      <c r="V31" s="271"/>
      <c r="W31" s="271"/>
      <c r="X31" s="271"/>
      <c r="Y31" s="271"/>
      <c r="Z31" s="271"/>
      <c r="AA31" s="19"/>
    </row>
    <row r="32" spans="1:27" s="23" customFormat="1" ht="6" customHeight="1" x14ac:dyDescent="0.15">
      <c r="A32" s="338"/>
      <c r="B32" s="339"/>
      <c r="C32" s="339"/>
      <c r="D32" s="340"/>
      <c r="E32" s="339"/>
      <c r="F32" s="341"/>
      <c r="G32" s="339"/>
      <c r="H32" s="342"/>
      <c r="I32" s="343"/>
      <c r="J32" s="342"/>
      <c r="K32" s="343"/>
      <c r="L32" s="342"/>
      <c r="M32" s="343"/>
      <c r="N32" s="342"/>
      <c r="O32" s="343"/>
      <c r="P32" s="21"/>
      <c r="Q32" s="269"/>
      <c r="R32" s="281"/>
      <c r="S32" s="281"/>
      <c r="T32" s="282"/>
      <c r="U32" s="282"/>
      <c r="V32" s="282"/>
      <c r="W32" s="282"/>
      <c r="X32" s="282"/>
      <c r="Y32" s="282"/>
      <c r="Z32" s="282"/>
      <c r="AA32" s="22"/>
    </row>
    <row r="33" spans="1:27" s="23" customFormat="1" ht="21" customHeight="1" x14ac:dyDescent="0.15">
      <c r="A33" s="263" t="str">
        <f>IFERROR(IF(HLOOKUP($P$6,RangeUnitsetsSec,Q33,FALSE)=0,"",HLOOKUP($P$6,RangeUnitsetsSec,Q33,FALSE)),"")</f>
        <v/>
      </c>
      <c r="B33" s="278" t="str">
        <f>IFERROR(IF(VLOOKUP($A33,TableHandbook[],2,FALSE)=0,"",VLOOKUP($A33,TableHandbook[],2,FALSE)),"")</f>
        <v/>
      </c>
      <c r="C33" s="278" t="str">
        <f>IFERROR(IF(VLOOKUP($A33,TableHandbook[],3,FALSE)=0,"",VLOOKUP($A33,TableHandbook[],3,FALSE)),"")</f>
        <v/>
      </c>
      <c r="D33" s="312" t="str">
        <f>IFERROR(IF(VLOOKUP($A33,TableHandbook[],4,FALSE)=0,"",VLOOKUP($A33,TableHandbook[],4,FALSE)),"")</f>
        <v/>
      </c>
      <c r="E33" s="278" t="str">
        <f>IF(OR(A33="",A33="--"),"",VLOOKUP($D$9,TableStudyPeriods[],5,FALSE))</f>
        <v/>
      </c>
      <c r="F33" s="266" t="str">
        <f>IFERROR(IF(VLOOKUP($A33,TableHandbook[],6,FALSE)=0,"",VLOOKUP($A33,TableHandbook[],6,FALSE)),"")</f>
        <v/>
      </c>
      <c r="G33" s="264" t="str">
        <f>IFERROR(IF(VLOOKUP($A33,TableHandbook[],5,FALSE)=0,"",VLOOKUP($A33,TableHandbook[],5,FALSE)),"")</f>
        <v/>
      </c>
      <c r="H33" s="279" t="str">
        <f>IFERROR(VLOOKUP($A33,TableHandbook[],H$2,FALSE),"")</f>
        <v/>
      </c>
      <c r="I33" s="280" t="str">
        <f>IFERROR(VLOOKUP($A33,TableHandbook[],I$2,FALSE),"")</f>
        <v/>
      </c>
      <c r="J33" s="279" t="str">
        <f>IFERROR(VLOOKUP($A33,TableHandbook[],J$2,FALSE),"")</f>
        <v/>
      </c>
      <c r="K33" s="280" t="str">
        <f>IFERROR(VLOOKUP($A33,TableHandbook[],K$2,FALSE),"")</f>
        <v/>
      </c>
      <c r="L33" s="279" t="str">
        <f>IFERROR(VLOOKUP($A33,TableHandbook[],L$2,FALSE),"")</f>
        <v/>
      </c>
      <c r="M33" s="280" t="str">
        <f>IFERROR(VLOOKUP($A33,TableHandbook[],M$2,FALSE),"")</f>
        <v/>
      </c>
      <c r="N33" s="279" t="str">
        <f>IFERROR(VLOOKUP($A33,TableHandbook[],N$2,FALSE),"")</f>
        <v/>
      </c>
      <c r="O33" s="280" t="str">
        <f>IFERROR(VLOOKUP($A33,TableHandbook[],O$2,FALSE),"")</f>
        <v/>
      </c>
      <c r="P33" s="29"/>
      <c r="Q33" s="269">
        <v>16</v>
      </c>
      <c r="R33" s="281"/>
      <c r="S33" s="281"/>
      <c r="T33" s="282"/>
      <c r="U33" s="282"/>
      <c r="V33" s="282"/>
      <c r="W33" s="282"/>
      <c r="X33" s="282"/>
      <c r="Y33" s="282"/>
      <c r="Z33" s="282"/>
      <c r="AA33" s="22"/>
    </row>
    <row r="34" spans="1:27" s="23" customFormat="1" ht="21" customHeight="1" x14ac:dyDescent="0.15">
      <c r="A34" s="263" t="str">
        <f>IFERROR(IF(HLOOKUP($P$6,RangeUnitsetsSec,Q34,FALSE)=0,"",HLOOKUP($P$6,RangeUnitsetsSec,Q34,FALSE)),"")</f>
        <v/>
      </c>
      <c r="B34" s="278" t="str">
        <f>IFERROR(IF(VLOOKUP($A34,TableHandbook[],2,FALSE)=0,"",VLOOKUP($A34,TableHandbook[],2,FALSE)),"")</f>
        <v/>
      </c>
      <c r="C34" s="278" t="str">
        <f>IFERROR(IF(VLOOKUP($A34,TableHandbook[],3,FALSE)=0,"",VLOOKUP($A34,TableHandbook[],3,FALSE)),"")</f>
        <v/>
      </c>
      <c r="D34" s="312" t="str">
        <f>IFERROR(IF(VLOOKUP($A34,TableHandbook[],4,FALSE)=0,"",VLOOKUP($A34,TableHandbook[],4,FALSE)),"")</f>
        <v/>
      </c>
      <c r="E34" s="264" t="str">
        <f>IF(A34="","",E33)</f>
        <v/>
      </c>
      <c r="F34" s="266" t="str">
        <f>IFERROR(IF(VLOOKUP($A34,TableHandbook[],6,FALSE)=0,"",VLOOKUP($A34,TableHandbook[],6,FALSE)),"")</f>
        <v/>
      </c>
      <c r="G34" s="264" t="str">
        <f>IFERROR(IF(VLOOKUP($A34,TableHandbook[],5,FALSE)=0,"",VLOOKUP($A34,TableHandbook[],5,FALSE)),"")</f>
        <v/>
      </c>
      <c r="H34" s="279" t="str">
        <f>IFERROR(VLOOKUP($A34,TableHandbook[],H$2,FALSE),"")</f>
        <v/>
      </c>
      <c r="I34" s="280" t="str">
        <f>IFERROR(VLOOKUP($A34,TableHandbook[],I$2,FALSE),"")</f>
        <v/>
      </c>
      <c r="J34" s="279" t="str">
        <f>IFERROR(VLOOKUP($A34,TableHandbook[],J$2,FALSE),"")</f>
        <v/>
      </c>
      <c r="K34" s="280" t="str">
        <f>IFERROR(VLOOKUP($A34,TableHandbook[],K$2,FALSE),"")</f>
        <v/>
      </c>
      <c r="L34" s="279" t="str">
        <f>IFERROR(VLOOKUP($A34,TableHandbook[],L$2,FALSE),"")</f>
        <v/>
      </c>
      <c r="M34" s="280" t="str">
        <f>IFERROR(VLOOKUP($A34,TableHandbook[],M$2,FALSE),"")</f>
        <v/>
      </c>
      <c r="N34" s="279" t="str">
        <f>IFERROR(VLOOKUP($A34,TableHandbook[],N$2,FALSE),"")</f>
        <v/>
      </c>
      <c r="O34" s="280" t="str">
        <f>IFERROR(VLOOKUP($A34,TableHandbook[],O$2,FALSE),"")</f>
        <v/>
      </c>
      <c r="P34" s="29"/>
      <c r="Q34" s="269">
        <v>17</v>
      </c>
      <c r="R34" s="281"/>
      <c r="S34" s="281"/>
      <c r="T34" s="282"/>
      <c r="U34" s="282"/>
      <c r="V34" s="282"/>
      <c r="W34" s="282"/>
      <c r="X34" s="282"/>
      <c r="Y34" s="282"/>
      <c r="Z34" s="282"/>
      <c r="AA34" s="22"/>
    </row>
    <row r="35" spans="1:27" ht="16.5" customHeight="1" x14ac:dyDescent="0.25">
      <c r="A35" s="287"/>
      <c r="B35" s="287"/>
      <c r="C35" s="287"/>
      <c r="D35" s="288"/>
      <c r="E35" s="288"/>
      <c r="F35" s="289"/>
      <c r="G35" s="289"/>
      <c r="H35" s="289"/>
      <c r="I35" s="289"/>
      <c r="J35" s="289"/>
      <c r="K35" s="289"/>
      <c r="L35" s="289"/>
      <c r="M35" s="289"/>
      <c r="N35" s="289"/>
      <c r="O35" s="289"/>
      <c r="P35" s="289"/>
      <c r="Q35" s="297"/>
      <c r="R35" s="231"/>
      <c r="S35" s="231"/>
      <c r="T35" s="231"/>
      <c r="U35" s="231"/>
      <c r="V35" s="231"/>
      <c r="W35" s="231"/>
      <c r="X35" s="231"/>
      <c r="Y35" s="231"/>
      <c r="Z35" s="231"/>
      <c r="AA35" s="16"/>
    </row>
    <row r="36" spans="1:27" s="27" customFormat="1" ht="25.5" x14ac:dyDescent="0.25">
      <c r="A36" s="313" t="s">
        <v>230</v>
      </c>
      <c r="B36" s="314"/>
      <c r="C36" s="314"/>
      <c r="D36" s="315"/>
      <c r="E36" s="316"/>
      <c r="F36" s="316"/>
      <c r="G36" s="316"/>
      <c r="H36" s="317" t="s">
        <v>19</v>
      </c>
      <c r="I36" s="318"/>
      <c r="J36" s="318"/>
      <c r="K36" s="318"/>
      <c r="L36" s="318"/>
      <c r="M36" s="318"/>
      <c r="N36" s="319"/>
      <c r="O36" s="320"/>
      <c r="P36" s="321"/>
      <c r="Q36" s="297"/>
      <c r="R36" s="334"/>
      <c r="S36" s="334"/>
      <c r="T36" s="334"/>
      <c r="U36" s="334"/>
      <c r="V36" s="334"/>
      <c r="W36" s="334"/>
      <c r="X36" s="334"/>
      <c r="Y36" s="334"/>
      <c r="Z36" s="334"/>
      <c r="AA36" s="26"/>
    </row>
    <row r="37" spans="1:27" ht="21" customHeight="1" x14ac:dyDescent="0.25">
      <c r="A37" s="252"/>
      <c r="B37" s="252"/>
      <c r="C37" s="252"/>
      <c r="D37" s="253" t="s">
        <v>3</v>
      </c>
      <c r="E37" s="260" t="s">
        <v>21</v>
      </c>
      <c r="F37" s="252" t="s">
        <v>43</v>
      </c>
      <c r="G37" s="252" t="s">
        <v>23</v>
      </c>
      <c r="H37" s="261" t="s">
        <v>24</v>
      </c>
      <c r="I37" s="262" t="s">
        <v>25</v>
      </c>
      <c r="J37" s="261" t="s">
        <v>26</v>
      </c>
      <c r="K37" s="262" t="s">
        <v>27</v>
      </c>
      <c r="L37" s="261" t="s">
        <v>28</v>
      </c>
      <c r="M37" s="262" t="s">
        <v>29</v>
      </c>
      <c r="N37" s="261" t="s">
        <v>30</v>
      </c>
      <c r="O37" s="262" t="s">
        <v>31</v>
      </c>
      <c r="P37" s="252" t="s">
        <v>32</v>
      </c>
      <c r="Q37" s="269"/>
      <c r="R37" s="231"/>
      <c r="S37" s="231"/>
      <c r="T37" s="231"/>
      <c r="U37" s="231"/>
      <c r="V37" s="231"/>
      <c r="W37" s="231"/>
      <c r="X37" s="231"/>
      <c r="Y37" s="231"/>
      <c r="Z37" s="231"/>
      <c r="AA37" s="16"/>
    </row>
    <row r="38" spans="1:27" ht="21" customHeight="1" x14ac:dyDescent="0.25">
      <c r="A38" s="344" t="str">
        <f>IFERROR(IF(HLOOKUP($P$7,RangeTeachingAreas,Q38,FALSE)=0,"",HLOOKUP($P$7,RangeTeachingAreas,Q38,FALSE)),"")</f>
        <v/>
      </c>
      <c r="B38" s="345" t="str">
        <f>IFERROR(IF(VLOOKUP($A38,TableHandbook[],2,FALSE)=0,"",VLOOKUP($A38,TableHandbook[],2,FALSE)),"")</f>
        <v/>
      </c>
      <c r="C38" s="346" t="str">
        <f>IFERROR(IF(VLOOKUP($A38,TableHandbook[],3,FALSE)=0,"",VLOOKUP($A38,TableHandbook[],3,FALSE)),"")</f>
        <v/>
      </c>
      <c r="D38" s="346" t="str">
        <f>IFERROR(IF(VLOOKUP($A38,TableHandbook[],4,FALSE)=0,"",VLOOKUP($A38,TableHandbook[],4,FALSE)),"")</f>
        <v/>
      </c>
      <c r="E38" s="347"/>
      <c r="F38" s="348" t="str">
        <f>IFERROR(IF(VLOOKUP($A38,TableHandbook[],6,FALSE)=0,"",VLOOKUP($A38,TableHandbook[],6,FALSE)),"")</f>
        <v/>
      </c>
      <c r="G38" s="348" t="str">
        <f>IFERROR(IF(VLOOKUP($A38,TableHandbook[],5,FALSE)=0,"",VLOOKUP($A38,TableHandbook[],5,FALSE)),"")</f>
        <v/>
      </c>
      <c r="H38" s="349" t="str">
        <f>IFERROR(VLOOKUP($A38,TableHandbook[],H$2,FALSE),"")</f>
        <v/>
      </c>
      <c r="I38" s="350" t="str">
        <f>IFERROR(VLOOKUP($A38,TableHandbook[],I$2,FALSE),"")</f>
        <v/>
      </c>
      <c r="J38" s="351" t="str">
        <f>IFERROR(VLOOKUP($A38,TableHandbook[],J$2,FALSE),"")</f>
        <v/>
      </c>
      <c r="K38" s="350" t="str">
        <f>IFERROR(VLOOKUP($A38,TableHandbook[],K$2,FALSE),"")</f>
        <v/>
      </c>
      <c r="L38" s="351" t="str">
        <f>IFERROR(VLOOKUP($A38,TableHandbook[],L$2,FALSE),"")</f>
        <v/>
      </c>
      <c r="M38" s="350" t="str">
        <f>IFERROR(VLOOKUP($A38,TableHandbook[],M$2,FALSE),"")</f>
        <v/>
      </c>
      <c r="N38" s="351" t="str">
        <f>IFERROR(VLOOKUP($A38,TableHandbook[],N$2,FALSE),"")</f>
        <v/>
      </c>
      <c r="O38" s="350" t="str">
        <f>IFERROR(VLOOKUP($A38,TableHandbook[],O$2,FALSE),"")</f>
        <v/>
      </c>
      <c r="P38" s="363"/>
      <c r="Q38" s="352">
        <v>2</v>
      </c>
      <c r="R38" s="231"/>
      <c r="S38" s="231"/>
      <c r="T38" s="231"/>
      <c r="U38" s="231"/>
      <c r="V38" s="231"/>
      <c r="W38" s="231"/>
      <c r="X38" s="231"/>
      <c r="Y38" s="231"/>
      <c r="Z38" s="231"/>
      <c r="AA38" s="16"/>
    </row>
    <row r="39" spans="1:27" ht="21" customHeight="1" x14ac:dyDescent="0.25">
      <c r="A39" s="322" t="str">
        <f>IFERROR(IF(HLOOKUP($P$7,RangeTeachingAreas,Q39,FALSE)=0,"",HLOOKUP($P$7,RangeTeachingAreas,Q39,FALSE)),"")</f>
        <v/>
      </c>
      <c r="B39" s="323" t="str">
        <f>IFERROR(IF(VLOOKUP($A39,TableHandbook[],2,FALSE)=0,"",VLOOKUP($A39,TableHandbook[],2,FALSE)),"")</f>
        <v/>
      </c>
      <c r="C39" s="324" t="str">
        <f>IFERROR(IF(VLOOKUP($A39,TableHandbook[],3,FALSE)=0,"",VLOOKUP($A39,TableHandbook[],3,FALSE)),"")</f>
        <v/>
      </c>
      <c r="D39" s="324" t="str">
        <f>IFERROR(IF(VLOOKUP($A39,TableHandbook[],4,FALSE)=0,"",VLOOKUP($A39,TableHandbook[],4,FALSE)),"")</f>
        <v/>
      </c>
      <c r="E39" s="325"/>
      <c r="F39" s="326" t="str">
        <f>IFERROR(IF(VLOOKUP($A39,TableHandbook[],6,FALSE)=0,"",VLOOKUP($A39,TableHandbook[],6,FALSE)),"")</f>
        <v/>
      </c>
      <c r="G39" s="326" t="str">
        <f>IFERROR(IF(VLOOKUP($A39,TableHandbook[],5,FALSE)=0,"",VLOOKUP($A39,TableHandbook[],5,FALSE)),"")</f>
        <v/>
      </c>
      <c r="H39" s="267" t="str">
        <f>IFERROR(VLOOKUP($A39,TableHandbook[],H$2,FALSE),"")</f>
        <v/>
      </c>
      <c r="I39" s="268" t="str">
        <f>IFERROR(VLOOKUP($A39,TableHandbook[],I$2,FALSE),"")</f>
        <v/>
      </c>
      <c r="J39" s="264" t="str">
        <f>IFERROR(VLOOKUP($A39,TableHandbook[],J$2,FALSE),"")</f>
        <v/>
      </c>
      <c r="K39" s="268" t="str">
        <f>IFERROR(VLOOKUP($A39,TableHandbook[],K$2,FALSE),"")</f>
        <v/>
      </c>
      <c r="L39" s="264" t="str">
        <f>IFERROR(VLOOKUP($A39,TableHandbook[],L$2,FALSE),"")</f>
        <v/>
      </c>
      <c r="M39" s="268" t="str">
        <f>IFERROR(VLOOKUP($A39,TableHandbook[],M$2,FALSE),"")</f>
        <v/>
      </c>
      <c r="N39" s="264" t="str">
        <f>IFERROR(VLOOKUP($A39,TableHandbook[],N$2,FALSE),"")</f>
        <v/>
      </c>
      <c r="O39" s="268" t="str">
        <f>IFERROR(VLOOKUP($A39,TableHandbook[],O$2,FALSE),"")</f>
        <v/>
      </c>
      <c r="P39" s="31"/>
      <c r="Q39" s="269">
        <v>3</v>
      </c>
      <c r="R39" s="231"/>
      <c r="S39" s="231"/>
      <c r="T39" s="231"/>
      <c r="U39" s="231"/>
      <c r="V39" s="231"/>
      <c r="W39" s="231"/>
      <c r="X39" s="231"/>
      <c r="Y39" s="231"/>
      <c r="Z39" s="231"/>
      <c r="AA39" s="16"/>
    </row>
    <row r="40" spans="1:27" ht="21" customHeight="1" x14ac:dyDescent="0.25">
      <c r="A40" s="322" t="str">
        <f>IFERROR(IF(HLOOKUP($P$7,RangeTeachingAreas,Q40,FALSE)=0,"",HLOOKUP($P$7,RangeTeachingAreas,Q40,FALSE)),"")</f>
        <v/>
      </c>
      <c r="B40" s="323" t="str">
        <f>IFERROR(IF(VLOOKUP($A40,TableHandbook[],2,FALSE)=0,"",VLOOKUP($A40,TableHandbook[],2,FALSE)),"")</f>
        <v/>
      </c>
      <c r="C40" s="324" t="str">
        <f>IFERROR(IF(VLOOKUP($A40,TableHandbook[],3,FALSE)=0,"",VLOOKUP($A40,TableHandbook[],3,FALSE)),"")</f>
        <v/>
      </c>
      <c r="D40" s="324" t="str">
        <f>IFERROR(IF(VLOOKUP($A40,TableHandbook[],4,FALSE)=0,"",VLOOKUP($A40,TableHandbook[],4,FALSE)),"")</f>
        <v/>
      </c>
      <c r="E40" s="325"/>
      <c r="F40" s="326" t="str">
        <f>IFERROR(IF(VLOOKUP($A40,TableHandbook[],6,FALSE)=0,"",VLOOKUP($A40,TableHandbook[],6,FALSE)),"")</f>
        <v/>
      </c>
      <c r="G40" s="326" t="str">
        <f>IFERROR(IF(VLOOKUP($A40,TableHandbook[],5,FALSE)=0,"",VLOOKUP($A40,TableHandbook[],5,FALSE)),"")</f>
        <v/>
      </c>
      <c r="H40" s="267" t="str">
        <f>IFERROR(VLOOKUP($A40,TableHandbook[],H$2,FALSE),"")</f>
        <v/>
      </c>
      <c r="I40" s="268" t="str">
        <f>IFERROR(VLOOKUP($A40,TableHandbook[],I$2,FALSE),"")</f>
        <v/>
      </c>
      <c r="J40" s="264" t="str">
        <f>IFERROR(VLOOKUP($A40,TableHandbook[],J$2,FALSE),"")</f>
        <v/>
      </c>
      <c r="K40" s="268" t="str">
        <f>IFERROR(VLOOKUP($A40,TableHandbook[],K$2,FALSE),"")</f>
        <v/>
      </c>
      <c r="L40" s="264" t="str">
        <f>IFERROR(VLOOKUP($A40,TableHandbook[],L$2,FALSE),"")</f>
        <v/>
      </c>
      <c r="M40" s="268" t="str">
        <f>IFERROR(VLOOKUP($A40,TableHandbook[],M$2,FALSE),"")</f>
        <v/>
      </c>
      <c r="N40" s="264" t="str">
        <f>IFERROR(VLOOKUP($A40,TableHandbook[],N$2,FALSE),"")</f>
        <v/>
      </c>
      <c r="O40" s="268" t="str">
        <f>IFERROR(VLOOKUP($A40,TableHandbook[],O$2,FALSE),"")</f>
        <v/>
      </c>
      <c r="P40" s="31"/>
      <c r="Q40" s="269">
        <v>4</v>
      </c>
      <c r="R40" s="231"/>
      <c r="S40" s="231"/>
      <c r="T40" s="231"/>
      <c r="U40" s="231"/>
      <c r="V40" s="231"/>
      <c r="W40" s="231"/>
      <c r="X40" s="231"/>
      <c r="Y40" s="231"/>
      <c r="Z40" s="231"/>
      <c r="AA40" s="16"/>
    </row>
    <row r="41" spans="1:27" ht="21" customHeight="1" x14ac:dyDescent="0.25">
      <c r="A41" s="322"/>
      <c r="B41" s="323"/>
      <c r="C41" s="324"/>
      <c r="D41" s="324"/>
      <c r="E41" s="325"/>
      <c r="F41" s="326"/>
      <c r="G41" s="326"/>
      <c r="H41" s="267"/>
      <c r="I41" s="268"/>
      <c r="J41" s="264"/>
      <c r="K41" s="268"/>
      <c r="L41" s="264"/>
      <c r="M41" s="268"/>
      <c r="N41" s="264"/>
      <c r="O41" s="268"/>
      <c r="P41" s="31"/>
      <c r="Q41" s="269"/>
      <c r="R41" s="231"/>
      <c r="S41" s="231"/>
      <c r="T41" s="231"/>
      <c r="U41" s="231"/>
      <c r="V41" s="231"/>
      <c r="W41" s="231"/>
      <c r="X41" s="231"/>
      <c r="Y41" s="231"/>
      <c r="Z41" s="231"/>
      <c r="AA41" s="16"/>
    </row>
    <row r="42" spans="1:27" ht="21" customHeight="1" x14ac:dyDescent="0.25">
      <c r="A42" s="353" t="str">
        <f>IFERROR(IF(HLOOKUP($P$8,RangeTeachingAreas,Q42,FALSE)=0,"",HLOOKUP($P$8,RangeTeachingAreas,Q42,FALSE)),"")</f>
        <v/>
      </c>
      <c r="B42" s="354" t="str">
        <f>IFERROR(IF(VLOOKUP($A42,TableHandbook[],2,FALSE)=0,"",VLOOKUP($A42,TableHandbook[],2,FALSE)),"")</f>
        <v/>
      </c>
      <c r="C42" s="355" t="str">
        <f>IFERROR(IF(VLOOKUP($A42,TableHandbook[],3,FALSE)=0,"",VLOOKUP($A42,TableHandbook[],3,FALSE)),"")</f>
        <v/>
      </c>
      <c r="D42" s="355" t="str">
        <f>IFERROR(IF(VLOOKUP($A42,TableHandbook[],4,FALSE)=0,"",VLOOKUP($A42,TableHandbook[],4,FALSE)),"")</f>
        <v/>
      </c>
      <c r="E42" s="356"/>
      <c r="F42" s="357" t="str">
        <f>IFERROR(IF(VLOOKUP($A42,TableHandbook[],6,FALSE)=0,"",VLOOKUP($A42,TableHandbook[],6,FALSE)),"")</f>
        <v/>
      </c>
      <c r="G42" s="357" t="str">
        <f>IFERROR(IF(VLOOKUP($A42,TableHandbook[],5,FALSE)=0,"",VLOOKUP($A42,TableHandbook[],5,FALSE)),"")</f>
        <v/>
      </c>
      <c r="H42" s="358" t="str">
        <f>IFERROR(VLOOKUP($A42,TableHandbook[],H$2,FALSE),"")</f>
        <v/>
      </c>
      <c r="I42" s="359" t="str">
        <f>IFERROR(VLOOKUP($A42,TableHandbook[],I$2,FALSE),"")</f>
        <v/>
      </c>
      <c r="J42" s="360" t="str">
        <f>IFERROR(VLOOKUP($A42,TableHandbook[],J$2,FALSE),"")</f>
        <v/>
      </c>
      <c r="K42" s="359" t="str">
        <f>IFERROR(VLOOKUP($A42,TableHandbook[],K$2,FALSE),"")</f>
        <v/>
      </c>
      <c r="L42" s="360" t="str">
        <f>IFERROR(VLOOKUP($A42,TableHandbook[],L$2,FALSE),"")</f>
        <v/>
      </c>
      <c r="M42" s="359" t="str">
        <f>IFERROR(VLOOKUP($A42,TableHandbook[],M$2,FALSE),"")</f>
        <v/>
      </c>
      <c r="N42" s="360" t="str">
        <f>IFERROR(VLOOKUP($A42,TableHandbook[],N$2,FALSE),"")</f>
        <v/>
      </c>
      <c r="O42" s="359" t="str">
        <f>IFERROR(VLOOKUP($A42,TableHandbook[],O$2,FALSE),"")</f>
        <v/>
      </c>
      <c r="P42" s="364"/>
      <c r="Q42" s="361">
        <v>5</v>
      </c>
      <c r="R42" s="231"/>
      <c r="S42" s="231"/>
      <c r="T42" s="231"/>
      <c r="U42" s="231"/>
      <c r="V42" s="231"/>
      <c r="W42" s="231"/>
      <c r="X42" s="231"/>
      <c r="Y42" s="231"/>
      <c r="Z42" s="231"/>
      <c r="AA42" s="16"/>
    </row>
    <row r="43" spans="1:27" ht="21" customHeight="1" x14ac:dyDescent="0.25">
      <c r="A43" s="322" t="str">
        <f>IFERROR(IF(HLOOKUP($P$8,RangeTeachingAreas,Q43,FALSE)=0,"",HLOOKUP($P$8,RangeTeachingAreas,Q43,FALSE)),"")</f>
        <v/>
      </c>
      <c r="B43" s="323" t="str">
        <f>IFERROR(IF(VLOOKUP($A43,TableHandbook[],2,FALSE)=0,"",VLOOKUP($A43,TableHandbook[],2,FALSE)),"")</f>
        <v/>
      </c>
      <c r="C43" s="324" t="str">
        <f>IFERROR(IF(VLOOKUP($A43,TableHandbook[],3,FALSE)=0,"",VLOOKUP($A43,TableHandbook[],3,FALSE)),"")</f>
        <v/>
      </c>
      <c r="D43" s="324" t="str">
        <f>IFERROR(IF(VLOOKUP($A43,TableHandbook[],4,FALSE)=0,"",VLOOKUP($A43,TableHandbook[],4,FALSE)),"")</f>
        <v/>
      </c>
      <c r="E43" s="325"/>
      <c r="F43" s="326" t="str">
        <f>IFERROR(IF(VLOOKUP($A43,TableHandbook[],6,FALSE)=0,"",VLOOKUP($A43,TableHandbook[],6,FALSE)),"")</f>
        <v/>
      </c>
      <c r="G43" s="326" t="str">
        <f>IFERROR(IF(VLOOKUP($A43,TableHandbook[],5,FALSE)=0,"",VLOOKUP($A43,TableHandbook[],5,FALSE)),"")</f>
        <v/>
      </c>
      <c r="H43" s="267" t="str">
        <f>IFERROR(VLOOKUP($A43,TableHandbook[],H$2,FALSE),"")</f>
        <v/>
      </c>
      <c r="I43" s="268" t="str">
        <f>IFERROR(VLOOKUP($A43,TableHandbook[],I$2,FALSE),"")</f>
        <v/>
      </c>
      <c r="J43" s="264" t="str">
        <f>IFERROR(VLOOKUP($A43,TableHandbook[],J$2,FALSE),"")</f>
        <v/>
      </c>
      <c r="K43" s="268" t="str">
        <f>IFERROR(VLOOKUP($A43,TableHandbook[],K$2,FALSE),"")</f>
        <v/>
      </c>
      <c r="L43" s="264" t="str">
        <f>IFERROR(VLOOKUP($A43,TableHandbook[],L$2,FALSE),"")</f>
        <v/>
      </c>
      <c r="M43" s="268" t="str">
        <f>IFERROR(VLOOKUP($A43,TableHandbook[],M$2,FALSE),"")</f>
        <v/>
      </c>
      <c r="N43" s="264" t="str">
        <f>IFERROR(VLOOKUP($A43,TableHandbook[],N$2,FALSE),"")</f>
        <v/>
      </c>
      <c r="O43" s="268" t="str">
        <f>IFERROR(VLOOKUP($A43,TableHandbook[],O$2,FALSE),"")</f>
        <v/>
      </c>
      <c r="P43" s="31"/>
      <c r="Q43" s="269">
        <v>6</v>
      </c>
      <c r="R43" s="231"/>
      <c r="S43" s="231"/>
      <c r="T43" s="231"/>
      <c r="U43" s="231"/>
      <c r="V43" s="231"/>
      <c r="W43" s="231"/>
      <c r="X43" s="231"/>
      <c r="Y43" s="231"/>
      <c r="Z43" s="231"/>
      <c r="AA43" s="16"/>
    </row>
    <row r="44" spans="1:27" ht="21" customHeight="1" x14ac:dyDescent="0.25">
      <c r="A44" s="322" t="str">
        <f>IFERROR(IF(HLOOKUP($P$8,RangeTeachingAreas,Q44,FALSE)=0,"",HLOOKUP($P$8,RangeTeachingAreas,Q44,FALSE)),"")</f>
        <v/>
      </c>
      <c r="B44" s="323" t="str">
        <f>IFERROR(IF(VLOOKUP($A44,TableHandbook[],2,FALSE)=0,"",VLOOKUP($A44,TableHandbook[],2,FALSE)),"")</f>
        <v/>
      </c>
      <c r="C44" s="324" t="str">
        <f>IFERROR(IF(VLOOKUP($A44,TableHandbook[],3,FALSE)=0,"",VLOOKUP($A44,TableHandbook[],3,FALSE)),"")</f>
        <v/>
      </c>
      <c r="D44" s="324" t="str">
        <f>IFERROR(IF(VLOOKUP($A44,TableHandbook[],4,FALSE)=0,"",VLOOKUP($A44,TableHandbook[],4,FALSE)),"")</f>
        <v/>
      </c>
      <c r="E44" s="325"/>
      <c r="F44" s="326" t="str">
        <f>IFERROR(IF(VLOOKUP($A44,TableHandbook[],6,FALSE)=0,"",VLOOKUP($A44,TableHandbook[],6,FALSE)),"")</f>
        <v/>
      </c>
      <c r="G44" s="326" t="str">
        <f>IFERROR(IF(VLOOKUP($A44,TableHandbook[],5,FALSE)=0,"",VLOOKUP($A44,TableHandbook[],5,FALSE)),"")</f>
        <v/>
      </c>
      <c r="H44" s="267" t="str">
        <f>IFERROR(VLOOKUP($A44,TableHandbook[],H$2,FALSE),"")</f>
        <v/>
      </c>
      <c r="I44" s="268" t="str">
        <f>IFERROR(VLOOKUP($A44,TableHandbook[],I$2,FALSE),"")</f>
        <v/>
      </c>
      <c r="J44" s="264" t="str">
        <f>IFERROR(VLOOKUP($A44,TableHandbook[],J$2,FALSE),"")</f>
        <v/>
      </c>
      <c r="K44" s="268" t="str">
        <f>IFERROR(VLOOKUP($A44,TableHandbook[],K$2,FALSE),"")</f>
        <v/>
      </c>
      <c r="L44" s="264" t="str">
        <f>IFERROR(VLOOKUP($A44,TableHandbook[],L$2,FALSE),"")</f>
        <v/>
      </c>
      <c r="M44" s="268" t="str">
        <f>IFERROR(VLOOKUP($A44,TableHandbook[],M$2,FALSE),"")</f>
        <v/>
      </c>
      <c r="N44" s="264" t="str">
        <f>IFERROR(VLOOKUP($A44,TableHandbook[],N$2,FALSE),"")</f>
        <v/>
      </c>
      <c r="O44" s="268" t="str">
        <f>IFERROR(VLOOKUP($A44,TableHandbook[],O$2,FALSE),"")</f>
        <v/>
      </c>
      <c r="P44" s="31"/>
      <c r="Q44" s="269">
        <v>7</v>
      </c>
      <c r="R44" s="231"/>
      <c r="S44" s="231"/>
      <c r="T44" s="231"/>
      <c r="U44" s="231"/>
      <c r="V44" s="231"/>
      <c r="W44" s="231"/>
      <c r="X44" s="231"/>
      <c r="Y44" s="231"/>
      <c r="Z44" s="231"/>
      <c r="AA44" s="16"/>
    </row>
    <row r="45" spans="1:27" ht="15" customHeight="1" x14ac:dyDescent="0.25">
      <c r="A45" s="327"/>
      <c r="B45" s="327"/>
      <c r="C45" s="328"/>
      <c r="D45" s="328"/>
      <c r="E45" s="329"/>
      <c r="F45" s="330"/>
      <c r="G45" s="330"/>
      <c r="H45" s="331"/>
      <c r="I45" s="331"/>
      <c r="J45" s="331"/>
      <c r="K45" s="331"/>
      <c r="L45" s="331"/>
      <c r="M45" s="331"/>
      <c r="N45" s="331"/>
      <c r="O45" s="331"/>
      <c r="P45" s="332"/>
      <c r="Q45" s="269"/>
      <c r="R45" s="231"/>
      <c r="S45" s="231"/>
      <c r="T45" s="231"/>
      <c r="U45" s="231"/>
      <c r="V45" s="231"/>
      <c r="W45" s="231"/>
      <c r="X45" s="231"/>
      <c r="Y45" s="231"/>
      <c r="Z45" s="231"/>
      <c r="AA45" s="16"/>
    </row>
    <row r="46" spans="1:27" s="16" customFormat="1" ht="18" x14ac:dyDescent="0.25">
      <c r="A46" s="333" t="s">
        <v>35</v>
      </c>
      <c r="B46" s="333"/>
      <c r="C46" s="333"/>
      <c r="D46" s="333"/>
      <c r="E46" s="333"/>
      <c r="F46" s="333"/>
      <c r="G46" s="333"/>
      <c r="H46" s="333"/>
      <c r="I46" s="333"/>
      <c r="J46" s="333"/>
      <c r="K46" s="333"/>
      <c r="L46" s="333"/>
      <c r="M46" s="333"/>
      <c r="N46" s="333"/>
      <c r="O46" s="333"/>
      <c r="P46" s="333"/>
      <c r="Q46" s="297"/>
      <c r="R46" s="231"/>
      <c r="S46" s="231"/>
      <c r="T46" s="231"/>
      <c r="U46" s="231"/>
      <c r="V46" s="231"/>
      <c r="W46" s="231"/>
      <c r="X46" s="231"/>
      <c r="Y46" s="231"/>
      <c r="Z46" s="231"/>
    </row>
    <row r="47" spans="1:27" s="25" customFormat="1" ht="17.25" x14ac:dyDescent="0.2">
      <c r="A47" s="117" t="s">
        <v>36</v>
      </c>
      <c r="B47" s="117"/>
      <c r="C47" s="117"/>
      <c r="D47" s="118"/>
      <c r="E47" s="118"/>
      <c r="F47" s="118"/>
      <c r="G47" s="118"/>
      <c r="H47" s="118"/>
      <c r="I47" s="118"/>
      <c r="J47" s="118"/>
      <c r="K47" s="118"/>
      <c r="L47" s="118"/>
      <c r="M47" s="118"/>
      <c r="N47" s="118"/>
      <c r="O47" s="118"/>
      <c r="P47" s="118"/>
      <c r="Q47" s="290"/>
      <c r="R47" s="290"/>
      <c r="S47" s="290"/>
      <c r="T47" s="291"/>
      <c r="U47" s="291"/>
      <c r="V47" s="291"/>
      <c r="W47" s="291"/>
      <c r="X47" s="291"/>
      <c r="Y47" s="291"/>
      <c r="Z47" s="291"/>
      <c r="AA47" s="24"/>
    </row>
    <row r="48" spans="1:27" x14ac:dyDescent="0.25">
      <c r="A48" s="292" t="s">
        <v>37</v>
      </c>
      <c r="B48" s="292"/>
      <c r="C48" s="292"/>
      <c r="D48" s="292"/>
      <c r="E48" s="293"/>
      <c r="F48" s="289"/>
      <c r="G48" s="294"/>
      <c r="H48" s="294"/>
      <c r="I48" s="294"/>
      <c r="J48" s="294"/>
      <c r="K48" s="294"/>
      <c r="L48" s="294"/>
      <c r="M48" s="294"/>
      <c r="N48" s="294"/>
      <c r="O48" s="294"/>
      <c r="P48" s="294" t="s">
        <v>38</v>
      </c>
      <c r="Q48" s="231"/>
      <c r="R48" s="231"/>
      <c r="S48" s="231"/>
      <c r="T48" s="231"/>
      <c r="U48" s="231"/>
      <c r="V48" s="231"/>
      <c r="W48" s="231"/>
      <c r="X48" s="231"/>
      <c r="Y48" s="231"/>
      <c r="Z48" s="231"/>
    </row>
  </sheetData>
  <sheetProtection algorithmName="SHA-512" hashValue="dATehwniGrXWyJ0RBFIomMxlJxg+gX5Vt5NXnbuXvE48MuIER3L57RmDoRvXMMRnFDDi2ZJjlhVYo9nxY7OqSQ==" saltValue="tRgJWTYlF0uOXOlo+2J2LA==" spinCount="100000" sheet="1" objects="1" scenarios="1" formatCells="0"/>
  <mergeCells count="1">
    <mergeCell ref="A3:D3"/>
  </mergeCells>
  <conditionalFormatting sqref="A37:C37 H37:P37">
    <cfRule type="expression" dxfId="402" priority="1">
      <formula>LEFT($A37,3)="STA"</formula>
    </cfRule>
    <cfRule type="expression" dxfId="401" priority="2">
      <formula>LEFT($A37,3)="FTA"</formula>
    </cfRule>
  </conditionalFormatting>
  <conditionalFormatting sqref="A12:Q22 A23:C23 H23:Q23 A24:Q34">
    <cfRule type="expression" dxfId="400" priority="3">
      <formula>LEFT($A12,3)="STA"</formula>
    </cfRule>
    <cfRule type="expression" dxfId="399" priority="4">
      <formula>LEFT($A12,3)="FTA"</formula>
    </cfRule>
  </conditionalFormatting>
  <conditionalFormatting sqref="D5:D9">
    <cfRule type="containsText" dxfId="398" priority="5" operator="containsText" text="Choose">
      <formula>NOT(ISERROR(SEARCH("Choose",D5)))</formula>
    </cfRule>
  </conditionalFormatting>
  <dataValidations count="2">
    <dataValidation type="list" allowBlank="1" showInputMessage="1" showErrorMessage="1" sqref="P29 P17 P14 P20 P26 P32"/>
    <dataValidation type="list" showInputMessage="1" showErrorMessage="1" sqref="D8">
      <formula1>INDIRECT($P$9)</formula1>
    </dataValidation>
  </dataValidations>
  <hyperlinks>
    <hyperlink ref="A47:P4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D9</xm:sqref>
        </x14:dataValidation>
        <x14:dataValidation type="list" showInputMessage="1" showErrorMessage="1">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56"/>
  <sheetViews>
    <sheetView zoomScale="85" zoomScaleNormal="85" workbookViewId="0">
      <selection activeCell="J6" sqref="J6"/>
    </sheetView>
  </sheetViews>
  <sheetFormatPr defaultRowHeight="15.75" x14ac:dyDescent="0.25"/>
  <cols>
    <col min="1" max="1" width="53.25" bestFit="1" customWidth="1"/>
    <col min="2" max="2" width="12" bestFit="1" customWidth="1"/>
    <col min="3" max="3" width="9.875" bestFit="1" customWidth="1"/>
    <col min="4" max="4" width="19.375" bestFit="1" customWidth="1"/>
    <col min="5" max="5" width="14.25" bestFit="1" customWidth="1"/>
    <col min="6" max="7" width="14.25" customWidth="1"/>
    <col min="9" max="9" width="13.75" bestFit="1" customWidth="1"/>
    <col min="10" max="10" width="47.625" bestFit="1" customWidth="1"/>
    <col min="11" max="11" width="11.375" bestFit="1" customWidth="1"/>
    <col min="13" max="13" width="20.37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6.5" bestFit="1" customWidth="1"/>
    <col min="21" max="21" width="11.125" bestFit="1" customWidth="1"/>
    <col min="22" max="22" width="16.5" bestFit="1" customWidth="1"/>
    <col min="24" max="24" width="14" customWidth="1"/>
  </cols>
  <sheetData>
    <row r="1" spans="1:22" x14ac:dyDescent="0.25">
      <c r="A1" s="34" t="s">
        <v>234</v>
      </c>
    </row>
    <row r="2" spans="1:22" x14ac:dyDescent="0.25">
      <c r="A2" s="34" t="s">
        <v>118</v>
      </c>
    </row>
    <row r="3" spans="1:22" x14ac:dyDescent="0.25">
      <c r="M3" s="148" t="s">
        <v>235</v>
      </c>
      <c r="N3" s="45">
        <v>1</v>
      </c>
      <c r="O3" s="47"/>
      <c r="P3" s="46" t="s">
        <v>236</v>
      </c>
      <c r="Q3" s="47"/>
      <c r="R3" s="46" t="s">
        <v>237</v>
      </c>
      <c r="S3" s="47"/>
      <c r="T3" s="46" t="s">
        <v>238</v>
      </c>
      <c r="U3" s="47"/>
      <c r="V3" s="46" t="s">
        <v>239</v>
      </c>
    </row>
    <row r="4" spans="1:22" x14ac:dyDescent="0.25">
      <c r="I4" s="127" t="s">
        <v>240</v>
      </c>
      <c r="J4" s="36"/>
      <c r="K4" s="36"/>
      <c r="M4" s="36"/>
      <c r="N4" s="49">
        <v>2</v>
      </c>
      <c r="O4" s="86" t="s">
        <v>58</v>
      </c>
      <c r="P4" s="92" t="s">
        <v>241</v>
      </c>
      <c r="Q4" s="86" t="s">
        <v>60</v>
      </c>
      <c r="R4" s="92" t="s">
        <v>242</v>
      </c>
      <c r="S4" s="86" t="s">
        <v>62</v>
      </c>
      <c r="T4" s="92" t="s">
        <v>59</v>
      </c>
      <c r="U4" s="86" t="s">
        <v>63</v>
      </c>
      <c r="V4" s="92" t="s">
        <v>242</v>
      </c>
    </row>
    <row r="5" spans="1:22" x14ac:dyDescent="0.25">
      <c r="A5" s="127" t="s">
        <v>243</v>
      </c>
      <c r="B5" s="36"/>
      <c r="C5" s="36"/>
      <c r="D5" s="36"/>
      <c r="E5" s="36"/>
      <c r="F5" s="36"/>
      <c r="G5" s="36"/>
      <c r="H5" s="36"/>
      <c r="I5" s="128" t="s">
        <v>244</v>
      </c>
      <c r="J5" s="145" t="s">
        <v>467</v>
      </c>
      <c r="K5" s="146"/>
      <c r="M5" s="36"/>
      <c r="N5" s="49">
        <v>3</v>
      </c>
      <c r="O5" s="87" t="s">
        <v>58</v>
      </c>
      <c r="P5" s="93" t="s">
        <v>59</v>
      </c>
      <c r="Q5" s="87" t="s">
        <v>60</v>
      </c>
      <c r="R5" s="93" t="s">
        <v>241</v>
      </c>
      <c r="S5" s="87" t="s">
        <v>62</v>
      </c>
      <c r="T5" s="93" t="s">
        <v>173</v>
      </c>
      <c r="U5" s="87" t="s">
        <v>63</v>
      </c>
      <c r="V5" s="140" t="s">
        <v>246</v>
      </c>
    </row>
    <row r="6" spans="1:22" x14ac:dyDescent="0.25">
      <c r="A6" s="56" t="s">
        <v>466</v>
      </c>
      <c r="B6" s="57" t="s">
        <v>0</v>
      </c>
      <c r="C6" s="36" t="s">
        <v>73</v>
      </c>
      <c r="D6" s="36" t="s">
        <v>74</v>
      </c>
      <c r="E6" s="36" t="s">
        <v>75</v>
      </c>
      <c r="F6" s="36" t="s">
        <v>76</v>
      </c>
      <c r="G6" s="36" t="s">
        <v>6</v>
      </c>
      <c r="H6" s="36"/>
      <c r="I6" s="128" t="s">
        <v>46</v>
      </c>
      <c r="J6" s="129" t="s">
        <v>245</v>
      </c>
      <c r="K6" s="146"/>
      <c r="M6" s="36"/>
      <c r="N6" s="49">
        <v>4</v>
      </c>
      <c r="O6" s="87" t="s">
        <v>60</v>
      </c>
      <c r="P6" s="93" t="s">
        <v>242</v>
      </c>
      <c r="Q6" s="87" t="s">
        <v>62</v>
      </c>
      <c r="R6" s="93" t="s">
        <v>59</v>
      </c>
      <c r="S6" s="87" t="s">
        <v>63</v>
      </c>
      <c r="T6" s="93" t="s">
        <v>242</v>
      </c>
      <c r="U6" s="87" t="s">
        <v>58</v>
      </c>
      <c r="V6" s="93" t="s">
        <v>241</v>
      </c>
    </row>
    <row r="7" spans="1:22" x14ac:dyDescent="0.25">
      <c r="A7" s="51" t="s">
        <v>247</v>
      </c>
      <c r="B7" s="203" t="s">
        <v>46</v>
      </c>
      <c r="C7" s="51" t="s">
        <v>79</v>
      </c>
      <c r="D7" s="51" t="s">
        <v>248</v>
      </c>
      <c r="E7" s="175">
        <v>44562</v>
      </c>
      <c r="F7" s="175">
        <v>44562</v>
      </c>
      <c r="G7" s="173" t="s">
        <v>249</v>
      </c>
      <c r="H7" s="52"/>
      <c r="I7" s="123"/>
      <c r="J7" s="130" t="str">
        <f>INDEX(TableTeachingArea2[Choose your Second Approved Teaching Area],MATCH(K7,TableTeachingArea2[UDC],0))</f>
        <v>No Second Teaching Area</v>
      </c>
      <c r="K7" s="124" t="s">
        <v>250</v>
      </c>
      <c r="M7" s="36"/>
      <c r="N7" s="49">
        <v>5</v>
      </c>
      <c r="O7" s="87" t="s">
        <v>60</v>
      </c>
      <c r="P7" s="93" t="s">
        <v>251</v>
      </c>
      <c r="Q7" s="87" t="s">
        <v>62</v>
      </c>
      <c r="R7" s="93" t="s">
        <v>173</v>
      </c>
      <c r="S7" s="87" t="s">
        <v>63</v>
      </c>
      <c r="T7" s="140" t="s">
        <v>246</v>
      </c>
      <c r="U7" s="87" t="s">
        <v>58</v>
      </c>
      <c r="V7" s="93" t="s">
        <v>59</v>
      </c>
    </row>
    <row r="8" spans="1:22" x14ac:dyDescent="0.25">
      <c r="A8" s="51" t="s">
        <v>225</v>
      </c>
      <c r="B8" s="203" t="s">
        <v>252</v>
      </c>
      <c r="C8" s="51" t="s">
        <v>79</v>
      </c>
      <c r="D8" s="51" t="s">
        <v>248</v>
      </c>
      <c r="E8" s="175">
        <v>44562</v>
      </c>
      <c r="F8" s="189">
        <v>44562</v>
      </c>
      <c r="G8" s="173" t="s">
        <v>249</v>
      </c>
      <c r="H8" s="52"/>
      <c r="I8" s="123"/>
      <c r="J8" s="130" t="str">
        <f>INDEX(TableTeachingArea2[Choose your Second Approved Teaching Area],MATCH(K8,TableTeachingArea2[UDC],0))</f>
        <v>English Teaching Area</v>
      </c>
      <c r="K8" s="124" t="s">
        <v>252</v>
      </c>
      <c r="M8" s="36"/>
      <c r="N8" s="49">
        <v>6</v>
      </c>
      <c r="O8" s="87" t="s">
        <v>62</v>
      </c>
      <c r="P8" s="93" t="s">
        <v>173</v>
      </c>
      <c r="Q8" s="87" t="s">
        <v>63</v>
      </c>
      <c r="R8" s="140" t="s">
        <v>246</v>
      </c>
      <c r="S8" s="87" t="s">
        <v>58</v>
      </c>
      <c r="T8" s="93" t="s">
        <v>241</v>
      </c>
      <c r="U8" s="87" t="s">
        <v>60</v>
      </c>
      <c r="V8" s="141" t="s">
        <v>253</v>
      </c>
    </row>
    <row r="9" spans="1:22" x14ac:dyDescent="0.25">
      <c r="A9" s="51" t="s">
        <v>228</v>
      </c>
      <c r="B9" s="203" t="s">
        <v>254</v>
      </c>
      <c r="C9" s="51" t="s">
        <v>79</v>
      </c>
      <c r="D9" s="51" t="s">
        <v>248</v>
      </c>
      <c r="E9" s="175">
        <v>44562</v>
      </c>
      <c r="F9" s="189">
        <v>44562</v>
      </c>
      <c r="G9" s="173" t="s">
        <v>249</v>
      </c>
      <c r="H9" s="52"/>
      <c r="I9" s="123"/>
      <c r="J9" s="130" t="str">
        <f>INDEX(TableTeachingArea2[Choose your Second Approved Teaching Area],MATCH(K9,TableTeachingArea2[UDC],0))</f>
        <v>Health and Physical Education Teaching Area</v>
      </c>
      <c r="K9" s="124" t="s">
        <v>254</v>
      </c>
      <c r="M9" s="36"/>
      <c r="N9" s="49">
        <v>7</v>
      </c>
      <c r="O9" s="87" t="s">
        <v>62</v>
      </c>
      <c r="P9" s="93" t="s">
        <v>255</v>
      </c>
      <c r="Q9" s="87" t="s">
        <v>63</v>
      </c>
      <c r="R9" s="141" t="s">
        <v>253</v>
      </c>
      <c r="S9" s="87" t="s">
        <v>58</v>
      </c>
      <c r="T9" s="93" t="s">
        <v>251</v>
      </c>
      <c r="U9" s="87" t="s">
        <v>60</v>
      </c>
      <c r="V9" s="93" t="s">
        <v>251</v>
      </c>
    </row>
    <row r="10" spans="1:22" x14ac:dyDescent="0.25">
      <c r="A10" s="51" t="s">
        <v>256</v>
      </c>
      <c r="B10" s="203" t="s">
        <v>257</v>
      </c>
      <c r="C10" s="51" t="s">
        <v>79</v>
      </c>
      <c r="D10" s="51" t="s">
        <v>248</v>
      </c>
      <c r="E10" s="175">
        <v>44562</v>
      </c>
      <c r="F10" s="189">
        <v>44562</v>
      </c>
      <c r="G10" s="173" t="s">
        <v>249</v>
      </c>
      <c r="H10" s="52"/>
      <c r="I10" s="123"/>
      <c r="J10" s="130" t="str">
        <f>INDEX(TableTeachingArea2[Choose your Second Approved Teaching Area],MATCH(K10,TableTeachingArea2[UDC],0))</f>
        <v>Humanities and Social Sciences Teaching Area</v>
      </c>
      <c r="K10" s="124" t="s">
        <v>257</v>
      </c>
      <c r="M10" s="36"/>
      <c r="N10" s="49">
        <v>8</v>
      </c>
      <c r="O10" s="87" t="s">
        <v>63</v>
      </c>
      <c r="P10" s="140" t="s">
        <v>246</v>
      </c>
      <c r="Q10" s="87" t="s">
        <v>58</v>
      </c>
      <c r="R10" s="93" t="s">
        <v>88</v>
      </c>
      <c r="S10" s="87" t="s">
        <v>60</v>
      </c>
      <c r="T10" s="141" t="s">
        <v>253</v>
      </c>
      <c r="U10" s="87" t="s">
        <v>62</v>
      </c>
      <c r="V10" s="93" t="s">
        <v>173</v>
      </c>
    </row>
    <row r="11" spans="1:22" x14ac:dyDescent="0.25">
      <c r="A11" s="51" t="s">
        <v>258</v>
      </c>
      <c r="B11" s="203" t="s">
        <v>259</v>
      </c>
      <c r="C11" s="51" t="s">
        <v>79</v>
      </c>
      <c r="D11" s="51" t="s">
        <v>248</v>
      </c>
      <c r="E11" s="175">
        <v>44562</v>
      </c>
      <c r="F11" s="189">
        <v>44562</v>
      </c>
      <c r="G11" s="173" t="s">
        <v>249</v>
      </c>
      <c r="H11" s="52"/>
      <c r="I11" s="123"/>
      <c r="J11" s="130" t="str">
        <f>INDEX(TableTeachingArea2[Choose your Second Approved Teaching Area],MATCH(K11,TableTeachingArea2[UDC],0))</f>
        <v>Mathematics Teaching Area</v>
      </c>
      <c r="K11" s="124" t="s">
        <v>259</v>
      </c>
      <c r="M11" s="36"/>
      <c r="N11" s="49">
        <v>9</v>
      </c>
      <c r="O11" s="87" t="s">
        <v>63</v>
      </c>
      <c r="P11" s="141" t="s">
        <v>253</v>
      </c>
      <c r="Q11" s="87" t="s">
        <v>58</v>
      </c>
      <c r="R11" s="93" t="s">
        <v>251</v>
      </c>
      <c r="S11" s="87" t="s">
        <v>60</v>
      </c>
      <c r="T11" s="93" t="s">
        <v>255</v>
      </c>
      <c r="U11" s="87" t="s">
        <v>62</v>
      </c>
      <c r="V11" s="93" t="s">
        <v>255</v>
      </c>
    </row>
    <row r="12" spans="1:22" x14ac:dyDescent="0.25">
      <c r="A12" s="51" t="s">
        <v>260</v>
      </c>
      <c r="B12" s="203" t="s">
        <v>261</v>
      </c>
      <c r="C12" s="51" t="s">
        <v>79</v>
      </c>
      <c r="D12" s="51" t="s">
        <v>248</v>
      </c>
      <c r="E12" s="175">
        <v>44562</v>
      </c>
      <c r="F12" s="189">
        <v>44562</v>
      </c>
      <c r="G12" s="173" t="s">
        <v>249</v>
      </c>
      <c r="H12" s="52"/>
      <c r="I12" s="125"/>
      <c r="J12" s="131" t="str">
        <f>INDEX(TableTeachingArea2[Choose your Second Approved Teaching Area],MATCH(K12,TableTeachingArea2[UDC],0))</f>
        <v>Science Teaching Area</v>
      </c>
      <c r="K12" s="126" t="s">
        <v>261</v>
      </c>
      <c r="M12" s="36"/>
      <c r="N12" s="49">
        <v>10</v>
      </c>
      <c r="O12" s="86" t="s">
        <v>105</v>
      </c>
      <c r="P12" s="92" t="s">
        <v>262</v>
      </c>
      <c r="Q12" s="86" t="s">
        <v>106</v>
      </c>
      <c r="R12" s="142" t="s">
        <v>263</v>
      </c>
      <c r="S12" s="86" t="s">
        <v>107</v>
      </c>
      <c r="T12" s="92" t="s">
        <v>88</v>
      </c>
      <c r="U12" s="86" t="s">
        <v>108</v>
      </c>
      <c r="V12" s="142" t="s">
        <v>263</v>
      </c>
    </row>
    <row r="13" spans="1:22" x14ac:dyDescent="0.25">
      <c r="I13" s="128" t="s">
        <v>252</v>
      </c>
      <c r="J13" s="129" t="s">
        <v>245</v>
      </c>
      <c r="K13" s="146"/>
      <c r="M13" s="36"/>
      <c r="N13" s="49">
        <v>11</v>
      </c>
      <c r="O13" s="87" t="s">
        <v>105</v>
      </c>
      <c r="P13" s="93" t="s">
        <v>115</v>
      </c>
      <c r="Q13" s="87" t="s">
        <v>106</v>
      </c>
      <c r="R13" s="93" t="s">
        <v>255</v>
      </c>
      <c r="S13" s="87" t="s">
        <v>107</v>
      </c>
      <c r="T13" s="93" t="s">
        <v>87</v>
      </c>
      <c r="U13" s="87" t="s">
        <v>108</v>
      </c>
      <c r="V13" s="93" t="s">
        <v>117</v>
      </c>
    </row>
    <row r="14" spans="1:22" x14ac:dyDescent="0.25">
      <c r="A14" s="127" t="s">
        <v>264</v>
      </c>
      <c r="B14" s="36"/>
      <c r="C14" s="36"/>
      <c r="D14" s="36"/>
      <c r="E14" s="36"/>
      <c r="F14" s="36"/>
      <c r="G14" s="36"/>
      <c r="H14" s="36"/>
      <c r="I14" s="123"/>
      <c r="J14" s="130" t="str">
        <f>INDEX(TableTeachingArea2[Choose your Second Approved Teaching Area],MATCH(K14,TableTeachingArea2[UDC],0))</f>
        <v>No Second Teaching Area</v>
      </c>
      <c r="K14" s="124" t="s">
        <v>250</v>
      </c>
      <c r="M14" s="36"/>
      <c r="N14" s="49">
        <v>12</v>
      </c>
      <c r="O14" s="87" t="s">
        <v>106</v>
      </c>
      <c r="P14" s="140" t="s">
        <v>263</v>
      </c>
      <c r="Q14" s="87" t="s">
        <v>107</v>
      </c>
      <c r="R14" s="93" t="s">
        <v>87</v>
      </c>
      <c r="S14" s="87" t="s">
        <v>108</v>
      </c>
      <c r="T14" s="140" t="s">
        <v>263</v>
      </c>
      <c r="U14" s="87" t="s">
        <v>105</v>
      </c>
      <c r="V14" s="93" t="s">
        <v>262</v>
      </c>
    </row>
    <row r="15" spans="1:22" x14ac:dyDescent="0.25">
      <c r="A15" s="56" t="s">
        <v>245</v>
      </c>
      <c r="B15" s="57" t="s">
        <v>0</v>
      </c>
      <c r="C15" s="36" t="s">
        <v>73</v>
      </c>
      <c r="D15" s="36" t="s">
        <v>74</v>
      </c>
      <c r="E15" s="36" t="s">
        <v>75</v>
      </c>
      <c r="F15" s="36" t="s">
        <v>76</v>
      </c>
      <c r="G15" s="36" t="s">
        <v>6</v>
      </c>
      <c r="I15" s="123"/>
      <c r="J15" s="130" t="str">
        <f>INDEX(TableTeachingArea2[Choose your Second Approved Teaching Area],MATCH(K15,TableTeachingArea2[UDC],0))</f>
        <v>The Arts Teaching Area</v>
      </c>
      <c r="K15" s="124" t="s">
        <v>46</v>
      </c>
      <c r="M15" s="36"/>
      <c r="N15" s="49">
        <v>13</v>
      </c>
      <c r="O15" s="87" t="s">
        <v>106</v>
      </c>
      <c r="P15" s="141" t="s">
        <v>265</v>
      </c>
      <c r="Q15" s="87" t="s">
        <v>107</v>
      </c>
      <c r="R15" s="93" t="s">
        <v>115</v>
      </c>
      <c r="S15" s="87" t="s">
        <v>108</v>
      </c>
      <c r="T15" s="93" t="s">
        <v>117</v>
      </c>
      <c r="U15" s="87" t="s">
        <v>105</v>
      </c>
      <c r="V15" s="93" t="s">
        <v>115</v>
      </c>
    </row>
    <row r="16" spans="1:22" x14ac:dyDescent="0.25">
      <c r="A16" s="51" t="s">
        <v>266</v>
      </c>
      <c r="B16" s="203" t="s">
        <v>250</v>
      </c>
      <c r="C16" s="51" t="s">
        <v>79</v>
      </c>
      <c r="D16" s="51" t="s">
        <v>248</v>
      </c>
      <c r="E16" s="175">
        <v>44562</v>
      </c>
      <c r="F16" s="175">
        <v>44562</v>
      </c>
      <c r="G16" s="173" t="s">
        <v>249</v>
      </c>
      <c r="I16" s="123"/>
      <c r="J16" s="130" t="str">
        <f>INDEX(TableTeachingArea2[Choose your Second Approved Teaching Area],MATCH(K16,TableTeachingArea2[UDC],0))</f>
        <v>Health and Physical Education Teaching Area</v>
      </c>
      <c r="K16" s="124" t="s">
        <v>254</v>
      </c>
      <c r="M16" s="36"/>
      <c r="N16" s="49">
        <v>14</v>
      </c>
      <c r="O16" s="87" t="s">
        <v>107</v>
      </c>
      <c r="P16" s="93" t="s">
        <v>88</v>
      </c>
      <c r="Q16" s="87" t="s">
        <v>108</v>
      </c>
      <c r="R16" s="141" t="s">
        <v>265</v>
      </c>
      <c r="S16" s="87" t="s">
        <v>105</v>
      </c>
      <c r="T16" s="93" t="s">
        <v>262</v>
      </c>
      <c r="U16" s="87" t="s">
        <v>106</v>
      </c>
      <c r="V16" s="141" t="s">
        <v>265</v>
      </c>
    </row>
    <row r="17" spans="1:30" x14ac:dyDescent="0.25">
      <c r="A17" s="51" t="s">
        <v>247</v>
      </c>
      <c r="B17" s="203" t="s">
        <v>46</v>
      </c>
      <c r="C17" s="51" t="s">
        <v>79</v>
      </c>
      <c r="D17" s="51" t="s">
        <v>248</v>
      </c>
      <c r="E17" s="175">
        <v>44562</v>
      </c>
      <c r="F17" s="175">
        <v>44562</v>
      </c>
      <c r="G17" s="173" t="s">
        <v>249</v>
      </c>
      <c r="I17" s="123"/>
      <c r="J17" s="130" t="str">
        <f>INDEX(TableTeachingArea2[Choose your Second Approved Teaching Area],MATCH(K17,TableTeachingArea2[UDC],0))</f>
        <v>Humanities and Social Sciences Teaching Area</v>
      </c>
      <c r="K17" s="124" t="s">
        <v>257</v>
      </c>
      <c r="M17" s="36"/>
      <c r="N17" s="49">
        <v>15</v>
      </c>
      <c r="O17" s="87" t="s">
        <v>107</v>
      </c>
      <c r="P17" s="93" t="s">
        <v>87</v>
      </c>
      <c r="Q17" s="87" t="s">
        <v>108</v>
      </c>
      <c r="R17" s="93" t="s">
        <v>117</v>
      </c>
      <c r="S17" s="87" t="s">
        <v>105</v>
      </c>
      <c r="T17" s="93" t="s">
        <v>115</v>
      </c>
      <c r="U17" s="87" t="s">
        <v>106</v>
      </c>
      <c r="V17" s="93" t="s">
        <v>87</v>
      </c>
    </row>
    <row r="18" spans="1:30" x14ac:dyDescent="0.25">
      <c r="A18" s="51" t="s">
        <v>225</v>
      </c>
      <c r="B18" s="203" t="s">
        <v>252</v>
      </c>
      <c r="C18" s="51" t="s">
        <v>79</v>
      </c>
      <c r="D18" s="51" t="s">
        <v>248</v>
      </c>
      <c r="E18" s="175">
        <v>44562</v>
      </c>
      <c r="F18" s="175">
        <v>44562</v>
      </c>
      <c r="G18" s="173" t="s">
        <v>249</v>
      </c>
      <c r="I18" s="123"/>
      <c r="J18" s="130" t="str">
        <f>INDEX(TableTeachingArea2[Choose your Second Approved Teaching Area],MATCH(K18,TableTeachingArea2[UDC],0))</f>
        <v>Mathematics Teaching Area</v>
      </c>
      <c r="K18" s="124" t="s">
        <v>259</v>
      </c>
      <c r="M18" s="36"/>
      <c r="N18" s="49">
        <v>16</v>
      </c>
      <c r="O18" s="87" t="s">
        <v>108</v>
      </c>
      <c r="P18" s="93" t="s">
        <v>117</v>
      </c>
      <c r="Q18" s="87" t="s">
        <v>105</v>
      </c>
      <c r="R18" s="93" t="s">
        <v>262</v>
      </c>
      <c r="S18" s="87" t="s">
        <v>106</v>
      </c>
      <c r="T18" s="141" t="s">
        <v>265</v>
      </c>
      <c r="U18" s="87" t="s">
        <v>107</v>
      </c>
      <c r="V18" s="93" t="s">
        <v>88</v>
      </c>
    </row>
    <row r="19" spans="1:30" x14ac:dyDescent="0.25">
      <c r="A19" s="51" t="s">
        <v>228</v>
      </c>
      <c r="B19" s="203" t="s">
        <v>254</v>
      </c>
      <c r="C19" s="51" t="s">
        <v>79</v>
      </c>
      <c r="D19" s="51" t="s">
        <v>248</v>
      </c>
      <c r="E19" s="175">
        <v>44562</v>
      </c>
      <c r="F19" s="175">
        <v>44562</v>
      </c>
      <c r="G19" s="173" t="s">
        <v>249</v>
      </c>
      <c r="I19" s="125"/>
      <c r="J19" s="131" t="str">
        <f>INDEX(TableTeachingArea2[Choose your Second Approved Teaching Area],MATCH(K19,TableTeachingArea2[UDC],0))</f>
        <v>Science Teaching Area</v>
      </c>
      <c r="K19" s="126" t="s">
        <v>261</v>
      </c>
      <c r="M19" s="36"/>
      <c r="N19" s="49">
        <v>17</v>
      </c>
      <c r="O19" s="89" t="s">
        <v>108</v>
      </c>
      <c r="P19" s="88" t="s">
        <v>131</v>
      </c>
      <c r="Q19" s="89" t="s">
        <v>105</v>
      </c>
      <c r="R19" s="88" t="s">
        <v>131</v>
      </c>
      <c r="S19" s="89" t="s">
        <v>106</v>
      </c>
      <c r="T19" s="88" t="s">
        <v>131</v>
      </c>
      <c r="U19" s="89" t="s">
        <v>107</v>
      </c>
      <c r="V19" s="88" t="s">
        <v>131</v>
      </c>
    </row>
    <row r="20" spans="1:30" x14ac:dyDescent="0.25">
      <c r="A20" s="51" t="s">
        <v>256</v>
      </c>
      <c r="B20" s="203" t="s">
        <v>257</v>
      </c>
      <c r="C20" s="51" t="s">
        <v>79</v>
      </c>
      <c r="D20" s="51" t="s">
        <v>248</v>
      </c>
      <c r="E20" s="175">
        <v>44562</v>
      </c>
      <c r="F20" s="175">
        <v>44562</v>
      </c>
      <c r="G20" s="173" t="s">
        <v>249</v>
      </c>
      <c r="I20" s="128" t="s">
        <v>254</v>
      </c>
      <c r="J20" s="129" t="s">
        <v>245</v>
      </c>
      <c r="K20" s="146"/>
      <c r="M20" s="36"/>
    </row>
    <row r="21" spans="1:30" x14ac:dyDescent="0.25">
      <c r="A21" s="51" t="s">
        <v>258</v>
      </c>
      <c r="B21" s="203" t="s">
        <v>259</v>
      </c>
      <c r="C21" s="51" t="s">
        <v>79</v>
      </c>
      <c r="D21" s="51" t="s">
        <v>248</v>
      </c>
      <c r="E21" s="175">
        <v>44562</v>
      </c>
      <c r="F21" s="175">
        <v>44562</v>
      </c>
      <c r="G21" s="173" t="s">
        <v>249</v>
      </c>
      <c r="I21" s="123"/>
      <c r="J21" s="130" t="str">
        <f>INDEX(TableTeachingArea2[Choose your Second Approved Teaching Area],MATCH(K21,TableTeachingArea2[UDC],0))</f>
        <v>No Second Teaching Area</v>
      </c>
      <c r="K21" s="124" t="s">
        <v>250</v>
      </c>
      <c r="M21" s="36"/>
    </row>
    <row r="22" spans="1:30" x14ac:dyDescent="0.25">
      <c r="A22" s="51" t="s">
        <v>260</v>
      </c>
      <c r="B22" s="203" t="s">
        <v>261</v>
      </c>
      <c r="C22" s="51" t="s">
        <v>79</v>
      </c>
      <c r="D22" s="51" t="s">
        <v>248</v>
      </c>
      <c r="E22" s="175">
        <v>44562</v>
      </c>
      <c r="F22" s="175">
        <v>44562</v>
      </c>
      <c r="G22" s="173" t="s">
        <v>249</v>
      </c>
      <c r="I22" s="123"/>
      <c r="J22" s="130" t="str">
        <f>INDEX(TableTeachingArea2[Choose your Second Approved Teaching Area],MATCH(K22,TableTeachingArea2[UDC],0))</f>
        <v>The Arts Teaching Area</v>
      </c>
      <c r="K22" s="124" t="s">
        <v>46</v>
      </c>
      <c r="M22" s="148" t="s">
        <v>267</v>
      </c>
      <c r="N22" s="45">
        <v>1</v>
      </c>
      <c r="O22" s="134"/>
      <c r="P22" s="134" t="s">
        <v>46</v>
      </c>
      <c r="Q22" s="134" t="s">
        <v>252</v>
      </c>
      <c r="R22" s="134" t="s">
        <v>254</v>
      </c>
      <c r="S22" s="134" t="s">
        <v>257</v>
      </c>
      <c r="T22" s="134" t="s">
        <v>259</v>
      </c>
      <c r="U22" s="134" t="s">
        <v>261</v>
      </c>
      <c r="V22" s="134" t="s">
        <v>250</v>
      </c>
    </row>
    <row r="23" spans="1:30" x14ac:dyDescent="0.25">
      <c r="I23" s="123"/>
      <c r="J23" s="130" t="str">
        <f>INDEX(TableTeachingArea2[Choose your Second Approved Teaching Area],MATCH(K23,TableTeachingArea2[UDC],0))</f>
        <v>English Teaching Area</v>
      </c>
      <c r="K23" s="124" t="s">
        <v>252</v>
      </c>
      <c r="M23" s="52"/>
      <c r="N23" s="49">
        <v>2</v>
      </c>
      <c r="O23" s="135"/>
      <c r="P23" s="135" t="s">
        <v>268</v>
      </c>
      <c r="Q23" s="135" t="s">
        <v>268</v>
      </c>
      <c r="R23" s="135" t="s">
        <v>268</v>
      </c>
      <c r="S23" s="135" t="s">
        <v>268</v>
      </c>
      <c r="T23" s="135" t="s">
        <v>268</v>
      </c>
      <c r="U23" s="135" t="s">
        <v>268</v>
      </c>
      <c r="V23" s="135" t="s">
        <v>268</v>
      </c>
    </row>
    <row r="24" spans="1:30" x14ac:dyDescent="0.25">
      <c r="A24" s="127" t="s">
        <v>269</v>
      </c>
      <c r="B24" s="36"/>
      <c r="C24" s="36"/>
      <c r="D24" s="36"/>
      <c r="E24" s="36"/>
      <c r="F24" s="36"/>
      <c r="G24" s="36"/>
      <c r="I24" s="123"/>
      <c r="J24" s="130" t="str">
        <f>INDEX(TableTeachingArea2[Choose your Second Approved Teaching Area],MATCH(K24,TableTeachingArea2[UDC],0))</f>
        <v>Humanities and Social Sciences Teaching Area</v>
      </c>
      <c r="K24" s="124" t="s">
        <v>257</v>
      </c>
      <c r="M24" s="52"/>
      <c r="N24" s="49">
        <v>3</v>
      </c>
      <c r="O24" s="136" t="s">
        <v>270</v>
      </c>
      <c r="P24" s="136" t="s">
        <v>271</v>
      </c>
      <c r="Q24" s="136" t="s">
        <v>272</v>
      </c>
      <c r="R24" s="136" t="s">
        <v>273</v>
      </c>
      <c r="S24" s="136" t="s">
        <v>274</v>
      </c>
      <c r="T24" s="136" t="s">
        <v>275</v>
      </c>
      <c r="U24" s="136" t="s">
        <v>276</v>
      </c>
      <c r="V24" s="136" t="s">
        <v>174</v>
      </c>
    </row>
    <row r="25" spans="1:30" x14ac:dyDescent="0.25">
      <c r="A25" s="56" t="s">
        <v>141</v>
      </c>
      <c r="B25" s="57" t="s">
        <v>0</v>
      </c>
      <c r="C25" s="36" t="s">
        <v>73</v>
      </c>
      <c r="D25" s="36" t="s">
        <v>74</v>
      </c>
      <c r="E25" s="36" t="s">
        <v>75</v>
      </c>
      <c r="F25" s="36" t="s">
        <v>76</v>
      </c>
      <c r="G25" s="36" t="s">
        <v>6</v>
      </c>
      <c r="I25" s="123"/>
      <c r="J25" s="130" t="str">
        <f>INDEX(TableTeachingArea2[Choose your Second Approved Teaching Area],MATCH(K25,TableTeachingArea2[UDC],0))</f>
        <v>Mathematics Teaching Area</v>
      </c>
      <c r="K25" s="124" t="s">
        <v>259</v>
      </c>
      <c r="M25" s="52"/>
      <c r="N25" s="49">
        <v>4</v>
      </c>
      <c r="O25" s="137" t="s">
        <v>277</v>
      </c>
      <c r="P25" s="137" t="s">
        <v>278</v>
      </c>
      <c r="Q25" s="137" t="s">
        <v>279</v>
      </c>
      <c r="R25" s="137" t="s">
        <v>280</v>
      </c>
      <c r="S25" s="137" t="s">
        <v>281</v>
      </c>
      <c r="T25" s="137" t="s">
        <v>282</v>
      </c>
      <c r="U25" s="137" t="s">
        <v>283</v>
      </c>
      <c r="V25" s="137" t="s">
        <v>174</v>
      </c>
    </row>
    <row r="26" spans="1:30" x14ac:dyDescent="0.25">
      <c r="A26" s="59" t="s">
        <v>284</v>
      </c>
      <c r="B26" s="183" t="s">
        <v>285</v>
      </c>
      <c r="C26" s="59" t="s">
        <v>79</v>
      </c>
      <c r="D26" s="59" t="s">
        <v>98</v>
      </c>
      <c r="E26" s="176"/>
      <c r="F26" s="176">
        <v>45292</v>
      </c>
      <c r="G26" s="184" t="s">
        <v>249</v>
      </c>
      <c r="I26" s="125"/>
      <c r="J26" s="131" t="str">
        <f>INDEX(TableTeachingArea2[Choose your Second Approved Teaching Area],MATCH(K26,TableTeachingArea2[UDC],0))</f>
        <v>Science Teaching Area</v>
      </c>
      <c r="K26" s="126" t="s">
        <v>261</v>
      </c>
      <c r="M26" s="52"/>
      <c r="N26" s="49">
        <v>5</v>
      </c>
      <c r="O26" s="136"/>
      <c r="P26" s="136" t="s">
        <v>286</v>
      </c>
      <c r="Q26" s="136" t="s">
        <v>286</v>
      </c>
      <c r="R26" s="136" t="s">
        <v>286</v>
      </c>
      <c r="S26" s="136" t="s">
        <v>286</v>
      </c>
      <c r="T26" s="136" t="s">
        <v>286</v>
      </c>
      <c r="U26" s="136" t="s">
        <v>286</v>
      </c>
      <c r="V26" s="136" t="s">
        <v>286</v>
      </c>
    </row>
    <row r="27" spans="1:30" x14ac:dyDescent="0.25">
      <c r="A27" s="59" t="s">
        <v>231</v>
      </c>
      <c r="B27" s="183" t="s">
        <v>287</v>
      </c>
      <c r="C27" s="59" t="s">
        <v>79</v>
      </c>
      <c r="D27" s="59" t="s">
        <v>98</v>
      </c>
      <c r="E27" s="176"/>
      <c r="F27" s="176">
        <v>45292</v>
      </c>
      <c r="G27" s="184" t="s">
        <v>249</v>
      </c>
      <c r="I27" s="128" t="s">
        <v>257</v>
      </c>
      <c r="J27" s="129" t="s">
        <v>245</v>
      </c>
      <c r="K27" s="146"/>
      <c r="N27" s="49">
        <v>6</v>
      </c>
      <c r="O27" s="136" t="s">
        <v>288</v>
      </c>
      <c r="P27" s="138" t="str">
        <f t="shared" ref="P27:U28" si="0">P24</f>
        <v>EDSC5023</v>
      </c>
      <c r="Q27" s="138" t="str">
        <f t="shared" si="0"/>
        <v>EDSC5024</v>
      </c>
      <c r="R27" s="138" t="str">
        <f t="shared" si="0"/>
        <v>EDSC5055</v>
      </c>
      <c r="S27" s="138" t="str">
        <f t="shared" si="0"/>
        <v>EDSC5025</v>
      </c>
      <c r="T27" s="138" t="str">
        <f t="shared" si="0"/>
        <v>EDSC5026</v>
      </c>
      <c r="U27" s="138" t="str">
        <f t="shared" si="0"/>
        <v>EDSC5027</v>
      </c>
      <c r="V27" s="136" t="s">
        <v>169</v>
      </c>
    </row>
    <row r="28" spans="1:30" x14ac:dyDescent="0.25">
      <c r="I28" s="123"/>
      <c r="J28" s="130" t="str">
        <f>INDEX(TableTeachingArea2[Choose your Second Approved Teaching Area],MATCH(K28,TableTeachingArea2[UDC],0))</f>
        <v>No Second Teaching Area</v>
      </c>
      <c r="K28" s="124" t="s">
        <v>250</v>
      </c>
      <c r="M28" s="36"/>
      <c r="N28" s="49">
        <v>7</v>
      </c>
      <c r="O28" s="137" t="s">
        <v>289</v>
      </c>
      <c r="P28" s="139" t="str">
        <f t="shared" si="0"/>
        <v>EDSC5030</v>
      </c>
      <c r="Q28" s="139" t="str">
        <f t="shared" si="0"/>
        <v>EDSC5053</v>
      </c>
      <c r="R28" s="139" t="str">
        <f t="shared" si="0"/>
        <v>EDSC5057</v>
      </c>
      <c r="S28" s="139" t="str">
        <f t="shared" si="0"/>
        <v>EDSC5032</v>
      </c>
      <c r="T28" s="139" t="str">
        <f t="shared" si="0"/>
        <v>EDSC5033</v>
      </c>
      <c r="U28" s="139" t="str">
        <f t="shared" si="0"/>
        <v>EDSC5034</v>
      </c>
      <c r="V28" s="137" t="s">
        <v>290</v>
      </c>
    </row>
    <row r="29" spans="1:30" x14ac:dyDescent="0.25">
      <c r="I29" s="123"/>
      <c r="J29" s="130" t="str">
        <f>INDEX(TableTeachingArea2[Choose your Second Approved Teaching Area],MATCH(K29,TableTeachingArea2[UDC],0))</f>
        <v>The Arts Teaching Area</v>
      </c>
      <c r="K29" s="124" t="s">
        <v>46</v>
      </c>
    </row>
    <row r="30" spans="1:30" x14ac:dyDescent="0.25">
      <c r="I30" s="123"/>
      <c r="J30" s="130" t="str">
        <f>INDEX(TableTeachingArea2[Choose your Second Approved Teaching Area],MATCH(K30,TableTeachingArea2[UDC],0))</f>
        <v>English Teaching Area</v>
      </c>
      <c r="K30" s="124" t="s">
        <v>252</v>
      </c>
    </row>
    <row r="31" spans="1:30" x14ac:dyDescent="0.25">
      <c r="I31" s="123"/>
      <c r="J31" s="130" t="str">
        <f>INDEX(TableTeachingArea2[Choose your Second Approved Teaching Area],MATCH(K31,TableTeachingArea2[UDC],0))</f>
        <v>Health and Physical Education Teaching Area</v>
      </c>
      <c r="K31" s="124" t="s">
        <v>254</v>
      </c>
      <c r="M31" s="148" t="s">
        <v>291</v>
      </c>
      <c r="N31" s="45">
        <v>1</v>
      </c>
      <c r="O31" s="161"/>
      <c r="P31" s="162" t="s">
        <v>292</v>
      </c>
      <c r="Q31" s="161"/>
      <c r="R31" s="162" t="s">
        <v>293</v>
      </c>
      <c r="S31" s="161"/>
      <c r="T31" s="162" t="s">
        <v>294</v>
      </c>
      <c r="U31" s="161"/>
      <c r="V31" s="162" t="s">
        <v>295</v>
      </c>
      <c r="W31" s="177"/>
      <c r="X31" s="162" t="s">
        <v>296</v>
      </c>
      <c r="Y31" s="161"/>
      <c r="Z31" s="162" t="s">
        <v>297</v>
      </c>
      <c r="AA31" s="161"/>
      <c r="AB31" s="162" t="s">
        <v>298</v>
      </c>
      <c r="AC31" s="161"/>
      <c r="AD31" s="162" t="s">
        <v>299</v>
      </c>
    </row>
    <row r="32" spans="1:30" x14ac:dyDescent="0.25">
      <c r="I32" s="123"/>
      <c r="J32" s="130" t="str">
        <f>INDEX(TableTeachingArea2[Choose your Second Approved Teaching Area],MATCH(K32,TableTeachingArea2[UDC],0))</f>
        <v>Mathematics Teaching Area</v>
      </c>
      <c r="K32" s="124" t="s">
        <v>259</v>
      </c>
      <c r="M32" s="36"/>
      <c r="N32" s="49">
        <v>2</v>
      </c>
      <c r="O32" s="86" t="s">
        <v>58</v>
      </c>
      <c r="P32" s="92" t="s">
        <v>59</v>
      </c>
      <c r="Q32" s="86"/>
      <c r="R32" s="92"/>
      <c r="S32" s="86"/>
      <c r="T32" s="92"/>
      <c r="U32" s="86"/>
      <c r="V32" s="92"/>
      <c r="W32" s="86" t="s">
        <v>58</v>
      </c>
      <c r="X32" s="178" t="s">
        <v>241</v>
      </c>
      <c r="Y32" s="86"/>
      <c r="Z32" s="92"/>
      <c r="AA32" s="86"/>
      <c r="AB32" s="92"/>
      <c r="AC32" s="86"/>
      <c r="AD32" s="92"/>
    </row>
    <row r="33" spans="9:30" x14ac:dyDescent="0.25">
      <c r="I33" s="125"/>
      <c r="J33" s="131" t="str">
        <f>INDEX(TableTeachingArea2[Choose your Second Approved Teaching Area],MATCH(K33,TableTeachingArea2[UDC],0))</f>
        <v>Science Teaching Area</v>
      </c>
      <c r="K33" s="126" t="s">
        <v>261</v>
      </c>
      <c r="M33" s="36"/>
      <c r="N33" s="49">
        <v>3</v>
      </c>
      <c r="O33" s="87" t="s">
        <v>58</v>
      </c>
      <c r="P33" s="93" t="s">
        <v>83</v>
      </c>
      <c r="Q33" s="87"/>
      <c r="R33" s="93"/>
      <c r="S33" s="87"/>
      <c r="T33" s="93"/>
      <c r="U33" s="87"/>
      <c r="V33" s="93"/>
      <c r="W33" s="87" t="s">
        <v>58</v>
      </c>
      <c r="X33" s="45" t="s">
        <v>251</v>
      </c>
      <c r="Y33" s="87"/>
      <c r="Z33" s="93"/>
      <c r="AA33" s="87"/>
      <c r="AB33" s="93"/>
      <c r="AC33" s="87"/>
      <c r="AD33" s="93"/>
    </row>
    <row r="34" spans="9:30" x14ac:dyDescent="0.25">
      <c r="I34" s="128" t="s">
        <v>259</v>
      </c>
      <c r="J34" s="129" t="s">
        <v>245</v>
      </c>
      <c r="K34" s="146"/>
      <c r="M34" s="36"/>
      <c r="N34" s="49">
        <v>4</v>
      </c>
      <c r="O34" s="87" t="s">
        <v>60</v>
      </c>
      <c r="P34" s="93" t="s">
        <v>70</v>
      </c>
      <c r="Q34" s="87"/>
      <c r="R34" s="93"/>
      <c r="S34" s="87"/>
      <c r="T34" s="93"/>
      <c r="U34" s="87"/>
      <c r="V34" s="93"/>
      <c r="W34" s="87" t="s">
        <v>60</v>
      </c>
      <c r="X34" s="45" t="s">
        <v>255</v>
      </c>
      <c r="Y34" s="87"/>
      <c r="Z34" s="93"/>
      <c r="AA34" s="87"/>
      <c r="AB34" s="93"/>
      <c r="AC34" s="87"/>
      <c r="AD34" s="93"/>
    </row>
    <row r="35" spans="9:30" x14ac:dyDescent="0.25">
      <c r="I35" s="123"/>
      <c r="J35" s="130" t="str">
        <f>INDEX(TableTeachingArea2[Choose your Second Approved Teaching Area],MATCH(K35,TableTeachingArea2[UDC],0))</f>
        <v>No Second Teaching Area</v>
      </c>
      <c r="K35" s="124" t="s">
        <v>250</v>
      </c>
      <c r="M35" s="36"/>
      <c r="N35" s="49">
        <v>5</v>
      </c>
      <c r="O35" s="87" t="s">
        <v>60</v>
      </c>
      <c r="P35" s="93" t="s">
        <v>94</v>
      </c>
      <c r="Q35" s="87"/>
      <c r="R35" s="93"/>
      <c r="S35" s="87"/>
      <c r="T35" s="93"/>
      <c r="U35" s="87"/>
      <c r="V35" s="93"/>
      <c r="W35" s="87" t="s">
        <v>60</v>
      </c>
      <c r="X35" s="181" t="s">
        <v>300</v>
      </c>
      <c r="Y35" s="87"/>
      <c r="Z35" s="93"/>
      <c r="AA35" s="87"/>
      <c r="AB35" s="93"/>
      <c r="AC35" s="87"/>
      <c r="AD35" s="93"/>
    </row>
    <row r="36" spans="9:30" x14ac:dyDescent="0.25">
      <c r="I36" s="123"/>
      <c r="J36" s="130" t="str">
        <f>INDEX(TableTeachingArea2[Choose your Second Approved Teaching Area],MATCH(K36,TableTeachingArea2[UDC],0))</f>
        <v>The Arts Teaching Area</v>
      </c>
      <c r="K36" s="124" t="s">
        <v>46</v>
      </c>
      <c r="M36" s="36"/>
      <c r="N36" s="49">
        <v>6</v>
      </c>
      <c r="O36" s="87" t="s">
        <v>62</v>
      </c>
      <c r="P36" s="93" t="s">
        <v>115</v>
      </c>
      <c r="Q36" s="87"/>
      <c r="R36" s="93"/>
      <c r="S36" s="87"/>
      <c r="T36" s="93"/>
      <c r="U36" s="87"/>
      <c r="V36" s="93"/>
      <c r="W36" s="87" t="s">
        <v>62</v>
      </c>
      <c r="X36" s="45" t="s">
        <v>88</v>
      </c>
      <c r="Y36" s="87"/>
      <c r="Z36" s="93"/>
      <c r="AA36" s="87"/>
      <c r="AB36" s="93"/>
      <c r="AC36" s="87"/>
      <c r="AD36" s="93"/>
    </row>
    <row r="37" spans="9:30" x14ac:dyDescent="0.25">
      <c r="I37" s="123"/>
      <c r="J37" s="130" t="str">
        <f>INDEX(TableTeachingArea2[Choose your Second Approved Teaching Area],MATCH(K37,TableTeachingArea2[UDC],0))</f>
        <v>English Teaching Area</v>
      </c>
      <c r="K37" s="124" t="s">
        <v>252</v>
      </c>
      <c r="M37" s="36"/>
      <c r="N37" s="49">
        <v>7</v>
      </c>
      <c r="O37" s="87" t="s">
        <v>62</v>
      </c>
      <c r="P37" s="93" t="s">
        <v>65</v>
      </c>
      <c r="Q37" s="87"/>
      <c r="R37" s="96"/>
      <c r="S37" s="87"/>
      <c r="T37" s="93"/>
      <c r="U37" s="87"/>
      <c r="V37" s="96"/>
      <c r="W37" s="87" t="s">
        <v>62</v>
      </c>
      <c r="X37" s="180" t="s">
        <v>115</v>
      </c>
      <c r="Y37" s="87"/>
      <c r="Z37" s="93"/>
      <c r="AA37" s="87"/>
      <c r="AB37" s="96"/>
      <c r="AC37" s="87"/>
      <c r="AD37" s="93"/>
    </row>
    <row r="38" spans="9:30" x14ac:dyDescent="0.25">
      <c r="I38" s="123"/>
      <c r="J38" s="130" t="str">
        <f>INDEX(TableTeachingArea2[Choose your Second Approved Teaching Area],MATCH(K38,TableTeachingArea2[UDC],0))</f>
        <v>Health and Physical Education Teaching Area</v>
      </c>
      <c r="K38" s="124" t="s">
        <v>254</v>
      </c>
      <c r="M38" s="36"/>
      <c r="N38" s="49">
        <v>8</v>
      </c>
      <c r="O38" s="87" t="s">
        <v>63</v>
      </c>
      <c r="P38" s="93" t="s">
        <v>71</v>
      </c>
      <c r="Q38" s="87"/>
      <c r="R38" s="93"/>
      <c r="S38" s="87"/>
      <c r="T38" s="93"/>
      <c r="U38" s="87"/>
      <c r="V38" s="93"/>
      <c r="W38" s="87" t="s">
        <v>63</v>
      </c>
      <c r="X38" s="45" t="s">
        <v>87</v>
      </c>
      <c r="Y38" s="87" t="s">
        <v>87</v>
      </c>
      <c r="Z38" s="93"/>
      <c r="AA38" s="87"/>
      <c r="AB38" s="93"/>
      <c r="AC38" s="87"/>
      <c r="AD38" s="93"/>
    </row>
    <row r="39" spans="9:30" x14ac:dyDescent="0.25">
      <c r="I39" s="123"/>
      <c r="J39" s="130" t="str">
        <f>INDEX(TableTeachingArea2[Choose your Second Approved Teaching Area],MATCH(K39,TableTeachingArea2[UDC],0))</f>
        <v>Humanities and Social Sciences Teaching Area</v>
      </c>
      <c r="K39" s="124" t="s">
        <v>257</v>
      </c>
      <c r="M39" s="36"/>
      <c r="N39" s="49">
        <v>9</v>
      </c>
      <c r="O39" s="89" t="s">
        <v>63</v>
      </c>
      <c r="P39" s="97" t="s">
        <v>87</v>
      </c>
      <c r="Q39" s="89"/>
      <c r="R39" s="88"/>
      <c r="S39" s="89"/>
      <c r="T39" s="97"/>
      <c r="U39" s="89"/>
      <c r="V39" s="88"/>
      <c r="W39" s="89" t="s">
        <v>63</v>
      </c>
      <c r="X39" s="182" t="s">
        <v>301</v>
      </c>
      <c r="Y39" s="89"/>
      <c r="Z39" s="97"/>
      <c r="AA39" s="89"/>
      <c r="AB39" s="88"/>
      <c r="AC39" s="89"/>
      <c r="AD39" s="97"/>
    </row>
    <row r="40" spans="9:30" x14ac:dyDescent="0.25">
      <c r="I40" s="125"/>
      <c r="J40" s="131" t="str">
        <f>INDEX(TableTeachingArea2[Choose your Second Approved Teaching Area],MATCH(K40,TableTeachingArea2[UDC],0))</f>
        <v>Science Teaching Area</v>
      </c>
      <c r="K40" s="126" t="s">
        <v>261</v>
      </c>
      <c r="M40" s="36"/>
      <c r="N40" s="49">
        <v>10</v>
      </c>
      <c r="O40" s="86" t="s">
        <v>215</v>
      </c>
      <c r="P40" s="163" t="s">
        <v>135</v>
      </c>
      <c r="Q40" s="86"/>
      <c r="R40" s="92"/>
      <c r="S40" s="86"/>
      <c r="T40" s="92"/>
      <c r="U40" s="86"/>
      <c r="V40" s="92"/>
      <c r="W40" s="178"/>
      <c r="X40" s="178" t="s">
        <v>302</v>
      </c>
      <c r="Y40" s="86"/>
      <c r="Z40" s="92"/>
      <c r="AA40" s="86"/>
      <c r="AB40" s="92"/>
      <c r="AC40" s="86"/>
      <c r="AD40" s="92"/>
    </row>
    <row r="41" spans="9:30" x14ac:dyDescent="0.25">
      <c r="I41" s="128" t="s">
        <v>261</v>
      </c>
      <c r="J41" s="129" t="s">
        <v>245</v>
      </c>
      <c r="K41" s="146"/>
      <c r="M41" s="36"/>
      <c r="N41" s="49">
        <v>11</v>
      </c>
      <c r="O41" s="89" t="s">
        <v>216</v>
      </c>
      <c r="P41" s="97"/>
      <c r="Q41" s="89"/>
      <c r="R41" s="97"/>
      <c r="S41" s="89"/>
      <c r="T41" s="97"/>
      <c r="U41" s="89"/>
      <c r="V41" s="97"/>
      <c r="W41" s="179"/>
      <c r="X41" s="179"/>
      <c r="Y41" s="89"/>
      <c r="Z41" s="97"/>
      <c r="AA41" s="89"/>
      <c r="AB41" s="97"/>
      <c r="AC41" s="89"/>
      <c r="AD41" s="97"/>
    </row>
    <row r="42" spans="9:30" x14ac:dyDescent="0.25">
      <c r="I42" s="123"/>
      <c r="J42" s="130" t="s">
        <v>266</v>
      </c>
      <c r="K42" s="124" t="s">
        <v>250</v>
      </c>
      <c r="M42" s="36"/>
    </row>
    <row r="43" spans="9:30" x14ac:dyDescent="0.25">
      <c r="I43" s="123"/>
      <c r="J43" s="130" t="str">
        <f>INDEX(TableTeachingArea2[Choose your Second Approved Teaching Area],MATCH(K43,TableTeachingArea2[UDC],0))</f>
        <v>The Arts Teaching Area</v>
      </c>
      <c r="K43" s="124" t="s">
        <v>46</v>
      </c>
      <c r="M43" s="36"/>
    </row>
    <row r="44" spans="9:30" x14ac:dyDescent="0.25">
      <c r="I44" s="123"/>
      <c r="J44" s="130" t="str">
        <f>INDEX(TableTeachingArea2[Choose your Second Approved Teaching Area],MATCH(K44,TableTeachingArea2[UDC],0))</f>
        <v>English Teaching Area</v>
      </c>
      <c r="K44" s="124" t="s">
        <v>252</v>
      </c>
      <c r="M44" s="36"/>
    </row>
    <row r="45" spans="9:30" x14ac:dyDescent="0.25">
      <c r="I45" s="123"/>
      <c r="J45" s="130" t="str">
        <f>INDEX(TableTeachingArea2[Choose your Second Approved Teaching Area],MATCH(K45,TableTeachingArea2[UDC],0))</f>
        <v>Health and Physical Education Teaching Area</v>
      </c>
      <c r="K45" s="124" t="s">
        <v>254</v>
      </c>
      <c r="M45" s="36"/>
    </row>
    <row r="46" spans="9:30" x14ac:dyDescent="0.25">
      <c r="I46" s="123"/>
      <c r="J46" s="130" t="str">
        <f>INDEX(TableTeachingArea2[Choose your Second Approved Teaching Area],MATCH(K46,TableTeachingArea2[UDC],0))</f>
        <v>Humanities and Social Sciences Teaching Area</v>
      </c>
      <c r="K46" s="124" t="s">
        <v>257</v>
      </c>
      <c r="M46" s="36"/>
    </row>
    <row r="47" spans="9:30" x14ac:dyDescent="0.25">
      <c r="I47" s="125"/>
      <c r="J47" s="131" t="str">
        <f>INDEX(TableTeachingArea2[Choose your Second Approved Teaching Area],MATCH(K47,TableTeachingArea2[UDC],0))</f>
        <v>Mathematics Teaching Area</v>
      </c>
      <c r="K47" s="126" t="s">
        <v>259</v>
      </c>
      <c r="M47" s="36"/>
    </row>
    <row r="48" spans="9:30" x14ac:dyDescent="0.25">
      <c r="I48" s="128" t="s">
        <v>303</v>
      </c>
      <c r="J48" s="145" t="s">
        <v>304</v>
      </c>
      <c r="K48" s="146"/>
      <c r="M48" s="36"/>
    </row>
    <row r="49" spans="9:11" x14ac:dyDescent="0.25">
      <c r="I49" s="128" t="s">
        <v>285</v>
      </c>
      <c r="J49" s="129" t="s">
        <v>305</v>
      </c>
      <c r="K49" s="146"/>
    </row>
    <row r="50" spans="9:11" x14ac:dyDescent="0.25">
      <c r="I50" s="128" t="s">
        <v>287</v>
      </c>
      <c r="J50" s="129" t="s">
        <v>304</v>
      </c>
      <c r="K50" s="146"/>
    </row>
    <row r="51" spans="9:11" x14ac:dyDescent="0.25">
      <c r="I51" s="123"/>
      <c r="J51" s="130" t="s">
        <v>247</v>
      </c>
      <c r="K51" s="124" t="s">
        <v>46</v>
      </c>
    </row>
    <row r="52" spans="9:11" x14ac:dyDescent="0.25">
      <c r="I52" s="123"/>
      <c r="J52" s="130" t="s">
        <v>225</v>
      </c>
      <c r="K52" s="124" t="s">
        <v>252</v>
      </c>
    </row>
    <row r="53" spans="9:11" x14ac:dyDescent="0.25">
      <c r="I53" s="123"/>
      <c r="J53" s="130" t="s">
        <v>228</v>
      </c>
      <c r="K53" s="124" t="s">
        <v>254</v>
      </c>
    </row>
    <row r="54" spans="9:11" x14ac:dyDescent="0.25">
      <c r="I54" s="123"/>
      <c r="J54" s="130" t="s">
        <v>256</v>
      </c>
      <c r="K54" s="124" t="s">
        <v>257</v>
      </c>
    </row>
    <row r="55" spans="9:11" x14ac:dyDescent="0.25">
      <c r="I55" s="123"/>
      <c r="J55" s="130" t="s">
        <v>258</v>
      </c>
      <c r="K55" s="124" t="s">
        <v>259</v>
      </c>
    </row>
    <row r="56" spans="9:11" x14ac:dyDescent="0.25">
      <c r="I56" s="125"/>
      <c r="J56" s="131" t="s">
        <v>260</v>
      </c>
      <c r="K56" s="126" t="s">
        <v>261</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707ee7-774c-4141-8c69-3f50efb0eaa0">
      <UserInfo>
        <DisplayName/>
        <AccountId xsi:nil="true"/>
        <AccountType/>
      </UserInfo>
    </SharedWithUsers>
    <_activity xmlns="5053a65b-a790-45aa-b23d-3e4902a859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5" ma:contentTypeDescription="Create a new document." ma:contentTypeScope="" ma:versionID="3c1a427502904b7d25e5588704b071a1">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1597291884a414c17d5ed72b1bf73c26"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schemas.microsoft.com/office/2006/metadata/properties"/>
    <ds:schemaRef ds:uri="http://purl.org/dc/terms/"/>
    <ds:schemaRef ds:uri="http://schemas.openxmlformats.org/package/2006/metadata/core-properties"/>
    <ds:schemaRef ds:uri="5053a65b-a790-45aa-b23d-3e4902a85933"/>
    <ds:schemaRef ds:uri="http://schemas.microsoft.com/office/2006/documentManagement/types"/>
    <ds:schemaRef ds:uri="http://schemas.microsoft.com/office/infopath/2007/PartnerControls"/>
    <ds:schemaRef ds:uri="http://purl.org/dc/elements/1.1/"/>
    <ds:schemaRef ds:uri="6b707ee7-774c-4141-8c69-3f50efb0eaa0"/>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32D084A7-542E-49E2-8677-657858B6D0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DD</vt:lpstr>
      <vt:lpstr>DDGD</vt:lpstr>
      <vt:lpstr>DDGDEDUPR</vt:lpstr>
      <vt:lpstr>DDGDEDUSC</vt:lpstr>
      <vt:lpstr>DDSCART</vt:lpstr>
      <vt:lpstr>DDSCENG</vt:lpstr>
      <vt:lpstr>DDSCHLP</vt:lpstr>
      <vt:lpstr>DDSCHUS</vt:lpstr>
      <vt:lpstr>DDSCMAT</vt:lpstr>
      <vt:lpstr>DDSCSCI</vt:lpstr>
      <vt:lpstr>'Planner GD-EDUC (Prim)'!Print_Area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2023-12-22T01:56:31Z</cp:lastPrinted>
  <dcterms:created xsi:type="dcterms:W3CDTF">2022-02-28T04:48:12Z</dcterms:created>
  <dcterms:modified xsi:type="dcterms:W3CDTF">2023-12-22T01:57:09Z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