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https://curtin-my.sharepoint.com/personal/259378f_curtin_edu_au/Documents/Enrolment Planners Working Folder/"/>
    </mc:Choice>
  </mc:AlternateContent>
  <workbookProtection workbookAlgorithmName="SHA-512" workbookHashValue="fyfK45jIidTBQihm0r8HKZJLPfcbD2vf5aK8vLzj2NlhWabk6ZkKtJQvMBCu7aLydLY/5Byay6ivL7Xbr1NvtA==" workbookSaltValue="DmIg5ZbSG6uP38rfAK19gA==" workbookSpinCount="100000" lockStructure="1"/>
  <bookViews>
    <workbookView xWindow="0" yWindow="0" windowWidth="28800" windowHeight="13800"/>
  </bookViews>
  <sheets>
    <sheet name="Construction Management"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Handbook!$A$2:$I$2</definedName>
    <definedName name="_xlnm.Print_Area" localSheetId="0">'Construction Management'!$A$3:$L$73</definedName>
    <definedName name="RangeSpecSets">Unitsets!$J$40:$U$60</definedName>
    <definedName name="RangeUnitsets">Unitsets!$J$3:$U$35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2" i="3" l="1"/>
  <c r="I102" i="3"/>
  <c r="H102" i="3"/>
  <c r="G102" i="3"/>
  <c r="J101" i="3"/>
  <c r="I101" i="3"/>
  <c r="H101" i="3"/>
  <c r="G101" i="3"/>
  <c r="J100" i="3"/>
  <c r="I100" i="3"/>
  <c r="H100" i="3"/>
  <c r="G100" i="3"/>
  <c r="J99" i="3"/>
  <c r="I99" i="3"/>
  <c r="H99" i="3"/>
  <c r="G99" i="3"/>
  <c r="J98" i="3"/>
  <c r="I98" i="3"/>
  <c r="H98" i="3"/>
  <c r="G98" i="3"/>
  <c r="J97" i="3"/>
  <c r="I97" i="3"/>
  <c r="H97" i="3"/>
  <c r="G97" i="3"/>
  <c r="J96" i="3"/>
  <c r="I96" i="3"/>
  <c r="H96" i="3"/>
  <c r="G96" i="3"/>
  <c r="J95" i="3"/>
  <c r="I95" i="3"/>
  <c r="H95" i="3"/>
  <c r="G95" i="3"/>
  <c r="J94" i="3"/>
  <c r="I94" i="3"/>
  <c r="H94" i="3"/>
  <c r="G94" i="3"/>
  <c r="J93" i="3"/>
  <c r="I93" i="3"/>
  <c r="H93" i="3"/>
  <c r="G93" i="3"/>
  <c r="J92" i="3"/>
  <c r="I92" i="3"/>
  <c r="H92" i="3"/>
  <c r="G92" i="3"/>
  <c r="J91" i="3"/>
  <c r="I91" i="3"/>
  <c r="H91" i="3"/>
  <c r="G91" i="3"/>
  <c r="J90" i="3"/>
  <c r="I90" i="3"/>
  <c r="H90" i="3"/>
  <c r="G90" i="3"/>
  <c r="J89" i="3"/>
  <c r="I89" i="3"/>
  <c r="H89" i="3"/>
  <c r="G89" i="3"/>
  <c r="J88" i="3"/>
  <c r="I88" i="3"/>
  <c r="H88" i="3"/>
  <c r="G88" i="3"/>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80" i="3"/>
  <c r="I80" i="3"/>
  <c r="H80" i="3"/>
  <c r="G80" i="3"/>
  <c r="J79" i="3"/>
  <c r="I79" i="3"/>
  <c r="H79" i="3"/>
  <c r="G79" i="3"/>
  <c r="J78" i="3"/>
  <c r="I78" i="3"/>
  <c r="H78" i="3"/>
  <c r="G78" i="3"/>
  <c r="J77" i="3"/>
  <c r="I77" i="3"/>
  <c r="H77" i="3"/>
  <c r="G77" i="3"/>
  <c r="J76" i="3"/>
  <c r="I76" i="3"/>
  <c r="H76" i="3"/>
  <c r="G76" i="3"/>
  <c r="J75" i="3"/>
  <c r="I75" i="3"/>
  <c r="H75" i="3"/>
  <c r="G75" i="3"/>
  <c r="J74" i="3"/>
  <c r="I74" i="3"/>
  <c r="H74" i="3"/>
  <c r="G74" i="3"/>
  <c r="J73" i="3"/>
  <c r="I73" i="3"/>
  <c r="H73" i="3"/>
  <c r="G73" i="3"/>
  <c r="J72" i="3"/>
  <c r="I72" i="3"/>
  <c r="H72" i="3"/>
  <c r="G72" i="3"/>
  <c r="J71" i="3"/>
  <c r="I71" i="3"/>
  <c r="H71" i="3"/>
  <c r="G71" i="3"/>
  <c r="J70" i="3"/>
  <c r="I70" i="3"/>
  <c r="H70" i="3"/>
  <c r="G70" i="3"/>
  <c r="J69" i="3"/>
  <c r="I69" i="3"/>
  <c r="H69" i="3"/>
  <c r="G69" i="3"/>
  <c r="J68" i="3"/>
  <c r="I68" i="3"/>
  <c r="H68" i="3"/>
  <c r="G68" i="3"/>
  <c r="J67" i="3"/>
  <c r="I67" i="3"/>
  <c r="H67" i="3"/>
  <c r="G67" i="3"/>
  <c r="J66" i="3"/>
  <c r="I66" i="3"/>
  <c r="H66" i="3"/>
  <c r="G66" i="3"/>
  <c r="J65" i="3"/>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l="1"/>
  <c r="I4" i="3"/>
  <c r="H4" i="3"/>
  <c r="G4" i="3"/>
  <c r="A27" i="8" l="1"/>
  <c r="A28" i="8"/>
  <c r="B27" i="8"/>
  <c r="B28" i="8"/>
  <c r="D27" i="8"/>
  <c r="D28" i="8"/>
  <c r="E27" i="8"/>
  <c r="E28" i="8"/>
  <c r="A78" i="8" l="1"/>
  <c r="A79" i="8"/>
  <c r="A80" i="8"/>
  <c r="A81" i="8"/>
  <c r="A82" i="8"/>
  <c r="A83" i="8"/>
  <c r="A84" i="8"/>
  <c r="A85" i="8"/>
  <c r="A86" i="8"/>
  <c r="A87" i="8"/>
  <c r="A88" i="8"/>
  <c r="B78" i="8"/>
  <c r="B79" i="8"/>
  <c r="B80" i="8"/>
  <c r="B81" i="8"/>
  <c r="B82" i="8"/>
  <c r="B83" i="8"/>
  <c r="B84" i="8"/>
  <c r="B85" i="8"/>
  <c r="B86" i="8"/>
  <c r="B87" i="8"/>
  <c r="B88" i="8"/>
  <c r="D78" i="8"/>
  <c r="D79" i="8"/>
  <c r="D80" i="8"/>
  <c r="D81" i="8"/>
  <c r="D82" i="8"/>
  <c r="D83" i="8"/>
  <c r="D84" i="8"/>
  <c r="D85" i="8"/>
  <c r="D86" i="8"/>
  <c r="D87" i="8"/>
  <c r="D88" i="8"/>
  <c r="E78" i="8"/>
  <c r="E79" i="8"/>
  <c r="E80" i="8"/>
  <c r="E81" i="8"/>
  <c r="E82" i="8"/>
  <c r="E83" i="8"/>
  <c r="E84" i="8"/>
  <c r="E85" i="8"/>
  <c r="E86" i="8"/>
  <c r="E87" i="8"/>
  <c r="E88" i="8"/>
  <c r="A77" i="8" l="1"/>
  <c r="B77" i="8"/>
  <c r="D77" i="8"/>
  <c r="E77" i="8"/>
  <c r="A49" i="5" l="1"/>
  <c r="L49" i="5" l="1"/>
  <c r="A57" i="5" l="1"/>
  <c r="A67" i="5"/>
  <c r="A70" i="5"/>
  <c r="A66" i="5"/>
  <c r="A63" i="5"/>
  <c r="A60" i="5"/>
  <c r="A65" i="5"/>
  <c r="A59" i="5"/>
  <c r="A62" i="5"/>
  <c r="A69" i="5"/>
  <c r="A64" i="5"/>
  <c r="A68" i="5"/>
  <c r="A61" i="5"/>
  <c r="A58" i="5"/>
  <c r="A51" i="5"/>
  <c r="A52" i="5"/>
  <c r="A53" i="5"/>
  <c r="A54" i="5"/>
  <c r="A55" i="5"/>
  <c r="A56" i="5"/>
  <c r="F56" i="5" s="1"/>
  <c r="I65" i="5" l="1"/>
  <c r="B65" i="5"/>
  <c r="G65" i="5"/>
  <c r="J65" i="5"/>
  <c r="F65" i="5"/>
  <c r="K65" i="5"/>
  <c r="D65" i="5"/>
  <c r="C65" i="5"/>
  <c r="H65" i="5"/>
  <c r="G58" i="5"/>
  <c r="H58" i="5"/>
  <c r="I58" i="5"/>
  <c r="F58" i="5"/>
  <c r="B58" i="5"/>
  <c r="J58" i="5"/>
  <c r="K58" i="5"/>
  <c r="C58" i="5"/>
  <c r="D58" i="5"/>
  <c r="K60" i="5"/>
  <c r="C60" i="5"/>
  <c r="D60" i="5"/>
  <c r="F60" i="5"/>
  <c r="I60" i="5"/>
  <c r="J60" i="5"/>
  <c r="B60" i="5"/>
  <c r="G60" i="5"/>
  <c r="H60" i="5"/>
  <c r="I61" i="5"/>
  <c r="B61" i="5"/>
  <c r="K61" i="5"/>
  <c r="D61" i="5"/>
  <c r="F61" i="5"/>
  <c r="J61" i="5"/>
  <c r="C61" i="5"/>
  <c r="G61" i="5"/>
  <c r="H61" i="5"/>
  <c r="D63" i="5"/>
  <c r="C63" i="5"/>
  <c r="G63" i="5"/>
  <c r="H63" i="5"/>
  <c r="F63" i="5"/>
  <c r="J63" i="5"/>
  <c r="I63" i="5"/>
  <c r="B63" i="5"/>
  <c r="K63" i="5"/>
  <c r="K68" i="5"/>
  <c r="D68" i="5"/>
  <c r="G68" i="5"/>
  <c r="J68" i="5"/>
  <c r="F68" i="5"/>
  <c r="C68" i="5"/>
  <c r="H68" i="5"/>
  <c r="I68" i="5"/>
  <c r="B68" i="5"/>
  <c r="G66" i="5"/>
  <c r="F66" i="5"/>
  <c r="J66" i="5"/>
  <c r="I66" i="5"/>
  <c r="D66" i="5"/>
  <c r="C66" i="5"/>
  <c r="H66" i="5"/>
  <c r="K66" i="5"/>
  <c r="B66" i="5"/>
  <c r="K64" i="5"/>
  <c r="C64" i="5"/>
  <c r="F64" i="5"/>
  <c r="H64" i="5"/>
  <c r="D64" i="5"/>
  <c r="G64" i="5"/>
  <c r="B64" i="5"/>
  <c r="I64" i="5"/>
  <c r="J64" i="5"/>
  <c r="G70" i="5"/>
  <c r="H70" i="5"/>
  <c r="D70" i="5"/>
  <c r="J70" i="5"/>
  <c r="B70" i="5"/>
  <c r="F70" i="5"/>
  <c r="K70" i="5"/>
  <c r="I70" i="5"/>
  <c r="C70" i="5"/>
  <c r="I69" i="5"/>
  <c r="K69" i="5"/>
  <c r="B69" i="5"/>
  <c r="D69" i="5"/>
  <c r="H69" i="5"/>
  <c r="C69" i="5"/>
  <c r="J69" i="5"/>
  <c r="F69" i="5"/>
  <c r="G69" i="5"/>
  <c r="D67" i="5"/>
  <c r="G67" i="5"/>
  <c r="H67" i="5"/>
  <c r="I67" i="5"/>
  <c r="F67" i="5"/>
  <c r="B67" i="5"/>
  <c r="J67" i="5"/>
  <c r="K67" i="5"/>
  <c r="C67" i="5"/>
  <c r="G62" i="5"/>
  <c r="H62" i="5"/>
  <c r="J62" i="5"/>
  <c r="B62" i="5"/>
  <c r="C62" i="5"/>
  <c r="K62" i="5"/>
  <c r="D62" i="5"/>
  <c r="I62" i="5"/>
  <c r="F62" i="5"/>
  <c r="D59" i="5"/>
  <c r="G59" i="5"/>
  <c r="B59" i="5"/>
  <c r="K59" i="5"/>
  <c r="I59" i="5"/>
  <c r="C59" i="5"/>
  <c r="H59" i="5"/>
  <c r="J59" i="5"/>
  <c r="F59" i="5"/>
  <c r="K54" i="5"/>
  <c r="J54" i="5"/>
  <c r="I54" i="5"/>
  <c r="H54" i="5"/>
  <c r="U27" i="2"/>
  <c r="U26" i="2"/>
  <c r="U25" i="2"/>
  <c r="U24" i="2"/>
  <c r="U23" i="2"/>
  <c r="U22" i="2"/>
  <c r="U21" i="2"/>
  <c r="U20" i="2"/>
  <c r="U19" i="2"/>
  <c r="U18" i="2"/>
  <c r="U17" i="2"/>
  <c r="U16" i="2"/>
  <c r="U15" i="2"/>
  <c r="U14" i="2"/>
  <c r="U13" i="2"/>
  <c r="U12" i="2"/>
  <c r="U11" i="2"/>
  <c r="U10" i="2"/>
  <c r="U9" i="2"/>
  <c r="U8" i="2"/>
  <c r="U7" i="2"/>
  <c r="U6" i="2"/>
  <c r="U5" i="2"/>
  <c r="U4" i="2"/>
  <c r="S27" i="2"/>
  <c r="S26" i="2"/>
  <c r="S25" i="2"/>
  <c r="S24" i="2"/>
  <c r="S23" i="2"/>
  <c r="S22" i="2"/>
  <c r="S21" i="2"/>
  <c r="S20" i="2"/>
  <c r="S19" i="2"/>
  <c r="S18" i="2"/>
  <c r="S17" i="2"/>
  <c r="S16" i="2"/>
  <c r="S15" i="2"/>
  <c r="S14" i="2"/>
  <c r="S13" i="2"/>
  <c r="S12" i="2"/>
  <c r="S11" i="2"/>
  <c r="S10" i="2"/>
  <c r="S9" i="2"/>
  <c r="S8" i="2"/>
  <c r="S7" i="2"/>
  <c r="S6" i="2"/>
  <c r="S5" i="2"/>
  <c r="S4" i="2"/>
  <c r="Q27" i="2"/>
  <c r="Q26" i="2"/>
  <c r="Q25" i="2"/>
  <c r="Q24" i="2"/>
  <c r="Q23" i="2"/>
  <c r="Q22" i="2"/>
  <c r="Q21" i="2"/>
  <c r="Q20" i="2"/>
  <c r="Q19" i="2"/>
  <c r="Q18" i="2"/>
  <c r="Q17" i="2"/>
  <c r="Q16" i="2"/>
  <c r="Q15" i="2"/>
  <c r="Q14" i="2"/>
  <c r="Q13" i="2"/>
  <c r="Q12" i="2"/>
  <c r="Q11" i="2"/>
  <c r="Q10" i="2"/>
  <c r="Q9" i="2"/>
  <c r="Q8" i="2"/>
  <c r="Q7" i="2"/>
  <c r="Q6" i="2"/>
  <c r="Q5" i="2"/>
  <c r="Q4" i="2"/>
  <c r="O27" i="2"/>
  <c r="O26" i="2"/>
  <c r="O25" i="2"/>
  <c r="O24" i="2"/>
  <c r="O23" i="2"/>
  <c r="O22" i="2"/>
  <c r="O21" i="2"/>
  <c r="O20" i="2"/>
  <c r="O19" i="2"/>
  <c r="O18" i="2"/>
  <c r="O17" i="2"/>
  <c r="O16" i="2"/>
  <c r="O15" i="2"/>
  <c r="O14" i="2"/>
  <c r="O13" i="2"/>
  <c r="O12" i="2"/>
  <c r="O11" i="2"/>
  <c r="O10" i="2"/>
  <c r="O9" i="2"/>
  <c r="O8" i="2"/>
  <c r="O7" i="2"/>
  <c r="O6" i="2"/>
  <c r="O5" i="2"/>
  <c r="O4" i="2"/>
  <c r="G6" i="5" l="1"/>
  <c r="G5" i="5"/>
  <c r="AM27" i="2" l="1"/>
  <c r="AM15" i="2"/>
  <c r="AM23" i="2" l="1"/>
  <c r="AM19" i="2"/>
  <c r="AM17" i="2"/>
  <c r="K57" i="5"/>
  <c r="J57" i="5"/>
  <c r="I57" i="5"/>
  <c r="H57" i="5"/>
  <c r="K56" i="5"/>
  <c r="J56" i="5"/>
  <c r="I56" i="5"/>
  <c r="H56" i="5"/>
  <c r="K53" i="5"/>
  <c r="J53" i="5"/>
  <c r="I53" i="5"/>
  <c r="H53" i="5"/>
  <c r="K52" i="5"/>
  <c r="J52" i="5"/>
  <c r="I52" i="5"/>
  <c r="H52" i="5"/>
  <c r="K51" i="5"/>
  <c r="J51" i="5"/>
  <c r="I51" i="5"/>
  <c r="H51" i="5"/>
  <c r="K55" i="5"/>
  <c r="J55" i="5"/>
  <c r="I55" i="5"/>
  <c r="H55" i="5"/>
  <c r="AV17" i="2" l="1"/>
  <c r="AO17" i="2"/>
  <c r="AP17" i="2"/>
  <c r="AQ17" i="2"/>
  <c r="AR17" i="2"/>
  <c r="AS17" i="2"/>
  <c r="AT17" i="2"/>
  <c r="AU17" i="2"/>
  <c r="AN17" i="2"/>
  <c r="E41" i="8" l="1"/>
  <c r="D41" i="8"/>
  <c r="B41" i="8"/>
  <c r="A41" i="8"/>
  <c r="E40" i="8"/>
  <c r="D40" i="8"/>
  <c r="B40" i="8"/>
  <c r="A40" i="8"/>
  <c r="E39" i="8"/>
  <c r="D39" i="8"/>
  <c r="B39" i="8"/>
  <c r="A39" i="8"/>
  <c r="E38" i="8"/>
  <c r="D38" i="8"/>
  <c r="B38" i="8"/>
  <c r="A38" i="8"/>
  <c r="E37" i="8"/>
  <c r="D37" i="8"/>
  <c r="B37" i="8"/>
  <c r="A37" i="8"/>
  <c r="E36" i="8"/>
  <c r="D36" i="8"/>
  <c r="B36" i="8"/>
  <c r="A36" i="8"/>
  <c r="E35" i="8"/>
  <c r="D35" i="8"/>
  <c r="B35" i="8"/>
  <c r="A35" i="8"/>
  <c r="A50" i="8"/>
  <c r="B50" i="8"/>
  <c r="D50" i="8"/>
  <c r="E50" i="8"/>
  <c r="E49" i="8"/>
  <c r="D49" i="8"/>
  <c r="B49" i="8"/>
  <c r="A49" i="8"/>
  <c r="E48" i="8"/>
  <c r="D48" i="8"/>
  <c r="B48" i="8"/>
  <c r="A48" i="8"/>
  <c r="E47" i="8"/>
  <c r="D47" i="8"/>
  <c r="B47" i="8"/>
  <c r="A47" i="8"/>
  <c r="E46" i="8"/>
  <c r="D46" i="8"/>
  <c r="B46" i="8"/>
  <c r="A46" i="8"/>
  <c r="E45" i="8"/>
  <c r="D45" i="8"/>
  <c r="B45" i="8"/>
  <c r="A45" i="8"/>
  <c r="E44" i="8"/>
  <c r="D44" i="8"/>
  <c r="B44" i="8"/>
  <c r="A44" i="8"/>
  <c r="A54" i="8"/>
  <c r="M84" i="3" l="1"/>
  <c r="N84" i="3"/>
  <c r="N54" i="3"/>
  <c r="N87" i="3"/>
  <c r="N67" i="3"/>
  <c r="N86" i="3"/>
  <c r="N8" i="3"/>
  <c r="N96" i="3"/>
  <c r="N89" i="3"/>
  <c r="N70" i="3"/>
  <c r="N97" i="3"/>
  <c r="N11" i="3"/>
  <c r="N12" i="3"/>
  <c r="N101" i="3"/>
  <c r="N60" i="3"/>
  <c r="N58" i="3"/>
  <c r="N88" i="3"/>
  <c r="N52" i="3"/>
  <c r="N98" i="3"/>
  <c r="N80" i="3"/>
  <c r="N99" i="3"/>
  <c r="N102" i="3"/>
  <c r="N57" i="3"/>
  <c r="N94" i="3"/>
  <c r="M86" i="3"/>
  <c r="M99" i="3"/>
  <c r="M89" i="3"/>
  <c r="M12" i="3"/>
  <c r="M8" i="3"/>
  <c r="M88" i="3"/>
  <c r="M58" i="3"/>
  <c r="M54" i="3"/>
  <c r="M101" i="3"/>
  <c r="M87" i="3"/>
  <c r="M98" i="3"/>
  <c r="M57" i="3"/>
  <c r="M102" i="3"/>
  <c r="M94" i="3"/>
  <c r="M11" i="3"/>
  <c r="M80" i="3"/>
  <c r="M70" i="3"/>
  <c r="M96" i="3"/>
  <c r="M67" i="3"/>
  <c r="M97" i="3"/>
  <c r="M60" i="3"/>
  <c r="M52" i="3"/>
  <c r="M77" i="3"/>
  <c r="M39" i="3"/>
  <c r="N77" i="3"/>
  <c r="N39" i="3"/>
  <c r="M5" i="3"/>
  <c r="M90" i="3"/>
  <c r="M91" i="3"/>
  <c r="M92" i="3"/>
  <c r="M93" i="3"/>
  <c r="M9" i="3"/>
  <c r="M73" i="3"/>
  <c r="M74" i="3"/>
  <c r="M75" i="3"/>
  <c r="M72" i="3"/>
  <c r="M76" i="3"/>
  <c r="M65" i="3"/>
  <c r="M64" i="3"/>
  <c r="M71" i="3"/>
  <c r="M48" i="3"/>
  <c r="M62" i="3"/>
  <c r="M63" i="3"/>
  <c r="M66" i="3"/>
  <c r="M68" i="3"/>
  <c r="M53" i="3"/>
  <c r="M51" i="3"/>
  <c r="M56" i="3"/>
  <c r="M55" i="3"/>
  <c r="M41" i="3"/>
  <c r="M69" i="3"/>
  <c r="M42" i="3"/>
  <c r="M43" i="3"/>
  <c r="M44" i="3"/>
  <c r="M45" i="3"/>
  <c r="M59" i="3"/>
  <c r="M61" i="3"/>
  <c r="M46" i="3"/>
  <c r="M47" i="3"/>
  <c r="M49" i="3"/>
  <c r="M7" i="3"/>
  <c r="M50" i="3"/>
  <c r="M100" i="3"/>
  <c r="M35" i="3"/>
  <c r="M38" i="3"/>
  <c r="M4" i="3"/>
  <c r="M40" i="3"/>
  <c r="M10" i="3"/>
  <c r="M17" i="3"/>
  <c r="M18" i="3"/>
  <c r="M14" i="3"/>
  <c r="M16" i="3"/>
  <c r="M13" i="3"/>
  <c r="M15" i="3"/>
  <c r="M21" i="3"/>
  <c r="M19" i="3"/>
  <c r="M23" i="3"/>
  <c r="M24" i="3"/>
  <c r="M20" i="3"/>
  <c r="M22" i="3"/>
  <c r="M27" i="3"/>
  <c r="M26" i="3"/>
  <c r="M25" i="3"/>
  <c r="M95" i="3"/>
  <c r="M29" i="3"/>
  <c r="M28" i="3"/>
  <c r="M6" i="3"/>
  <c r="M78" i="3"/>
  <c r="M79" i="3"/>
  <c r="M81" i="3"/>
  <c r="M82" i="3"/>
  <c r="M83" i="3"/>
  <c r="M85" i="3"/>
  <c r="M36" i="3"/>
  <c r="M33" i="3"/>
  <c r="M34" i="3"/>
  <c r="M32" i="3"/>
  <c r="M31" i="3"/>
  <c r="M37" i="3"/>
  <c r="M30" i="3"/>
  <c r="N5" i="3"/>
  <c r="N90" i="3"/>
  <c r="N91" i="3"/>
  <c r="N92" i="3"/>
  <c r="N93" i="3"/>
  <c r="N9" i="3"/>
  <c r="N73" i="3"/>
  <c r="N74" i="3"/>
  <c r="N75" i="3"/>
  <c r="N72" i="3"/>
  <c r="N76" i="3"/>
  <c r="N65" i="3"/>
  <c r="N64" i="3"/>
  <c r="N71" i="3"/>
  <c r="N48" i="3"/>
  <c r="N62" i="3"/>
  <c r="N63" i="3"/>
  <c r="N66" i="3"/>
  <c r="N68" i="3"/>
  <c r="N53" i="3"/>
  <c r="N51" i="3"/>
  <c r="N56" i="3"/>
  <c r="N55" i="3"/>
  <c r="N41" i="3"/>
  <c r="N69" i="3"/>
  <c r="N42" i="3"/>
  <c r="N43" i="3"/>
  <c r="N44" i="3"/>
  <c r="N45" i="3"/>
  <c r="N59" i="3"/>
  <c r="N61" i="3"/>
  <c r="N46" i="3"/>
  <c r="N47" i="3"/>
  <c r="N49" i="3"/>
  <c r="N7" i="3"/>
  <c r="N50" i="3"/>
  <c r="N100" i="3"/>
  <c r="N35" i="3"/>
  <c r="N38" i="3"/>
  <c r="N4" i="3"/>
  <c r="N40" i="3"/>
  <c r="N10" i="3"/>
  <c r="N17" i="3"/>
  <c r="N18" i="3"/>
  <c r="N14" i="3"/>
  <c r="N16" i="3"/>
  <c r="N13" i="3"/>
  <c r="N15" i="3"/>
  <c r="N21" i="3"/>
  <c r="N19" i="3"/>
  <c r="N23" i="3"/>
  <c r="N24" i="3"/>
  <c r="N20" i="3"/>
  <c r="N22" i="3"/>
  <c r="N27" i="3"/>
  <c r="N26" i="3"/>
  <c r="N25" i="3"/>
  <c r="N95" i="3"/>
  <c r="N29" i="3"/>
  <c r="N28" i="3"/>
  <c r="N6" i="3"/>
  <c r="N78" i="3"/>
  <c r="N79" i="3"/>
  <c r="N81" i="3"/>
  <c r="N82" i="3"/>
  <c r="N83" i="3"/>
  <c r="N85" i="3"/>
  <c r="N36" i="3"/>
  <c r="N33" i="3"/>
  <c r="N34" i="3"/>
  <c r="N32" i="3"/>
  <c r="N31" i="3"/>
  <c r="N37" i="3"/>
  <c r="N30" i="3"/>
  <c r="A104" i="8"/>
  <c r="A105" i="8"/>
  <c r="B104" i="8"/>
  <c r="B105" i="8"/>
  <c r="D104" i="8"/>
  <c r="D105" i="8"/>
  <c r="E104" i="8"/>
  <c r="E105" i="8"/>
  <c r="A95" i="8" l="1"/>
  <c r="A96" i="8"/>
  <c r="A97" i="8"/>
  <c r="A98" i="8"/>
  <c r="B95" i="8"/>
  <c r="B96" i="8"/>
  <c r="B97" i="8"/>
  <c r="B98" i="8"/>
  <c r="D95" i="8"/>
  <c r="D96" i="8"/>
  <c r="D97" i="8"/>
  <c r="D98" i="8"/>
  <c r="E95" i="8"/>
  <c r="E96" i="8"/>
  <c r="E97" i="8"/>
  <c r="E98" i="8"/>
  <c r="A76" i="8" l="1"/>
  <c r="B76" i="8"/>
  <c r="D76" i="8"/>
  <c r="E76" i="8"/>
  <c r="A75" i="8" l="1"/>
  <c r="B75" i="8"/>
  <c r="D75" i="8"/>
  <c r="E75" i="8"/>
  <c r="A62" i="8" l="1"/>
  <c r="A65" i="8"/>
  <c r="A66" i="8"/>
  <c r="A67" i="8"/>
  <c r="A68" i="8"/>
  <c r="B65" i="8"/>
  <c r="B66" i="8"/>
  <c r="B67" i="8"/>
  <c r="B68" i="8"/>
  <c r="D65" i="8"/>
  <c r="D66" i="8"/>
  <c r="D67" i="8"/>
  <c r="D68" i="8"/>
  <c r="E65" i="8"/>
  <c r="E66" i="8"/>
  <c r="E67" i="8"/>
  <c r="E68" i="8"/>
  <c r="AM11" i="2" l="1"/>
  <c r="AM7" i="2"/>
  <c r="L4" i="5"/>
  <c r="A37" i="5" l="1"/>
  <c r="A27" i="5"/>
  <c r="A26" i="5"/>
  <c r="A32" i="5"/>
  <c r="A30" i="5"/>
  <c r="A36" i="5"/>
  <c r="A31" i="5"/>
  <c r="A35" i="5"/>
  <c r="A25" i="5"/>
  <c r="A33" i="5"/>
  <c r="A23" i="5"/>
  <c r="A28" i="5"/>
  <c r="A38" i="5"/>
  <c r="A15" i="5"/>
  <c r="A13" i="5"/>
  <c r="A17" i="5"/>
  <c r="A16" i="5"/>
  <c r="A18" i="5"/>
  <c r="A40" i="5"/>
  <c r="A42" i="5"/>
  <c r="A44" i="5"/>
  <c r="A41" i="5"/>
  <c r="A43" i="5"/>
  <c r="A45" i="5"/>
  <c r="A46" i="5"/>
  <c r="A47" i="5"/>
  <c r="A20" i="5"/>
  <c r="A21" i="5"/>
  <c r="A12" i="5"/>
  <c r="A10" i="5"/>
  <c r="E10" i="5" s="1"/>
  <c r="A22" i="5"/>
  <c r="A11" i="5"/>
  <c r="K46" i="5" l="1"/>
  <c r="J46" i="5"/>
  <c r="I46" i="5"/>
  <c r="H46" i="5"/>
  <c r="I11" i="5"/>
  <c r="H11" i="5"/>
  <c r="J11" i="5"/>
  <c r="K11" i="5"/>
  <c r="K45" i="5"/>
  <c r="I45" i="5"/>
  <c r="H45" i="5"/>
  <c r="J45" i="5"/>
  <c r="K17" i="5"/>
  <c r="J17" i="5"/>
  <c r="I17" i="5"/>
  <c r="H17" i="5"/>
  <c r="E35" i="5"/>
  <c r="E36" i="5" s="1"/>
  <c r="E37" i="5" s="1"/>
  <c r="E38" i="5" s="1"/>
  <c r="K35" i="5"/>
  <c r="J35" i="5"/>
  <c r="I35" i="5"/>
  <c r="H35" i="5"/>
  <c r="K12" i="5"/>
  <c r="J12" i="5"/>
  <c r="I12" i="5"/>
  <c r="H12" i="5"/>
  <c r="E25" i="5"/>
  <c r="E26" i="5" s="1"/>
  <c r="E27" i="5" s="1"/>
  <c r="E28" i="5" s="1"/>
  <c r="J25" i="5"/>
  <c r="K25" i="5"/>
  <c r="I25" i="5"/>
  <c r="H25" i="5"/>
  <c r="K22" i="5"/>
  <c r="J22" i="5"/>
  <c r="I22" i="5"/>
  <c r="H22" i="5"/>
  <c r="K43" i="5"/>
  <c r="I43" i="5"/>
  <c r="H43" i="5"/>
  <c r="J43" i="5"/>
  <c r="K13" i="5"/>
  <c r="I13" i="5"/>
  <c r="H13" i="5"/>
  <c r="J13" i="5"/>
  <c r="K31" i="5"/>
  <c r="I31" i="5"/>
  <c r="J31" i="5"/>
  <c r="H31" i="5"/>
  <c r="K18" i="5"/>
  <c r="I18" i="5"/>
  <c r="J18" i="5"/>
  <c r="H18" i="5"/>
  <c r="E11" i="5"/>
  <c r="E12" i="5" s="1"/>
  <c r="E13" i="5" s="1"/>
  <c r="K10" i="5"/>
  <c r="J10" i="5"/>
  <c r="I10" i="5"/>
  <c r="H10" i="5"/>
  <c r="K41" i="5"/>
  <c r="I41" i="5"/>
  <c r="J41" i="5"/>
  <c r="H41" i="5"/>
  <c r="E15" i="5"/>
  <c r="E16" i="5" s="1"/>
  <c r="E17" i="5" s="1"/>
  <c r="E18" i="5" s="1"/>
  <c r="K15" i="5"/>
  <c r="J15" i="5"/>
  <c r="I15" i="5"/>
  <c r="H15" i="5"/>
  <c r="K36" i="5"/>
  <c r="J36" i="5"/>
  <c r="I36" i="5"/>
  <c r="H36" i="5"/>
  <c r="J44" i="5"/>
  <c r="K44" i="5"/>
  <c r="I44" i="5"/>
  <c r="H44" i="5"/>
  <c r="K38" i="5"/>
  <c r="I38" i="5"/>
  <c r="H38" i="5"/>
  <c r="J38" i="5"/>
  <c r="E30" i="5"/>
  <c r="E31" i="5" s="1"/>
  <c r="E32" i="5" s="1"/>
  <c r="E33" i="5" s="1"/>
  <c r="J30" i="5"/>
  <c r="K30" i="5"/>
  <c r="I30" i="5"/>
  <c r="H30" i="5"/>
  <c r="K42" i="5"/>
  <c r="J42" i="5"/>
  <c r="I42" i="5"/>
  <c r="H42" i="5"/>
  <c r="K32" i="5"/>
  <c r="J32" i="5"/>
  <c r="I32" i="5"/>
  <c r="H32" i="5"/>
  <c r="K21" i="5"/>
  <c r="I21" i="5"/>
  <c r="H21" i="5"/>
  <c r="J21" i="5"/>
  <c r="K28" i="5"/>
  <c r="I28" i="5"/>
  <c r="H28" i="5"/>
  <c r="J28" i="5"/>
  <c r="E20" i="5"/>
  <c r="E21" i="5" s="1"/>
  <c r="E22" i="5" s="1"/>
  <c r="E23" i="5" s="1"/>
  <c r="J20" i="5"/>
  <c r="K20" i="5"/>
  <c r="I20" i="5"/>
  <c r="H20" i="5"/>
  <c r="K40" i="5"/>
  <c r="J40" i="5"/>
  <c r="I40" i="5"/>
  <c r="H40" i="5"/>
  <c r="K23" i="5"/>
  <c r="J23" i="5"/>
  <c r="I23" i="5"/>
  <c r="H23" i="5"/>
  <c r="K26" i="5"/>
  <c r="I26" i="5"/>
  <c r="H26" i="5"/>
  <c r="J26" i="5"/>
  <c r="K33" i="5"/>
  <c r="I33" i="5"/>
  <c r="H33" i="5"/>
  <c r="J33" i="5"/>
  <c r="K27" i="5"/>
  <c r="J27" i="5"/>
  <c r="I27" i="5"/>
  <c r="H27" i="5"/>
  <c r="K16" i="5"/>
  <c r="I16" i="5"/>
  <c r="H16" i="5"/>
  <c r="J16" i="5"/>
  <c r="K37" i="5"/>
  <c r="J37" i="5"/>
  <c r="I37" i="5"/>
  <c r="H37" i="5"/>
  <c r="AM18" i="2"/>
  <c r="AM16" i="2"/>
  <c r="AM14" i="2"/>
  <c r="AM13" i="2"/>
  <c r="AM12" i="2"/>
  <c r="AM10" i="2"/>
  <c r="AM9" i="2"/>
  <c r="AM8" i="2"/>
  <c r="AM35" i="2"/>
  <c r="AM34" i="2"/>
  <c r="AV34" i="2" s="1"/>
  <c r="AM33" i="2"/>
  <c r="AP33" i="2" s="1"/>
  <c r="AM32" i="2"/>
  <c r="AS32" i="2" s="1"/>
  <c r="AM31" i="2"/>
  <c r="AM30" i="2"/>
  <c r="AM29" i="2"/>
  <c r="AP29" i="2" s="1"/>
  <c r="AM28" i="2"/>
  <c r="AS28" i="2" s="1"/>
  <c r="AM26" i="2"/>
  <c r="AM25" i="2"/>
  <c r="AM24" i="2"/>
  <c r="AM22" i="2"/>
  <c r="AM21" i="2"/>
  <c r="AM20" i="2"/>
  <c r="AM6" i="2"/>
  <c r="AM5" i="2"/>
  <c r="AM4" i="2"/>
  <c r="AV30" i="2" l="1"/>
  <c r="AT32" i="2"/>
  <c r="AT33" i="2"/>
  <c r="AO30" i="2"/>
  <c r="AO35" i="2"/>
  <c r="AP30" i="2"/>
  <c r="AT29" i="2"/>
  <c r="AO34" i="2"/>
  <c r="AN31" i="2"/>
  <c r="AP34" i="2"/>
  <c r="AQ34" i="2"/>
  <c r="AQ29" i="2"/>
  <c r="AQ33" i="2"/>
  <c r="AR34" i="2"/>
  <c r="AO29" i="2"/>
  <c r="AQ30" i="2"/>
  <c r="AO33" i="2"/>
  <c r="AR29" i="2"/>
  <c r="AR33" i="2"/>
  <c r="AS29" i="2"/>
  <c r="AO31" i="2"/>
  <c r="AS33" i="2"/>
  <c r="AN35" i="2"/>
  <c r="AP35" i="2"/>
  <c r="AT28" i="2"/>
  <c r="AR30" i="2"/>
  <c r="AP31" i="2"/>
  <c r="AN32" i="2"/>
  <c r="AV32" i="2"/>
  <c r="AU33" i="2"/>
  <c r="AS34" i="2"/>
  <c r="AQ35" i="2"/>
  <c r="AU32" i="2"/>
  <c r="AN28" i="2"/>
  <c r="AV28" i="2"/>
  <c r="AO28" i="2"/>
  <c r="AU29" i="2"/>
  <c r="AS30" i="2"/>
  <c r="AQ31" i="2"/>
  <c r="AO32" i="2"/>
  <c r="AP28" i="2"/>
  <c r="AN29" i="2"/>
  <c r="AV29" i="2"/>
  <c r="AT30" i="2"/>
  <c r="AR31" i="2"/>
  <c r="AP32" i="2"/>
  <c r="AN33" i="2"/>
  <c r="AV33" i="2"/>
  <c r="AT34" i="2"/>
  <c r="AR35" i="2"/>
  <c r="AU28" i="2"/>
  <c r="AQ28" i="2"/>
  <c r="AU30" i="2"/>
  <c r="AQ32" i="2"/>
  <c r="AU34" i="2"/>
  <c r="AR28" i="2"/>
  <c r="AN30" i="2"/>
  <c r="AR32" i="2"/>
  <c r="AN34" i="2"/>
  <c r="E114" i="8" l="1"/>
  <c r="D114" i="8"/>
  <c r="B114" i="8"/>
  <c r="A114" i="8"/>
  <c r="E113" i="8"/>
  <c r="D113" i="8"/>
  <c r="B113" i="8"/>
  <c r="A113" i="8"/>
  <c r="E112" i="8"/>
  <c r="D112" i="8"/>
  <c r="B112" i="8"/>
  <c r="A112" i="8"/>
  <c r="E111" i="8"/>
  <c r="D111" i="8"/>
  <c r="B111" i="8"/>
  <c r="A111" i="8"/>
  <c r="E74" i="8"/>
  <c r="D74" i="8"/>
  <c r="B74" i="8"/>
  <c r="A74" i="8"/>
  <c r="E73" i="8"/>
  <c r="D73" i="8"/>
  <c r="B73" i="8"/>
  <c r="A73" i="8"/>
  <c r="E72" i="8"/>
  <c r="D72" i="8"/>
  <c r="B72" i="8"/>
  <c r="A72" i="8"/>
  <c r="E71" i="8"/>
  <c r="D71" i="8"/>
  <c r="B71" i="8"/>
  <c r="A71" i="8"/>
  <c r="Q84" i="3" l="1"/>
  <c r="T84" i="3"/>
  <c r="Q87" i="3"/>
  <c r="Q86" i="3"/>
  <c r="Q89" i="3"/>
  <c r="Q88" i="3"/>
  <c r="Q80" i="3"/>
  <c r="Q60" i="3"/>
  <c r="Q58" i="3"/>
  <c r="Q8" i="3"/>
  <c r="Q70" i="3"/>
  <c r="Q52" i="3"/>
  <c r="Q11" i="3"/>
  <c r="Q12" i="3"/>
  <c r="Q54" i="3"/>
  <c r="Q57" i="3"/>
  <c r="Q94" i="3"/>
  <c r="Q96" i="3"/>
  <c r="Q97" i="3"/>
  <c r="Q98" i="3"/>
  <c r="Q99" i="3"/>
  <c r="Q101" i="3"/>
  <c r="Q102" i="3"/>
  <c r="Q67" i="3"/>
  <c r="T87" i="3"/>
  <c r="T86" i="3"/>
  <c r="T89" i="3"/>
  <c r="T88" i="3"/>
  <c r="T80" i="3"/>
  <c r="T60" i="3"/>
  <c r="T58" i="3"/>
  <c r="T8" i="3"/>
  <c r="T70" i="3"/>
  <c r="T52" i="3"/>
  <c r="T11" i="3"/>
  <c r="T12" i="3"/>
  <c r="T54" i="3"/>
  <c r="T57" i="3"/>
  <c r="T94" i="3"/>
  <c r="T96" i="3"/>
  <c r="T97" i="3"/>
  <c r="T98" i="3"/>
  <c r="T99" i="3"/>
  <c r="T101" i="3"/>
  <c r="T102" i="3"/>
  <c r="T67" i="3"/>
  <c r="Q77" i="3"/>
  <c r="Q39" i="3"/>
  <c r="T77" i="3"/>
  <c r="T39" i="3"/>
  <c r="Q5" i="3"/>
  <c r="Q90" i="3"/>
  <c r="Q91" i="3"/>
  <c r="Q92" i="3"/>
  <c r="Q93" i="3"/>
  <c r="Q9" i="3"/>
  <c r="Q73" i="3"/>
  <c r="Q74" i="3"/>
  <c r="Q75" i="3"/>
  <c r="Q72" i="3"/>
  <c r="Q76" i="3"/>
  <c r="Q65" i="3"/>
  <c r="Q64" i="3"/>
  <c r="Q71" i="3"/>
  <c r="Q48" i="3"/>
  <c r="Q62" i="3"/>
  <c r="Q63" i="3"/>
  <c r="Q66" i="3"/>
  <c r="Q68" i="3"/>
  <c r="Q53" i="3"/>
  <c r="Q51" i="3"/>
  <c r="Q56" i="3"/>
  <c r="Q55" i="3"/>
  <c r="Q41" i="3"/>
  <c r="Q69" i="3"/>
  <c r="Q42" i="3"/>
  <c r="Q43" i="3"/>
  <c r="Q44" i="3"/>
  <c r="Q45" i="3"/>
  <c r="Q59" i="3"/>
  <c r="Q61" i="3"/>
  <c r="Q46" i="3"/>
  <c r="Q47" i="3"/>
  <c r="Q49" i="3"/>
  <c r="Q7" i="3"/>
  <c r="Q50" i="3"/>
  <c r="Q100" i="3"/>
  <c r="Q35" i="3"/>
  <c r="Q38" i="3"/>
  <c r="Q4" i="3"/>
  <c r="Q40" i="3"/>
  <c r="Q10" i="3"/>
  <c r="Q17" i="3"/>
  <c r="Q18" i="3"/>
  <c r="Q14" i="3"/>
  <c r="Q16" i="3"/>
  <c r="Q13" i="3"/>
  <c r="Q15" i="3"/>
  <c r="Q21" i="3"/>
  <c r="Q19" i="3"/>
  <c r="Q23" i="3"/>
  <c r="Q24" i="3"/>
  <c r="Q20" i="3"/>
  <c r="Q22" i="3"/>
  <c r="Q27" i="3"/>
  <c r="Q26" i="3"/>
  <c r="Q25" i="3"/>
  <c r="Q95" i="3"/>
  <c r="Q29" i="3"/>
  <c r="Q28" i="3"/>
  <c r="Q6" i="3"/>
  <c r="Q78" i="3"/>
  <c r="Q79" i="3"/>
  <c r="Q81" i="3"/>
  <c r="Q82" i="3"/>
  <c r="Q83" i="3"/>
  <c r="Q85" i="3"/>
  <c r="Q36" i="3"/>
  <c r="Q33" i="3"/>
  <c r="Q34" i="3"/>
  <c r="Q32" i="3"/>
  <c r="Q31" i="3"/>
  <c r="Q37" i="3"/>
  <c r="Q30" i="3"/>
  <c r="T4" i="3"/>
  <c r="T5" i="3"/>
  <c r="T90" i="3"/>
  <c r="T91" i="3"/>
  <c r="T92" i="3"/>
  <c r="T93" i="3"/>
  <c r="T9" i="3"/>
  <c r="T73" i="3"/>
  <c r="T74" i="3"/>
  <c r="T75" i="3"/>
  <c r="T72" i="3"/>
  <c r="T76" i="3"/>
  <c r="T65" i="3"/>
  <c r="T64" i="3"/>
  <c r="T71" i="3"/>
  <c r="T48" i="3"/>
  <c r="T62" i="3"/>
  <c r="T63" i="3"/>
  <c r="T66" i="3"/>
  <c r="T68" i="3"/>
  <c r="T53" i="3"/>
  <c r="T51" i="3"/>
  <c r="T56" i="3"/>
  <c r="T55" i="3"/>
  <c r="T41" i="3"/>
  <c r="T69" i="3"/>
  <c r="T42" i="3"/>
  <c r="T43" i="3"/>
  <c r="T44" i="3"/>
  <c r="T45" i="3"/>
  <c r="T59" i="3"/>
  <c r="T61" i="3"/>
  <c r="T46" i="3"/>
  <c r="T47" i="3"/>
  <c r="T49" i="3"/>
  <c r="T7" i="3"/>
  <c r="T50" i="3"/>
  <c r="T100" i="3"/>
  <c r="T35" i="3"/>
  <c r="T38" i="3"/>
  <c r="T36" i="3"/>
  <c r="T33" i="3"/>
  <c r="T34" i="3"/>
  <c r="T32" i="3"/>
  <c r="T31" i="3"/>
  <c r="T37" i="3"/>
  <c r="T30" i="3"/>
  <c r="T40" i="3"/>
  <c r="T10" i="3"/>
  <c r="T17" i="3"/>
  <c r="T18" i="3"/>
  <c r="T14" i="3"/>
  <c r="T16" i="3"/>
  <c r="T13" i="3"/>
  <c r="T15" i="3"/>
  <c r="T21" i="3"/>
  <c r="T19" i="3"/>
  <c r="T23" i="3"/>
  <c r="T24" i="3"/>
  <c r="T20" i="3"/>
  <c r="T22" i="3"/>
  <c r="T27" i="3"/>
  <c r="T26" i="3"/>
  <c r="T25" i="3"/>
  <c r="T95" i="3"/>
  <c r="T29" i="3"/>
  <c r="T28" i="3"/>
  <c r="T6" i="3"/>
  <c r="T78" i="3"/>
  <c r="T79" i="3"/>
  <c r="T81" i="3"/>
  <c r="T82" i="3"/>
  <c r="T83" i="3"/>
  <c r="T85" i="3"/>
  <c r="A32" i="8"/>
  <c r="B32" i="8"/>
  <c r="D32" i="8"/>
  <c r="E32" i="8"/>
  <c r="C57" i="5" l="1"/>
  <c r="D57" i="5"/>
  <c r="B57" i="5"/>
  <c r="F57" i="5"/>
  <c r="G57" i="5"/>
  <c r="C56" i="5"/>
  <c r="D56" i="5"/>
  <c r="G56" i="5"/>
  <c r="B56" i="5"/>
  <c r="D55" i="5"/>
  <c r="F55" i="5"/>
  <c r="G55" i="5"/>
  <c r="B55" i="5"/>
  <c r="C55" i="5"/>
  <c r="C42" i="5"/>
  <c r="B42" i="5"/>
  <c r="G42" i="5"/>
  <c r="D42" i="5"/>
  <c r="G44" i="5"/>
  <c r="D44" i="5"/>
  <c r="B44" i="5"/>
  <c r="C44" i="5"/>
  <c r="D41" i="5"/>
  <c r="C41" i="5"/>
  <c r="G41" i="5"/>
  <c r="B41" i="5"/>
  <c r="D46" i="5"/>
  <c r="C46" i="5"/>
  <c r="G46" i="5"/>
  <c r="B46" i="5"/>
  <c r="G43" i="5"/>
  <c r="B43" i="5"/>
  <c r="C43" i="5"/>
  <c r="D43" i="5"/>
  <c r="D45" i="5"/>
  <c r="C45" i="5"/>
  <c r="B45" i="5"/>
  <c r="G45" i="5"/>
  <c r="G40" i="5"/>
  <c r="C40" i="5"/>
  <c r="D40" i="5"/>
  <c r="B40" i="5"/>
  <c r="G47" i="5"/>
  <c r="B47" i="5"/>
  <c r="C47" i="5"/>
  <c r="D47" i="5"/>
  <c r="G51" i="5"/>
  <c r="F53" i="5" l="1"/>
  <c r="D54" i="5"/>
  <c r="C51" i="5"/>
  <c r="D51" i="5"/>
  <c r="F51" i="5"/>
  <c r="B51" i="5"/>
  <c r="AR26" i="2"/>
  <c r="AR25" i="2"/>
  <c r="AR22" i="2"/>
  <c r="AR21" i="2"/>
  <c r="AR20" i="2"/>
  <c r="AR19" i="2"/>
  <c r="AR18" i="2"/>
  <c r="AR16" i="2"/>
  <c r="AR15" i="2"/>
  <c r="AR14" i="2"/>
  <c r="AR13" i="2"/>
  <c r="AR12" i="2"/>
  <c r="AR11" i="2"/>
  <c r="AR10" i="2"/>
  <c r="AR9" i="2"/>
  <c r="AR8" i="2"/>
  <c r="AR7" i="2"/>
  <c r="AR6" i="2"/>
  <c r="AR5" i="2"/>
  <c r="AR4" i="2"/>
  <c r="AP23" i="2" l="1"/>
  <c r="AR23" i="2"/>
  <c r="AO24" i="2"/>
  <c r="AR24" i="2"/>
  <c r="AU27" i="2"/>
  <c r="AR27" i="2"/>
  <c r="D52" i="5"/>
  <c r="B53" i="5"/>
  <c r="C54" i="5"/>
  <c r="G54" i="5"/>
  <c r="B54" i="5"/>
  <c r="F52" i="5"/>
  <c r="B52" i="5"/>
  <c r="G52" i="5"/>
  <c r="F54" i="5"/>
  <c r="D53" i="5"/>
  <c r="G53" i="5"/>
  <c r="C53" i="5"/>
  <c r="C52" i="5"/>
  <c r="AP24" i="2"/>
  <c r="AN26" i="2"/>
  <c r="AQ24" i="2"/>
  <c r="AP22" i="2"/>
  <c r="AO26" i="2"/>
  <c r="AQ22" i="2"/>
  <c r="AP26" i="2"/>
  <c r="AO22" i="2"/>
  <c r="AN22" i="2"/>
  <c r="AQ23" i="2"/>
  <c r="AO25" i="2"/>
  <c r="AP25" i="2"/>
  <c r="AN25" i="2"/>
  <c r="AQ25" i="2"/>
  <c r="AO27" i="2"/>
  <c r="AO20" i="2"/>
  <c r="AN21" i="2"/>
  <c r="AQ26" i="2"/>
  <c r="AP27" i="2"/>
  <c r="AN20" i="2"/>
  <c r="AP20" i="2"/>
  <c r="AP21" i="2"/>
  <c r="AQ21" i="2"/>
  <c r="AO23" i="2"/>
  <c r="AN24" i="2"/>
  <c r="AT27" i="2"/>
  <c r="AV27" i="2"/>
  <c r="AN27" i="2"/>
  <c r="AO21" i="2"/>
  <c r="AQ27" i="2"/>
  <c r="AQ20" i="2"/>
  <c r="AN23" i="2"/>
  <c r="AS27" i="2"/>
  <c r="AV21" i="2"/>
  <c r="AU21" i="2"/>
  <c r="AT21" i="2"/>
  <c r="AS21" i="2"/>
  <c r="AV20" i="2"/>
  <c r="AU20" i="2"/>
  <c r="AT20" i="2"/>
  <c r="AS20" i="2"/>
  <c r="AV24" i="2"/>
  <c r="AU24" i="2"/>
  <c r="AT24" i="2"/>
  <c r="AS24" i="2"/>
  <c r="AV23" i="2"/>
  <c r="AU23" i="2"/>
  <c r="AT23" i="2"/>
  <c r="AS23" i="2"/>
  <c r="AV26" i="2"/>
  <c r="AU26" i="2"/>
  <c r="AT26" i="2"/>
  <c r="AS26" i="2"/>
  <c r="AV25" i="2"/>
  <c r="AU25" i="2"/>
  <c r="AT25" i="2"/>
  <c r="AS25" i="2"/>
  <c r="AV22" i="2"/>
  <c r="AU22" i="2"/>
  <c r="AS22" i="2"/>
  <c r="I47" i="5"/>
  <c r="AT35" i="2" l="1"/>
  <c r="AT31" i="2"/>
  <c r="H47" i="5"/>
  <c r="J47" i="5"/>
  <c r="K47" i="5"/>
  <c r="AV35" i="2" l="1"/>
  <c r="AV31" i="2"/>
  <c r="AS31" i="2"/>
  <c r="AS35" i="2"/>
  <c r="AU31" i="2"/>
  <c r="AU35" i="2"/>
  <c r="AT22" i="2" l="1"/>
  <c r="E108" i="8"/>
  <c r="D108" i="8"/>
  <c r="B108" i="8"/>
  <c r="A108" i="8"/>
  <c r="E107" i="8"/>
  <c r="D107" i="8"/>
  <c r="B107" i="8"/>
  <c r="A107" i="8"/>
  <c r="E106" i="8"/>
  <c r="D106" i="8"/>
  <c r="B106" i="8"/>
  <c r="A106" i="8"/>
  <c r="E103" i="8"/>
  <c r="D103" i="8"/>
  <c r="B103" i="8"/>
  <c r="A103" i="8"/>
  <c r="E102" i="8"/>
  <c r="D102" i="8"/>
  <c r="B102" i="8"/>
  <c r="A102" i="8"/>
  <c r="E101" i="8"/>
  <c r="D101" i="8"/>
  <c r="B101" i="8"/>
  <c r="A101" i="8"/>
  <c r="S84" i="3" l="1"/>
  <c r="S87" i="3"/>
  <c r="S86" i="3"/>
  <c r="S89" i="3"/>
  <c r="S88" i="3"/>
  <c r="S80" i="3"/>
  <c r="S60" i="3"/>
  <c r="S58" i="3"/>
  <c r="S8" i="3"/>
  <c r="S70" i="3"/>
  <c r="S52" i="3"/>
  <c r="S11" i="3"/>
  <c r="S12" i="3"/>
  <c r="S54" i="3"/>
  <c r="S57" i="3"/>
  <c r="S94" i="3"/>
  <c r="S96" i="3"/>
  <c r="S97" i="3"/>
  <c r="S98" i="3"/>
  <c r="S99" i="3"/>
  <c r="S101" i="3"/>
  <c r="S102" i="3"/>
  <c r="S67" i="3"/>
  <c r="S77" i="3"/>
  <c r="S39" i="3"/>
  <c r="S5" i="3"/>
  <c r="S90" i="3"/>
  <c r="S91" i="3"/>
  <c r="S92" i="3"/>
  <c r="S93" i="3"/>
  <c r="S9" i="3"/>
  <c r="S73" i="3"/>
  <c r="S74" i="3"/>
  <c r="S75" i="3"/>
  <c r="S72" i="3"/>
  <c r="S76" i="3"/>
  <c r="S65" i="3"/>
  <c r="S64" i="3"/>
  <c r="S71" i="3"/>
  <c r="S48" i="3"/>
  <c r="S62" i="3"/>
  <c r="S63" i="3"/>
  <c r="S66" i="3"/>
  <c r="S68" i="3"/>
  <c r="S53" i="3"/>
  <c r="S51" i="3"/>
  <c r="S56" i="3"/>
  <c r="S55" i="3"/>
  <c r="S41" i="3"/>
  <c r="S69" i="3"/>
  <c r="S42" i="3"/>
  <c r="S43" i="3"/>
  <c r="S44" i="3"/>
  <c r="S45" i="3"/>
  <c r="S59" i="3"/>
  <c r="S61" i="3"/>
  <c r="S46" i="3"/>
  <c r="S47" i="3"/>
  <c r="S49" i="3"/>
  <c r="S7" i="3"/>
  <c r="S50" i="3"/>
  <c r="S100" i="3"/>
  <c r="S35" i="3"/>
  <c r="S38" i="3"/>
  <c r="S4" i="3"/>
  <c r="S40" i="3"/>
  <c r="S10" i="3"/>
  <c r="S17" i="3"/>
  <c r="S18" i="3"/>
  <c r="S14" i="3"/>
  <c r="S16" i="3"/>
  <c r="S13" i="3"/>
  <c r="S15" i="3"/>
  <c r="S21" i="3"/>
  <c r="S19" i="3"/>
  <c r="S23" i="3"/>
  <c r="S24" i="3"/>
  <c r="S20" i="3"/>
  <c r="S22" i="3"/>
  <c r="S27" i="3"/>
  <c r="S26" i="3"/>
  <c r="S25" i="3"/>
  <c r="S95" i="3"/>
  <c r="S29" i="3"/>
  <c r="S28" i="3"/>
  <c r="S6" i="3"/>
  <c r="S78" i="3"/>
  <c r="S79" i="3"/>
  <c r="S81" i="3"/>
  <c r="S82" i="3"/>
  <c r="S83" i="3"/>
  <c r="S85" i="3"/>
  <c r="S36" i="3"/>
  <c r="S33" i="3"/>
  <c r="S34" i="3"/>
  <c r="S32" i="3"/>
  <c r="S31" i="3"/>
  <c r="S37" i="3"/>
  <c r="S30" i="3"/>
  <c r="E94" i="8"/>
  <c r="D94" i="8"/>
  <c r="B94" i="8"/>
  <c r="A94" i="8"/>
  <c r="E93" i="8"/>
  <c r="D93" i="8"/>
  <c r="B93" i="8"/>
  <c r="A93" i="8"/>
  <c r="E92" i="8"/>
  <c r="D92" i="8"/>
  <c r="B92" i="8"/>
  <c r="A92" i="8"/>
  <c r="E91" i="8"/>
  <c r="D91" i="8"/>
  <c r="B91" i="8"/>
  <c r="A91" i="8"/>
  <c r="R84" i="3" l="1"/>
  <c r="R89" i="3"/>
  <c r="R11" i="3"/>
  <c r="R99" i="3"/>
  <c r="R86" i="3"/>
  <c r="R88" i="3"/>
  <c r="R12" i="3"/>
  <c r="R101" i="3"/>
  <c r="R97" i="3"/>
  <c r="R80" i="3"/>
  <c r="R54" i="3"/>
  <c r="R102" i="3"/>
  <c r="R60" i="3"/>
  <c r="R57" i="3"/>
  <c r="R67" i="3"/>
  <c r="R58" i="3"/>
  <c r="R94" i="3"/>
  <c r="R87" i="3"/>
  <c r="R52" i="3"/>
  <c r="R8" i="3"/>
  <c r="R96" i="3"/>
  <c r="R70" i="3"/>
  <c r="R98" i="3"/>
  <c r="R77" i="3"/>
  <c r="R39" i="3"/>
  <c r="R5" i="3"/>
  <c r="R90" i="3"/>
  <c r="R91" i="3"/>
  <c r="R92" i="3"/>
  <c r="R93" i="3"/>
  <c r="R9" i="3"/>
  <c r="R73" i="3"/>
  <c r="R74" i="3"/>
  <c r="R75" i="3"/>
  <c r="R72" i="3"/>
  <c r="R76" i="3"/>
  <c r="R65" i="3"/>
  <c r="R64" i="3"/>
  <c r="R71" i="3"/>
  <c r="R48" i="3"/>
  <c r="R62" i="3"/>
  <c r="R63" i="3"/>
  <c r="R66" i="3"/>
  <c r="R68" i="3"/>
  <c r="R53" i="3"/>
  <c r="R51" i="3"/>
  <c r="R56" i="3"/>
  <c r="R55" i="3"/>
  <c r="R41" i="3"/>
  <c r="R69" i="3"/>
  <c r="R42" i="3"/>
  <c r="R43" i="3"/>
  <c r="R44" i="3"/>
  <c r="R45" i="3"/>
  <c r="R59" i="3"/>
  <c r="R61" i="3"/>
  <c r="R46" i="3"/>
  <c r="R47" i="3"/>
  <c r="R49" i="3"/>
  <c r="R7" i="3"/>
  <c r="R50" i="3"/>
  <c r="R100" i="3"/>
  <c r="R35" i="3"/>
  <c r="R38" i="3"/>
  <c r="R4" i="3"/>
  <c r="R40" i="3"/>
  <c r="R10" i="3"/>
  <c r="R17" i="3"/>
  <c r="R18" i="3"/>
  <c r="R14" i="3"/>
  <c r="R16" i="3"/>
  <c r="R13" i="3"/>
  <c r="R15" i="3"/>
  <c r="R21" i="3"/>
  <c r="R19" i="3"/>
  <c r="R23" i="3"/>
  <c r="R24" i="3"/>
  <c r="R20" i="3"/>
  <c r="R22" i="3"/>
  <c r="R27" i="3"/>
  <c r="R26" i="3"/>
  <c r="R25" i="3"/>
  <c r="R95" i="3"/>
  <c r="R29" i="3"/>
  <c r="R28" i="3"/>
  <c r="R6" i="3"/>
  <c r="R78" i="3"/>
  <c r="R79" i="3"/>
  <c r="R81" i="3"/>
  <c r="R82" i="3"/>
  <c r="R83" i="3"/>
  <c r="R85" i="3"/>
  <c r="R36" i="3"/>
  <c r="R33" i="3"/>
  <c r="R34" i="3"/>
  <c r="R32" i="3"/>
  <c r="R31" i="3"/>
  <c r="R37" i="3"/>
  <c r="R30" i="3"/>
  <c r="E62" i="8"/>
  <c r="D62" i="8"/>
  <c r="B62" i="8"/>
  <c r="E63" i="8"/>
  <c r="D63" i="8"/>
  <c r="B63" i="8"/>
  <c r="A63" i="8"/>
  <c r="E61" i="8"/>
  <c r="D61" i="8"/>
  <c r="B61" i="8"/>
  <c r="A61" i="8"/>
  <c r="E64" i="8"/>
  <c r="D64" i="8"/>
  <c r="B64" i="8"/>
  <c r="A64" i="8"/>
  <c r="P84" i="3" l="1"/>
  <c r="P87" i="3"/>
  <c r="P70" i="3"/>
  <c r="P97" i="3"/>
  <c r="P86" i="3"/>
  <c r="P52" i="3"/>
  <c r="P58" i="3"/>
  <c r="P89" i="3"/>
  <c r="P11" i="3"/>
  <c r="P99" i="3"/>
  <c r="P88" i="3"/>
  <c r="P12" i="3"/>
  <c r="P101" i="3"/>
  <c r="P67" i="3"/>
  <c r="P80" i="3"/>
  <c r="P54" i="3"/>
  <c r="P102" i="3"/>
  <c r="P94" i="3"/>
  <c r="P60" i="3"/>
  <c r="P57" i="3"/>
  <c r="P8" i="3"/>
  <c r="P96" i="3"/>
  <c r="P98" i="3"/>
  <c r="P39" i="3"/>
  <c r="P77" i="3"/>
  <c r="P5" i="3"/>
  <c r="P90" i="3"/>
  <c r="P91" i="3"/>
  <c r="P92" i="3"/>
  <c r="P93" i="3"/>
  <c r="P9" i="3"/>
  <c r="P73" i="3"/>
  <c r="P74" i="3"/>
  <c r="P75" i="3"/>
  <c r="P72" i="3"/>
  <c r="P76" i="3"/>
  <c r="P65" i="3"/>
  <c r="P64" i="3"/>
  <c r="P71" i="3"/>
  <c r="P48" i="3"/>
  <c r="P62" i="3"/>
  <c r="P63" i="3"/>
  <c r="P66" i="3"/>
  <c r="P68" i="3"/>
  <c r="P53" i="3"/>
  <c r="P51" i="3"/>
  <c r="P56" i="3"/>
  <c r="P55" i="3"/>
  <c r="P41" i="3"/>
  <c r="P69" i="3"/>
  <c r="P42" i="3"/>
  <c r="P43" i="3"/>
  <c r="P44" i="3"/>
  <c r="P45" i="3"/>
  <c r="P59" i="3"/>
  <c r="P61" i="3"/>
  <c r="P46" i="3"/>
  <c r="P47" i="3"/>
  <c r="P49" i="3"/>
  <c r="P7" i="3"/>
  <c r="P50" i="3"/>
  <c r="P100" i="3"/>
  <c r="P35" i="3"/>
  <c r="P38" i="3"/>
  <c r="P4" i="3"/>
  <c r="P40" i="3"/>
  <c r="P10" i="3"/>
  <c r="P17" i="3"/>
  <c r="P18" i="3"/>
  <c r="P14" i="3"/>
  <c r="P16" i="3"/>
  <c r="P13" i="3"/>
  <c r="P15" i="3"/>
  <c r="P21" i="3"/>
  <c r="P19" i="3"/>
  <c r="P23" i="3"/>
  <c r="P24" i="3"/>
  <c r="P20" i="3"/>
  <c r="P22" i="3"/>
  <c r="P27" i="3"/>
  <c r="P26" i="3"/>
  <c r="P25" i="3"/>
  <c r="P95" i="3"/>
  <c r="P29" i="3"/>
  <c r="P28" i="3"/>
  <c r="P6" i="3"/>
  <c r="P78" i="3"/>
  <c r="P79" i="3"/>
  <c r="P81" i="3"/>
  <c r="P82" i="3"/>
  <c r="P83" i="3"/>
  <c r="P85" i="3"/>
  <c r="P36" i="3"/>
  <c r="P33" i="3"/>
  <c r="P34" i="3"/>
  <c r="P32" i="3"/>
  <c r="P31" i="3"/>
  <c r="P37" i="3"/>
  <c r="P30" i="3"/>
  <c r="A25" i="8"/>
  <c r="A26" i="8"/>
  <c r="A29" i="8"/>
  <c r="A30" i="8"/>
  <c r="A31" i="8"/>
  <c r="B25" i="8"/>
  <c r="B26" i="8"/>
  <c r="B29" i="8"/>
  <c r="B30" i="8"/>
  <c r="B31" i="8"/>
  <c r="D25" i="8"/>
  <c r="D26" i="8"/>
  <c r="D29" i="8"/>
  <c r="D30" i="8"/>
  <c r="D31" i="8"/>
  <c r="E25" i="8"/>
  <c r="E26" i="8"/>
  <c r="E29" i="8"/>
  <c r="E30" i="8"/>
  <c r="E31" i="8"/>
  <c r="A24" i="8"/>
  <c r="B24" i="8"/>
  <c r="D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D7" i="8"/>
  <c r="D8" i="8"/>
  <c r="D9" i="8"/>
  <c r="D10" i="8"/>
  <c r="D11" i="8"/>
  <c r="D12" i="8"/>
  <c r="D13" i="8"/>
  <c r="D14" i="8"/>
  <c r="D15" i="8"/>
  <c r="D16" i="8"/>
  <c r="D17" i="8"/>
  <c r="D18" i="8"/>
  <c r="D19" i="8"/>
  <c r="D20" i="8"/>
  <c r="D21" i="8"/>
  <c r="D22" i="8"/>
  <c r="D23" i="8"/>
  <c r="E7" i="8"/>
  <c r="E8" i="8"/>
  <c r="E9" i="8"/>
  <c r="E10" i="8"/>
  <c r="E11" i="8"/>
  <c r="E12" i="8"/>
  <c r="E13" i="8"/>
  <c r="E14" i="8"/>
  <c r="E15" i="8"/>
  <c r="E16" i="8"/>
  <c r="E17" i="8"/>
  <c r="E18" i="8"/>
  <c r="E19" i="8"/>
  <c r="E20" i="8"/>
  <c r="E21" i="8"/>
  <c r="E22" i="8"/>
  <c r="E23" i="8"/>
  <c r="L40" i="3" l="1"/>
  <c r="B53" i="8"/>
  <c r="E53" i="8"/>
  <c r="E54" i="8"/>
  <c r="E55" i="8"/>
  <c r="E56" i="8"/>
  <c r="E57" i="8"/>
  <c r="E58" i="8"/>
  <c r="D53" i="8"/>
  <c r="D54" i="8"/>
  <c r="D55" i="8"/>
  <c r="D56" i="8"/>
  <c r="D57" i="8"/>
  <c r="D58" i="8"/>
  <c r="B54" i="8"/>
  <c r="B55" i="8"/>
  <c r="B56" i="8"/>
  <c r="B57" i="8"/>
  <c r="B58" i="8"/>
  <c r="A53" i="8"/>
  <c r="A55" i="8"/>
  <c r="A56" i="8"/>
  <c r="A57" i="8"/>
  <c r="A58" i="8"/>
  <c r="E3" i="8"/>
  <c r="E4" i="8"/>
  <c r="E5" i="8"/>
  <c r="E6" i="8"/>
  <c r="D3" i="8"/>
  <c r="D4" i="8"/>
  <c r="D5" i="8"/>
  <c r="D6" i="8"/>
  <c r="B3" i="8"/>
  <c r="B4" i="8"/>
  <c r="B5" i="8"/>
  <c r="B6" i="8"/>
  <c r="A4" i="8"/>
  <c r="A5" i="8"/>
  <c r="A6" i="8"/>
  <c r="L84" i="3" l="1"/>
  <c r="O84" i="3"/>
  <c r="L87" i="3"/>
  <c r="L86" i="3"/>
  <c r="L89" i="3"/>
  <c r="L88" i="3"/>
  <c r="L80" i="3"/>
  <c r="L54" i="3"/>
  <c r="L102" i="3"/>
  <c r="L12" i="3"/>
  <c r="L60" i="3"/>
  <c r="L57" i="3"/>
  <c r="L67" i="3"/>
  <c r="L58" i="3"/>
  <c r="L94" i="3"/>
  <c r="L97" i="3"/>
  <c r="L8" i="3"/>
  <c r="L96" i="3"/>
  <c r="L70" i="3"/>
  <c r="L101" i="3"/>
  <c r="L52" i="3"/>
  <c r="L98" i="3"/>
  <c r="L11" i="3"/>
  <c r="L99" i="3"/>
  <c r="O87" i="3"/>
  <c r="O86" i="3"/>
  <c r="O89" i="3"/>
  <c r="O88" i="3"/>
  <c r="O80" i="3"/>
  <c r="O60" i="3"/>
  <c r="O58" i="3"/>
  <c r="O8" i="3"/>
  <c r="O70" i="3"/>
  <c r="O52" i="3"/>
  <c r="O11" i="3"/>
  <c r="O12" i="3"/>
  <c r="O54" i="3"/>
  <c r="O57" i="3"/>
  <c r="O94" i="3"/>
  <c r="O96" i="3"/>
  <c r="O97" i="3"/>
  <c r="O98" i="3"/>
  <c r="O99" i="3"/>
  <c r="O101" i="3"/>
  <c r="O102" i="3"/>
  <c r="O67" i="3"/>
  <c r="L39" i="3"/>
  <c r="O39" i="3"/>
  <c r="L77" i="3"/>
  <c r="O77" i="3"/>
  <c r="L5" i="3"/>
  <c r="L90" i="3"/>
  <c r="L91" i="3"/>
  <c r="L92" i="3"/>
  <c r="L93" i="3"/>
  <c r="L9" i="3"/>
  <c r="L73" i="3"/>
  <c r="L74" i="3"/>
  <c r="L75" i="3"/>
  <c r="L72" i="3"/>
  <c r="L76" i="3"/>
  <c r="L65" i="3"/>
  <c r="L64" i="3"/>
  <c r="L71" i="3"/>
  <c r="L48" i="3"/>
  <c r="L62" i="3"/>
  <c r="L63" i="3"/>
  <c r="L66" i="3"/>
  <c r="L68" i="3"/>
  <c r="L53" i="3"/>
  <c r="L51" i="3"/>
  <c r="L56" i="3"/>
  <c r="L55" i="3"/>
  <c r="L41" i="3"/>
  <c r="L69" i="3"/>
  <c r="L42" i="3"/>
  <c r="L43" i="3"/>
  <c r="L44" i="3"/>
  <c r="L45" i="3"/>
  <c r="L59" i="3"/>
  <c r="L61" i="3"/>
  <c r="L46" i="3"/>
  <c r="L47" i="3"/>
  <c r="L49" i="3"/>
  <c r="L7" i="3"/>
  <c r="L50" i="3"/>
  <c r="L100" i="3"/>
  <c r="L35" i="3"/>
  <c r="L38" i="3"/>
  <c r="L36" i="3"/>
  <c r="L33" i="3"/>
  <c r="L34" i="3"/>
  <c r="L32" i="3"/>
  <c r="L31" i="3"/>
  <c r="L37" i="3"/>
  <c r="L30" i="3"/>
  <c r="L10" i="3"/>
  <c r="L17" i="3"/>
  <c r="L18" i="3"/>
  <c r="L14" i="3"/>
  <c r="L16" i="3"/>
  <c r="L13" i="3"/>
  <c r="L15" i="3"/>
  <c r="L21" i="3"/>
  <c r="L19" i="3"/>
  <c r="L23" i="3"/>
  <c r="L24" i="3"/>
  <c r="L20" i="3"/>
  <c r="L22" i="3"/>
  <c r="L27" i="3"/>
  <c r="L26" i="3"/>
  <c r="L25" i="3"/>
  <c r="L95" i="3"/>
  <c r="L29" i="3"/>
  <c r="L28" i="3"/>
  <c r="L6" i="3"/>
  <c r="L78" i="3"/>
  <c r="L79" i="3"/>
  <c r="L81" i="3"/>
  <c r="L82" i="3"/>
  <c r="L83" i="3"/>
  <c r="L85" i="3"/>
  <c r="O5" i="3"/>
  <c r="O90" i="3"/>
  <c r="O91" i="3"/>
  <c r="O92" i="3"/>
  <c r="O93" i="3"/>
  <c r="O9" i="3"/>
  <c r="O73" i="3"/>
  <c r="O74" i="3"/>
  <c r="O75" i="3"/>
  <c r="O72" i="3"/>
  <c r="O76" i="3"/>
  <c r="O65" i="3"/>
  <c r="O64" i="3"/>
  <c r="O71" i="3"/>
  <c r="O48" i="3"/>
  <c r="O62" i="3"/>
  <c r="O63" i="3"/>
  <c r="O66" i="3"/>
  <c r="O68" i="3"/>
  <c r="O53" i="3"/>
  <c r="O51" i="3"/>
  <c r="O56" i="3"/>
  <c r="O55" i="3"/>
  <c r="O41" i="3"/>
  <c r="O69" i="3"/>
  <c r="O42" i="3"/>
  <c r="O43" i="3"/>
  <c r="O44" i="3"/>
  <c r="O45" i="3"/>
  <c r="O59" i="3"/>
  <c r="O61" i="3"/>
  <c r="O46" i="3"/>
  <c r="O47" i="3"/>
  <c r="O49" i="3"/>
  <c r="O7" i="3"/>
  <c r="O50" i="3"/>
  <c r="O100" i="3"/>
  <c r="O35" i="3"/>
  <c r="O38" i="3"/>
  <c r="O4" i="3"/>
  <c r="O40" i="3"/>
  <c r="O10" i="3"/>
  <c r="O17" i="3"/>
  <c r="O18" i="3"/>
  <c r="O14" i="3"/>
  <c r="O16" i="3"/>
  <c r="O13" i="3"/>
  <c r="O15" i="3"/>
  <c r="O21" i="3"/>
  <c r="O19" i="3"/>
  <c r="O23" i="3"/>
  <c r="O24" i="3"/>
  <c r="O20" i="3"/>
  <c r="O22" i="3"/>
  <c r="O27" i="3"/>
  <c r="O26" i="3"/>
  <c r="O25" i="3"/>
  <c r="O95" i="3"/>
  <c r="O29" i="3"/>
  <c r="O28" i="3"/>
  <c r="O6" i="3"/>
  <c r="O78" i="3"/>
  <c r="O79" i="3"/>
  <c r="O81" i="3"/>
  <c r="O82" i="3"/>
  <c r="O83" i="3"/>
  <c r="O85" i="3"/>
  <c r="O36" i="3"/>
  <c r="O33" i="3"/>
  <c r="O34" i="3"/>
  <c r="O32" i="3"/>
  <c r="O31" i="3"/>
  <c r="O37" i="3"/>
  <c r="O30" i="3"/>
  <c r="L4" i="3"/>
  <c r="G7" i="5"/>
  <c r="AV19" i="2" l="1"/>
  <c r="AU19" i="2"/>
  <c r="AT19" i="2"/>
  <c r="AS19" i="2"/>
  <c r="AQ19" i="2"/>
  <c r="AP19" i="2"/>
  <c r="AO19" i="2"/>
  <c r="AN19" i="2"/>
  <c r="AQ18" i="2"/>
  <c r="AP18" i="2"/>
  <c r="AO18" i="2"/>
  <c r="AN18" i="2"/>
  <c r="AQ16" i="2"/>
  <c r="AP16" i="2"/>
  <c r="AO16" i="2"/>
  <c r="AN16" i="2"/>
  <c r="AQ15" i="2"/>
  <c r="AP15" i="2"/>
  <c r="AO15" i="2"/>
  <c r="AN15" i="2"/>
  <c r="C36" i="5" l="1"/>
  <c r="F36" i="5"/>
  <c r="G36" i="5"/>
  <c r="B36" i="5"/>
  <c r="D36" i="5"/>
  <c r="B37" i="5"/>
  <c r="F37" i="5"/>
  <c r="G37" i="5"/>
  <c r="D37" i="5"/>
  <c r="C37" i="5"/>
  <c r="B32" i="5"/>
  <c r="C32" i="5"/>
  <c r="G32" i="5"/>
  <c r="F32" i="5"/>
  <c r="D32" i="5"/>
  <c r="D38" i="5"/>
  <c r="B38" i="5"/>
  <c r="C38" i="5"/>
  <c r="F38" i="5"/>
  <c r="G38" i="5"/>
  <c r="D35" i="5"/>
  <c r="B35" i="5"/>
  <c r="C35" i="5"/>
  <c r="F35" i="5"/>
  <c r="G35" i="5"/>
  <c r="C31" i="5"/>
  <c r="G31" i="5"/>
  <c r="D31" i="5"/>
  <c r="F31" i="5"/>
  <c r="B31" i="5"/>
  <c r="C33" i="5"/>
  <c r="G33" i="5"/>
  <c r="F33" i="5"/>
  <c r="B33" i="5"/>
  <c r="D33" i="5"/>
  <c r="D30" i="5"/>
  <c r="F30" i="5"/>
  <c r="B30" i="5"/>
  <c r="C30" i="5"/>
  <c r="G30" i="5"/>
  <c r="AN4" i="2"/>
  <c r="AO4" i="2"/>
  <c r="AN14" i="2"/>
  <c r="AN13" i="2"/>
  <c r="AN12" i="2"/>
  <c r="AN11" i="2"/>
  <c r="AN10" i="2"/>
  <c r="AN9" i="2"/>
  <c r="AN8" i="2"/>
  <c r="AN7" i="2"/>
  <c r="AN6" i="2"/>
  <c r="AN5" i="2"/>
  <c r="AV14" i="2"/>
  <c r="AU14" i="2"/>
  <c r="AT14" i="2"/>
  <c r="AS14" i="2"/>
  <c r="AQ14" i="2"/>
  <c r="AP14" i="2"/>
  <c r="AO14" i="2"/>
  <c r="AQ13" i="2"/>
  <c r="AP13" i="2"/>
  <c r="AO13" i="2"/>
  <c r="AQ12" i="2"/>
  <c r="AP12" i="2"/>
  <c r="AO12" i="2"/>
  <c r="AQ11" i="2"/>
  <c r="AP11" i="2"/>
  <c r="AO11" i="2"/>
  <c r="AQ10" i="2"/>
  <c r="AP10" i="2"/>
  <c r="AO10" i="2"/>
  <c r="AQ9" i="2"/>
  <c r="AP9" i="2"/>
  <c r="AO9" i="2"/>
  <c r="AQ8" i="2"/>
  <c r="AP8" i="2"/>
  <c r="AO8" i="2"/>
  <c r="AQ7" i="2"/>
  <c r="AP7" i="2"/>
  <c r="AO7" i="2"/>
  <c r="AQ6" i="2"/>
  <c r="AP6" i="2"/>
  <c r="AO6" i="2"/>
  <c r="AQ5" i="2"/>
  <c r="AP5" i="2"/>
  <c r="AO5" i="2"/>
  <c r="AQ4" i="2"/>
  <c r="AP4" i="2"/>
  <c r="AV4" i="2"/>
  <c r="AV5" i="2"/>
  <c r="AV8" i="2"/>
  <c r="AV9" i="2"/>
  <c r="AV13" i="2"/>
  <c r="AV6" i="2"/>
  <c r="AV16" i="2"/>
  <c r="AU4" i="2"/>
  <c r="AU5" i="2"/>
  <c r="AU8" i="2"/>
  <c r="AU9" i="2"/>
  <c r="AU6" i="2"/>
  <c r="AU16" i="2"/>
  <c r="AT4" i="2"/>
  <c r="AT5" i="2"/>
  <c r="AT8" i="2"/>
  <c r="AT9" i="2"/>
  <c r="AT6" i="2"/>
  <c r="AT16" i="2"/>
  <c r="AS4" i="2"/>
  <c r="AS5" i="2"/>
  <c r="AS8" i="2"/>
  <c r="AS9" i="2"/>
  <c r="AS6" i="2"/>
  <c r="AS16" i="2"/>
  <c r="F22" i="5" l="1"/>
  <c r="C22" i="5"/>
  <c r="G22" i="5"/>
  <c r="D22" i="5"/>
  <c r="B22" i="5"/>
  <c r="G15" i="5"/>
  <c r="F15" i="5"/>
  <c r="D15" i="5"/>
  <c r="C15" i="5"/>
  <c r="B15" i="5"/>
  <c r="G20" i="5"/>
  <c r="F20" i="5"/>
  <c r="D20" i="5"/>
  <c r="C20" i="5"/>
  <c r="B20" i="5"/>
  <c r="G13" i="5"/>
  <c r="F13" i="5"/>
  <c r="D13" i="5"/>
  <c r="C13" i="5"/>
  <c r="B13" i="5"/>
  <c r="G28" i="5"/>
  <c r="F28" i="5"/>
  <c r="D28" i="5"/>
  <c r="C28" i="5"/>
  <c r="B28" i="5"/>
  <c r="G16" i="5"/>
  <c r="F16" i="5"/>
  <c r="D16" i="5"/>
  <c r="C16" i="5"/>
  <c r="B16" i="5"/>
  <c r="G10" i="5"/>
  <c r="F10" i="5"/>
  <c r="D10" i="5"/>
  <c r="C10" i="5"/>
  <c r="B10" i="5"/>
  <c r="F12" i="5"/>
  <c r="B12" i="5"/>
  <c r="C12" i="5"/>
  <c r="G12" i="5"/>
  <c r="D12" i="5"/>
  <c r="G17" i="5"/>
  <c r="F17" i="5"/>
  <c r="D17" i="5"/>
  <c r="C17" i="5"/>
  <c r="B17" i="5"/>
  <c r="F21" i="5"/>
  <c r="C21" i="5"/>
  <c r="G21" i="5"/>
  <c r="D21" i="5"/>
  <c r="B21" i="5"/>
  <c r="F23" i="5"/>
  <c r="G23" i="5"/>
  <c r="D23" i="5"/>
  <c r="C23" i="5"/>
  <c r="B23" i="5"/>
  <c r="G25" i="5"/>
  <c r="F25" i="5"/>
  <c r="D25" i="5"/>
  <c r="C25" i="5"/>
  <c r="B25" i="5"/>
  <c r="B11" i="5"/>
  <c r="C11" i="5"/>
  <c r="G11" i="5"/>
  <c r="D11" i="5"/>
  <c r="F11" i="5"/>
  <c r="G26" i="5"/>
  <c r="F26" i="5"/>
  <c r="D26" i="5"/>
  <c r="C26" i="5"/>
  <c r="B26" i="5"/>
  <c r="G27" i="5"/>
  <c r="F27" i="5"/>
  <c r="D27" i="5"/>
  <c r="C27" i="5"/>
  <c r="B27" i="5"/>
  <c r="G18" i="5"/>
  <c r="F18" i="5"/>
  <c r="D18" i="5"/>
  <c r="C18" i="5"/>
  <c r="B18" i="5"/>
  <c r="AS13" i="2"/>
  <c r="AU13" i="2"/>
  <c r="AT13" i="2"/>
  <c r="AS10" i="2"/>
  <c r="AT10" i="2"/>
  <c r="AU10" i="2"/>
  <c r="AV10" i="2"/>
  <c r="AS12" i="2"/>
  <c r="AS18" i="2"/>
  <c r="AS15" i="2"/>
  <c r="AS11" i="2"/>
  <c r="AS7" i="2"/>
  <c r="AT18" i="2"/>
  <c r="AT15" i="2"/>
  <c r="AT11" i="2"/>
  <c r="AT7" i="2"/>
  <c r="AT12" i="2"/>
  <c r="AU12" i="2"/>
  <c r="AU18" i="2"/>
  <c r="AU15" i="2"/>
  <c r="AU11" i="2"/>
  <c r="AU7" i="2"/>
  <c r="AV12" i="2"/>
  <c r="AV18" i="2"/>
  <c r="AV15" i="2"/>
  <c r="AV11" i="2"/>
  <c r="AV7" i="2"/>
</calcChain>
</file>

<file path=xl/sharedStrings.xml><?xml version="1.0" encoding="utf-8"?>
<sst xmlns="http://schemas.openxmlformats.org/spreadsheetml/2006/main" count="1599" uniqueCount="413">
  <si>
    <t>UDC</t>
  </si>
  <si>
    <t>Ver</t>
  </si>
  <si>
    <t>OUA Cd</t>
  </si>
  <si>
    <t>Unit Title</t>
  </si>
  <si>
    <t>Study Periods</t>
  </si>
  <si>
    <t>Pre-reqs</t>
  </si>
  <si>
    <t>Credits</t>
  </si>
  <si>
    <t>Availabilities</t>
  </si>
  <si>
    <t>Progress Notes</t>
  </si>
  <si>
    <t>\6</t>
  </si>
  <si>
    <r>
      <t>Curtin University</t>
    </r>
    <r>
      <rPr>
        <sz val="11"/>
        <color theme="0"/>
        <rFont val="Arial"/>
        <family val="2"/>
      </rPr>
      <t xml:space="preserve">
School of Design and the Built Environment</t>
    </r>
  </si>
  <si>
    <t>Student Name:</t>
  </si>
  <si>
    <t>2024 Enrolment Planner</t>
  </si>
  <si>
    <t>Student ID:</t>
  </si>
  <si>
    <t>Course:</t>
  </si>
  <si>
    <t>Bachelor of Applied Science (Construction Management)</t>
  </si>
  <si>
    <t>Course / Stream version:</t>
  </si>
  <si>
    <t>Specialisation:</t>
  </si>
  <si>
    <t>Choose your Specialisation (drop-down list)</t>
  </si>
  <si>
    <t>Specialisation version:</t>
  </si>
  <si>
    <t>Commencing:</t>
  </si>
  <si>
    <t>Choose your commencing study period (drop-down list)</t>
  </si>
  <si>
    <t>Credits to Complete:</t>
  </si>
  <si>
    <t>2024 Availabilities</t>
  </si>
  <si>
    <t>Year 1</t>
  </si>
  <si>
    <t>Study Period</t>
  </si>
  <si>
    <t>Pre Requisite(s)</t>
  </si>
  <si>
    <t>CP</t>
  </si>
  <si>
    <t>Sem1 BEN</t>
  </si>
  <si>
    <t>Sem1 FO</t>
  </si>
  <si>
    <t>Sem2 BEN</t>
  </si>
  <si>
    <t>Sem2 FO</t>
  </si>
  <si>
    <t>Progress</t>
  </si>
  <si>
    <t>Year 2</t>
  </si>
  <si>
    <t>Year 3</t>
  </si>
  <si>
    <t>Year 4</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</si>
  <si>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</si>
  <si>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</si>
  <si>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</si>
  <si>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</si>
  <si>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STRU-CONMNSem1</t>
  </si>
  <si>
    <t>SPUC-URDESSem1</t>
  </si>
  <si>
    <t>RangeUnitSets</t>
  </si>
  <si>
    <r>
      <t>B-CONM</t>
    </r>
    <r>
      <rPr>
        <b/>
        <sz val="8"/>
        <color rgb="FF00B050"/>
        <rFont val="Arial"/>
        <family val="2"/>
      </rPr>
      <t>Sem1</t>
    </r>
  </si>
  <si>
    <r>
      <t>B-CONM</t>
    </r>
    <r>
      <rPr>
        <b/>
        <sz val="8"/>
        <color rgb="FFFF0000"/>
        <rFont val="Arial"/>
        <family val="2"/>
      </rPr>
      <t>Sem2</t>
    </r>
  </si>
  <si>
    <r>
      <t>B-CONM / STRU-CONMN</t>
    </r>
    <r>
      <rPr>
        <b/>
        <sz val="8"/>
        <color rgb="FF00B050"/>
        <rFont val="Arial"/>
        <family val="2"/>
      </rPr>
      <t>Sem1</t>
    </r>
  </si>
  <si>
    <r>
      <t>B-CONM / STRU-CONMN</t>
    </r>
    <r>
      <rPr>
        <b/>
        <sz val="8"/>
        <color rgb="FFFF0000"/>
        <rFont val="Arial"/>
        <family val="2"/>
      </rPr>
      <t>Sem2</t>
    </r>
  </si>
  <si>
    <r>
      <t>B-CONM / STRH-CONMN</t>
    </r>
    <r>
      <rPr>
        <b/>
        <sz val="8"/>
        <color rgb="FF00B050"/>
        <rFont val="Arial"/>
        <family val="2"/>
      </rPr>
      <t>Sem1</t>
    </r>
  </si>
  <si>
    <r>
      <t>B-CONM / STRH-CONMN</t>
    </r>
    <r>
      <rPr>
        <b/>
        <sz val="8"/>
        <color rgb="FFFF0000"/>
        <rFont val="Arial"/>
        <family val="2"/>
      </rPr>
      <t>Sem2</t>
    </r>
  </si>
  <si>
    <t>Spk Cd</t>
  </si>
  <si>
    <t>Structure Line</t>
  </si>
  <si>
    <t>Pre Reqs</t>
  </si>
  <si>
    <t>2023 S1Int</t>
  </si>
  <si>
    <t>2023 S1FO</t>
  </si>
  <si>
    <t>2023 S2Int</t>
  </si>
  <si>
    <t>2023 S2FO</t>
  </si>
  <si>
    <t>Y1Sem1</t>
  </si>
  <si>
    <t>COMS1010</t>
  </si>
  <si>
    <t>Y1Sem2</t>
  </si>
  <si>
    <t>--</t>
  </si>
  <si>
    <t>TableCourses</t>
  </si>
  <si>
    <t>BLDG1000</t>
  </si>
  <si>
    <t>Choose your Construction Management Course (drop-down list)</t>
  </si>
  <si>
    <t>Version</t>
  </si>
  <si>
    <t>Credit Points</t>
  </si>
  <si>
    <t>Effective Date</t>
  </si>
  <si>
    <t>Akari Update</t>
  </si>
  <si>
    <t>BLDG1003</t>
  </si>
  <si>
    <r>
      <rPr>
        <sz val="10"/>
        <color rgb="FF00B050"/>
        <rFont val="Arial"/>
        <family val="2"/>
      </rPr>
      <t>B-CONM</t>
    </r>
    <r>
      <rPr>
        <sz val="10"/>
        <color theme="1"/>
        <rFont val="Arial"/>
        <family val="2"/>
      </rPr>
      <t xml:space="preserve"> / STRU-CONMN</t>
    </r>
  </si>
  <si>
    <r>
      <rPr>
        <sz val="10"/>
        <color rgb="FF00B050"/>
        <rFont val="Arial"/>
        <family val="2"/>
      </rPr>
      <t>v.2</t>
    </r>
    <r>
      <rPr>
        <sz val="10"/>
        <color theme="1"/>
        <rFont val="Arial"/>
        <family val="2"/>
      </rPr>
      <t xml:space="preserve"> / v.3</t>
    </r>
  </si>
  <si>
    <t>800 credit points required</t>
  </si>
  <si>
    <t>BLDG1004</t>
  </si>
  <si>
    <t>Bachelor of Applied Science (Construction Management) (Honours)</t>
  </si>
  <si>
    <r>
      <rPr>
        <sz val="10"/>
        <color rgb="FF00B050"/>
        <rFont val="Arial"/>
        <family val="2"/>
      </rPr>
      <t>B-CONM</t>
    </r>
    <r>
      <rPr>
        <sz val="10"/>
        <color theme="1"/>
        <rFont val="Arial"/>
        <family val="2"/>
      </rPr>
      <t xml:space="preserve"> / STRH-CONMN</t>
    </r>
  </si>
  <si>
    <t>BLDG1016</t>
  </si>
  <si>
    <t>BLDG1001</t>
  </si>
  <si>
    <t>TableStudyPeriod</t>
  </si>
  <si>
    <t>ARCH1016</t>
  </si>
  <si>
    <t>START</t>
  </si>
  <si>
    <t>Next</t>
  </si>
  <si>
    <t>BLDG1018</t>
  </si>
  <si>
    <t>Semester 1 (February - June)</t>
  </si>
  <si>
    <t>Sem1</t>
  </si>
  <si>
    <t>Sem2</t>
  </si>
  <si>
    <t>Y2Sem1</t>
  </si>
  <si>
    <t>BLDG2013</t>
  </si>
  <si>
    <t>Y2Sem2</t>
  </si>
  <si>
    <t>Semester 2 (July -  November)</t>
  </si>
  <si>
    <t>BLDG2023</t>
  </si>
  <si>
    <t>BLDG2024</t>
  </si>
  <si>
    <t>TableStream</t>
  </si>
  <si>
    <t>Spec</t>
  </si>
  <si>
    <t>Choose your Stream</t>
  </si>
  <si>
    <t>BLDG2015</t>
  </si>
  <si>
    <t>Construction Management Fourth Year Stream</t>
  </si>
  <si>
    <t>STRU-CONMN</t>
  </si>
  <si>
    <t>v.3</t>
  </si>
  <si>
    <t>200 credit points</t>
  </si>
  <si>
    <t>BLDG2012</t>
  </si>
  <si>
    <t>Honours Construction Management Stream</t>
  </si>
  <si>
    <t>STRH-CONMN</t>
  </si>
  <si>
    <t>BLDG2033</t>
  </si>
  <si>
    <t>TableSpecialisations</t>
  </si>
  <si>
    <t>Y3Sem1</t>
  </si>
  <si>
    <t>BLDG3034</t>
  </si>
  <si>
    <t>Y3Sem2</t>
  </si>
  <si>
    <t>BLDG3016</t>
  </si>
  <si>
    <t>Animation and Game Architecture Design Specialisation</t>
  </si>
  <si>
    <t>SPUC-ANGAD</t>
  </si>
  <si>
    <t>v.1</t>
  </si>
  <si>
    <t>100 credit points</t>
  </si>
  <si>
    <t>BLDG3012</t>
  </si>
  <si>
    <t>Applied Finance Specialisation</t>
  </si>
  <si>
    <t>SPUC-FINCE</t>
  </si>
  <si>
    <t>Interior Architecture Specialisation</t>
  </si>
  <si>
    <t>SPUC-INARS</t>
  </si>
  <si>
    <t>BLDG3032</t>
  </si>
  <si>
    <t>Innovation and Entrepreneurship Specialisation</t>
  </si>
  <si>
    <t>SPUC-INENT</t>
  </si>
  <si>
    <t>BLDG3030</t>
  </si>
  <si>
    <t>Property Investment Specialisation</t>
  </si>
  <si>
    <t>SPUC-PROPT</t>
  </si>
  <si>
    <t>v.2</t>
  </si>
  <si>
    <t>URDE3007</t>
  </si>
  <si>
    <t>Urban Design and Planning Specialisation</t>
  </si>
  <si>
    <t>SPUC-URDES</t>
  </si>
  <si>
    <t>Y4Sem1</t>
  </si>
  <si>
    <t>Y4Sem2</t>
  </si>
  <si>
    <t>BLDG4028</t>
  </si>
  <si>
    <t>BLDG4034</t>
  </si>
  <si>
    <t>BLDG4027</t>
  </si>
  <si>
    <t>BLDG4010</t>
  </si>
  <si>
    <t>BLDG4007</t>
  </si>
  <si>
    <t>12/01/2024 - Need to check Availabilities &amp; Pre Reqs (maybe!)</t>
  </si>
  <si>
    <t>BLDG4001</t>
  </si>
  <si>
    <t>12/01/2024 - Pending PC / CC Review</t>
  </si>
  <si>
    <t>BLDG4011</t>
  </si>
  <si>
    <t>BLDG4032</t>
  </si>
  <si>
    <t>BLDG4000</t>
  </si>
  <si>
    <t>-</t>
  </si>
  <si>
    <t>Pending Questions/Notes</t>
  </si>
  <si>
    <t>Spec Unit</t>
  </si>
  <si>
    <t>SPUC-ANGAD - GRDE3030, CM students cannot study Pre Req(s)</t>
  </si>
  <si>
    <t>50CP Unit</t>
  </si>
  <si>
    <t>SPUC-INARS - INAR3020, no 2024 availability, first available 2025</t>
  </si>
  <si>
    <t>SPUC-INENT - MKTG2008, CM students cannot study Pre Req(s)</t>
  </si>
  <si>
    <t>SPUC-PROPT - PROP3001, CM students cannot study in sequence due to availabilities &amp; Pre Reqs</t>
  </si>
  <si>
    <t>RangeSpecSets</t>
  </si>
  <si>
    <t>SPUC-PROPT - New 2024 version</t>
  </si>
  <si>
    <t>Spec1</t>
  </si>
  <si>
    <t>GRDE1001</t>
  </si>
  <si>
    <t>FNCE2000</t>
  </si>
  <si>
    <t>AltCoreINARS</t>
  </si>
  <si>
    <t>MGMT3004</t>
  </si>
  <si>
    <t>PROP2001</t>
  </si>
  <si>
    <t>URDE1002</t>
  </si>
  <si>
    <t>Spec2</t>
  </si>
  <si>
    <t>GRDE1020</t>
  </si>
  <si>
    <t>AND</t>
  </si>
  <si>
    <t>INAR1010</t>
  </si>
  <si>
    <t>MGMT3007</t>
  </si>
  <si>
    <t>PROP2002</t>
  </si>
  <si>
    <t>URDE1010</t>
  </si>
  <si>
    <t>Spec3</t>
  </si>
  <si>
    <t>GRDE2037</t>
  </si>
  <si>
    <t>OptionFINCE</t>
  </si>
  <si>
    <t>INAR1012</t>
  </si>
  <si>
    <t>PROP3000</t>
  </si>
  <si>
    <t>URDE3002</t>
  </si>
  <si>
    <t>Spec4</t>
  </si>
  <si>
    <t>FNCE2003</t>
  </si>
  <si>
    <t>AND BOTH</t>
  </si>
  <si>
    <t>OptionINENT</t>
  </si>
  <si>
    <t>PROP3002</t>
  </si>
  <si>
    <t>URDE2007</t>
  </si>
  <si>
    <t>Spec5</t>
  </si>
  <si>
    <t>AltCoreANGAD</t>
  </si>
  <si>
    <t>FNCE3000</t>
  </si>
  <si>
    <t>INAR2022</t>
  </si>
  <si>
    <t>GRDE2008</t>
  </si>
  <si>
    <t>Spec6</t>
  </si>
  <si>
    <t>GRDE3030</t>
  </si>
  <si>
    <t>FNCE3001</t>
  </si>
  <si>
    <t>INAR3020</t>
  </si>
  <si>
    <t>MGMT2004</t>
  </si>
  <si>
    <t>Spec7</t>
  </si>
  <si>
    <t>WORK3000</t>
  </si>
  <si>
    <t>FNCE3004</t>
  </si>
  <si>
    <t>MKTG2008</t>
  </si>
  <si>
    <t>Spec8</t>
  </si>
  <si>
    <t>INVE3000</t>
  </si>
  <si>
    <t>OptionINARS</t>
  </si>
  <si>
    <t>MGMT3002</t>
  </si>
  <si>
    <t>Spec9</t>
  </si>
  <si>
    <t>INVE3001</t>
  </si>
  <si>
    <t>INAR2012</t>
  </si>
  <si>
    <t>MGMT3011</t>
  </si>
  <si>
    <t>Spec10</t>
  </si>
  <si>
    <t>INAR2024</t>
  </si>
  <si>
    <t>Spec11</t>
  </si>
  <si>
    <t>ARCH2012</t>
  </si>
  <si>
    <t>Spec12</t>
  </si>
  <si>
    <t>ARCH3001</t>
  </si>
  <si>
    <t>Spec13</t>
  </si>
  <si>
    <t>URDE3005</t>
  </si>
  <si>
    <t>Spec14</t>
  </si>
  <si>
    <t>WORK2001</t>
  </si>
  <si>
    <t>Spec15</t>
  </si>
  <si>
    <t>WORK2002</t>
  </si>
  <si>
    <t>Spec16</t>
  </si>
  <si>
    <t>WORK2003</t>
  </si>
  <si>
    <t>Spec17</t>
  </si>
  <si>
    <t>WORK2005</t>
  </si>
  <si>
    <t>Spec18</t>
  </si>
  <si>
    <t>Spec19</t>
  </si>
  <si>
    <t>WORK3004</t>
  </si>
  <si>
    <t>Spec20</t>
  </si>
  <si>
    <t>WORK3006</t>
  </si>
  <si>
    <t>Pre Reqs issue for Spec units</t>
  </si>
  <si>
    <t>Not Available in 2024</t>
  </si>
  <si>
    <t>Avialabilities Issues for CM students</t>
  </si>
  <si>
    <t>Semester 1</t>
  </si>
  <si>
    <t>Semester 2</t>
  </si>
  <si>
    <t>Title</t>
  </si>
  <si>
    <t>S1INT</t>
  </si>
  <si>
    <t>S1FO</t>
  </si>
  <si>
    <t>S2INT</t>
  </si>
  <si>
    <t>S2FO</t>
  </si>
  <si>
    <t>Notes</t>
  </si>
  <si>
    <t>B-CONM</t>
  </si>
  <si>
    <t>Please note this is a 50CP unit</t>
  </si>
  <si>
    <t>Semester 2 commencement is only available via CRL or Part-time study - Contact Course Coordinator</t>
  </si>
  <si>
    <t>4th Year Stream</t>
  </si>
  <si>
    <t>Choose Your Fourth Year Stream.  Eligible students may be invited by the School to complete the Honours stream.</t>
  </si>
  <si>
    <t>Study either GRDE3030 or WORK3000</t>
  </si>
  <si>
    <t>Study either INAR1012 and INAR1010</t>
  </si>
  <si>
    <t>AltCorePROPT</t>
  </si>
  <si>
    <t>Study either PROP2001 or PROP2002</t>
  </si>
  <si>
    <t>Architecture and Interior Architecture Methods 1B - Digital Literacy</t>
  </si>
  <si>
    <t>None</t>
  </si>
  <si>
    <t>Built Environment Special Topic (with approval)</t>
  </si>
  <si>
    <t>See Handbook</t>
  </si>
  <si>
    <t>? How to present availabilities ?</t>
  </si>
  <si>
    <t>Special Topics in Architecture Construction and Planning (with approval)</t>
  </si>
  <si>
    <t>Low Rise Construction</t>
  </si>
  <si>
    <t>High-rise Construction</t>
  </si>
  <si>
    <t>Structures</t>
  </si>
  <si>
    <t>Introduction to Management in Construction</t>
  </si>
  <si>
    <t>Building Construction Measurement</t>
  </si>
  <si>
    <t>Health, Safety and Quality in the Built Environment</t>
  </si>
  <si>
    <t>Building Services</t>
  </si>
  <si>
    <t>Construction Plant and Equipment</t>
  </si>
  <si>
    <t>Building Information Management and Modelling</t>
  </si>
  <si>
    <t>Specialised Construction</t>
  </si>
  <si>
    <t>Building Surveying</t>
  </si>
  <si>
    <t>Construction Estimating and Cost Planning</t>
  </si>
  <si>
    <t>BLDG1016 or BLDG2007</t>
  </si>
  <si>
    <t>Cost Management</t>
  </si>
  <si>
    <t>BLDG2009 or BLDG2017 or BLDG2033</t>
  </si>
  <si>
    <t>Construction Planning and Scheduling</t>
  </si>
  <si>
    <t>Construction Contracts and Procurement</t>
  </si>
  <si>
    <t>Sem 2 - No 2024 Availability, added manually</t>
  </si>
  <si>
    <t>Virtual Design and Construction</t>
  </si>
  <si>
    <t>BLDG2015 + BLDG3016</t>
  </si>
  <si>
    <t>Sustainable Construction Practices in Building and Infrastructure</t>
  </si>
  <si>
    <t>Building Dissertation 2 (details coming)</t>
  </si>
  <si>
    <t>Facilities and Asset Management (details coming)</t>
  </si>
  <si>
    <t>Building Dissertation 1 (details coming)</t>
  </si>
  <si>
    <t>Integrated Construction Project 1 (details coming)</t>
  </si>
  <si>
    <t>BLDG3030 or BLDG3015</t>
  </si>
  <si>
    <t>Project Risk and Development Appraisal (details coming)</t>
  </si>
  <si>
    <t>TBC</t>
  </si>
  <si>
    <t>New Version &amp; Title, not yet submitted in Akari</t>
  </si>
  <si>
    <t>Professional Practice in Construction (details coming)</t>
  </si>
  <si>
    <t>Contract Administration (details coming)</t>
  </si>
  <si>
    <t>BLDG3030 or BLAW3030</t>
  </si>
  <si>
    <t>BLDG4030</t>
  </si>
  <si>
    <t>Quality in Construction</t>
  </si>
  <si>
    <t>Deactivation due 31/12/2023</t>
  </si>
  <si>
    <t>Integrated Construction Project 2 (details coming)</t>
  </si>
  <si>
    <t>Engineering Measurement (details coming)</t>
  </si>
  <si>
    <t>New Unit</t>
  </si>
  <si>
    <t>Academic and Professional Communications</t>
  </si>
  <si>
    <t>Introduction to Finance Principles</t>
  </si>
  <si>
    <t>Business Analysis for Investment</t>
  </si>
  <si>
    <t>Corporate Finance</t>
  </si>
  <si>
    <t>FNCE2000 or FNCE2003</t>
  </si>
  <si>
    <t>Introduction to Financial Instruments and Markets</t>
  </si>
  <si>
    <t>International Finance</t>
  </si>
  <si>
    <t>Animation Design Introduction</t>
  </si>
  <si>
    <t>Game Design Introduction</t>
  </si>
  <si>
    <t>Design Thinking and Visual Narrative</t>
  </si>
  <si>
    <t>3D Level Design</t>
  </si>
  <si>
    <t>GRDE1001 or GRDE1020</t>
  </si>
  <si>
    <t>Industry Project Development</t>
  </si>
  <si>
    <t>GRDE3001 or GRDE3014 or GRDE3015 or GRDE3029</t>
  </si>
  <si>
    <t>CM students cannot study Pre Req(s)</t>
  </si>
  <si>
    <t>INAR1002</t>
  </si>
  <si>
    <t>Interior Design Studio - Elements</t>
  </si>
  <si>
    <t>Removed from previous Specialisation</t>
  </si>
  <si>
    <t>Interior Architecture Studio - Foundation</t>
  </si>
  <si>
    <t>History of the Interior</t>
  </si>
  <si>
    <t>Interior Architecture Studio – Community</t>
  </si>
  <si>
    <t>INAR2012.PO</t>
  </si>
  <si>
    <t>Interior Design Studio - Community</t>
  </si>
  <si>
    <t>ARCH2024 or INAR2008</t>
  </si>
  <si>
    <t>Phasing Out. Pre Req not available to CM students</t>
  </si>
  <si>
    <t>Philosophy and Practice</t>
  </si>
  <si>
    <t>Design Fabrication</t>
  </si>
  <si>
    <t>Furniture Design (details coming)</t>
  </si>
  <si>
    <t>No 2024 Availability, first available 2025</t>
  </si>
  <si>
    <t>Introduction to Derivative Securities</t>
  </si>
  <si>
    <t>(FNCE2000 or FNCE2003) + (FNCE3001 or MATH2009)</t>
  </si>
  <si>
    <t>Portfolio Management</t>
  </si>
  <si>
    <t>INVE3001.PO</t>
  </si>
  <si>
    <t>Phasing Out.</t>
  </si>
  <si>
    <t>Business and Sustainable Development</t>
  </si>
  <si>
    <t>100 Credit Points</t>
  </si>
  <si>
    <t>Managing Change</t>
  </si>
  <si>
    <t>300 Credit Points</t>
  </si>
  <si>
    <t>Entrepreneurship</t>
  </si>
  <si>
    <t>Management of Innovation</t>
  </si>
  <si>
    <t>Managing Operations</t>
  </si>
  <si>
    <t>UX Accessibility and Analytics</t>
  </si>
  <si>
    <t>MKTG2007*</t>
  </si>
  <si>
    <t>Pending Unit Title change in S.M. Pre Req not available to CM students.</t>
  </si>
  <si>
    <t>Digital Interactive Prototyping in Marketing</t>
  </si>
  <si>
    <t>MKTG2008.PO</t>
  </si>
  <si>
    <t>Study 3 units from the Option list below</t>
  </si>
  <si>
    <t>Study 1 unit from the Option list below</t>
  </si>
  <si>
    <t>Study 2 units from the Option list below</t>
  </si>
  <si>
    <t>OptionPROPT</t>
  </si>
  <si>
    <t>Property Economics and Policy</t>
  </si>
  <si>
    <t>Introduction to Property Markets</t>
  </si>
  <si>
    <t>Property Investment Analysis</t>
  </si>
  <si>
    <t>Property Finance and Capital Markets</t>
  </si>
  <si>
    <t>PROP2002 + PROP3000</t>
  </si>
  <si>
    <t>Study one unit from your chosen specialisation (see below)</t>
  </si>
  <si>
    <t>See below</t>
  </si>
  <si>
    <t>Alt Core Pre Req not available to CM students</t>
  </si>
  <si>
    <t>SPUC-INARS.PO</t>
  </si>
  <si>
    <t>Phasing Out. Alt Core Pre Req not available to CM students</t>
  </si>
  <si>
    <t>Option unit Pre Req not available to CM students</t>
  </si>
  <si>
    <t>SPUC-PROPT.PO</t>
  </si>
  <si>
    <t>Availability issues for sequencing and Pre Reqs</t>
  </si>
  <si>
    <t>STRH-CONMN.PO</t>
  </si>
  <si>
    <t>STRU-CONMN.PO</t>
  </si>
  <si>
    <t>Planning Graphics and Design</t>
  </si>
  <si>
    <t>Urban Transport Systems</t>
  </si>
  <si>
    <t>Site Planning</t>
  </si>
  <si>
    <t>Urban Regeneration</t>
  </si>
  <si>
    <t>Special Topics in Urban &amp; Regional Planning (with approval)</t>
  </si>
  <si>
    <t>Design and Built Environment Research Methods</t>
  </si>
  <si>
    <t>Balance of the Planet (with approval)</t>
  </si>
  <si>
    <t>Sustainability and Innovation Foundations (with approval)</t>
  </si>
  <si>
    <t>Regional Industry Placement 2 (with approval)</t>
  </si>
  <si>
    <t>Go Global - Internship 2 (with approval)</t>
  </si>
  <si>
    <t>Work Based Project (with approval)</t>
  </si>
  <si>
    <t>Go Practice - Internship (with approval)</t>
  </si>
  <si>
    <t>Go Global - Internship 4 (with approval)</t>
  </si>
  <si>
    <t>Effective:</t>
  </si>
  <si>
    <t>Downloaded:</t>
  </si>
  <si>
    <t>V</t>
  </si>
  <si>
    <t>OUA Code</t>
  </si>
  <si>
    <t>CPs</t>
  </si>
  <si>
    <t>No.</t>
  </si>
  <si>
    <t>Component Type</t>
  </si>
  <si>
    <t>Year Level</t>
  </si>
  <si>
    <t>Study Package Code</t>
  </si>
  <si>
    <t>Effective</t>
  </si>
  <si>
    <t>Discont.</t>
  </si>
  <si>
    <t>Column1</t>
  </si>
  <si>
    <t>Column2</t>
  </si>
  <si>
    <t>Core</t>
  </si>
  <si>
    <t>NA</t>
  </si>
  <si>
    <t>Option</t>
  </si>
  <si>
    <t>Specialisation</t>
  </si>
  <si>
    <t>Choose a Specialisation. Students at Miri Sarawak can only choose SPUC-FINCE or SPUC-INENT.  You should enrol into two units in Year 2 and two units in Year 3 for your selected specialisation.</t>
  </si>
  <si>
    <t>AltCore</t>
  </si>
  <si>
    <t>Contract Administration</t>
  </si>
  <si>
    <t>Engineering Measurement</t>
  </si>
  <si>
    <t>Facilities and Asset Management</t>
  </si>
  <si>
    <t>Integrated Construction Project 1</t>
  </si>
  <si>
    <t>Integrated Construction Project 2</t>
  </si>
  <si>
    <t>Project Development and Appraisal</t>
  </si>
  <si>
    <t>Research in Professional Practice in Construction</t>
  </si>
  <si>
    <t>Building Dissertation 1</t>
  </si>
  <si>
    <t>Building Dissertation 2</t>
  </si>
  <si>
    <t>Choose GRDE3030 or WORK3000</t>
  </si>
  <si>
    <t/>
  </si>
  <si>
    <t>Work Based Project</t>
  </si>
  <si>
    <t>Choose Applied Finance Specialisation Option</t>
  </si>
  <si>
    <t>Furniture Design</t>
  </si>
  <si>
    <t>Choose INAR1012 and INAR1010</t>
  </si>
  <si>
    <t>Choose an Option</t>
  </si>
  <si>
    <t>Built Environment Special Topic</t>
  </si>
  <si>
    <t>Special Topics in Architecture Construction and Planning</t>
  </si>
  <si>
    <t>Special Topics in Urban &amp; Regional Planning</t>
  </si>
  <si>
    <t>Balance of the Planet</t>
  </si>
  <si>
    <t>Sustainability and Innovation Foundations</t>
  </si>
  <si>
    <t>Regional Industry Placement 2</t>
  </si>
  <si>
    <t>Go Global - Internship 2</t>
  </si>
  <si>
    <t>Go Practice - Internship</t>
  </si>
  <si>
    <t>Go Global - Internship 4</t>
  </si>
  <si>
    <t>Choose Innovation and Entrepreneurship Specialisation Option</t>
  </si>
  <si>
    <t>PROP3001</t>
  </si>
  <si>
    <t>Downloaded 2024:</t>
  </si>
  <si>
    <t>Row Labels</t>
  </si>
  <si>
    <t>Internal</t>
  </si>
  <si>
    <t>Online</t>
  </si>
  <si>
    <t>Internal2</t>
  </si>
  <si>
    <t>Online3</t>
  </si>
  <si>
    <t>12/01/2024 - Pending Specialisation Review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</si>
</sst>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i/>
      <sz val="8"/>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b/>
      <sz val="10"/>
      <color theme="0"/>
      <name val="Arial"/>
      <family val="2"/>
    </font>
    <font>
      <i/>
      <sz val="10"/>
      <color theme="0" tint="-0.34998626667073579"/>
      <name val="Arial"/>
      <family val="2"/>
    </font>
    <font>
      <b/>
      <sz val="8"/>
      <color rgb="FFFF0000"/>
      <name val="Arial"/>
      <family val="2"/>
    </font>
    <font>
      <sz val="8"/>
      <color theme="0" tint="-0.34998626667073579"/>
      <name val="Arial"/>
      <family val="2"/>
    </font>
    <font>
      <b/>
      <sz val="8"/>
      <color rgb="FF00B050"/>
      <name val="Arial"/>
      <family val="2"/>
    </font>
    <font>
      <sz val="12"/>
      <color rgb="FFFF0000"/>
      <name val="Calibri"/>
      <family val="2"/>
      <scheme val="minor"/>
    </font>
    <font>
      <b/>
      <i/>
      <sz val="11"/>
      <color theme="0"/>
      <name val="Segoe UI"/>
      <family val="2"/>
    </font>
    <font>
      <i/>
      <sz val="9"/>
      <color theme="1"/>
      <name val="Segoe UI"/>
      <family val="2"/>
    </font>
    <font>
      <i/>
      <sz val="8"/>
      <color theme="1"/>
      <name val="Segoe UI"/>
      <family val="2"/>
    </font>
    <font>
      <b/>
      <sz val="11"/>
      <color theme="0" tint="-0.34998626667073579"/>
      <name val="Segoe UI"/>
      <family val="2"/>
    </font>
    <font>
      <b/>
      <sz val="12"/>
      <color theme="8" tint="-0.499984740745262"/>
      <name val="Calibri"/>
      <family val="2"/>
      <scheme val="minor"/>
    </font>
    <font>
      <b/>
      <sz val="18"/>
      <color theme="1"/>
      <name val="Segoe UI"/>
      <family val="2"/>
    </font>
    <font>
      <b/>
      <sz val="11"/>
      <color theme="1"/>
      <name val="Calibri"/>
      <family val="2"/>
      <scheme val="minor"/>
    </font>
    <font>
      <sz val="10"/>
      <color rgb="FF00B050"/>
      <name val="Arial"/>
      <family val="2"/>
    </font>
    <font>
      <b/>
      <u/>
      <sz val="12"/>
      <name val="Calibri"/>
      <family val="2"/>
      <scheme val="minor"/>
    </font>
    <font>
      <strike/>
      <sz val="12"/>
      <name val="Calibri"/>
      <family val="2"/>
      <scheme val="minor"/>
    </font>
    <font>
      <b/>
      <sz val="16"/>
      <color theme="1"/>
      <name val="Calibri"/>
      <family val="2"/>
      <scheme val="minor"/>
    </font>
    <font>
      <sz val="16"/>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00"/>
        <bgColor indexed="64"/>
      </patternFill>
    </fill>
    <fill>
      <patternFill patternType="solid">
        <fgColor theme="1"/>
        <bgColor theme="1"/>
      </patternFill>
    </fill>
    <fill>
      <patternFill patternType="solid">
        <fgColor rgb="FFFFC000"/>
        <bgColor indexed="64"/>
      </patternFill>
    </fill>
    <fill>
      <patternFill patternType="solid">
        <fgColor theme="8" tint="-0.499984740745262"/>
        <bgColor indexed="64"/>
      </patternFill>
    </fill>
    <fill>
      <patternFill patternType="solid">
        <fgColor theme="0" tint="-0.34998626667073579"/>
        <bgColor indexed="64"/>
      </patternFill>
    </fill>
    <fill>
      <patternFill patternType="solid">
        <fgColor rgb="FF92D050"/>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top style="thin">
        <color indexed="64"/>
      </top>
      <bottom/>
      <diagonal/>
    </border>
    <border>
      <left/>
      <right/>
      <top style="thin">
        <color theme="1"/>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style="thin">
        <color indexed="64"/>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0" fontId="1" fillId="0" borderId="0"/>
    <xf numFmtId="0" fontId="27" fillId="0" borderId="0" applyNumberFormat="0" applyFill="0" applyBorder="0" applyAlignment="0" applyProtection="0"/>
  </cellStyleXfs>
  <cellXfs count="281">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7" fillId="0" borderId="0" xfId="0" applyFont="1" applyAlignment="1">
      <alignment horizontal="center"/>
    </xf>
    <xf numFmtId="0" fontId="16" fillId="0" borderId="0" xfId="0" applyFont="1"/>
    <xf numFmtId="0" fontId="4" fillId="0" borderId="5" xfId="0" applyFont="1" applyBorder="1" applyAlignment="1">
      <alignment horizontal="center" vertic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7" fillId="0" borderId="0" xfId="0" applyFont="1"/>
    <xf numFmtId="0" fontId="9" fillId="0" borderId="0" xfId="0" applyFont="1" applyAlignment="1">
      <alignment horizontal="left" vertical="center"/>
    </xf>
    <xf numFmtId="0" fontId="0" fillId="0" borderId="5" xfId="0" applyBorder="1"/>
    <xf numFmtId="0" fontId="6" fillId="0" borderId="11" xfId="0" applyFont="1" applyBorder="1"/>
    <xf numFmtId="0" fontId="6" fillId="0" borderId="11" xfId="0" applyFont="1" applyBorder="1" applyAlignment="1">
      <alignment horizontal="center"/>
    </xf>
    <xf numFmtId="0" fontId="0" fillId="0" borderId="11" xfId="0" applyBorder="1"/>
    <xf numFmtId="0" fontId="6" fillId="0" borderId="11" xfId="0" applyFont="1" applyBorder="1" applyAlignment="1">
      <alignment horizontal="center" vertical="center"/>
    </xf>
    <xf numFmtId="0" fontId="39" fillId="0" borderId="0" xfId="0" applyFont="1" applyAlignment="1">
      <alignment horizontal="left" vertical="center"/>
    </xf>
    <xf numFmtId="0" fontId="2" fillId="3" borderId="1" xfId="0" applyFont="1" applyFill="1" applyBorder="1" applyAlignment="1">
      <alignment horizontal="right" vertical="center"/>
    </xf>
    <xf numFmtId="0" fontId="21" fillId="2" borderId="21" xfId="1" applyFont="1" applyFill="1" applyBorder="1" applyAlignment="1" applyProtection="1">
      <alignment horizontal="left" vertical="center" wrapText="1"/>
      <protection locked="0"/>
    </xf>
    <xf numFmtId="0" fontId="38" fillId="5" borderId="0" xfId="0" applyFont="1" applyFill="1"/>
    <xf numFmtId="0" fontId="3" fillId="5" borderId="0" xfId="0" applyFont="1" applyFill="1" applyAlignment="1">
      <alignment horizontal="center" vertical="center"/>
    </xf>
    <xf numFmtId="0" fontId="38" fillId="5" borderId="0" xfId="0" applyFont="1" applyFill="1" applyAlignment="1">
      <alignment horizontal="center" vertical="center" wrapText="1"/>
    </xf>
    <xf numFmtId="0" fontId="5" fillId="4" borderId="11" xfId="0" applyFont="1" applyFill="1" applyBorder="1" applyAlignment="1">
      <alignment horizontal="left"/>
    </xf>
    <xf numFmtId="0" fontId="0" fillId="5" borderId="0" xfId="0" applyFill="1" applyAlignment="1">
      <alignment wrapText="1"/>
    </xf>
    <xf numFmtId="0" fontId="10" fillId="6" borderId="7" xfId="0" applyFont="1" applyFill="1" applyBorder="1" applyAlignment="1">
      <alignment horizontal="center"/>
    </xf>
    <xf numFmtId="0" fontId="10" fillId="6" borderId="8" xfId="0" applyFont="1" applyFill="1" applyBorder="1" applyAlignment="1">
      <alignment horizontal="center"/>
    </xf>
    <xf numFmtId="0" fontId="5" fillId="4" borderId="1" xfId="0" applyFont="1" applyFill="1" applyBorder="1" applyAlignment="1">
      <alignment horizontal="left"/>
    </xf>
    <xf numFmtId="0" fontId="5" fillId="4" borderId="3" xfId="0" applyFont="1" applyFill="1" applyBorder="1" applyAlignment="1">
      <alignment horizontal="left"/>
    </xf>
    <xf numFmtId="0" fontId="5" fillId="4" borderId="2" xfId="0" applyFont="1" applyFill="1" applyBorder="1" applyAlignment="1">
      <alignment horizontal="left"/>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45" fillId="0" borderId="0" xfId="0" applyFont="1"/>
    <xf numFmtId="0" fontId="45" fillId="0" borderId="0" xfId="0" applyFont="1" applyAlignment="1">
      <alignment horizontal="right"/>
    </xf>
    <xf numFmtId="14" fontId="45" fillId="0" borderId="0" xfId="0" applyNumberFormat="1" applyFont="1"/>
    <xf numFmtId="0" fontId="45" fillId="0" borderId="0" xfId="0" applyFont="1" applyAlignment="1">
      <alignment horizontal="center"/>
    </xf>
    <xf numFmtId="0" fontId="0" fillId="0" borderId="25" xfId="0" applyBorder="1" applyAlignment="1">
      <alignment horizontal="center"/>
    </xf>
    <xf numFmtId="14" fontId="6" fillId="0" borderId="0" xfId="0" applyNumberFormat="1" applyFont="1"/>
    <xf numFmtId="0" fontId="10" fillId="0" borderId="0" xfId="0" applyFont="1" applyAlignment="1">
      <alignment horizontal="center"/>
    </xf>
    <xf numFmtId="0" fontId="3" fillId="0" borderId="9" xfId="0" applyFont="1" applyBorder="1" applyAlignment="1">
      <alignment horizontal="center" vertical="center"/>
    </xf>
    <xf numFmtId="0" fontId="5" fillId="8" borderId="0" xfId="0" applyFont="1" applyFill="1" applyAlignment="1">
      <alignment horizontal="right"/>
    </xf>
    <xf numFmtId="0" fontId="6" fillId="0" borderId="4" xfId="0" applyFont="1" applyBorder="1"/>
    <xf numFmtId="0" fontId="6" fillId="0" borderId="5" xfId="0" applyFont="1" applyBorder="1" applyAlignment="1">
      <alignment horizontal="center"/>
    </xf>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6" fillId="0" borderId="7" xfId="0" applyFont="1" applyBorder="1"/>
    <xf numFmtId="0" fontId="6" fillId="0" borderId="0" xfId="0" applyFont="1" applyAlignment="1">
      <alignment horizontal="center" vertical="center"/>
    </xf>
    <xf numFmtId="0" fontId="0" fillId="0" borderId="8"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4"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3" fillId="0" borderId="8" xfId="0" applyFont="1" applyBorder="1" applyAlignment="1">
      <alignment horizontal="center" vertical="center"/>
    </xf>
    <xf numFmtId="0" fontId="6" fillId="0" borderId="10" xfId="0" applyFont="1" applyBorder="1"/>
    <xf numFmtId="0" fontId="4" fillId="8" borderId="8" xfId="0" applyFont="1" applyFill="1" applyBorder="1" applyAlignment="1">
      <alignment horizontal="center" vertical="center"/>
    </xf>
    <xf numFmtId="0" fontId="4" fillId="8" borderId="5" xfId="0" applyFont="1" applyFill="1" applyBorder="1" applyAlignment="1">
      <alignment horizontal="center" vertical="center"/>
    </xf>
    <xf numFmtId="0" fontId="5" fillId="4" borderId="11" xfId="0" applyFont="1" applyFill="1" applyBorder="1" applyAlignment="1">
      <alignment horizontal="left" textRotation="90"/>
    </xf>
    <xf numFmtId="0" fontId="10" fillId="6" borderId="26" xfId="0" applyFont="1" applyFill="1" applyBorder="1" applyAlignment="1">
      <alignment horizontal="center"/>
    </xf>
    <xf numFmtId="0" fontId="10" fillId="6" borderId="27" xfId="0" applyFont="1" applyFill="1" applyBorder="1" applyAlignment="1">
      <alignment horizontal="center"/>
    </xf>
    <xf numFmtId="0" fontId="10" fillId="6" borderId="28" xfId="0" applyFont="1" applyFill="1" applyBorder="1" applyAlignment="1">
      <alignment horizontal="center"/>
    </xf>
    <xf numFmtId="0" fontId="10" fillId="0" borderId="0" xfId="0" applyFont="1" applyAlignment="1">
      <alignment horizontal="right" wrapText="1"/>
    </xf>
    <xf numFmtId="0" fontId="10" fillId="6" borderId="29" xfId="0" applyFont="1" applyFill="1" applyBorder="1" applyAlignment="1">
      <alignment horizontal="center"/>
    </xf>
    <xf numFmtId="0" fontId="4" fillId="8" borderId="7" xfId="0" applyFont="1" applyFill="1" applyBorder="1" applyAlignment="1">
      <alignment horizontal="center" vertical="center"/>
    </xf>
    <xf numFmtId="0" fontId="4" fillId="8" borderId="10" xfId="0" applyFont="1" applyFill="1" applyBorder="1" applyAlignment="1">
      <alignment horizontal="center" vertical="center"/>
    </xf>
    <xf numFmtId="0" fontId="4" fillId="9" borderId="0" xfId="0" applyFont="1" applyFill="1" applyAlignment="1">
      <alignment horizontal="center" vertical="center"/>
    </xf>
    <xf numFmtId="0" fontId="10" fillId="7" borderId="0" xfId="0" applyFont="1" applyFill="1" applyAlignment="1">
      <alignment wrapText="1"/>
    </xf>
    <xf numFmtId="0" fontId="6" fillId="8" borderId="7" xfId="0" applyFont="1" applyFill="1" applyBorder="1"/>
    <xf numFmtId="0" fontId="46" fillId="0" borderId="0" xfId="0" applyFont="1"/>
    <xf numFmtId="0" fontId="6" fillId="0" borderId="30" xfId="0" applyFont="1" applyBorder="1"/>
    <xf numFmtId="0" fontId="10" fillId="0" borderId="30" xfId="0" applyFont="1" applyBorder="1"/>
    <xf numFmtId="0" fontId="10" fillId="6" borderId="31" xfId="0" applyFont="1" applyFill="1" applyBorder="1" applyAlignment="1">
      <alignment horizontal="center"/>
    </xf>
    <xf numFmtId="0" fontId="10" fillId="6" borderId="32" xfId="0" applyFont="1" applyFill="1" applyBorder="1" applyAlignment="1">
      <alignment horizontal="center"/>
    </xf>
    <xf numFmtId="0" fontId="10" fillId="6" borderId="33" xfId="0" applyFont="1" applyFill="1" applyBorder="1" applyAlignment="1">
      <alignment horizontal="center"/>
    </xf>
    <xf numFmtId="0" fontId="10" fillId="6" borderId="34" xfId="0" applyFont="1" applyFill="1" applyBorder="1" applyAlignment="1">
      <alignment horizontal="center"/>
    </xf>
    <xf numFmtId="0" fontId="47" fillId="11" borderId="0" xfId="0" applyFont="1" applyFill="1"/>
    <xf numFmtId="0" fontId="47" fillId="11" borderId="0" xfId="0" applyFont="1" applyFill="1" applyAlignment="1">
      <alignment horizontal="left"/>
    </xf>
    <xf numFmtId="0" fontId="7" fillId="7" borderId="0" xfId="0" applyFont="1" applyFill="1" applyAlignment="1">
      <alignment wrapText="1"/>
    </xf>
    <xf numFmtId="0" fontId="3" fillId="8" borderId="9" xfId="0" applyFont="1" applyFill="1" applyBorder="1" applyAlignment="1">
      <alignment horizontal="center" vertical="center"/>
    </xf>
    <xf numFmtId="0" fontId="48" fillId="0" borderId="0" xfId="0" applyFont="1" applyAlignment="1">
      <alignment horizontal="right"/>
    </xf>
    <xf numFmtId="0" fontId="4" fillId="12" borderId="8" xfId="0" applyFont="1" applyFill="1" applyBorder="1" applyAlignment="1">
      <alignment horizontal="center" vertical="center"/>
    </xf>
    <xf numFmtId="0" fontId="3" fillId="12" borderId="9" xfId="0" applyFont="1" applyFill="1" applyBorder="1" applyAlignment="1">
      <alignment horizontal="center" vertical="center"/>
    </xf>
    <xf numFmtId="0" fontId="4" fillId="0" borderId="6" xfId="0" quotePrefix="1" applyFont="1" applyBorder="1" applyAlignment="1">
      <alignment horizontal="center" vertical="center"/>
    </xf>
    <xf numFmtId="0" fontId="9" fillId="10" borderId="8" xfId="0" applyFont="1" applyFill="1" applyBorder="1" applyAlignment="1">
      <alignment horizontal="center" vertical="center"/>
    </xf>
    <xf numFmtId="0" fontId="50" fillId="0" borderId="4" xfId="0" applyFont="1" applyBorder="1" applyAlignment="1">
      <alignment horizontal="center" vertical="center"/>
    </xf>
    <xf numFmtId="0" fontId="50" fillId="0" borderId="6" xfId="0" applyFont="1" applyBorder="1" applyAlignment="1">
      <alignment horizontal="center" vertical="center"/>
    </xf>
    <xf numFmtId="0" fontId="50" fillId="0" borderId="6" xfId="0" quotePrefix="1"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10" xfId="0" applyFont="1" applyBorder="1" applyAlignment="1">
      <alignment horizontal="center" vertical="center"/>
    </xf>
    <xf numFmtId="0" fontId="50" fillId="0" borderId="9" xfId="0" applyFont="1" applyBorder="1" applyAlignment="1">
      <alignment horizontal="center" vertical="center"/>
    </xf>
    <xf numFmtId="0" fontId="52" fillId="0" borderId="0" xfId="0" applyFont="1"/>
    <xf numFmtId="0" fontId="10" fillId="0" borderId="0" xfId="0" applyFont="1" applyAlignment="1">
      <alignment wrapText="1"/>
    </xf>
    <xf numFmtId="0" fontId="8" fillId="0" borderId="0" xfId="0" applyFont="1" applyAlignment="1">
      <alignment horizontal="center"/>
    </xf>
    <xf numFmtId="0" fontId="10" fillId="6" borderId="0" xfId="0" applyFont="1" applyFill="1" applyAlignment="1">
      <alignment horizontal="center"/>
    </xf>
    <xf numFmtId="0" fontId="6" fillId="6" borderId="0" xfId="0" applyFont="1" applyFill="1" applyAlignment="1">
      <alignment horizontal="center"/>
    </xf>
    <xf numFmtId="0" fontId="2" fillId="3" borderId="3"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48" fillId="0" borderId="0" xfId="0" applyFont="1" applyAlignment="1">
      <alignment horizontal="left"/>
    </xf>
    <xf numFmtId="0" fontId="28" fillId="14" borderId="0" xfId="2" applyFont="1" applyFill="1" applyAlignment="1" applyProtection="1">
      <alignment vertical="center"/>
    </xf>
    <xf numFmtId="0" fontId="27" fillId="14" borderId="0" xfId="2" applyFill="1" applyAlignment="1" applyProtection="1">
      <alignment vertical="center"/>
    </xf>
    <xf numFmtId="0" fontId="44" fillId="6" borderId="0" xfId="1" applyFont="1" applyFill="1" applyAlignment="1" applyProtection="1">
      <alignment vertical="center"/>
      <protection locked="0"/>
    </xf>
    <xf numFmtId="0" fontId="21" fillId="0" borderId="21" xfId="1" applyFont="1" applyBorder="1" applyAlignment="1" applyProtection="1">
      <alignment horizontal="left" vertical="center" wrapText="1"/>
      <protection locked="0"/>
    </xf>
    <xf numFmtId="0" fontId="54" fillId="2" borderId="21" xfId="1" applyFont="1" applyFill="1" applyBorder="1" applyAlignment="1" applyProtection="1">
      <alignment horizontal="left" vertical="center" wrapText="1"/>
      <protection locked="0"/>
    </xf>
    <xf numFmtId="0" fontId="59" fillId="0" borderId="0" xfId="0" applyFont="1"/>
    <xf numFmtId="0" fontId="45" fillId="0" borderId="0" xfId="0" applyFont="1" applyAlignment="1">
      <alignment horizontal="left"/>
    </xf>
    <xf numFmtId="14" fontId="8" fillId="15" borderId="0" xfId="0" applyNumberFormat="1" applyFont="1" applyFill="1"/>
    <xf numFmtId="0" fontId="10" fillId="15" borderId="0" xfId="0" applyFont="1" applyFill="1" applyAlignment="1">
      <alignment horizontal="left"/>
    </xf>
    <xf numFmtId="14" fontId="45" fillId="15" borderId="0" xfId="0" applyNumberFormat="1" applyFont="1" applyFill="1"/>
    <xf numFmtId="0" fontId="45" fillId="15" borderId="0" xfId="0" applyFont="1" applyFill="1" applyAlignment="1">
      <alignment horizontal="center"/>
    </xf>
    <xf numFmtId="0" fontId="10" fillId="0" borderId="0" xfId="0" applyFont="1" applyAlignment="1">
      <alignment horizontal="left" wrapText="1"/>
    </xf>
    <xf numFmtId="0" fontId="7" fillId="10" borderId="0" xfId="0" applyFont="1" applyFill="1" applyAlignment="1">
      <alignment horizontal="left" wrapText="1"/>
    </xf>
    <xf numFmtId="0" fontId="8" fillId="7" borderId="0" xfId="0" applyFont="1" applyFill="1" applyAlignment="1">
      <alignment wrapText="1"/>
    </xf>
    <xf numFmtId="0" fontId="8" fillId="0" borderId="0" xfId="0" applyFont="1" applyAlignment="1">
      <alignment horizontal="left" wrapText="1"/>
    </xf>
    <xf numFmtId="0" fontId="7" fillId="10" borderId="0" xfId="0" applyFont="1" applyFill="1" applyAlignment="1">
      <alignment horizontal="center"/>
    </xf>
    <xf numFmtId="0" fontId="7" fillId="10" borderId="0" xfId="0" applyFont="1" applyFill="1"/>
    <xf numFmtId="0" fontId="0" fillId="10" borderId="0" xfId="0" applyFill="1" applyAlignment="1">
      <alignment horizontal="right"/>
    </xf>
    <xf numFmtId="14" fontId="0" fillId="10" borderId="0" xfId="0" applyNumberFormat="1" applyFill="1"/>
    <xf numFmtId="0" fontId="9" fillId="0" borderId="8" xfId="0" applyFont="1" applyBorder="1" applyAlignment="1">
      <alignment horizontal="center" vertical="center"/>
    </xf>
    <xf numFmtId="0" fontId="3" fillId="0" borderId="6" xfId="0" applyFont="1" applyBorder="1" applyAlignment="1">
      <alignment horizontal="center" vertical="center"/>
    </xf>
    <xf numFmtId="0" fontId="48" fillId="0" borderId="0" xfId="0" applyFont="1"/>
    <xf numFmtId="0" fontId="48" fillId="0" borderId="0" xfId="0" applyFont="1" applyAlignment="1">
      <alignment horizontal="center"/>
    </xf>
    <xf numFmtId="0" fontId="48" fillId="7" borderId="0" xfId="0" applyFont="1" applyFill="1" applyAlignment="1">
      <alignment wrapText="1"/>
    </xf>
    <xf numFmtId="0" fontId="48" fillId="0" borderId="0" xfId="0" applyFont="1" applyAlignment="1">
      <alignment horizontal="left" wrapText="1"/>
    </xf>
    <xf numFmtId="0" fontId="61" fillId="0" borderId="0" xfId="0" applyFont="1"/>
    <xf numFmtId="0" fontId="10" fillId="15" borderId="30" xfId="0" applyFont="1" applyFill="1" applyBorder="1" applyAlignment="1">
      <alignment horizontal="left"/>
    </xf>
    <xf numFmtId="0" fontId="45" fillId="15" borderId="0" xfId="0" applyFont="1" applyFill="1" applyAlignment="1">
      <alignment horizontal="left"/>
    </xf>
    <xf numFmtId="0" fontId="6" fillId="15" borderId="30" xfId="0" applyFont="1" applyFill="1" applyBorder="1"/>
    <xf numFmtId="14" fontId="6" fillId="15" borderId="30" xfId="0" applyNumberFormat="1" applyFont="1" applyFill="1" applyBorder="1"/>
    <xf numFmtId="14" fontId="6" fillId="15" borderId="0" xfId="0" applyNumberFormat="1" applyFont="1" applyFill="1"/>
    <xf numFmtId="0" fontId="46" fillId="0" borderId="0" xfId="0" applyFont="1" applyAlignment="1">
      <alignment horizontal="right"/>
    </xf>
    <xf numFmtId="14" fontId="46" fillId="0" borderId="0" xfId="0" applyNumberFormat="1" applyFont="1" applyAlignment="1">
      <alignment horizontal="left"/>
    </xf>
    <xf numFmtId="0" fontId="6" fillId="15" borderId="0" xfId="0" applyFont="1" applyFill="1"/>
    <xf numFmtId="0" fontId="8" fillId="6" borderId="7" xfId="0" applyFont="1" applyFill="1" applyBorder="1" applyAlignment="1">
      <alignment horizontal="center"/>
    </xf>
    <xf numFmtId="0" fontId="8" fillId="6" borderId="0" xfId="0" applyFont="1" applyFill="1" applyAlignment="1">
      <alignment horizontal="center"/>
    </xf>
    <xf numFmtId="0" fontId="8" fillId="6" borderId="8" xfId="0" applyFont="1" applyFill="1" applyBorder="1" applyAlignment="1">
      <alignment horizontal="center"/>
    </xf>
    <xf numFmtId="0" fontId="8" fillId="6" borderId="31" xfId="0" applyFont="1" applyFill="1" applyBorder="1" applyAlignment="1">
      <alignment horizontal="center"/>
    </xf>
    <xf numFmtId="0" fontId="8" fillId="6" borderId="32" xfId="0" applyFont="1" applyFill="1" applyBorder="1" applyAlignment="1">
      <alignment horizontal="center"/>
    </xf>
    <xf numFmtId="0" fontId="8" fillId="6" borderId="33" xfId="0" applyFont="1" applyFill="1" applyBorder="1" applyAlignment="1">
      <alignment horizontal="center"/>
    </xf>
    <xf numFmtId="0" fontId="8" fillId="6" borderId="34" xfId="0" applyFont="1" applyFill="1" applyBorder="1" applyAlignment="1">
      <alignment horizontal="center"/>
    </xf>
    <xf numFmtId="0" fontId="49" fillId="12" borderId="6" xfId="0" applyFont="1" applyFill="1" applyBorder="1" applyAlignment="1">
      <alignment horizontal="right" vertical="center"/>
    </xf>
    <xf numFmtId="0" fontId="7" fillId="0" borderId="0" xfId="0" applyFont="1" applyAlignment="1">
      <alignment horizontal="left" wrapText="1"/>
    </xf>
    <xf numFmtId="0" fontId="62" fillId="0" borderId="0" xfId="0" applyFont="1"/>
    <xf numFmtId="14" fontId="46" fillId="0" borderId="0" xfId="0" applyNumberFormat="1" applyFont="1"/>
    <xf numFmtId="0" fontId="9" fillId="10" borderId="5"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18" fillId="0" borderId="12" xfId="1" applyFont="1" applyBorder="1" applyAlignment="1" applyProtection="1">
      <alignment horizontal="center"/>
    </xf>
    <xf numFmtId="0" fontId="18" fillId="0" borderId="13" xfId="1" applyFont="1" applyBorder="1" applyAlignment="1" applyProtection="1">
      <alignment horizontal="center"/>
    </xf>
    <xf numFmtId="0" fontId="18" fillId="0" borderId="13" xfId="1" applyFont="1" applyBorder="1" applyProtection="1"/>
    <xf numFmtId="0" fontId="18" fillId="0" borderId="14"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vertical="center"/>
    </xf>
    <xf numFmtId="0" fontId="18" fillId="0" borderId="0" xfId="1" applyFont="1" applyProtection="1"/>
    <xf numFmtId="0" fontId="40" fillId="13" borderId="15" xfId="1" applyFont="1" applyFill="1" applyBorder="1" applyAlignment="1" applyProtection="1">
      <alignment horizontal="left" vertical="center" wrapText="1"/>
    </xf>
    <xf numFmtId="0" fontId="40" fillId="13" borderId="0" xfId="1" applyFont="1" applyFill="1" applyAlignment="1" applyProtection="1">
      <alignment vertical="center" wrapText="1"/>
    </xf>
    <xf numFmtId="0" fontId="63" fillId="8" borderId="37" xfId="1" applyFont="1" applyFill="1" applyBorder="1" applyAlignment="1" applyProtection="1">
      <alignment horizontal="right" vertical="center"/>
    </xf>
    <xf numFmtId="0" fontId="64" fillId="8" borderId="38" xfId="1" applyFont="1" applyFill="1" applyBorder="1" applyAlignment="1" applyProtection="1">
      <alignment horizontal="center" vertical="center"/>
    </xf>
    <xf numFmtId="0" fontId="19" fillId="14" borderId="16" xfId="1" applyFont="1" applyFill="1" applyBorder="1" applyAlignment="1" applyProtection="1">
      <alignment vertical="center"/>
    </xf>
    <xf numFmtId="0" fontId="19" fillId="14" borderId="17" xfId="1" applyFont="1" applyFill="1" applyBorder="1" applyAlignment="1" applyProtection="1">
      <alignment vertical="center"/>
    </xf>
    <xf numFmtId="0" fontId="19" fillId="14" borderId="17" xfId="1" applyFont="1" applyFill="1" applyBorder="1" applyAlignment="1" applyProtection="1">
      <alignment horizontal="right" vertical="center"/>
    </xf>
    <xf numFmtId="0" fontId="58" fillId="14" borderId="17" xfId="1" applyFont="1" applyFill="1" applyBorder="1" applyAlignment="1" applyProtection="1">
      <alignment horizontal="center" vertical="center"/>
    </xf>
    <xf numFmtId="0" fontId="43" fillId="14" borderId="17" xfId="1" applyFont="1" applyFill="1" applyBorder="1" applyAlignment="1" applyProtection="1">
      <alignment vertical="center"/>
    </xf>
    <xf numFmtId="0" fontId="56" fillId="14" borderId="17" xfId="1" applyFont="1" applyFill="1" applyBorder="1" applyAlignment="1" applyProtection="1">
      <alignment horizontal="right" vertical="center"/>
    </xf>
    <xf numFmtId="0" fontId="63" fillId="8" borderId="35" xfId="1" applyFont="1" applyFill="1" applyBorder="1" applyAlignment="1" applyProtection="1">
      <alignment horizontal="right" vertical="center"/>
    </xf>
    <xf numFmtId="0" fontId="64" fillId="8" borderId="36" xfId="1" applyFont="1" applyFill="1" applyBorder="1" applyAlignment="1" applyProtection="1">
      <alignment horizontal="center" vertical="center"/>
    </xf>
    <xf numFmtId="0" fontId="1" fillId="0" borderId="0" xfId="1" applyAlignment="1" applyProtection="1">
      <alignment horizontal="center"/>
    </xf>
    <xf numFmtId="0" fontId="21" fillId="2" borderId="0" xfId="1" applyFont="1" applyFill="1" applyAlignment="1" applyProtection="1">
      <alignment horizontal="right" vertical="center" indent="1"/>
    </xf>
    <xf numFmtId="0" fontId="20" fillId="2" borderId="0" xfId="1" applyFont="1" applyFill="1" applyAlignment="1" applyProtection="1">
      <alignment vertical="center"/>
    </xf>
    <xf numFmtId="14" fontId="21" fillId="2" borderId="0" xfId="1" applyNumberFormat="1" applyFont="1" applyFill="1" applyAlignment="1" applyProtection="1">
      <alignment vertical="center"/>
    </xf>
    <xf numFmtId="0" fontId="20" fillId="2" borderId="0" xfId="1" applyFont="1" applyFill="1" applyAlignment="1" applyProtection="1">
      <alignment horizontal="left" vertical="center"/>
    </xf>
    <xf numFmtId="0" fontId="21"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22" fillId="13" borderId="0" xfId="1" applyFont="1" applyFill="1" applyAlignment="1" applyProtection="1">
      <alignment horizontal="center" vertical="center"/>
    </xf>
    <xf numFmtId="0" fontId="22" fillId="13" borderId="0" xfId="1" applyFont="1" applyFill="1" applyAlignment="1" applyProtection="1">
      <alignment horizontal="left" vertical="center" indent="1"/>
    </xf>
    <xf numFmtId="0" fontId="22" fillId="13" borderId="0" xfId="1" applyFont="1" applyFill="1" applyAlignment="1" applyProtection="1">
      <alignment vertical="center"/>
    </xf>
    <xf numFmtId="0" fontId="22" fillId="13" borderId="22" xfId="1" applyFont="1" applyFill="1" applyBorder="1" applyAlignment="1" applyProtection="1">
      <alignment horizontal="left" vertical="center"/>
    </xf>
    <xf numFmtId="0" fontId="22" fillId="13" borderId="0" xfId="1" applyFont="1" applyFill="1" applyAlignment="1" applyProtection="1">
      <alignment horizontal="left" vertical="center"/>
    </xf>
    <xf numFmtId="0" fontId="22" fillId="13" borderId="18"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13" borderId="0" xfId="1" applyFont="1" applyFill="1" applyAlignment="1" applyProtection="1">
      <alignment horizontal="center" vertical="center" wrapText="1"/>
    </xf>
    <xf numFmtId="0" fontId="22" fillId="13" borderId="22" xfId="1" applyFont="1" applyFill="1" applyBorder="1" applyAlignment="1" applyProtection="1">
      <alignment horizontal="center" vertical="center" wrapText="1"/>
    </xf>
    <xf numFmtId="0" fontId="22" fillId="13" borderId="18" xfId="1" applyFont="1" applyFill="1" applyBorder="1" applyAlignment="1" applyProtection="1">
      <alignment horizontal="center" vertical="center" wrapText="1"/>
    </xf>
    <xf numFmtId="0" fontId="21" fillId="2" borderId="19" xfId="1" applyFont="1" applyFill="1" applyBorder="1" applyAlignment="1" applyProtection="1">
      <alignment horizontal="center" vertical="center" wrapText="1"/>
    </xf>
    <xf numFmtId="0" fontId="21" fillId="2" borderId="20" xfId="1" applyFont="1" applyFill="1" applyBorder="1" applyAlignment="1" applyProtection="1">
      <alignment horizontal="center" vertical="center" wrapText="1"/>
    </xf>
    <xf numFmtId="0" fontId="21" fillId="2" borderId="20" xfId="1" applyFont="1" applyFill="1" applyBorder="1" applyAlignment="1" applyProtection="1">
      <alignment vertical="center" wrapText="1"/>
    </xf>
    <xf numFmtId="0" fontId="24" fillId="2" borderId="20" xfId="1" applyFont="1" applyFill="1" applyBorder="1" applyAlignment="1" applyProtection="1">
      <alignment horizontal="center" vertical="center" wrapText="1"/>
    </xf>
    <xf numFmtId="0" fontId="21" fillId="2" borderId="23" xfId="1" applyFont="1" applyFill="1" applyBorder="1" applyAlignment="1" applyProtection="1">
      <alignment horizontal="center" vertical="center" wrapText="1"/>
    </xf>
    <xf numFmtId="0" fontId="21" fillId="2" borderId="24" xfId="1" applyFont="1" applyFill="1" applyBorder="1" applyAlignment="1" applyProtection="1">
      <alignment horizontal="center" vertical="center" wrapText="1"/>
    </xf>
    <xf numFmtId="0" fontId="25" fillId="0" borderId="0" xfId="1" applyFont="1" applyAlignment="1" applyProtection="1">
      <alignment horizontal="center" vertical="center"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14" borderId="14" xfId="1" applyFont="1" applyFill="1" applyBorder="1" applyAlignment="1" applyProtection="1">
      <alignment horizontal="center" vertical="center" wrapText="1"/>
    </xf>
    <xf numFmtId="0" fontId="21" fillId="14" borderId="0" xfId="1" applyFont="1" applyFill="1" applyAlignment="1" applyProtection="1">
      <alignment horizontal="center" vertical="center" wrapText="1"/>
    </xf>
    <xf numFmtId="0" fontId="21" fillId="14" borderId="0" xfId="1" applyFont="1" applyFill="1" applyAlignment="1" applyProtection="1">
      <alignment vertical="center" wrapText="1"/>
    </xf>
    <xf numFmtId="0" fontId="24" fillId="14" borderId="0" xfId="1" applyFont="1" applyFill="1" applyAlignment="1" applyProtection="1">
      <alignment horizontal="left" vertical="center" wrapText="1"/>
    </xf>
    <xf numFmtId="0" fontId="21" fillId="14" borderId="22" xfId="1" applyFont="1" applyFill="1" applyBorder="1" applyAlignment="1" applyProtection="1">
      <alignment horizontal="center" vertical="center" wrapText="1"/>
    </xf>
    <xf numFmtId="0" fontId="21" fillId="14" borderId="18" xfId="1" applyFont="1" applyFill="1" applyBorder="1" applyAlignment="1" applyProtection="1">
      <alignment horizontal="center" vertical="center" wrapText="1"/>
    </xf>
    <xf numFmtId="0" fontId="21" fillId="0" borderId="20" xfId="1" applyFont="1" applyBorder="1" applyAlignment="1" applyProtection="1">
      <alignment horizontal="center" vertical="center" wrapText="1"/>
    </xf>
    <xf numFmtId="0" fontId="21" fillId="0" borderId="23" xfId="1" applyFont="1" applyBorder="1" applyAlignment="1" applyProtection="1">
      <alignment horizontal="center" vertical="center" wrapText="1"/>
    </xf>
    <xf numFmtId="0" fontId="21" fillId="0" borderId="24"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20" xfId="1" applyFont="1" applyBorder="1" applyAlignment="1" applyProtection="1">
      <alignment horizontal="left" vertical="center"/>
    </xf>
    <xf numFmtId="0" fontId="23" fillId="2" borderId="0" xfId="1" applyFont="1" applyFill="1" applyAlignment="1" applyProtection="1">
      <alignment horizontal="center" vertical="center"/>
    </xf>
    <xf numFmtId="0" fontId="21" fillId="0" borderId="20" xfId="1" applyFont="1" applyBorder="1" applyAlignment="1" applyProtection="1">
      <alignment vertical="center" wrapText="1"/>
    </xf>
    <xf numFmtId="0" fontId="54" fillId="2" borderId="19" xfId="1" applyFont="1" applyFill="1" applyBorder="1" applyAlignment="1" applyProtection="1">
      <alignment horizontal="center" vertical="center" wrapText="1"/>
    </xf>
    <xf numFmtId="0" fontId="54" fillId="0" borderId="20" xfId="1" applyFont="1" applyBorder="1" applyAlignment="1" applyProtection="1">
      <alignment horizontal="center" vertical="center" wrapText="1"/>
    </xf>
    <xf numFmtId="0" fontId="54" fillId="0" borderId="20" xfId="1" applyFont="1" applyBorder="1" applyAlignment="1" applyProtection="1">
      <alignment vertical="center" wrapText="1"/>
    </xf>
    <xf numFmtId="0" fontId="55" fillId="2" borderId="20" xfId="1" applyFont="1" applyFill="1" applyBorder="1" applyAlignment="1" applyProtection="1">
      <alignment horizontal="center" vertical="center" wrapText="1"/>
    </xf>
    <xf numFmtId="0" fontId="54" fillId="2" borderId="20" xfId="1" applyFont="1" applyFill="1" applyBorder="1" applyAlignment="1" applyProtection="1">
      <alignment horizontal="center" vertical="center" wrapText="1"/>
    </xf>
    <xf numFmtId="0" fontId="54" fillId="2" borderId="23" xfId="1" applyFont="1" applyFill="1" applyBorder="1" applyAlignment="1" applyProtection="1">
      <alignment horizontal="center" vertical="center" wrapText="1"/>
    </xf>
    <xf numFmtId="0" fontId="54" fillId="2" borderId="24" xfId="1" applyFont="1" applyFill="1" applyBorder="1" applyAlignment="1" applyProtection="1">
      <alignment horizontal="center" vertical="center" wrapText="1"/>
    </xf>
    <xf numFmtId="0" fontId="54" fillId="0" borderId="20" xfId="1" applyFont="1" applyBorder="1" applyAlignment="1" applyProtection="1">
      <alignment horizontal="left" vertical="center"/>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xf>
    <xf numFmtId="0" fontId="35" fillId="2" borderId="0" xfId="1" applyFont="1" applyFill="1" applyAlignment="1" applyProtection="1">
      <alignment horizontal="center" vertical="center"/>
    </xf>
    <xf numFmtId="0" fontId="35" fillId="2" borderId="0" xfId="1" applyFont="1" applyFill="1" applyProtection="1"/>
    <xf numFmtId="0" fontId="12" fillId="2" borderId="0" xfId="1" applyFont="1" applyFill="1" applyProtection="1"/>
    <xf numFmtId="0" fontId="53" fillId="13" borderId="0" xfId="1" applyFont="1" applyFill="1" applyAlignment="1" applyProtection="1">
      <alignment horizontal="left" vertical="center" readingOrder="1"/>
    </xf>
    <xf numFmtId="0" fontId="37" fillId="13" borderId="0" xfId="1" applyFont="1" applyFill="1" applyAlignment="1" applyProtection="1">
      <alignment horizontal="left" vertical="center" readingOrder="1"/>
    </xf>
    <xf numFmtId="0" fontId="42" fillId="13" borderId="0" xfId="1" applyFont="1" applyFill="1" applyAlignment="1" applyProtection="1">
      <alignment horizontal="center" vertical="center" readingOrder="1"/>
    </xf>
    <xf numFmtId="0" fontId="22" fillId="13" borderId="0" xfId="1" applyFont="1" applyFill="1" applyAlignment="1" applyProtection="1">
      <alignment vertical="center" readingOrder="1"/>
    </xf>
    <xf numFmtId="0" fontId="42" fillId="13" borderId="0" xfId="1" applyFont="1" applyFill="1" applyAlignment="1" applyProtection="1">
      <alignment vertical="center" readingOrder="1"/>
    </xf>
    <xf numFmtId="0" fontId="42" fillId="13" borderId="18" xfId="1" applyFont="1" applyFill="1" applyBorder="1" applyAlignment="1" applyProtection="1">
      <alignment vertical="center" readingOrder="1"/>
    </xf>
    <xf numFmtId="0" fontId="57" fillId="13" borderId="0" xfId="1" applyFont="1" applyFill="1" applyAlignment="1" applyProtection="1">
      <alignment horizontal="right"/>
    </xf>
    <xf numFmtId="0" fontId="1" fillId="0" borderId="0" xfId="1" applyAlignment="1" applyProtection="1">
      <alignment horizontal="center" vertical="center"/>
    </xf>
    <xf numFmtId="0" fontId="37" fillId="13" borderId="0" xfId="1" applyFont="1" applyFill="1" applyAlignment="1" applyProtection="1">
      <alignment horizontal="left" vertical="center" indent="1"/>
    </xf>
    <xf numFmtId="0" fontId="37" fillId="13" borderId="0" xfId="1" applyFont="1" applyFill="1" applyAlignment="1" applyProtection="1">
      <alignment horizontal="left" vertical="top" indent="1"/>
    </xf>
    <xf numFmtId="0" fontId="1" fillId="0" borderId="0" xfId="1" applyAlignment="1" applyProtection="1">
      <alignment horizontal="center" vertical="top"/>
    </xf>
    <xf numFmtId="0" fontId="36" fillId="0" borderId="19" xfId="1" applyFont="1" applyBorder="1" applyAlignment="1" applyProtection="1">
      <alignment horizontal="left" vertical="center"/>
    </xf>
    <xf numFmtId="0" fontId="36" fillId="0" borderId="20" xfId="1" applyFont="1" applyBorder="1" applyAlignment="1" applyProtection="1">
      <alignment horizontal="left" vertical="center"/>
    </xf>
    <xf numFmtId="0" fontId="36" fillId="0" borderId="20" xfId="1" applyFont="1" applyBorder="1" applyAlignment="1" applyProtection="1">
      <alignment vertical="center"/>
    </xf>
    <xf numFmtId="0" fontId="36" fillId="0" borderId="20" xfId="1" applyFont="1" applyBorder="1" applyAlignment="1" applyProtection="1">
      <alignment vertical="center" wrapText="1"/>
    </xf>
    <xf numFmtId="0" fontId="36" fillId="0" borderId="20" xfId="1" applyFont="1" applyBorder="1" applyAlignment="1" applyProtection="1">
      <alignment horizontal="center" vertical="center" wrapText="1"/>
    </xf>
    <xf numFmtId="0" fontId="21" fillId="2" borderId="23" xfId="1" applyFont="1" applyFill="1" applyBorder="1" applyAlignment="1" applyProtection="1">
      <alignment horizontal="center" vertical="center"/>
    </xf>
    <xf numFmtId="0" fontId="21" fillId="2" borderId="20" xfId="1" applyFont="1" applyFill="1" applyBorder="1" applyAlignment="1" applyProtection="1">
      <alignment horizontal="center" vertical="center"/>
    </xf>
    <xf numFmtId="0" fontId="21" fillId="2" borderId="24" xfId="1" applyFont="1" applyFill="1" applyBorder="1" applyAlignment="1" applyProtection="1">
      <alignment horizontal="center" vertical="center"/>
    </xf>
    <xf numFmtId="0" fontId="26" fillId="2" borderId="0" xfId="1" applyFont="1" applyFill="1" applyAlignment="1" applyProtection="1">
      <alignment horizontal="center" vertical="center" wrapText="1"/>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2" fillId="2" borderId="0" xfId="1" applyFont="1" applyFill="1" applyAlignment="1" applyProtection="1">
      <alignment vertical="center"/>
    </xf>
    <xf numFmtId="0" fontId="34" fillId="2" borderId="0" xfId="1" applyFont="1" applyFill="1" applyAlignment="1" applyProtection="1">
      <alignment horizontal="right" vertical="center"/>
    </xf>
    <xf numFmtId="0" fontId="44" fillId="2" borderId="0" xfId="1" applyFont="1" applyFill="1" applyAlignment="1" applyProtection="1">
      <alignment vertical="center"/>
      <protection locked="0"/>
    </xf>
    <xf numFmtId="0" fontId="20" fillId="2" borderId="0" xfId="1" applyFont="1" applyFill="1" applyAlignment="1" applyProtection="1">
      <alignment vertical="center"/>
      <protection locked="0"/>
    </xf>
    <xf numFmtId="0" fontId="21" fillId="14" borderId="18" xfId="1" applyFont="1" applyFill="1" applyBorder="1" applyAlignment="1" applyProtection="1">
      <alignment horizontal="left" vertical="center" wrapText="1"/>
      <protection locked="0"/>
    </xf>
    <xf numFmtId="0" fontId="34" fillId="2" borderId="0" xfId="1" applyFont="1" applyFill="1" applyAlignment="1" applyProtection="1">
      <alignment vertical="center"/>
      <protection locked="0"/>
    </xf>
  </cellXfs>
  <cellStyles count="3">
    <cellStyle name="Hyperlink" xfId="2" builtinId="8"/>
    <cellStyle name="Normal" xfId="0" builtinId="0"/>
    <cellStyle name="Normal 2" xfId="1"/>
  </cellStyles>
  <dxfs count="139">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indexed="64"/>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outline="0">
        <left/>
        <right style="thin">
          <color theme="0" tint="-0.24994659260841701"/>
        </right>
        <top/>
        <bottom/>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000000"/>
        <name val="Arial"/>
        <scheme val="none"/>
      </font>
      <numFmt numFmtId="19" formatCode="d/mm/yyyy"/>
      <fill>
        <patternFill patternType="solid">
          <fgColor indexed="64"/>
          <bgColor rgb="FFFFC000"/>
        </patternFill>
      </fill>
    </dxf>
    <dxf>
      <font>
        <b val="0"/>
        <i val="0"/>
        <strike val="0"/>
        <condense val="0"/>
        <extend val="0"/>
        <outline val="0"/>
        <shadow val="0"/>
        <u val="none"/>
        <vertAlign val="baseline"/>
        <sz val="10"/>
        <color rgb="FF000000"/>
        <name val="Arial"/>
        <scheme val="none"/>
      </font>
      <numFmt numFmtId="19" formatCode="d/mm/yyyy"/>
      <border diagonalUp="0" diagonalDown="0">
        <left/>
        <right/>
        <top style="thin">
          <color theme="1"/>
        </top>
        <bottom/>
        <vertical/>
        <horizontal/>
      </border>
    </dxf>
    <dxf>
      <font>
        <b val="0"/>
        <i val="0"/>
        <strike val="0"/>
        <condense val="0"/>
        <extend val="0"/>
        <outline val="0"/>
        <shadow val="0"/>
        <u val="none"/>
        <vertAlign val="baseline"/>
        <sz val="10"/>
        <color rgb="FF000000"/>
        <name val="Arial"/>
        <scheme val="none"/>
      </font>
      <border diagonalUp="0" diagonalDown="0">
        <left/>
        <right/>
        <top style="thin">
          <color theme="1"/>
        </top>
        <bottom/>
        <vertical/>
        <horizontal/>
      </border>
    </dxf>
    <dxf>
      <font>
        <b val="0"/>
        <i val="0"/>
        <strike val="0"/>
        <condense val="0"/>
        <extend val="0"/>
        <outline val="0"/>
        <shadow val="0"/>
        <u val="none"/>
        <vertAlign val="baseline"/>
        <sz val="10"/>
        <color rgb="FF000000"/>
        <name val="Arial"/>
        <scheme val="none"/>
      </font>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1"/>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1"/>
          <bgColor theme="1"/>
        </patternFill>
      </fil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numFmt numFmtId="19" formatCode="d/mm/yyyy"/>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auto="1"/>
        <name val="Arial"/>
        <scheme val="none"/>
      </font>
      <numFmt numFmtId="19" formatCode="d/mm/yyyy"/>
      <fill>
        <patternFill patternType="solid">
          <fgColor indexed="64"/>
          <bgColor rgb="FF92D050"/>
        </patternFill>
      </fill>
    </dxf>
    <dxf>
      <font>
        <b val="0"/>
        <i val="0"/>
        <strike val="0"/>
        <condense val="0"/>
        <extend val="0"/>
        <outline val="0"/>
        <shadow val="0"/>
        <u val="none"/>
        <vertAlign val="baseline"/>
        <sz val="10"/>
        <color auto="1"/>
        <name val="Arial"/>
        <scheme val="none"/>
      </font>
      <numFmt numFmtId="19" formatCode="d/mm/yyyy"/>
      <fill>
        <patternFill patternType="solid">
          <fgColor indexed="64"/>
          <bgColor rgb="FF92D050"/>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font>
      <fill>
        <patternFill>
          <bgColor theme="0" tint="-0.14996795556505021"/>
        </patternFill>
      </fill>
    </dxf>
    <dxf>
      <fill>
        <patternFill>
          <bgColor theme="0" tint="-0.14996795556505021"/>
        </patternFill>
      </fill>
    </dxf>
    <dxf>
      <font>
        <b val="0"/>
        <i/>
      </font>
      <fill>
        <patternFill>
          <bgColor theme="4" tint="0.79998168889431442"/>
        </patternFill>
      </fill>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266701</xdr:colOff>
      <xdr:row>5</xdr:row>
      <xdr:rowOff>38101</xdr:rowOff>
    </xdr:from>
    <xdr:to>
      <xdr:col>16</xdr:col>
      <xdr:colOff>552451</xdr:colOff>
      <xdr:row>33</xdr:row>
      <xdr:rowOff>28575</xdr:rowOff>
    </xdr:to>
    <xdr:sp macro="" textlink="">
      <xdr:nvSpPr>
        <xdr:cNvPr id="7" name="TextBox 1">
          <a:extLst>
            <a:ext uri="{FF2B5EF4-FFF2-40B4-BE49-F238E27FC236}">
              <a16:creationId xmlns:a16="http://schemas.microsoft.com/office/drawing/2014/main" id="{00000000-0008-0000-0000-000002000000}"/>
            </a:ext>
          </a:extLst>
        </xdr:cNvPr>
        <xdr:cNvSpPr txBox="1"/>
      </xdr:nvSpPr>
      <xdr:spPr>
        <a:xfrm>
          <a:off x="11087101" y="1123951"/>
          <a:ext cx="5629275" cy="652462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fontAlgn="base"/>
          <a:r>
            <a:rPr lang="en-AU" sz="1100" b="1" i="0">
              <a:solidFill>
                <a:schemeClr val="dk1"/>
              </a:solidFill>
              <a:effectLst/>
              <a:latin typeface="+mn-lt"/>
              <a:ea typeface="+mn-ea"/>
              <a:cs typeface="+mn-cs"/>
            </a:rPr>
            <a:t>Enrolment Guidelines</a:t>
          </a:r>
        </a:p>
        <a:p>
          <a:pPr algn="ctr" rtl="0" fontAlgn="base"/>
          <a:r>
            <a:rPr lang="en-AU" sz="1100" b="1" i="0">
              <a:solidFill>
                <a:schemeClr val="dk1"/>
              </a:solidFill>
              <a:effectLst/>
              <a:latin typeface="+mn-lt"/>
              <a:ea typeface="+mn-ea"/>
              <a:cs typeface="+mn-cs"/>
            </a:rPr>
            <a:t>Bachelor of Applied Science (Construction Management)</a:t>
          </a:r>
        </a:p>
        <a:p>
          <a:pPr algn="ctr" rtl="0" fontAlgn="base"/>
          <a:endParaRPr lang="en-AU" sz="1100" b="1"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100 credit points per semester</a:t>
          </a:r>
          <a:r>
            <a:rPr lang="en-AU" sz="1100" b="0" i="0">
              <a:solidFill>
                <a:schemeClr val="dk1"/>
              </a:solidFill>
              <a:effectLst/>
              <a:latin typeface="+mn-lt"/>
              <a:ea typeface="+mn-ea"/>
              <a:cs typeface="+mn-cs"/>
            </a:rPr>
            <a: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recommended sequence of enrolment.</a:t>
          </a: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 please contact your</a:t>
          </a:r>
          <a:r>
            <a:rPr lang="en-AU" sz="1100" b="0" i="0" baseline="0">
              <a:solidFill>
                <a:schemeClr val="dk1"/>
              </a:solidFill>
              <a:effectLst/>
              <a:latin typeface="+mn-lt"/>
              <a:ea typeface="+mn-ea"/>
              <a:cs typeface="+mn-cs"/>
            </a:rPr>
            <a:t> Course Coordinator (Email: constructionmanagement@curtin.edu.au) or </a:t>
          </a:r>
          <a:r>
            <a:rPr lang="en-AU" sz="1100" b="0" i="0">
              <a:solidFill>
                <a:schemeClr val="dk1"/>
              </a:solidFill>
              <a:effectLst/>
              <a:latin typeface="+mn-lt"/>
              <a:ea typeface="+mn-ea"/>
              <a:cs typeface="+mn-cs"/>
            </a:rPr>
            <a:t>please select one or two units from those listed for each study period.</a:t>
          </a:r>
          <a:endParaRPr lang="en-AU">
            <a:effectLst/>
          </a:endParaRP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You are expected to study all of your units face-to-face for at least the first year of your course. </a:t>
          </a:r>
        </a:p>
        <a:p>
          <a:pPr rtl="0" fontAlgn="base"/>
          <a:r>
            <a:rPr lang="en-AU" sz="1100" b="0" i="0">
              <a:solidFill>
                <a:schemeClr val="dk1"/>
              </a:solidFill>
              <a:effectLst/>
              <a:latin typeface="+mn-lt"/>
              <a:ea typeface="+mn-ea"/>
              <a:cs typeface="+mn-cs"/>
            </a:rPr>
            <a:t>It is your responsibility to ensure that you meet all conditions of your student visa.  </a:t>
          </a:r>
        </a:p>
        <a:p>
          <a:endParaRPr lang="en-AU" sz="1100" b="1" i="1">
            <a:solidFill>
              <a:schemeClr val="dk1"/>
            </a:solidFill>
            <a:effectLst/>
            <a:latin typeface="+mn-lt"/>
            <a:ea typeface="+mn-ea"/>
            <a:cs typeface="+mn-cs"/>
          </a:endParaRPr>
        </a:p>
        <a:p>
          <a:r>
            <a:rPr lang="en-AU" sz="1100" b="1"/>
            <a:t>Industry Placements</a:t>
          </a:r>
        </a:p>
        <a:p>
          <a:pPr marL="0" indent="0"/>
          <a:r>
            <a:rPr lang="en-AU" sz="1100" baseline="0">
              <a:solidFill>
                <a:schemeClr val="dk1"/>
              </a:solidFill>
              <a:effectLst/>
              <a:latin typeface="+mn-lt"/>
              <a:ea typeface="+mn-ea"/>
              <a:cs typeface="+mn-cs"/>
            </a:rPr>
            <a:t>Students must undertake 80 days of work experience in the construction industry to meet the completion requirement of this course. The work experience must be in approved professional roles which are relevant to the course (e.g. quantity surveying, construction management, project management, building surveying, property development, contract administration, construction law, procurement/supply chain management etc.). This must be undertaken in an organization having a valid registration, conducting their business as a construction entity or consultancy firm, or a public or private organization in which construction or project procurement is their primary business.</a:t>
          </a:r>
        </a:p>
        <a:p>
          <a:endParaRPr lang="en-AU">
            <a:effectLst/>
          </a:endParaRPr>
        </a:p>
        <a:p>
          <a:pPr rtl="0" fontAlgn="base"/>
          <a:r>
            <a:rPr lang="en-AU" sz="1100" b="1" i="0">
              <a:solidFill>
                <a:schemeClr val="dk1"/>
              </a:solidFill>
              <a:effectLst/>
              <a:latin typeface="+mn-lt"/>
              <a:ea typeface="+mn-ea"/>
              <a:cs typeface="+mn-cs"/>
            </a:rPr>
            <a:t>Pre-requisites (if required)</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pPr marL="0" indent="0"/>
          <a:endParaRPr lang="en-AU" sz="1100" baseline="0">
            <a:solidFill>
              <a:schemeClr val="dk1"/>
            </a:solidFill>
            <a:effectLst/>
            <a:latin typeface="+mn-lt"/>
            <a:ea typeface="+mn-ea"/>
            <a:cs typeface="+mn-cs"/>
          </a:endParaRPr>
        </a:p>
        <a:p>
          <a:r>
            <a:rPr lang="en-AU" b="1"/>
            <a:t>Need more support? </a:t>
          </a:r>
        </a:p>
        <a:p>
          <a:r>
            <a:rPr lang="en-AU" b="0"/>
            <a:t>This planner is designed to be used in conjunction with the information provided by Curtin Connect on the Student Essentials webpages. If you have any questions regarding your enrolment, please contact Curtin Connect.</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800" b="0" i="0" baseline="0">
              <a:solidFill>
                <a:schemeClr val="dk1"/>
              </a:solidFill>
              <a:effectLst/>
              <a:latin typeface="+mn-lt"/>
              <a:ea typeface="+mn-ea"/>
              <a:cs typeface="+mn-cs"/>
            </a:rPr>
            <a:t>CP = Credit Points; Sem1 = Semester 1; Sem2 = Semester 2; BEN = unit available face-to-face at Curtin University, Bentley Campus; </a:t>
          </a:r>
          <a:endParaRPr lang="en-AU" sz="800">
            <a:effectLst/>
          </a:endParaRPr>
        </a:p>
        <a:p>
          <a:pPr rtl="0" fontAlgn="base"/>
          <a:r>
            <a:rPr lang="en-AU" sz="800" b="0" i="0" baseline="0">
              <a:solidFill>
                <a:schemeClr val="dk1"/>
              </a:solidFill>
              <a:effectLst/>
              <a:latin typeface="+mn-lt"/>
              <a:ea typeface="+mn-ea"/>
              <a:cs typeface="+mn-cs"/>
            </a:rPr>
            <a:t>FO = unit available Fully Online</a:t>
          </a:r>
          <a:endParaRPr lang="en-AU" sz="800">
            <a:effectLst/>
          </a:endParaRPr>
        </a:p>
      </xdr:txBody>
    </xdr:sp>
    <xdr:clientData/>
  </xdr:two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1295401</xdr:colOff>
      <xdr:row>29</xdr:row>
      <xdr:rowOff>219075</xdr:rowOff>
    </xdr:from>
    <xdr:to>
      <xdr:col>16</xdr:col>
      <xdr:colOff>400051</xdr:colOff>
      <xdr:row>31</xdr:row>
      <xdr:rowOff>47625</xdr:rowOff>
    </xdr:to>
    <xdr:sp macro="" textlink="">
      <xdr:nvSpPr>
        <xdr:cNvPr id="9" name="TextBox 4">
          <a:hlinkClick xmlns:r="http://schemas.openxmlformats.org/officeDocument/2006/relationships" r:id="rId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3000000}"/>
            </a:ext>
          </a:extLst>
        </xdr:cNvPr>
        <xdr:cNvSpPr txBox="1"/>
      </xdr:nvSpPr>
      <xdr:spPr>
        <a:xfrm>
          <a:off x="14144626" y="6848475"/>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8" totalsRowShown="0" headerRowDxfId="134">
  <autoFilter ref="A6:G8"/>
  <tableColumns count="7">
    <tableColumn id="3" name="Choose your Construction Management Course (drop-down list)" dataDxfId="133"/>
    <tableColumn id="1" name="UDC" dataDxfId="132"/>
    <tableColumn id="2" name="Version" dataDxfId="131"/>
    <tableColumn id="5" name="Credit Points" dataDxfId="130"/>
    <tableColumn id="4" name="Effective Date" dataDxfId="129"/>
    <tableColumn id="7" name="Akari Update" dataDxfId="128"/>
    <tableColumn id="6" name="Availabilities" dataDxfId="127"/>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1:C13" totalsRowShown="0" dataDxfId="126">
  <autoFilter ref="A11:C13"/>
  <tableColumns count="3">
    <tableColumn id="1" name="Choose your commencing study period (drop-down list)" dataDxfId="125"/>
    <tableColumn id="2" name="START" dataDxfId="124"/>
    <tableColumn id="3" name="Next" dataDxfId="123"/>
  </tableColumns>
  <tableStyleInfo name="TableStyleLight8" showFirstColumn="0" showLastColumn="0" showRowStripes="1" showColumnStripes="0"/>
</table>
</file>

<file path=xl/tables/table3.xml><?xml version="1.0" encoding="utf-8"?>
<table xmlns="http://schemas.openxmlformats.org/spreadsheetml/2006/main" id="5" name="TableSpecialisations" displayName="TableSpecialisations" ref="A21:F27" totalsRowShown="0" dataDxfId="122">
  <autoFilter ref="A21:F27"/>
  <tableColumns count="6">
    <tableColumn id="1" name="Choose your Specialisation (drop-down list)" dataDxfId="121"/>
    <tableColumn id="2" name="UDC" dataDxfId="120"/>
    <tableColumn id="3" name="Version" dataDxfId="119"/>
    <tableColumn id="4" name="Credit Points" dataDxfId="118"/>
    <tableColumn id="5" name="Effective Date" dataDxfId="117"/>
    <tableColumn id="6" name="Akari Update" dataDxfId="116"/>
  </tableColumns>
  <tableStyleInfo name="TableStyleLight8" showFirstColumn="0" showLastColumn="0" showRowStripes="1" showColumnStripes="0"/>
</table>
</file>

<file path=xl/tables/table4.xml><?xml version="1.0" encoding="utf-8"?>
<table xmlns="http://schemas.openxmlformats.org/spreadsheetml/2006/main" id="16" name="TableStream" displayName="TableStream" ref="A16:F18" totalsRowShown="0" headerRowDxfId="115" tableBorderDxfId="114">
  <autoFilter ref="A16:F18"/>
  <tableColumns count="6">
    <tableColumn id="1" name="Choose your Stream" dataDxfId="113"/>
    <tableColumn id="2" name="UDC" dataDxfId="112"/>
    <tableColumn id="3" name="Version" dataDxfId="111"/>
    <tableColumn id="4" name="Credit Points" dataDxfId="110"/>
    <tableColumn id="5" name="Effective Date" dataDxfId="109"/>
    <tableColumn id="6" name="Akari Update" dataDxfId="108"/>
  </tableColumns>
  <tableStyleInfo name="TableStyleLight8" showFirstColumn="0" showLastColumn="0" showRowStripes="1" showColumnStripes="0"/>
</table>
</file>

<file path=xl/tables/table5.xml><?xml version="1.0" encoding="utf-8"?>
<table xmlns="http://schemas.openxmlformats.org/spreadsheetml/2006/main" id="2" name="TableHandbook" displayName="TableHandbook" ref="A3:T102" totalsRowShown="0" headerRowDxfId="99" dataDxfId="97" headerRowBorderDxfId="98" tableBorderDxfId="96">
  <autoFilter ref="A3:T102"/>
  <sortState ref="A4:T116">
    <sortCondition ref="A3:A116"/>
  </sortState>
  <tableColumns count="20">
    <tableColumn id="1" name="UDC" dataDxfId="95"/>
    <tableColumn id="2" name="Ver" dataDxfId="94"/>
    <tableColumn id="3" name="OUA Cd" dataDxfId="93"/>
    <tableColumn id="4" name="Title" dataDxfId="92"/>
    <tableColumn id="5" name="Credits" dataDxfId="91"/>
    <tableColumn id="6" name="Pre-reqs" dataDxfId="90"/>
    <tableColumn id="12" name="S1INT" dataDxfId="89">
      <calculatedColumnFormula>IFERROR(IF(VLOOKUP(TableHandbook[[#This Row],[UDC]],TableAvailabilities[],2,FALSE)&gt;0,"Y",""),"")</calculatedColumnFormula>
    </tableColumn>
    <tableColumn id="13" name="S1FO" dataDxfId="88"/>
    <tableColumn id="14" name="S2INT" dataDxfId="87">
      <calculatedColumnFormula>IFERROR(IF(VLOOKUP(TableHandbook[[#This Row],[UDC]],TableAvailabilities[],4,FALSE)&gt;0,"Y",""),"")</calculatedColumnFormula>
    </tableColumn>
    <tableColumn id="15" name="S2FO" dataDxfId="86">
      <calculatedColumnFormula>IFERROR(IF(VLOOKUP(TableHandbook[[#This Row],[UDC]],TableAvailabilities[],5,FALSE)&gt;0,"Y",""),"")</calculatedColumnFormula>
    </tableColumn>
    <tableColumn id="16" name="Notes" dataDxfId="85"/>
    <tableColumn id="8" name="B-CONM" dataDxfId="84">
      <calculatedColumnFormula>IFERROR(VLOOKUP(TableHandbook[[#This Row],[UDC]],TableBCONM[],7,FALSE),"")</calculatedColumnFormula>
    </tableColumn>
    <tableColumn id="9" name="STRH-CONMN" dataDxfId="83">
      <calculatedColumnFormula>IFERROR(VLOOKUP(TableHandbook[[#This Row],[UDC]],TableSTRHCONMN[],7,FALSE),"")</calculatedColumnFormula>
    </tableColumn>
    <tableColumn id="10" name="STRU-CONMN" dataDxfId="82">
      <calculatedColumnFormula>IFERROR(VLOOKUP(TableHandbook[[#This Row],[UDC]],TableSTRUCONMN[],7,FALSE),"")</calculatedColumnFormula>
    </tableColumn>
    <tableColumn id="20" name="SPUC-ANGAD" dataDxfId="81">
      <calculatedColumnFormula>IFERROR(VLOOKUP(TableHandbook[[#This Row],[UDC]],TableSPUCANGAD[],7,FALSE),"")</calculatedColumnFormula>
    </tableColumn>
    <tableColumn id="21" name="SPUC-FINCE" dataDxfId="80">
      <calculatedColumnFormula>IFERROR(VLOOKUP(TableHandbook[[#This Row],[UDC]],TableSPUCFINCE[],7,FALSE),"")</calculatedColumnFormula>
    </tableColumn>
    <tableColumn id="17" name="SPUC-INARS" dataDxfId="79">
      <calculatedColumnFormula>IFERROR(VLOOKUP(TableHandbook[[#This Row],[UDC]],TableSPUCINARS[],7,FALSE),"")</calculatedColumnFormula>
    </tableColumn>
    <tableColumn id="7" name="SPUC-INENT" dataDxfId="78">
      <calculatedColumnFormula>IFERROR(VLOOKUP(TableHandbook[[#This Row],[UDC]],TableSPUCINENT[],7,FALSE),"")</calculatedColumnFormula>
    </tableColumn>
    <tableColumn id="18" name="SPUC-PROPT" dataDxfId="77">
      <calculatedColumnFormula>IFERROR(VLOOKUP(TableHandbook[[#This Row],[UDC]],TableSPUCPROPT[],7,FALSE),"")</calculatedColumnFormula>
    </tableColumn>
    <tableColumn id="11" name="SPUC-URDES" dataDxfId="76">
      <calculatedColumnFormula>IFERROR(VLOOKUP(TableHandbook[[#This Row],[UDC]],TableSPUCURDES[],7,FALSE),"")</calculatedColumnFormula>
    </tableColumn>
  </tableColumns>
  <tableStyleInfo name="TableStyleLight8" showFirstColumn="0" showLastColumn="0" showRowStripes="1" showColumnStripes="0"/>
</table>
</file>

<file path=xl/tables/table6.xml><?xml version="1.0" encoding="utf-8"?>
<table xmlns="http://schemas.openxmlformats.org/spreadsheetml/2006/main" id="1" name="TableBCONM" displayName="TableBCONM" ref="A2:O32" totalsRowShown="0">
  <autoFilter ref="A2:O32"/>
  <sortState ref="AE3:AV6">
    <sortCondition ref="AS2:AS6"/>
  </sortState>
  <tableColumns count="15">
    <tableColumn id="1" name="UDC" dataDxfId="56">
      <calculatedColumnFormula>TableBCONM[[#This Row],[Study Package Code]]</calculatedColumnFormula>
    </tableColumn>
    <tableColumn id="9" name="V" dataDxfId="55">
      <calculatedColumnFormula>TableBCONM[[#This Row],[Ver]]</calculatedColumnFormula>
    </tableColumn>
    <tableColumn id="10" name="OUA Code"/>
    <tableColumn id="11" name="Unit Title" dataDxfId="54">
      <calculatedColumnFormula>TableBCONM[[#This Row],[Structure Line]]</calculatedColumnFormula>
    </tableColumn>
    <tableColumn id="12" name="CPs" dataDxfId="53">
      <calculatedColumnFormula>TableBCONM[[#This Row],[Credit Points]]</calculatedColumnFormula>
    </tableColumn>
    <tableColumn id="13" name="No."/>
    <tableColumn id="2" name="Component Type"/>
    <tableColumn id="3" name="Year Level"/>
    <tableColumn id="4" name="Study Period"/>
    <tableColumn id="5" name="Study Package Code"/>
    <tableColumn id="6" name="Ver" dataDxfId="52"/>
    <tableColumn id="7" name="Structure Line" dataDxfId="51"/>
    <tableColumn id="8" name="Credit Points" dataDxfId="50"/>
    <tableColumn id="14" name="Effective" dataDxfId="49"/>
    <tableColumn id="15" name="Discont." dataDxfId="48"/>
  </tableColumns>
  <tableStyleInfo name="TableStyleLight1" showFirstColumn="0" showLastColumn="0" showRowStripes="1" showColumnStripes="0"/>
</table>
</file>

<file path=xl/tables/table7.xml><?xml version="1.0" encoding="utf-8"?>
<table xmlns="http://schemas.openxmlformats.org/spreadsheetml/2006/main" id="6" name="TableSPUCANGAD" displayName="TableSPUCANGAD" ref="A52:O58" totalsRowShown="0">
  <autoFilter ref="A52:O58"/>
  <sortState ref="AE11:AV18">
    <sortCondition ref="AR10:AR18"/>
  </sortState>
  <tableColumns count="15">
    <tableColumn id="1" name="UDC" dataDxfId="47">
      <calculatedColumnFormula>TableSPUCANGAD[[#This Row],[Study Package Code]]</calculatedColumnFormula>
    </tableColumn>
    <tableColumn id="9" name="V" dataDxfId="46">
      <calculatedColumnFormula>TableSPUCANGAD[[#This Row],[Ver]]</calculatedColumnFormula>
    </tableColumn>
    <tableColumn id="10" name="OUA Code"/>
    <tableColumn id="11" name="Unit Title" dataDxfId="45">
      <calculatedColumnFormula>TableSPUCANGAD[[#This Row],[Structure Line]]</calculatedColumnFormula>
    </tableColumn>
    <tableColumn id="12" name="CPs" dataDxfId="44">
      <calculatedColumnFormula>TableSPUCANGAD[[#This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43"/>
    <tableColumn id="15" name="Discont." dataDxfId="42"/>
  </tableColumns>
  <tableStyleInfo name="TableStyleLight1" showFirstColumn="0" showLastColumn="0" showRowStripes="1" showColumnStripes="0"/>
</table>
</file>

<file path=xl/tables/table8.xml><?xml version="1.0" encoding="utf-8"?>
<table xmlns="http://schemas.openxmlformats.org/spreadsheetml/2006/main" id="7" name="TableSPUCFINCE" displayName="TableSPUCFINCE" ref="A60:O68" totalsRowShown="0">
  <autoFilter ref="A60:O68"/>
  <sortState ref="A42:M45">
    <sortCondition ref="J41:J45"/>
  </sortState>
  <tableColumns count="15">
    <tableColumn id="1" name="UDC" dataDxfId="41">
      <calculatedColumnFormula>TableSPUCFINCE[[#This Row],[Study Package Code]]</calculatedColumnFormula>
    </tableColumn>
    <tableColumn id="9" name="V" dataDxfId="40">
      <calculatedColumnFormula>TableSPUCFINCE[[#This Row],[Ver]]</calculatedColumnFormula>
    </tableColumn>
    <tableColumn id="10" name="OUA Code"/>
    <tableColumn id="11" name="Unit Title" dataDxfId="39">
      <calculatedColumnFormula>TableSPUCFINCE[[#This Row],[Structure Line]]</calculatedColumnFormula>
    </tableColumn>
    <tableColumn id="12" name="CPs" dataDxfId="38">
      <calculatedColumnFormula>TableSPUCFINCE[[#This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7"/>
    <tableColumn id="15" name="Discont." dataDxfId="36"/>
  </tableColumns>
  <tableStyleInfo name="TableStyleLight1" showFirstColumn="0" showLastColumn="0" showRowStripes="1" showColumnStripes="0"/>
</table>
</file>

<file path=xl/tables/table9.xml><?xml version="1.0" encoding="utf-8"?>
<table xmlns="http://schemas.openxmlformats.org/spreadsheetml/2006/main" id="10" name="TableSPUCINENT" displayName="TableSPUCINENT" ref="A90:O98" totalsRowShown="0">
  <autoFilter ref="A90:O98"/>
  <sortState ref="A58:M61">
    <sortCondition ref="F57:F61"/>
  </sortState>
  <tableColumns count="15">
    <tableColumn id="1" name="UDC" dataDxfId="35">
      <calculatedColumnFormula>TableSPUCINENT[[#This Row],[Study Package Code]]</calculatedColumnFormula>
    </tableColumn>
    <tableColumn id="9" name="V" dataDxfId="34">
      <calculatedColumnFormula>TableSPUCINENT[[#This Row],[Ver]]</calculatedColumnFormula>
    </tableColumn>
    <tableColumn id="10" name="OUA Code"/>
    <tableColumn id="11" name="Unit Title" dataDxfId="33">
      <calculatedColumnFormula>TableSPUCINENT[[#This Row],[Structure Line]]</calculatedColumnFormula>
    </tableColumn>
    <tableColumn id="12" name="CPs" dataDxfId="32">
      <calculatedColumnFormula>TableSPUCINENT[[#This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tableColumn id="15" name="Discont."/>
  </tableColumns>
  <tableStyleInfo name="TableStyleLight1" showFirstColumn="0" showLastColumn="0" showRowStripes="1" showColumnStripes="0"/>
</table>
</file>

<file path=xl/tables/table10.xml><?xml version="1.0" encoding="utf-8"?>
<table xmlns="http://schemas.openxmlformats.org/spreadsheetml/2006/main" id="12" name="TableSPUCPROPT" displayName="TableSPUCPROPT" ref="A100:O108" totalsRowShown="0">
  <autoFilter ref="A100:O108"/>
  <sortState ref="A65:R72">
    <sortCondition ref="N10:N18"/>
  </sortState>
  <tableColumns count="15">
    <tableColumn id="1" name="UDC" dataDxfId="31">
      <calculatedColumnFormula>TableSPUCPROPT[[#This Row],[Study Package Code]]</calculatedColumnFormula>
    </tableColumn>
    <tableColumn id="9" name="V" dataDxfId="30">
      <calculatedColumnFormula>TableSPUCPROPT[[#This Row],[Ver]]</calculatedColumnFormula>
    </tableColumn>
    <tableColumn id="10" name="OUA Code"/>
    <tableColumn id="11" name="Unit Title" dataDxfId="29">
      <calculatedColumnFormula>TableSPUCPROPT[[#This Row],[Structure Line]]</calculatedColumnFormula>
    </tableColumn>
    <tableColumn id="12" name="CPs" dataDxfId="28">
      <calculatedColumnFormula>TableSPUCPROPT[[#This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7"/>
    <tableColumn id="15" name="Discont." dataDxfId="26"/>
  </tableColumns>
  <tableStyleInfo name="TableStyleLight1" showFirstColumn="0" showLastColumn="0" showRowStripes="1" showColumnStripes="0"/>
</table>
</file>

<file path=xl/tables/table11.xml><?xml version="1.0" encoding="utf-8"?>
<table xmlns="http://schemas.openxmlformats.org/spreadsheetml/2006/main" id="9" name="TableSPUCINARS" displayName="TableSPUCINARS" ref="A70:O88" totalsRowShown="0">
  <autoFilter ref="A70:O88"/>
  <sortState ref="A54:M59">
    <sortCondition descending="1" ref="G48:G54"/>
  </sortState>
  <tableColumns count="15">
    <tableColumn id="1" name="UDC" dataDxfId="25">
      <calculatedColumnFormula>TableSPUCINARS[[#This Row],[Study Package Code]]</calculatedColumnFormula>
    </tableColumn>
    <tableColumn id="9" name="V" dataDxfId="24">
      <calculatedColumnFormula>TableSPUCINARS[[#This Row],[Ver]]</calculatedColumnFormula>
    </tableColumn>
    <tableColumn id="10" name="OUA Code"/>
    <tableColumn id="11" name="Unit Title" dataDxfId="23">
      <calculatedColumnFormula>TableSPUCINARS[[#This Row],[Structure Line]]</calculatedColumnFormula>
    </tableColumn>
    <tableColumn id="12" name="CPs" dataDxfId="22">
      <calculatedColumnFormula>TableSPUCINARS[[#This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1"/>
    <tableColumn id="15" name="Discont." dataDxfId="20"/>
  </tableColumns>
  <tableStyleInfo name="TableStyleLight1" showFirstColumn="0" showLastColumn="0" showRowStripes="1" showColumnStripes="0"/>
</table>
</file>

<file path=xl/tables/table12.xml><?xml version="1.0" encoding="utf-8"?>
<table xmlns="http://schemas.openxmlformats.org/spreadsheetml/2006/main" id="15" name="TableSPUCURDES" displayName="TableSPUCURDES" ref="A110:O114" totalsRowShown="0">
  <autoFilter ref="A110:O114"/>
  <sortState ref="A90:R97">
    <sortCondition ref="N10:N18"/>
  </sortState>
  <tableColumns count="15">
    <tableColumn id="1" name="UDC" dataDxfId="19">
      <calculatedColumnFormula>TableSPUCURDES[[#This Row],[Study Package Code]]</calculatedColumnFormula>
    </tableColumn>
    <tableColumn id="9" name="V" dataDxfId="18">
      <calculatedColumnFormula>TableSPUCURDES[[#This Row],[Ver]]</calculatedColumnFormula>
    </tableColumn>
    <tableColumn id="10" name="OUA Code"/>
    <tableColumn id="11" name="Unit Title" dataDxfId="17">
      <calculatedColumnFormula>TableSPUCURDES[[#This Row],[Structure Line]]</calculatedColumnFormula>
    </tableColumn>
    <tableColumn id="12" name="CPs" dataDxfId="16">
      <calculatedColumnFormula>TableSPUCURDES[[#This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5"/>
    <tableColumn id="15" name="Discont." dataDxfId="14"/>
  </tableColumns>
  <tableStyleInfo name="TableStyleLight1" showFirstColumn="0" showLastColumn="0" showRowStripes="1" showColumnStripes="0"/>
</table>
</file>

<file path=xl/tables/table13.xml><?xml version="1.0" encoding="utf-8"?>
<table xmlns="http://schemas.openxmlformats.org/spreadsheetml/2006/main" id="8" name="TableSTRHCONMN" displayName="TableSTRHCONMN" ref="A43:O50" totalsRowShown="0">
  <autoFilter ref="A43:O50"/>
  <sortState ref="A35:R42">
    <sortCondition ref="N10:N18"/>
  </sortState>
  <tableColumns count="15">
    <tableColumn id="1" name="UDC" dataDxfId="13">
      <calculatedColumnFormula>TableSTRHCONMN[[#This Row],[Study Package Code]]</calculatedColumnFormula>
    </tableColumn>
    <tableColumn id="9" name="V" dataDxfId="12">
      <calculatedColumnFormula>TableSTRHCONMN[[#This Row],[Ver]]</calculatedColumnFormula>
    </tableColumn>
    <tableColumn id="10" name="OUA Code"/>
    <tableColumn id="11" name="Unit Title" dataDxfId="11">
      <calculatedColumnFormula>TableSTRHCONMN[[#This Row],[Structure Line]]</calculatedColumnFormula>
    </tableColumn>
    <tableColumn id="12" name="CPs" dataDxfId="10">
      <calculatedColumnFormula>TableSTRHCONMN[[#This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9"/>
    <tableColumn id="15" name="Discont." dataDxfId="8"/>
  </tableColumns>
  <tableStyleInfo name="TableStyleLight1" showFirstColumn="0" showLastColumn="0" showRowStripes="1" showColumnStripes="0"/>
</table>
</file>

<file path=xl/tables/table14.xml><?xml version="1.0" encoding="utf-8"?>
<table xmlns="http://schemas.openxmlformats.org/spreadsheetml/2006/main" id="14" name="TableSTRUCONMN" displayName="TableSTRUCONMN" ref="A34:O41" totalsRowShown="0">
  <autoFilter ref="A34:O41"/>
  <sortState ref="A26:R33">
    <sortCondition ref="N10:N18"/>
  </sortState>
  <tableColumns count="15">
    <tableColumn id="1" name="UDC" dataDxfId="7">
      <calculatedColumnFormula>TableSTRUCONMN[[#This Row],[Study Package Code]]</calculatedColumnFormula>
    </tableColumn>
    <tableColumn id="9" name="V" dataDxfId="6">
      <calculatedColumnFormula>TableSTRUCONMN[[#This Row],[Ver]]</calculatedColumnFormula>
    </tableColumn>
    <tableColumn id="10" name="OUA Code"/>
    <tableColumn id="11" name="Unit Title" dataDxfId="5">
      <calculatedColumnFormula>TableSTRUCONMN[[#This Row],[Structure Line]]</calculatedColumnFormula>
    </tableColumn>
    <tableColumn id="12" name="CPs" dataDxfId="4">
      <calculatedColumnFormula>TableSTRUCONMN[[#This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
    <tableColumn id="15" name="Discont." dataDxfId="2"/>
  </tableColumns>
  <tableStyleInfo name="TableStyleLight1" showFirstColumn="0" showLastColumn="0" showRowStripes="1" showColumnStripes="0"/>
</table>
</file>

<file path=xl/tables/table15.xml><?xml version="1.0" encoding="utf-8"?>
<table xmlns="http://schemas.openxmlformats.org/spreadsheetml/2006/main" id="11" name="Table5356575426" displayName="Table5356575426" ref="Q2:R32" totalsRowShown="0">
  <autoFilter ref="Q2:R32"/>
  <tableColumns count="2">
    <tableColumn id="1" name="Column1"/>
    <tableColumn id="2" name="Column2"/>
  </tableColumns>
  <tableStyleInfo name="TableStyleLight4" showFirstColumn="0" showLastColumn="0" showRowStripes="1" showColumnStripes="0"/>
</table>
</file>

<file path=xl/tables/table16.xml><?xml version="1.0" encoding="utf-8"?>
<table xmlns="http://schemas.openxmlformats.org/spreadsheetml/2006/main" id="17" name="Table535657542618" displayName="Table535657542618" ref="Q34:R41" totalsRowShown="0">
  <autoFilter ref="Q34:R41"/>
  <tableColumns count="2">
    <tableColumn id="1" name="Column1"/>
    <tableColumn id="2" name="Column2"/>
  </tableColumns>
  <tableStyleInfo name="TableStyleLight4" showFirstColumn="0" showLastColumn="0" showRowStripes="1" showColumnStripes="0"/>
</table>
</file>

<file path=xl/tables/table17.xml><?xml version="1.0" encoding="utf-8"?>
<table xmlns="http://schemas.openxmlformats.org/spreadsheetml/2006/main" id="18" name="Table53565754261819" displayName="Table53565754261819" ref="Q43:R50" totalsRowShown="0">
  <autoFilter ref="Q43:R50"/>
  <tableColumns count="2">
    <tableColumn id="1" name="Column1"/>
    <tableColumn id="2" name="Column2"/>
  </tableColumns>
  <tableStyleInfo name="TableStyleLight4" showFirstColumn="0" showLastColumn="0" showRowStripes="1" showColumnStripes="0"/>
</table>
</file>

<file path=xl/tables/table18.xml><?xml version="1.0" encoding="utf-8"?>
<table xmlns="http://schemas.openxmlformats.org/spreadsheetml/2006/main" id="19" name="Table53565754261820" displayName="Table53565754261820" ref="Q52:R58" totalsRowShown="0">
  <autoFilter ref="Q52:R58"/>
  <tableColumns count="2">
    <tableColumn id="1" name="Column1"/>
    <tableColumn id="2" name="Column2"/>
  </tableColumns>
  <tableStyleInfo name="TableStyleLight4" showFirstColumn="0" showLastColumn="0" showRowStripes="1" showColumnStripes="0"/>
</table>
</file>

<file path=xl/tables/table19.xml><?xml version="1.0" encoding="utf-8"?>
<table xmlns="http://schemas.openxmlformats.org/spreadsheetml/2006/main" id="20" name="Table5356575426182021" displayName="Table5356575426182021" ref="Q60:R68" totalsRowShown="0">
  <autoFilter ref="Q60:R68"/>
  <tableColumns count="2">
    <tableColumn id="1" name="Column1"/>
    <tableColumn id="2" name="Column2"/>
  </tableColumns>
  <tableStyleInfo name="TableStyleLight4" showFirstColumn="0" showLastColumn="0" showRowStripes="1" showColumnStripes="0"/>
</table>
</file>

<file path=xl/tables/table20.xml><?xml version="1.0" encoding="utf-8"?>
<table xmlns="http://schemas.openxmlformats.org/spreadsheetml/2006/main" id="21" name="Table5356575426182022" displayName="Table5356575426182022" ref="Q70:R88" totalsRowShown="0">
  <autoFilter ref="Q70:R88"/>
  <tableColumns count="2">
    <tableColumn id="1" name="Column1"/>
    <tableColumn id="2" name="Column2"/>
  </tableColumns>
  <tableStyleInfo name="TableStyleLight4" showFirstColumn="0" showLastColumn="0" showRowStripes="1" showColumnStripes="0"/>
</table>
</file>

<file path=xl/tables/table21.xml><?xml version="1.0" encoding="utf-8"?>
<table xmlns="http://schemas.openxmlformats.org/spreadsheetml/2006/main" id="22" name="Table5356575426182023" displayName="Table5356575426182023" ref="Q90:R98" totalsRowShown="0">
  <autoFilter ref="Q90:R98"/>
  <tableColumns count="2">
    <tableColumn id="1" name="Column1"/>
    <tableColumn id="2" name="Column2"/>
  </tableColumns>
  <tableStyleInfo name="TableStyleLight4" showFirstColumn="0" showLastColumn="0" showRowStripes="1" showColumnStripes="0"/>
</table>
</file>

<file path=xl/tables/table22.xml><?xml version="1.0" encoding="utf-8"?>
<table xmlns="http://schemas.openxmlformats.org/spreadsheetml/2006/main" id="23" name="Table5356575426182024" displayName="Table5356575426182024" ref="Q100:R108" totalsRowShown="0">
  <autoFilter ref="Q100:R108"/>
  <tableColumns count="2">
    <tableColumn id="1" name="Column1"/>
    <tableColumn id="2" name="Column2"/>
  </tableColumns>
  <tableStyleInfo name="TableStyleLight4" showFirstColumn="0" showLastColumn="0" showRowStripes="1" showColumnStripes="0"/>
</table>
</file>

<file path=xl/tables/table23.xml><?xml version="1.0" encoding="utf-8"?>
<table xmlns="http://schemas.openxmlformats.org/spreadsheetml/2006/main" id="24" name="Table5356575426182025" displayName="Table5356575426182025" ref="Q110:R114" totalsRowShown="0">
  <autoFilter ref="Q110:R114"/>
  <tableColumns count="2">
    <tableColumn id="1" name="Column1"/>
    <tableColumn id="2" name="Column2"/>
  </tableColumns>
  <tableStyleInfo name="TableStyleLight4" showFirstColumn="0" showLastColumn="0" showRowStripes="1" showColumnStripes="0"/>
</table>
</file>

<file path=xl/tables/table24.xml><?xml version="1.0" encoding="utf-8"?>
<table xmlns="http://schemas.openxmlformats.org/spreadsheetml/2006/main" id="13" name="TableAvailabilities" displayName="TableAvailabilities" ref="A3:E69" totalsRowShown="0">
  <autoFilter ref="A3:E69"/>
  <sortState ref="A4:E80">
    <sortCondition ref="A3:A80"/>
  </sortState>
  <tableColumns count="5">
    <tableColumn id="1" name="Row Labels"/>
    <tableColumn id="2" name="Internal"/>
    <tableColumn id="3" name="Online"/>
    <tableColumn id="4" name="Internal2"/>
    <tableColumn id="5" name="Online3"/>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1" Type="http://schemas.openxmlformats.org/officeDocument/2006/relationships/printerSettings" Target="../printerSettings/printerSettings4.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19" Type="http://schemas.openxmlformats.org/officeDocument/2006/relationships/table" Target="../tables/table23.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showGridLines="0" tabSelected="1" topLeftCell="A3" zoomScaleNormal="100" workbookViewId="0">
      <selection activeCell="D5" sqref="D5"/>
    </sheetView>
  </sheetViews>
  <sheetFormatPr defaultRowHeight="15" x14ac:dyDescent="0.25"/>
  <cols>
    <col min="1" max="1" width="11.75" style="196" customWidth="1"/>
    <col min="2" max="2" width="3.25" style="196" customWidth="1"/>
    <col min="3" max="3" width="5.875" style="196" customWidth="1"/>
    <col min="4" max="4" width="48.5" style="180" bestFit="1" customWidth="1"/>
    <col min="5" max="5" width="8.5" style="180" customWidth="1"/>
    <col min="6" max="6" width="24.375" style="180" customWidth="1"/>
    <col min="7" max="7" width="5.625" style="180" customWidth="1"/>
    <col min="8" max="11" width="4.625" style="180" customWidth="1"/>
    <col min="12" max="12" width="15.625" style="180" customWidth="1"/>
    <col min="13" max="13" width="2.5" style="180" hidden="1" customWidth="1"/>
    <col min="14" max="14" width="9" style="180"/>
    <col min="15" max="15" width="17.625" style="180" bestFit="1" customWidth="1"/>
    <col min="16" max="16" width="43.5" style="180" customWidth="1"/>
    <col min="17" max="16384" width="9" style="180"/>
  </cols>
  <sheetData>
    <row r="1" spans="1:16" hidden="1" x14ac:dyDescent="0.25">
      <c r="A1" s="176" t="s">
        <v>0</v>
      </c>
      <c r="B1" s="177" t="s">
        <v>1</v>
      </c>
      <c r="C1" s="177" t="s">
        <v>2</v>
      </c>
      <c r="D1" s="178" t="s">
        <v>3</v>
      </c>
      <c r="E1" s="178" t="s">
        <v>4</v>
      </c>
      <c r="F1" s="178" t="s">
        <v>5</v>
      </c>
      <c r="G1" s="178" t="s">
        <v>6</v>
      </c>
      <c r="H1" s="179" t="s">
        <v>7</v>
      </c>
      <c r="I1" s="178"/>
      <c r="J1" s="178"/>
      <c r="K1" s="178"/>
      <c r="L1" s="178" t="s">
        <v>8</v>
      </c>
    </row>
    <row r="2" spans="1:16" hidden="1" x14ac:dyDescent="0.25">
      <c r="A2" s="181"/>
      <c r="B2" s="182">
        <v>2</v>
      </c>
      <c r="C2" s="182">
        <v>3</v>
      </c>
      <c r="D2" s="182">
        <v>4</v>
      </c>
      <c r="E2" s="182"/>
      <c r="F2" s="182" t="s">
        <v>9</v>
      </c>
      <c r="G2" s="182">
        <v>5</v>
      </c>
      <c r="H2" s="182">
        <v>7</v>
      </c>
      <c r="I2" s="182">
        <v>8</v>
      </c>
      <c r="J2" s="182">
        <v>9</v>
      </c>
      <c r="K2" s="182">
        <v>10</v>
      </c>
      <c r="L2" s="183"/>
    </row>
    <row r="3" spans="1:16" ht="39.950000000000003" customHeight="1" x14ac:dyDescent="0.25">
      <c r="A3" s="184" t="s">
        <v>10</v>
      </c>
      <c r="B3" s="184"/>
      <c r="C3" s="184"/>
      <c r="D3" s="184"/>
      <c r="E3" s="185"/>
      <c r="F3" s="185"/>
      <c r="G3" s="185"/>
      <c r="H3" s="185"/>
      <c r="I3" s="185"/>
      <c r="J3" s="185"/>
      <c r="K3" s="185"/>
      <c r="L3" s="185"/>
      <c r="O3" s="186" t="s">
        <v>11</v>
      </c>
      <c r="P3" s="187"/>
    </row>
    <row r="4" spans="1:16" ht="26.25" x14ac:dyDescent="0.25">
      <c r="A4" s="188"/>
      <c r="B4" s="189"/>
      <c r="C4" s="189"/>
      <c r="D4" s="190"/>
      <c r="E4" s="191" t="s">
        <v>12</v>
      </c>
      <c r="F4" s="189"/>
      <c r="G4" s="192"/>
      <c r="H4" s="192"/>
      <c r="I4" s="192"/>
      <c r="J4" s="192"/>
      <c r="K4" s="192"/>
      <c r="L4" s="193" t="e">
        <f>CONCATENATE(VLOOKUP(D5,TableCourses[],2,FALSE),VLOOKUP(D7,TableStudyPeriod[],2,FALSE))</f>
        <v>#N/A</v>
      </c>
      <c r="O4" s="194" t="s">
        <v>13</v>
      </c>
      <c r="P4" s="195"/>
    </row>
    <row r="5" spans="1:16" ht="20.100000000000001" customHeight="1" x14ac:dyDescent="0.25">
      <c r="B5" s="197"/>
      <c r="C5" s="197" t="s">
        <v>14</v>
      </c>
      <c r="D5" s="277" t="s">
        <v>62</v>
      </c>
      <c r="E5" s="198"/>
      <c r="F5" s="197" t="s">
        <v>16</v>
      </c>
      <c r="G5" s="198" t="str">
        <f>IFERROR(CONCATENATE(VLOOKUP(D5,TableCourses[],2,FALSE)," ",VLOOKUP(D5,TableCourses[],3,FALSE)),"")</f>
        <v/>
      </c>
      <c r="H5" s="198"/>
      <c r="I5" s="198"/>
      <c r="J5" s="198"/>
      <c r="K5" s="198"/>
      <c r="L5" s="199"/>
    </row>
    <row r="6" spans="1:16" ht="20.100000000000001" customHeight="1" x14ac:dyDescent="0.25">
      <c r="B6" s="197"/>
      <c r="C6" s="197" t="s">
        <v>17</v>
      </c>
      <c r="D6" s="131" t="s">
        <v>18</v>
      </c>
      <c r="E6" s="198"/>
      <c r="F6" s="197" t="s">
        <v>19</v>
      </c>
      <c r="G6" s="198" t="str">
        <f>IFERROR(CONCATENATE(VLOOKUP(D6,TableSpecialisations[],2,FALSE)," ",VLOOKUP(D6,TableSpecialisations[],3,FALSE)),"")</f>
        <v/>
      </c>
      <c r="H6" s="198"/>
      <c r="I6" s="198"/>
      <c r="J6" s="198"/>
      <c r="K6" s="198"/>
      <c r="L6" s="199"/>
    </row>
    <row r="7" spans="1:16" ht="20.100000000000001" customHeight="1" x14ac:dyDescent="0.25">
      <c r="A7" s="200"/>
      <c r="B7" s="201"/>
      <c r="C7" s="197" t="s">
        <v>20</v>
      </c>
      <c r="D7" s="278" t="s">
        <v>21</v>
      </c>
      <c r="E7" s="202"/>
      <c r="F7" s="197" t="s">
        <v>22</v>
      </c>
      <c r="G7" s="198" t="str">
        <f>IFERROR(VLOOKUP($D$5,TableCourses[],4,FALSE),"")</f>
        <v/>
      </c>
      <c r="H7" s="203"/>
      <c r="I7" s="203"/>
      <c r="J7" s="203"/>
      <c r="K7" s="203"/>
      <c r="L7" s="203"/>
    </row>
    <row r="8" spans="1:16" s="211" customFormat="1" ht="14.1" customHeight="1" x14ac:dyDescent="0.25">
      <c r="A8" s="204"/>
      <c r="B8" s="204"/>
      <c r="C8" s="204"/>
      <c r="D8" s="205"/>
      <c r="E8" s="206"/>
      <c r="F8" s="204"/>
      <c r="G8" s="204"/>
      <c r="H8" s="207" t="s">
        <v>23</v>
      </c>
      <c r="I8" s="208"/>
      <c r="J8" s="208"/>
      <c r="K8" s="209"/>
      <c r="L8" s="206"/>
      <c r="M8" s="210"/>
      <c r="N8" s="210"/>
      <c r="O8" s="210"/>
    </row>
    <row r="9" spans="1:16" s="211" customFormat="1" ht="21" x14ac:dyDescent="0.25">
      <c r="A9" s="204" t="s">
        <v>24</v>
      </c>
      <c r="B9" s="204"/>
      <c r="C9" s="204"/>
      <c r="D9" s="205" t="s">
        <v>3</v>
      </c>
      <c r="E9" s="212" t="s">
        <v>25</v>
      </c>
      <c r="F9" s="204" t="s">
        <v>26</v>
      </c>
      <c r="G9" s="204" t="s">
        <v>27</v>
      </c>
      <c r="H9" s="213" t="s">
        <v>28</v>
      </c>
      <c r="I9" s="212" t="s">
        <v>29</v>
      </c>
      <c r="J9" s="212" t="s">
        <v>30</v>
      </c>
      <c r="K9" s="214" t="s">
        <v>31</v>
      </c>
      <c r="L9" s="204" t="s">
        <v>32</v>
      </c>
      <c r="M9" s="210"/>
      <c r="N9" s="210"/>
      <c r="O9" s="210"/>
    </row>
    <row r="10" spans="1:16" s="223" customFormat="1" ht="19.5" customHeight="1" x14ac:dyDescent="0.15">
      <c r="A10" s="215" t="str">
        <f>IFERROR(IF(HLOOKUP($L$4,RangeUnitsets,M10,FALSE)=0,"",HLOOKUP($L$4,RangeUnitsets,M10,FALSE)),"")</f>
        <v/>
      </c>
      <c r="B10" s="216" t="str">
        <f>IFERROR(IF(VLOOKUP($A10,TableHandbook[],2,FALSE)=0,"",VLOOKUP($A10,TableHandbook[],2,FALSE)),"")</f>
        <v/>
      </c>
      <c r="C10" s="216" t="str">
        <f>IFERROR(IF(VLOOKUP($A10,TableHandbook[],3,FALSE)=0,"",VLOOKUP($A10,TableHandbook[],3,FALSE)),"")</f>
        <v/>
      </c>
      <c r="D10" s="217" t="str">
        <f>IFERROR(IF(VLOOKUP($A10,TableHandbook[],4,FALSE)=0,"",VLOOKUP($A10,TableHandbook[],4,FALSE)),"")</f>
        <v/>
      </c>
      <c r="E10" s="216" t="str">
        <f>IF(OR(A10="",A10="--"),"",VLOOKUP($D$7,TableStudyPeriod[],2,FALSE))</f>
        <v/>
      </c>
      <c r="F10" s="218" t="str">
        <f>IFERROR(IF(VLOOKUP($A10,TableHandbook[],6,FALSE)=0,"",VLOOKUP($A10,TableHandbook[],6,FALSE)),"")</f>
        <v/>
      </c>
      <c r="G10" s="216" t="str">
        <f>IFERROR(IF(VLOOKUP($A10,TableHandbook[],5,FALSE)=0,"",VLOOKUP($A10,TableHandbook[],5,FALSE)),"")</f>
        <v/>
      </c>
      <c r="H10" s="219" t="str">
        <f>IFERROR(VLOOKUP($A10,TableHandbook[],H$2,FALSE),"")</f>
        <v/>
      </c>
      <c r="I10" s="216" t="str">
        <f>IFERROR(VLOOKUP($A10,TableHandbook[],I$2,FALSE),"")</f>
        <v/>
      </c>
      <c r="J10" s="216" t="str">
        <f>IFERROR(VLOOKUP($A10,TableHandbook[],J$2,FALSE),"")</f>
        <v/>
      </c>
      <c r="K10" s="220" t="str">
        <f>IFERROR(VLOOKUP($A10,TableHandbook[],K$2,FALSE),"")</f>
        <v/>
      </c>
      <c r="L10" s="40"/>
      <c r="M10" s="221">
        <v>2</v>
      </c>
      <c r="N10" s="222"/>
      <c r="O10" s="222"/>
    </row>
    <row r="11" spans="1:16" s="223" customFormat="1" ht="19.5" customHeight="1" x14ac:dyDescent="0.15">
      <c r="A11" s="215" t="str">
        <f>IFERROR(IF(HLOOKUP($L$4,RangeUnitsets,M11,FALSE)=0,"",HLOOKUP($L$4,RangeUnitsets,M11,FALSE)),"")</f>
        <v/>
      </c>
      <c r="B11" s="216" t="str">
        <f>IFERROR(IF(VLOOKUP($A11,TableHandbook[],2,FALSE)=0,"",VLOOKUP($A11,TableHandbook[],2,FALSE)),"")</f>
        <v/>
      </c>
      <c r="C11" s="216" t="str">
        <f>IFERROR(IF(VLOOKUP($A11,TableHandbook[],3,FALSE)=0,"",VLOOKUP($A11,TableHandbook[],3,FALSE)),"")</f>
        <v/>
      </c>
      <c r="D11" s="217" t="str">
        <f>IFERROR(IF(VLOOKUP($A11,TableHandbook[],4,FALSE)=0,"",VLOOKUP($A11,TableHandbook[],4,FALSE)),"")</f>
        <v/>
      </c>
      <c r="E11" s="216" t="str">
        <f>IF(A11="","",E10)</f>
        <v/>
      </c>
      <c r="F11" s="218" t="str">
        <f>IFERROR(IF(VLOOKUP($A11,TableHandbook[],6,FALSE)=0,"",VLOOKUP($A11,TableHandbook[],6,FALSE)),"")</f>
        <v/>
      </c>
      <c r="G11" s="216" t="str">
        <f>IFERROR(IF(VLOOKUP($A11,TableHandbook[],5,FALSE)=0,"",VLOOKUP($A11,TableHandbook[],5,FALSE)),"")</f>
        <v/>
      </c>
      <c r="H11" s="219" t="str">
        <f>IFERROR(VLOOKUP($A11,TableHandbook[],H$2,FALSE),"")</f>
        <v/>
      </c>
      <c r="I11" s="216" t="str">
        <f>IFERROR(VLOOKUP($A11,TableHandbook[],I$2,FALSE),"")</f>
        <v/>
      </c>
      <c r="J11" s="216" t="str">
        <f>IFERROR(VLOOKUP($A11,TableHandbook[],J$2,FALSE),"")</f>
        <v/>
      </c>
      <c r="K11" s="220" t="str">
        <f>IFERROR(VLOOKUP($A11,TableHandbook[],K$2,FALSE),"")</f>
        <v/>
      </c>
      <c r="L11" s="40"/>
      <c r="M11" s="221">
        <v>3</v>
      </c>
      <c r="N11" s="222"/>
      <c r="O11" s="222"/>
    </row>
    <row r="12" spans="1:16" s="223" customFormat="1" ht="19.5" customHeight="1" x14ac:dyDescent="0.15">
      <c r="A12" s="215" t="str">
        <f>IFERROR(IF(HLOOKUP($L$4,RangeUnitsets,M12,FALSE)=0,"",HLOOKUP($L$4,RangeUnitsets,M12,FALSE)),"")</f>
        <v/>
      </c>
      <c r="B12" s="216" t="str">
        <f>IFERROR(IF(VLOOKUP($A12,TableHandbook[],2,FALSE)=0,"",VLOOKUP($A12,TableHandbook[],2,FALSE)),"")</f>
        <v/>
      </c>
      <c r="C12" s="216" t="str">
        <f>IFERROR(IF(VLOOKUP($A12,TableHandbook[],3,FALSE)=0,"",VLOOKUP($A12,TableHandbook[],3,FALSE)),"")</f>
        <v/>
      </c>
      <c r="D12" s="217" t="str">
        <f>IFERROR(IF(VLOOKUP($A12,TableHandbook[],4,FALSE)=0,"",VLOOKUP($A12,TableHandbook[],4,FALSE)),"")</f>
        <v/>
      </c>
      <c r="E12" s="216" t="str">
        <f>IF(A12="","",E11)</f>
        <v/>
      </c>
      <c r="F12" s="218" t="str">
        <f>IFERROR(IF(VLOOKUP($A12,TableHandbook[],6,FALSE)=0,"",VLOOKUP($A12,TableHandbook[],6,FALSE)),"")</f>
        <v/>
      </c>
      <c r="G12" s="216" t="str">
        <f>IFERROR(IF(VLOOKUP($A12,TableHandbook[],5,FALSE)=0,"",VLOOKUP($A12,TableHandbook[],5,FALSE)),"")</f>
        <v/>
      </c>
      <c r="H12" s="219" t="str">
        <f>IFERROR(VLOOKUP($A12,TableHandbook[],H$2,FALSE),"")</f>
        <v/>
      </c>
      <c r="I12" s="216" t="str">
        <f>IFERROR(VLOOKUP($A12,TableHandbook[],I$2,FALSE),"")</f>
        <v/>
      </c>
      <c r="J12" s="216" t="str">
        <f>IFERROR(VLOOKUP($A12,TableHandbook[],J$2,FALSE),"")</f>
        <v/>
      </c>
      <c r="K12" s="220" t="str">
        <f>IFERROR(VLOOKUP($A12,TableHandbook[],K$2,FALSE),"")</f>
        <v/>
      </c>
      <c r="L12" s="132"/>
      <c r="M12" s="221">
        <v>4</v>
      </c>
      <c r="N12" s="222"/>
      <c r="O12" s="222"/>
    </row>
    <row r="13" spans="1:16" s="223" customFormat="1" ht="19.5" customHeight="1" x14ac:dyDescent="0.15">
      <c r="A13" s="215" t="str">
        <f>IFERROR(IF(HLOOKUP($L$4,RangeUnitsets,M13,FALSE)=0,"",HLOOKUP($L$4,RangeUnitsets,M13,FALSE)),"")</f>
        <v/>
      </c>
      <c r="B13" s="216" t="str">
        <f>IFERROR(IF(VLOOKUP($A13,TableHandbook[],2,FALSE)=0,"",VLOOKUP($A13,TableHandbook[],2,FALSE)),"")</f>
        <v/>
      </c>
      <c r="C13" s="216" t="str">
        <f>IFERROR(IF(VLOOKUP($A13,TableHandbook[],3,FALSE)=0,"",VLOOKUP($A13,TableHandbook[],3,FALSE)),"")</f>
        <v/>
      </c>
      <c r="D13" s="217" t="str">
        <f>IFERROR(IF(VLOOKUP($A13,TableHandbook[],4,FALSE)=0,"",VLOOKUP($A13,TableHandbook[],4,FALSE)),"")</f>
        <v/>
      </c>
      <c r="E13" s="216" t="str">
        <f>IF(A13="","",E12)</f>
        <v/>
      </c>
      <c r="F13" s="218" t="str">
        <f>IFERROR(IF(VLOOKUP($A13,TableHandbook[],6,FALSE)=0,"",VLOOKUP($A13,TableHandbook[],6,FALSE)),"")</f>
        <v/>
      </c>
      <c r="G13" s="216" t="str">
        <f>IFERROR(IF(VLOOKUP($A13,TableHandbook[],5,FALSE)=0,"",VLOOKUP($A13,TableHandbook[],5,FALSE)),"")</f>
        <v/>
      </c>
      <c r="H13" s="219" t="str">
        <f>IFERROR(VLOOKUP($A13,TableHandbook[],H$2,FALSE),"")</f>
        <v/>
      </c>
      <c r="I13" s="216" t="str">
        <f>IFERROR(VLOOKUP($A13,TableHandbook[],I$2,FALSE),"")</f>
        <v/>
      </c>
      <c r="J13" s="216" t="str">
        <f>IFERROR(VLOOKUP($A13,TableHandbook[],J$2,FALSE),"")</f>
        <v/>
      </c>
      <c r="K13" s="220" t="str">
        <f>IFERROR(VLOOKUP($A13,TableHandbook[],K$2,FALSE),"")</f>
        <v/>
      </c>
      <c r="L13" s="40"/>
      <c r="M13" s="221">
        <v>5</v>
      </c>
      <c r="N13" s="222"/>
      <c r="O13" s="222"/>
    </row>
    <row r="14" spans="1:16" s="223" customFormat="1" ht="5.0999999999999996" customHeight="1" x14ac:dyDescent="0.15">
      <c r="A14" s="224"/>
      <c r="B14" s="225"/>
      <c r="C14" s="225"/>
      <c r="D14" s="226"/>
      <c r="E14" s="225"/>
      <c r="F14" s="227"/>
      <c r="G14" s="225"/>
      <c r="H14" s="228"/>
      <c r="I14" s="225"/>
      <c r="J14" s="225"/>
      <c r="K14" s="229"/>
      <c r="L14" s="279"/>
      <c r="M14" s="221"/>
      <c r="N14" s="222"/>
      <c r="O14" s="222"/>
      <c r="P14" s="222"/>
    </row>
    <row r="15" spans="1:16" s="223" customFormat="1" ht="19.5" customHeight="1" x14ac:dyDescent="0.15">
      <c r="A15" s="215" t="str">
        <f>IFERROR(IF(HLOOKUP($L$4,RangeUnitsets,M15,FALSE)=0,"",HLOOKUP($L$4,RangeUnitsets,M15,FALSE)),"")</f>
        <v/>
      </c>
      <c r="B15" s="230" t="str">
        <f>IFERROR(IF(VLOOKUP($A15,TableHandbook[],2,FALSE)=0,"",VLOOKUP($A15,TableHandbook[],2,FALSE)),"")</f>
        <v/>
      </c>
      <c r="C15" s="230" t="str">
        <f>IFERROR(IF(VLOOKUP($A15,TableHandbook[],3,FALSE)=0,"",VLOOKUP($A15,TableHandbook[],3,FALSE)),"")</f>
        <v/>
      </c>
      <c r="D15" s="217" t="str">
        <f>IFERROR(IF(VLOOKUP($A15,TableHandbook[],4,FALSE)=0,"",VLOOKUP($A15,TableHandbook[],4,FALSE)),"")</f>
        <v/>
      </c>
      <c r="E15" s="216" t="str">
        <f>IF(A15="","",VLOOKUP($D$7,TableStudyPeriod[],3,FALSE))</f>
        <v/>
      </c>
      <c r="F15" s="218" t="str">
        <f>IFERROR(IF(VLOOKUP($A15,TableHandbook[],6,FALSE)=0,"",VLOOKUP($A15,TableHandbook[],6,FALSE)),"")</f>
        <v/>
      </c>
      <c r="G15" s="230" t="str">
        <f>IFERROR(IF(VLOOKUP($A15,TableHandbook[],5,FALSE)=0,"",VLOOKUP($A15,TableHandbook[],5,FALSE)),"")</f>
        <v/>
      </c>
      <c r="H15" s="231" t="str">
        <f>IFERROR(VLOOKUP($A15,TableHandbook[],H$2,FALSE),"")</f>
        <v/>
      </c>
      <c r="I15" s="230" t="str">
        <f>IFERROR(VLOOKUP($A15,TableHandbook[],I$2,FALSE),"")</f>
        <v/>
      </c>
      <c r="J15" s="230" t="str">
        <f>IFERROR(VLOOKUP($A15,TableHandbook[],J$2,FALSE),"")</f>
        <v/>
      </c>
      <c r="K15" s="232" t="str">
        <f>IFERROR(VLOOKUP($A15,TableHandbook[],K$2,FALSE),"")</f>
        <v/>
      </c>
      <c r="L15" s="132"/>
      <c r="M15" s="221">
        <v>6</v>
      </c>
      <c r="N15" s="222"/>
      <c r="O15" s="222"/>
    </row>
    <row r="16" spans="1:16" s="234" customFormat="1" ht="19.5" customHeight="1" x14ac:dyDescent="0.15">
      <c r="A16" s="215" t="str">
        <f>IFERROR(IF(HLOOKUP($L$4,RangeUnitsets,M16,FALSE)=0,"",HLOOKUP($L$4,RangeUnitsets,M16,FALSE)),"")</f>
        <v/>
      </c>
      <c r="B16" s="230" t="str">
        <f>IFERROR(IF(VLOOKUP($A16,TableHandbook[],2,FALSE)=0,"",VLOOKUP($A16,TableHandbook[],2,FALSE)),"")</f>
        <v/>
      </c>
      <c r="C16" s="230" t="str">
        <f>IFERROR(IF(VLOOKUP($A16,TableHandbook[],3,FALSE)=0,"",VLOOKUP($A16,TableHandbook[],3,FALSE)),"")</f>
        <v/>
      </c>
      <c r="D16" s="217" t="str">
        <f>IFERROR(IF(VLOOKUP($A16,TableHandbook[],4,FALSE)=0,"",VLOOKUP($A16,TableHandbook[],4,FALSE)),"")</f>
        <v/>
      </c>
      <c r="E16" s="216" t="str">
        <f>IF(A16="","",E15)</f>
        <v/>
      </c>
      <c r="F16" s="218" t="str">
        <f>IFERROR(IF(VLOOKUP($A16,TableHandbook[],6,FALSE)=0,"",VLOOKUP($A16,TableHandbook[],6,FALSE)),"")</f>
        <v/>
      </c>
      <c r="G16" s="230" t="str">
        <f>IFERROR(IF(VLOOKUP($A16,TableHandbook[],5,FALSE)=0,"",VLOOKUP($A16,TableHandbook[],5,FALSE)),"")</f>
        <v/>
      </c>
      <c r="H16" s="231" t="str">
        <f>IFERROR(VLOOKUP($A16,TableHandbook[],H$2,FALSE),"")</f>
        <v/>
      </c>
      <c r="I16" s="230" t="str">
        <f>IFERROR(VLOOKUP($A16,TableHandbook[],I$2,FALSE),"")</f>
        <v/>
      </c>
      <c r="J16" s="230" t="str">
        <f>IFERROR(VLOOKUP($A16,TableHandbook[],J$2,FALSE),"")</f>
        <v/>
      </c>
      <c r="K16" s="232" t="str">
        <f>IFERROR(VLOOKUP($A16,TableHandbook[],K$2,FALSE),"")</f>
        <v/>
      </c>
      <c r="L16" s="132"/>
      <c r="M16" s="221">
        <v>7</v>
      </c>
      <c r="N16" s="233"/>
      <c r="O16" s="233"/>
    </row>
    <row r="17" spans="1:16" s="234" customFormat="1" ht="19.5" customHeight="1" x14ac:dyDescent="0.15">
      <c r="A17" s="215" t="str">
        <f>IFERROR(IF(HLOOKUP($L$4,RangeUnitsets,M17,FALSE)=0,"",HLOOKUP($L$4,RangeUnitsets,M17,FALSE)),"")</f>
        <v/>
      </c>
      <c r="B17" s="230" t="str">
        <f>IFERROR(IF(VLOOKUP($A17,TableHandbook[],2,FALSE)=0,"",VLOOKUP($A17,TableHandbook[],2,FALSE)),"")</f>
        <v/>
      </c>
      <c r="C17" s="230" t="str">
        <f>IFERROR(IF(VLOOKUP($A17,TableHandbook[],3,FALSE)=0,"",VLOOKUP($A17,TableHandbook[],3,FALSE)),"")</f>
        <v/>
      </c>
      <c r="D17" s="217" t="str">
        <f>IFERROR(IF(VLOOKUP($A17,TableHandbook[],4,FALSE)=0,"",VLOOKUP($A17,TableHandbook[],4,FALSE)),"")</f>
        <v/>
      </c>
      <c r="E17" s="216" t="str">
        <f>IF(A17="","",E16)</f>
        <v/>
      </c>
      <c r="F17" s="218" t="str">
        <f>IFERROR(IF(VLOOKUP($A17,TableHandbook[],6,FALSE)=0,"",VLOOKUP($A17,TableHandbook[],6,FALSE)),"")</f>
        <v/>
      </c>
      <c r="G17" s="230" t="str">
        <f>IFERROR(IF(VLOOKUP($A17,TableHandbook[],5,FALSE)=0,"",VLOOKUP($A17,TableHandbook[],5,FALSE)),"")</f>
        <v/>
      </c>
      <c r="H17" s="231" t="str">
        <f>IFERROR(VLOOKUP($A17,TableHandbook[],H$2,FALSE),"")</f>
        <v/>
      </c>
      <c r="I17" s="230" t="str">
        <f>IFERROR(VLOOKUP($A17,TableHandbook[],I$2,FALSE),"")</f>
        <v/>
      </c>
      <c r="J17" s="230" t="str">
        <f>IFERROR(VLOOKUP($A17,TableHandbook[],J$2,FALSE),"")</f>
        <v/>
      </c>
      <c r="K17" s="232" t="str">
        <f>IFERROR(VLOOKUP($A17,TableHandbook[],K$2,FALSE),"")</f>
        <v/>
      </c>
      <c r="L17" s="132"/>
      <c r="M17" s="221">
        <v>8</v>
      </c>
      <c r="N17" s="233"/>
      <c r="O17" s="233"/>
    </row>
    <row r="18" spans="1:16" s="234" customFormat="1" ht="19.5" customHeight="1" x14ac:dyDescent="0.15">
      <c r="A18" s="215" t="str">
        <f>IFERROR(IF(HLOOKUP($L$4,RangeUnitsets,M18,FALSE)=0,"",HLOOKUP($L$4,RangeUnitsets,M18,FALSE)),"")</f>
        <v/>
      </c>
      <c r="B18" s="230" t="str">
        <f>IFERROR(IF(VLOOKUP($A18,TableHandbook[],2,FALSE)=0,"",VLOOKUP($A18,TableHandbook[],2,FALSE)),"")</f>
        <v/>
      </c>
      <c r="C18" s="230" t="str">
        <f>IFERROR(IF(VLOOKUP($A18,TableHandbook[],3,FALSE)=0,"",VLOOKUP($A18,TableHandbook[],3,FALSE)),"")</f>
        <v/>
      </c>
      <c r="D18" s="235" t="str">
        <f>IFERROR(IF(VLOOKUP($A18,TableHandbook[],4,FALSE)=0,"",VLOOKUP($A18,TableHandbook[],4,FALSE)),"")</f>
        <v/>
      </c>
      <c r="E18" s="230" t="str">
        <f>IF(A18="","",E17)</f>
        <v/>
      </c>
      <c r="F18" s="218" t="str">
        <f>IFERROR(IF(VLOOKUP($A18,TableHandbook[],6,FALSE)=0,"",VLOOKUP($A18,TableHandbook[],6,FALSE)),"")</f>
        <v/>
      </c>
      <c r="G18" s="230" t="str">
        <f>IFERROR(IF(VLOOKUP($A18,TableHandbook[],5,FALSE)=0,"",VLOOKUP($A18,TableHandbook[],5,FALSE)),"")</f>
        <v/>
      </c>
      <c r="H18" s="231" t="str">
        <f>IFERROR(VLOOKUP($A18,TableHandbook[],H$2,FALSE),"")</f>
        <v/>
      </c>
      <c r="I18" s="230" t="str">
        <f>IFERROR(VLOOKUP($A18,TableHandbook[],I$2,FALSE),"")</f>
        <v/>
      </c>
      <c r="J18" s="230" t="str">
        <f>IFERROR(VLOOKUP($A18,TableHandbook[],J$2,FALSE),"")</f>
        <v/>
      </c>
      <c r="K18" s="232" t="str">
        <f>IFERROR(VLOOKUP($A18,TableHandbook[],K$2,FALSE),"")</f>
        <v/>
      </c>
      <c r="L18" s="132"/>
      <c r="M18" s="221">
        <v>9</v>
      </c>
      <c r="N18" s="233"/>
      <c r="O18" s="233"/>
    </row>
    <row r="19" spans="1:16" s="211" customFormat="1" ht="21" x14ac:dyDescent="0.25">
      <c r="A19" s="204" t="s">
        <v>33</v>
      </c>
      <c r="B19" s="204"/>
      <c r="C19" s="204"/>
      <c r="D19" s="205" t="s">
        <v>3</v>
      </c>
      <c r="E19" s="212" t="s">
        <v>25</v>
      </c>
      <c r="F19" s="204" t="s">
        <v>26</v>
      </c>
      <c r="G19" s="204" t="s">
        <v>27</v>
      </c>
      <c r="H19" s="213" t="s">
        <v>28</v>
      </c>
      <c r="I19" s="212" t="s">
        <v>29</v>
      </c>
      <c r="J19" s="212" t="s">
        <v>30</v>
      </c>
      <c r="K19" s="214" t="s">
        <v>31</v>
      </c>
      <c r="L19" s="204" t="s">
        <v>32</v>
      </c>
      <c r="M19" s="236"/>
      <c r="N19" s="210"/>
      <c r="O19" s="210"/>
    </row>
    <row r="20" spans="1:16" s="223" customFormat="1" ht="19.5" customHeight="1" x14ac:dyDescent="0.15">
      <c r="A20" s="215" t="str">
        <f>IFERROR(IF(HLOOKUP($L$4,RangeUnitsets,M20,FALSE)=0,"",HLOOKUP($L$4,RangeUnitsets,M20,FALSE)),"")</f>
        <v/>
      </c>
      <c r="B20" s="230" t="str">
        <f>IFERROR(IF(VLOOKUP($A20,TableHandbook[],2,FALSE)=0,"",VLOOKUP($A20,TableHandbook[],2,FALSE)),"")</f>
        <v/>
      </c>
      <c r="C20" s="230" t="str">
        <f>IFERROR(IF(VLOOKUP($A20,TableHandbook[],3,FALSE)=0,"",VLOOKUP($A20,TableHandbook[],3,FALSE)),"")</f>
        <v/>
      </c>
      <c r="D20" s="237" t="str">
        <f>IFERROR(IF(VLOOKUP($A20,TableHandbook[],4,FALSE)=0,"",VLOOKUP($A20,TableHandbook[],4,FALSE)),"")</f>
        <v/>
      </c>
      <c r="E20" s="230" t="str">
        <f>IF(A20="","",VLOOKUP($D$7,TableStudyPeriod[],2,FALSE))</f>
        <v/>
      </c>
      <c r="F20" s="218" t="str">
        <f>IFERROR(IF(VLOOKUP($A20,TableHandbook[],6,FALSE)=0,"",VLOOKUP($A20,TableHandbook[],6,FALSE)),"")</f>
        <v/>
      </c>
      <c r="G20" s="216" t="str">
        <f>IFERROR(IF(VLOOKUP($A20,TableHandbook[],5,FALSE)=0,"",VLOOKUP($A20,TableHandbook[],5,FALSE)),"")</f>
        <v/>
      </c>
      <c r="H20" s="219" t="str">
        <f>IFERROR(VLOOKUP($A20,TableHandbook[],H$2,FALSE),"")</f>
        <v/>
      </c>
      <c r="I20" s="216" t="str">
        <f>IFERROR(VLOOKUP($A20,TableHandbook[],I$2,FALSE),"")</f>
        <v/>
      </c>
      <c r="J20" s="216" t="str">
        <f>IFERROR(VLOOKUP($A20,TableHandbook[],J$2,FALSE),"")</f>
        <v/>
      </c>
      <c r="K20" s="220" t="str">
        <f>IFERROR(VLOOKUP($A20,TableHandbook[],K$2,FALSE),"")</f>
        <v/>
      </c>
      <c r="L20" s="40"/>
      <c r="M20" s="221">
        <v>10</v>
      </c>
      <c r="N20" s="222"/>
      <c r="O20" s="222"/>
    </row>
    <row r="21" spans="1:16" s="223" customFormat="1" ht="19.5" customHeight="1" x14ac:dyDescent="0.15">
      <c r="A21" s="215" t="str">
        <f>IFERROR(IF(HLOOKUP($L$4,RangeUnitsets,M21,FALSE)=0,"",HLOOKUP($L$4,RangeUnitsets,M21,FALSE)),"")</f>
        <v/>
      </c>
      <c r="B21" s="230" t="str">
        <f>IFERROR(IF(VLOOKUP($A21,TableHandbook[],2,FALSE)=0,"",VLOOKUP($A21,TableHandbook[],2,FALSE)),"")</f>
        <v/>
      </c>
      <c r="C21" s="230" t="str">
        <f>IFERROR(IF(VLOOKUP($A21,TableHandbook[],3,FALSE)=0,"",VLOOKUP($A21,TableHandbook[],3,FALSE)),"")</f>
        <v/>
      </c>
      <c r="D21" s="235" t="str">
        <f>IFERROR(IF(VLOOKUP($A21,TableHandbook[],4,FALSE)=0,"",VLOOKUP($A21,TableHandbook[],4,FALSE)),"")</f>
        <v/>
      </c>
      <c r="E21" s="230" t="str">
        <f>IF(A21="","",E20)</f>
        <v/>
      </c>
      <c r="F21" s="218" t="str">
        <f>IFERROR(IF(VLOOKUP($A21,TableHandbook[],6,FALSE)=0,"",VLOOKUP($A21,TableHandbook[],6,FALSE)),"")</f>
        <v/>
      </c>
      <c r="G21" s="216" t="str">
        <f>IFERROR(IF(VLOOKUP($A21,TableHandbook[],5,FALSE)=0,"",VLOOKUP($A21,TableHandbook[],5,FALSE)),"")</f>
        <v/>
      </c>
      <c r="H21" s="219" t="str">
        <f>IFERROR(VLOOKUP($A21,TableHandbook[],H$2,FALSE),"")</f>
        <v/>
      </c>
      <c r="I21" s="216" t="str">
        <f>IFERROR(VLOOKUP($A21,TableHandbook[],I$2,FALSE),"")</f>
        <v/>
      </c>
      <c r="J21" s="216" t="str">
        <f>IFERROR(VLOOKUP($A21,TableHandbook[],J$2,FALSE),"")</f>
        <v/>
      </c>
      <c r="K21" s="220" t="str">
        <f>IFERROR(VLOOKUP($A21,TableHandbook[],K$2,FALSE),"")</f>
        <v/>
      </c>
      <c r="L21" s="40"/>
      <c r="M21" s="221">
        <v>11</v>
      </c>
      <c r="N21" s="222"/>
      <c r="O21" s="222"/>
    </row>
    <row r="22" spans="1:16" s="223" customFormat="1" ht="19.5" customHeight="1" x14ac:dyDescent="0.15">
      <c r="A22" s="215" t="str">
        <f>IFERROR(IF(HLOOKUP($L$4,RangeUnitsets,M22,FALSE)=0,"",HLOOKUP($L$4,RangeUnitsets,M22,FALSE)),"")</f>
        <v/>
      </c>
      <c r="B22" s="230" t="str">
        <f>IFERROR(IF(VLOOKUP($A22,TableHandbook[],2,FALSE)=0,"",VLOOKUP($A22,TableHandbook[],2,FALSE)),"")</f>
        <v/>
      </c>
      <c r="C22" s="230" t="str">
        <f>IFERROR(IF(VLOOKUP($A22,TableHandbook[],3,FALSE)=0,"",VLOOKUP($A22,TableHandbook[],3,FALSE)),"")</f>
        <v/>
      </c>
      <c r="D22" s="235" t="str">
        <f>IFERROR(IF(VLOOKUP($A22,TableHandbook[],4,FALSE)=0,"",VLOOKUP($A22,TableHandbook[],4,FALSE)),"")</f>
        <v/>
      </c>
      <c r="E22" s="230" t="str">
        <f>IF(A22="","",E21)</f>
        <v/>
      </c>
      <c r="F22" s="218" t="str">
        <f>IFERROR(IF(VLOOKUP($A22,TableHandbook[],6,FALSE)=0,"",VLOOKUP($A22,TableHandbook[],6,FALSE)),"")</f>
        <v/>
      </c>
      <c r="G22" s="216" t="str">
        <f>IFERROR(IF(VLOOKUP($A22,TableHandbook[],5,FALSE)=0,"",VLOOKUP($A22,TableHandbook[],5,FALSE)),"")</f>
        <v/>
      </c>
      <c r="H22" s="219" t="str">
        <f>IFERROR(VLOOKUP($A22,TableHandbook[],H$2,FALSE),"")</f>
        <v/>
      </c>
      <c r="I22" s="216" t="str">
        <f>IFERROR(VLOOKUP($A22,TableHandbook[],I$2,FALSE),"")</f>
        <v/>
      </c>
      <c r="J22" s="216" t="str">
        <f>IFERROR(VLOOKUP($A22,TableHandbook[],J$2,FALSE),"")</f>
        <v/>
      </c>
      <c r="K22" s="220" t="str">
        <f>IFERROR(VLOOKUP($A22,TableHandbook[],K$2,FALSE),"")</f>
        <v/>
      </c>
      <c r="L22" s="40"/>
      <c r="M22" s="221">
        <v>12</v>
      </c>
      <c r="N22" s="222"/>
      <c r="O22" s="222"/>
    </row>
    <row r="23" spans="1:16" s="223" customFormat="1" ht="19.5" customHeight="1" x14ac:dyDescent="0.15">
      <c r="A23" s="215" t="str">
        <f>IFERROR(IF(HLOOKUP($L$4,RangeUnitsets,M23,FALSE)=0,"",HLOOKUP($L$4,RangeUnitsets,M23,FALSE)),"")</f>
        <v/>
      </c>
      <c r="B23" s="230" t="str">
        <f>IFERROR(IF(VLOOKUP($A23,TableHandbook[],2,FALSE)=0,"",VLOOKUP($A23,TableHandbook[],2,FALSE)),"")</f>
        <v/>
      </c>
      <c r="C23" s="230" t="str">
        <f>IFERROR(IF(VLOOKUP($A23,TableHandbook[],3,FALSE)=0,"",VLOOKUP($A23,TableHandbook[],3,FALSE)),"")</f>
        <v/>
      </c>
      <c r="D23" s="235" t="str">
        <f>IFERROR(IF(VLOOKUP($A23,TableHandbook[],4,FALSE)=0,"",VLOOKUP($A23,TableHandbook[],4,FALSE)),"")</f>
        <v/>
      </c>
      <c r="E23" s="230" t="str">
        <f>IF(A23="","",E22)</f>
        <v/>
      </c>
      <c r="F23" s="218" t="str">
        <f>IFERROR(IF(VLOOKUP($A23,TableHandbook[],6,FALSE)=0,"",VLOOKUP($A23,TableHandbook[],6,FALSE)),"")</f>
        <v/>
      </c>
      <c r="G23" s="216" t="str">
        <f>IFERROR(IF(VLOOKUP($A23,TableHandbook[],5,FALSE)=0,"",VLOOKUP($A23,TableHandbook[],5,FALSE)),"")</f>
        <v/>
      </c>
      <c r="H23" s="219" t="str">
        <f>IFERROR(VLOOKUP($A23,TableHandbook[],H$2,FALSE),"")</f>
        <v/>
      </c>
      <c r="I23" s="216" t="str">
        <f>IFERROR(VLOOKUP($A23,TableHandbook[],I$2,FALSE),"")</f>
        <v/>
      </c>
      <c r="J23" s="216" t="str">
        <f>IFERROR(VLOOKUP($A23,TableHandbook[],J$2,FALSE),"")</f>
        <v/>
      </c>
      <c r="K23" s="220" t="str">
        <f>IFERROR(VLOOKUP($A23,TableHandbook[],K$2,FALSE),"")</f>
        <v/>
      </c>
      <c r="L23" s="40"/>
      <c r="M23" s="221">
        <v>13</v>
      </c>
      <c r="N23" s="222"/>
      <c r="O23" s="222"/>
    </row>
    <row r="24" spans="1:16" s="223" customFormat="1" ht="5.0999999999999996" customHeight="1" x14ac:dyDescent="0.15">
      <c r="A24" s="224"/>
      <c r="B24" s="225"/>
      <c r="C24" s="225"/>
      <c r="D24" s="226"/>
      <c r="E24" s="225"/>
      <c r="F24" s="227"/>
      <c r="G24" s="225"/>
      <c r="H24" s="228"/>
      <c r="I24" s="225"/>
      <c r="J24" s="225"/>
      <c r="K24" s="229"/>
      <c r="L24" s="279"/>
      <c r="M24" s="221"/>
      <c r="N24" s="222"/>
      <c r="O24" s="222"/>
      <c r="P24" s="222"/>
    </row>
    <row r="25" spans="1:16" s="223" customFormat="1" ht="19.5" customHeight="1" x14ac:dyDescent="0.15">
      <c r="A25" s="215" t="str">
        <f>IFERROR(IF(HLOOKUP($L$4,RangeUnitsets,M25,FALSE)=0,"",HLOOKUP($L$4,RangeUnitsets,M25,FALSE)),"")</f>
        <v/>
      </c>
      <c r="B25" s="230" t="str">
        <f>IFERROR(IF(VLOOKUP($A25,TableHandbook[],2,FALSE)=0,"",VLOOKUP($A25,TableHandbook[],2,FALSE)),"")</f>
        <v/>
      </c>
      <c r="C25" s="230" t="str">
        <f>IFERROR(IF(VLOOKUP($A25,TableHandbook[],3,FALSE)=0,"",VLOOKUP($A25,TableHandbook[],3,FALSE)),"")</f>
        <v/>
      </c>
      <c r="D25" s="235" t="str">
        <f>IFERROR(IF(VLOOKUP($A25,TableHandbook[],4,FALSE)=0,"",VLOOKUP($A25,TableHandbook[],4,FALSE)),"")</f>
        <v/>
      </c>
      <c r="E25" s="230" t="str">
        <f>IF(A25="","",VLOOKUP($D$7,TableStudyPeriod[],3,FALSE))</f>
        <v/>
      </c>
      <c r="F25" s="218" t="str">
        <f>IFERROR(IF(VLOOKUP($A25,TableHandbook[],6,FALSE)=0,"",VLOOKUP($A25,TableHandbook[],6,FALSE)),"")</f>
        <v/>
      </c>
      <c r="G25" s="216" t="str">
        <f>IFERROR(IF(VLOOKUP($A25,TableHandbook[],5,FALSE)=0,"",VLOOKUP($A25,TableHandbook[],5,FALSE)),"")</f>
        <v/>
      </c>
      <c r="H25" s="219" t="str">
        <f>IFERROR(VLOOKUP($A25,TableHandbook[],H$2,FALSE),"")</f>
        <v/>
      </c>
      <c r="I25" s="216" t="str">
        <f>IFERROR(VLOOKUP($A25,TableHandbook[],I$2,FALSE),"")</f>
        <v/>
      </c>
      <c r="J25" s="216" t="str">
        <f>IFERROR(VLOOKUP($A25,TableHandbook[],J$2,FALSE),"")</f>
        <v/>
      </c>
      <c r="K25" s="220" t="str">
        <f>IFERROR(VLOOKUP($A25,TableHandbook[],K$2,FALSE),"")</f>
        <v/>
      </c>
      <c r="L25" s="40"/>
      <c r="M25" s="221">
        <v>14</v>
      </c>
      <c r="N25" s="222"/>
      <c r="O25" s="222"/>
    </row>
    <row r="26" spans="1:16" s="223" customFormat="1" ht="19.5" customHeight="1" x14ac:dyDescent="0.15">
      <c r="A26" s="215" t="str">
        <f>IFERROR(IF(HLOOKUP($L$4,RangeUnitsets,M26,FALSE)=0,"",HLOOKUP($L$4,RangeUnitsets,M26,FALSE)),"")</f>
        <v/>
      </c>
      <c r="B26" s="230" t="str">
        <f>IFERROR(IF(VLOOKUP($A26,TableHandbook[],2,FALSE)=0,"",VLOOKUP($A26,TableHandbook[],2,FALSE)),"")</f>
        <v/>
      </c>
      <c r="C26" s="230" t="str">
        <f>IFERROR(IF(VLOOKUP($A26,TableHandbook[],3,FALSE)=0,"",VLOOKUP($A26,TableHandbook[],3,FALSE)),"")</f>
        <v/>
      </c>
      <c r="D26" s="235" t="str">
        <f>IFERROR(IF(VLOOKUP($A26,TableHandbook[],4,FALSE)=0,"",VLOOKUP($A26,TableHandbook[],4,FALSE)),"")</f>
        <v/>
      </c>
      <c r="E26" s="230" t="str">
        <f>IF(A26="","",E25)</f>
        <v/>
      </c>
      <c r="F26" s="218" t="str">
        <f>IFERROR(IF(VLOOKUP($A26,TableHandbook[],6,FALSE)=0,"",VLOOKUP($A26,TableHandbook[],6,FALSE)),"")</f>
        <v/>
      </c>
      <c r="G26" s="216" t="str">
        <f>IFERROR(IF(VLOOKUP($A26,TableHandbook[],5,FALSE)=0,"",VLOOKUP($A26,TableHandbook[],5,FALSE)),"")</f>
        <v/>
      </c>
      <c r="H26" s="219" t="str">
        <f>IFERROR(VLOOKUP($A26,TableHandbook[],H$2,FALSE),"")</f>
        <v/>
      </c>
      <c r="I26" s="216" t="str">
        <f>IFERROR(VLOOKUP($A26,TableHandbook[],I$2,FALSE),"")</f>
        <v/>
      </c>
      <c r="J26" s="216" t="str">
        <f>IFERROR(VLOOKUP($A26,TableHandbook[],J$2,FALSE),"")</f>
        <v/>
      </c>
      <c r="K26" s="220" t="str">
        <f>IFERROR(VLOOKUP($A26,TableHandbook[],K$2,FALSE),"")</f>
        <v/>
      </c>
      <c r="L26" s="40"/>
      <c r="M26" s="221">
        <v>15</v>
      </c>
      <c r="N26" s="222"/>
      <c r="O26" s="222"/>
    </row>
    <row r="27" spans="1:16" s="234" customFormat="1" ht="19.5" customHeight="1" x14ac:dyDescent="0.15">
      <c r="A27" s="215" t="str">
        <f>IFERROR(IF(HLOOKUP($L$4,RangeUnitsets,M27,FALSE)=0,"",HLOOKUP($L$4,RangeUnitsets,M27,FALSE)),"")</f>
        <v/>
      </c>
      <c r="B27" s="230" t="str">
        <f>IFERROR(IF(VLOOKUP($A27,TableHandbook[],2,FALSE)=0,"",VLOOKUP($A27,TableHandbook[],2,FALSE)),"")</f>
        <v/>
      </c>
      <c r="C27" s="230" t="str">
        <f>IFERROR(IF(VLOOKUP($A27,TableHandbook[],3,FALSE)=0,"",VLOOKUP($A27,TableHandbook[],3,FALSE)),"")</f>
        <v/>
      </c>
      <c r="D27" s="235" t="str">
        <f>IFERROR(IF(VLOOKUP($A27,TableHandbook[],4,FALSE)=0,"",VLOOKUP($A27,TableHandbook[],4,FALSE)),"")</f>
        <v/>
      </c>
      <c r="E27" s="230" t="str">
        <f>IF(A27="","",E26)</f>
        <v/>
      </c>
      <c r="F27" s="218" t="str">
        <f>IFERROR(IF(VLOOKUP($A27,TableHandbook[],6,FALSE)=0,"",VLOOKUP($A27,TableHandbook[],6,FALSE)),"")</f>
        <v/>
      </c>
      <c r="G27" s="216" t="str">
        <f>IFERROR(IF(VLOOKUP($A27,TableHandbook[],5,FALSE)=0,"",VLOOKUP($A27,TableHandbook[],5,FALSE)),"")</f>
        <v/>
      </c>
      <c r="H27" s="219" t="str">
        <f>IFERROR(VLOOKUP($A27,TableHandbook[],H$2,FALSE),"")</f>
        <v/>
      </c>
      <c r="I27" s="216" t="str">
        <f>IFERROR(VLOOKUP($A27,TableHandbook[],I$2,FALSE),"")</f>
        <v/>
      </c>
      <c r="J27" s="216" t="str">
        <f>IFERROR(VLOOKUP($A27,TableHandbook[],J$2,FALSE),"")</f>
        <v/>
      </c>
      <c r="K27" s="220" t="str">
        <f>IFERROR(VLOOKUP($A27,TableHandbook[],K$2,FALSE),"")</f>
        <v/>
      </c>
      <c r="L27" s="40"/>
      <c r="M27" s="221">
        <v>16</v>
      </c>
      <c r="N27" s="233"/>
      <c r="O27" s="233"/>
    </row>
    <row r="28" spans="1:16" s="234" customFormat="1" ht="19.5" customHeight="1" x14ac:dyDescent="0.15">
      <c r="A28" s="215" t="str">
        <f>IFERROR(IF(HLOOKUP($L$4,RangeUnitsets,M28,FALSE)=0,"",HLOOKUP($L$4,RangeUnitsets,M28,FALSE)),"")</f>
        <v/>
      </c>
      <c r="B28" s="230" t="str">
        <f>IFERROR(IF(VLOOKUP($A28,TableHandbook[],2,FALSE)=0,"",VLOOKUP($A28,TableHandbook[],2,FALSE)),"")</f>
        <v/>
      </c>
      <c r="C28" s="230" t="str">
        <f>IFERROR(IF(VLOOKUP($A28,TableHandbook[],3,FALSE)=0,"",VLOOKUP($A28,TableHandbook[],3,FALSE)),"")</f>
        <v/>
      </c>
      <c r="D28" s="235" t="str">
        <f>IFERROR(IF(VLOOKUP($A28,TableHandbook[],4,FALSE)=0,"",VLOOKUP($A28,TableHandbook[],4,FALSE)),"")</f>
        <v/>
      </c>
      <c r="E28" s="216" t="str">
        <f>IF(A28="","",E27)</f>
        <v/>
      </c>
      <c r="F28" s="218" t="str">
        <f>IFERROR(IF(VLOOKUP($A28,TableHandbook[],6,FALSE)=0,"",VLOOKUP($A28,TableHandbook[],6,FALSE)),"")</f>
        <v/>
      </c>
      <c r="G28" s="216" t="str">
        <f>IFERROR(IF(VLOOKUP($A28,TableHandbook[],5,FALSE)=0,"",VLOOKUP($A28,TableHandbook[],5,FALSE)),"")</f>
        <v/>
      </c>
      <c r="H28" s="219" t="str">
        <f>IFERROR(VLOOKUP($A28,TableHandbook[],H$2,FALSE),"")</f>
        <v/>
      </c>
      <c r="I28" s="216" t="str">
        <f>IFERROR(VLOOKUP($A28,TableHandbook[],I$2,FALSE),"")</f>
        <v/>
      </c>
      <c r="J28" s="216" t="str">
        <f>IFERROR(VLOOKUP($A28,TableHandbook[],J$2,FALSE),"")</f>
        <v/>
      </c>
      <c r="K28" s="220" t="str">
        <f>IFERROR(VLOOKUP($A28,TableHandbook[],K$2,FALSE),"")</f>
        <v/>
      </c>
      <c r="L28" s="40"/>
      <c r="M28" s="221">
        <v>17</v>
      </c>
      <c r="N28" s="233"/>
      <c r="O28" s="233"/>
    </row>
    <row r="29" spans="1:16" s="211" customFormat="1" ht="21" x14ac:dyDescent="0.25">
      <c r="A29" s="204" t="s">
        <v>34</v>
      </c>
      <c r="B29" s="204"/>
      <c r="C29" s="204"/>
      <c r="D29" s="205" t="s">
        <v>3</v>
      </c>
      <c r="E29" s="212" t="s">
        <v>25</v>
      </c>
      <c r="F29" s="204" t="s">
        <v>26</v>
      </c>
      <c r="G29" s="204" t="s">
        <v>27</v>
      </c>
      <c r="H29" s="213" t="s">
        <v>28</v>
      </c>
      <c r="I29" s="212" t="s">
        <v>29</v>
      </c>
      <c r="J29" s="212" t="s">
        <v>30</v>
      </c>
      <c r="K29" s="214" t="s">
        <v>31</v>
      </c>
      <c r="L29" s="204" t="s">
        <v>32</v>
      </c>
      <c r="M29" s="236"/>
      <c r="N29" s="210"/>
      <c r="O29" s="210"/>
    </row>
    <row r="30" spans="1:16" s="223" customFormat="1" ht="19.5" customHeight="1" x14ac:dyDescent="0.15">
      <c r="A30" s="215" t="str">
        <f>IFERROR(IF(HLOOKUP($L$4,RangeUnitsets,M30,FALSE)=0,"",HLOOKUP($L$4,RangeUnitsets,M30,FALSE)),"")</f>
        <v/>
      </c>
      <c r="B30" s="230" t="str">
        <f>IFERROR(IF(VLOOKUP($A30,TableHandbook[],2,FALSE)=0,"",VLOOKUP($A30,TableHandbook[],2,FALSE)),"")</f>
        <v/>
      </c>
      <c r="C30" s="230" t="str">
        <f>IFERROR(IF(VLOOKUP($A30,TableHandbook[],3,FALSE)=0,"",VLOOKUP($A30,TableHandbook[],3,FALSE)),"")</f>
        <v/>
      </c>
      <c r="D30" s="237" t="str">
        <f>IFERROR(IF(VLOOKUP($A30,TableHandbook[],4,FALSE)=0,"",VLOOKUP($A30,TableHandbook[],4,FALSE)),"")</f>
        <v/>
      </c>
      <c r="E30" s="230" t="str">
        <f>IF(A30="","",VLOOKUP($D$7,TableStudyPeriod[],2,FALSE))</f>
        <v/>
      </c>
      <c r="F30" s="218" t="str">
        <f>IFERROR(IF(VLOOKUP($A30,TableHandbook[],6,FALSE)=0,"",VLOOKUP($A30,TableHandbook[],6,FALSE)),"")</f>
        <v/>
      </c>
      <c r="G30" s="216" t="str">
        <f>IFERROR(IF(VLOOKUP($A30,TableHandbook[],5,FALSE)=0,"",VLOOKUP($A30,TableHandbook[],5,FALSE)),"")</f>
        <v/>
      </c>
      <c r="H30" s="219" t="str">
        <f>IFERROR(VLOOKUP($A30,TableHandbook[],H$2,FALSE),"")</f>
        <v/>
      </c>
      <c r="I30" s="216" t="str">
        <f>IFERROR(VLOOKUP($A30,TableHandbook[],I$2,FALSE),"")</f>
        <v/>
      </c>
      <c r="J30" s="216" t="str">
        <f>IFERROR(VLOOKUP($A30,TableHandbook[],J$2,FALSE),"")</f>
        <v/>
      </c>
      <c r="K30" s="220" t="str">
        <f>IFERROR(VLOOKUP($A30,TableHandbook[],K$2,FALSE),"")</f>
        <v/>
      </c>
      <c r="L30" s="40"/>
      <c r="M30" s="221">
        <v>18</v>
      </c>
      <c r="N30" s="222"/>
      <c r="O30" s="222"/>
    </row>
    <row r="31" spans="1:16" s="223" customFormat="1" ht="19.5" customHeight="1" x14ac:dyDescent="0.15">
      <c r="A31" s="215" t="str">
        <f>IFERROR(IF(HLOOKUP($L$4,RangeUnitsets,M31,FALSE)=0,"",HLOOKUP($L$4,RangeUnitsets,M31,FALSE)),"")</f>
        <v/>
      </c>
      <c r="B31" s="230" t="str">
        <f>IFERROR(IF(VLOOKUP($A31,TableHandbook[],2,FALSE)=0,"",VLOOKUP($A31,TableHandbook[],2,FALSE)),"")</f>
        <v/>
      </c>
      <c r="C31" s="230" t="str">
        <f>IFERROR(IF(VLOOKUP($A31,TableHandbook[],3,FALSE)=0,"",VLOOKUP($A31,TableHandbook[],3,FALSE)),"")</f>
        <v/>
      </c>
      <c r="D31" s="235" t="str">
        <f>IFERROR(IF(VLOOKUP($A31,TableHandbook[],4,FALSE)=0,"",VLOOKUP($A31,TableHandbook[],4,FALSE)),"")</f>
        <v/>
      </c>
      <c r="E31" s="230" t="str">
        <f>IF(A31="","",E30)</f>
        <v/>
      </c>
      <c r="F31" s="218" t="str">
        <f>IFERROR(IF(VLOOKUP($A31,TableHandbook[],6,FALSE)=0,"",VLOOKUP($A31,TableHandbook[],6,FALSE)),"")</f>
        <v/>
      </c>
      <c r="G31" s="216" t="str">
        <f>IFERROR(IF(VLOOKUP($A31,TableHandbook[],5,FALSE)=0,"",VLOOKUP($A31,TableHandbook[],5,FALSE)),"")</f>
        <v/>
      </c>
      <c r="H31" s="219" t="str">
        <f>IFERROR(VLOOKUP($A31,TableHandbook[],H$2,FALSE),"")</f>
        <v/>
      </c>
      <c r="I31" s="216" t="str">
        <f>IFERROR(VLOOKUP($A31,TableHandbook[],I$2,FALSE),"")</f>
        <v/>
      </c>
      <c r="J31" s="216" t="str">
        <f>IFERROR(VLOOKUP($A31,TableHandbook[],J$2,FALSE),"")</f>
        <v/>
      </c>
      <c r="K31" s="220" t="str">
        <f>IFERROR(VLOOKUP($A31,TableHandbook[],K$2,FALSE),"")</f>
        <v/>
      </c>
      <c r="L31" s="40"/>
      <c r="M31" s="221">
        <v>19</v>
      </c>
      <c r="N31" s="222"/>
      <c r="O31" s="222"/>
    </row>
    <row r="32" spans="1:16" s="223" customFormat="1" ht="19.5" customHeight="1" x14ac:dyDescent="0.15">
      <c r="A32" s="215" t="str">
        <f>IFERROR(IF(HLOOKUP($L$4,RangeUnitsets,M32,FALSE)=0,"",HLOOKUP($L$4,RangeUnitsets,M32,FALSE)),"")</f>
        <v/>
      </c>
      <c r="B32" s="230" t="str">
        <f>IFERROR(IF(VLOOKUP($A32,TableHandbook[],2,FALSE)=0,"",VLOOKUP($A32,TableHandbook[],2,FALSE)),"")</f>
        <v/>
      </c>
      <c r="C32" s="230" t="str">
        <f>IFERROR(IF(VLOOKUP($A32,TableHandbook[],3,FALSE)=0,"",VLOOKUP($A32,TableHandbook[],3,FALSE)),"")</f>
        <v/>
      </c>
      <c r="D32" s="235" t="str">
        <f>IFERROR(IF(VLOOKUP($A32,TableHandbook[],4,FALSE)=0,"",VLOOKUP($A32,TableHandbook[],4,FALSE)),"")</f>
        <v/>
      </c>
      <c r="E32" s="230" t="str">
        <f>IF(A32="","",E31)</f>
        <v/>
      </c>
      <c r="F32" s="218" t="str">
        <f>IFERROR(IF(VLOOKUP($A32,TableHandbook[],6,FALSE)=0,"",VLOOKUP($A32,TableHandbook[],6,FALSE)),"")</f>
        <v/>
      </c>
      <c r="G32" s="216" t="str">
        <f>IFERROR(IF(VLOOKUP($A32,TableHandbook[],5,FALSE)=0,"",VLOOKUP($A32,TableHandbook[],5,FALSE)),"")</f>
        <v/>
      </c>
      <c r="H32" s="219" t="str">
        <f>IFERROR(VLOOKUP($A32,TableHandbook[],H$2,FALSE),"")</f>
        <v/>
      </c>
      <c r="I32" s="216" t="str">
        <f>IFERROR(VLOOKUP($A32,TableHandbook[],I$2,FALSE),"")</f>
        <v/>
      </c>
      <c r="J32" s="216" t="str">
        <f>IFERROR(VLOOKUP($A32,TableHandbook[],J$2,FALSE),"")</f>
        <v/>
      </c>
      <c r="K32" s="220" t="str">
        <f>IFERROR(VLOOKUP($A32,TableHandbook[],K$2,FALSE),"")</f>
        <v/>
      </c>
      <c r="L32" s="40"/>
      <c r="M32" s="221">
        <v>20</v>
      </c>
      <c r="N32" s="222"/>
      <c r="O32" s="222"/>
    </row>
    <row r="33" spans="1:16" s="223" customFormat="1" ht="19.5" customHeight="1" x14ac:dyDescent="0.15">
      <c r="A33" s="215" t="str">
        <f>IFERROR(IF(HLOOKUP($L$4,RangeUnitsets,M33,FALSE)=0,"",HLOOKUP($L$4,RangeUnitsets,M33,FALSE)),"")</f>
        <v/>
      </c>
      <c r="B33" s="230" t="str">
        <f>IFERROR(IF(VLOOKUP($A33,TableHandbook[],2,FALSE)=0,"",VLOOKUP($A33,TableHandbook[],2,FALSE)),"")</f>
        <v/>
      </c>
      <c r="C33" s="230" t="str">
        <f>IFERROR(IF(VLOOKUP($A33,TableHandbook[],3,FALSE)=0,"",VLOOKUP($A33,TableHandbook[],3,FALSE)),"")</f>
        <v/>
      </c>
      <c r="D33" s="235" t="str">
        <f>IFERROR(IF(VLOOKUP($A33,TableHandbook[],4,FALSE)=0,"",VLOOKUP($A33,TableHandbook[],4,FALSE)),"")</f>
        <v/>
      </c>
      <c r="E33" s="230" t="str">
        <f>IF(A33="","",E32)</f>
        <v/>
      </c>
      <c r="F33" s="218" t="str">
        <f>IFERROR(IF(VLOOKUP($A33,TableHandbook[],6,FALSE)=0,"",VLOOKUP($A33,TableHandbook[],6,FALSE)),"")</f>
        <v/>
      </c>
      <c r="G33" s="216" t="str">
        <f>IFERROR(IF(VLOOKUP($A33,TableHandbook[],5,FALSE)=0,"",VLOOKUP($A33,TableHandbook[],5,FALSE)),"")</f>
        <v/>
      </c>
      <c r="H33" s="219" t="str">
        <f>IFERROR(VLOOKUP($A33,TableHandbook[],H$2,FALSE),"")</f>
        <v/>
      </c>
      <c r="I33" s="216" t="str">
        <f>IFERROR(VLOOKUP($A33,TableHandbook[],I$2,FALSE),"")</f>
        <v/>
      </c>
      <c r="J33" s="216" t="str">
        <f>IFERROR(VLOOKUP($A33,TableHandbook[],J$2,FALSE),"")</f>
        <v/>
      </c>
      <c r="K33" s="220" t="str">
        <f>IFERROR(VLOOKUP($A33,TableHandbook[],K$2,FALSE),"")</f>
        <v/>
      </c>
      <c r="L33" s="40"/>
      <c r="M33" s="221">
        <v>21</v>
      </c>
      <c r="N33" s="222"/>
      <c r="O33" s="222"/>
    </row>
    <row r="34" spans="1:16" s="223" customFormat="1" ht="5.0999999999999996" customHeight="1" x14ac:dyDescent="0.15">
      <c r="A34" s="224"/>
      <c r="B34" s="225"/>
      <c r="C34" s="225"/>
      <c r="D34" s="226"/>
      <c r="E34" s="225"/>
      <c r="F34" s="227"/>
      <c r="G34" s="225"/>
      <c r="H34" s="228"/>
      <c r="I34" s="225"/>
      <c r="J34" s="225"/>
      <c r="K34" s="229"/>
      <c r="L34" s="279"/>
      <c r="M34" s="221"/>
      <c r="N34" s="222"/>
      <c r="O34" s="222"/>
      <c r="P34" s="222"/>
    </row>
    <row r="35" spans="1:16" s="223" customFormat="1" ht="19.5" customHeight="1" x14ac:dyDescent="0.15">
      <c r="A35" s="215" t="str">
        <f>IFERROR(IF(HLOOKUP($L$4,RangeUnitsets,M35,FALSE)=0,"",HLOOKUP($L$4,RangeUnitsets,M35,FALSE)),"")</f>
        <v/>
      </c>
      <c r="B35" s="230" t="str">
        <f>IFERROR(IF(VLOOKUP($A35,TableHandbook[],2,FALSE)=0,"",VLOOKUP($A35,TableHandbook[],2,FALSE)),"")</f>
        <v/>
      </c>
      <c r="C35" s="230" t="str">
        <f>IFERROR(IF(VLOOKUP($A35,TableHandbook[],3,FALSE)=0,"",VLOOKUP($A35,TableHandbook[],3,FALSE)),"")</f>
        <v/>
      </c>
      <c r="D35" s="235" t="str">
        <f>IFERROR(IF(VLOOKUP($A35,TableHandbook[],4,FALSE)=0,"",VLOOKUP($A35,TableHandbook[],4,FALSE)),"")</f>
        <v/>
      </c>
      <c r="E35" s="230" t="str">
        <f>IF(A35="","",VLOOKUP($D$7,TableStudyPeriod[],3,FALSE))</f>
        <v/>
      </c>
      <c r="F35" s="218" t="str">
        <f>IFERROR(IF(VLOOKUP($A35,TableHandbook[],6,FALSE)=0,"",VLOOKUP($A35,TableHandbook[],6,FALSE)),"")</f>
        <v/>
      </c>
      <c r="G35" s="216" t="str">
        <f>IFERROR(IF(VLOOKUP($A35,TableHandbook[],5,FALSE)=0,"",VLOOKUP($A35,TableHandbook[],5,FALSE)),"")</f>
        <v/>
      </c>
      <c r="H35" s="219" t="str">
        <f>IFERROR(VLOOKUP($A35,TableHandbook[],H$2,FALSE),"")</f>
        <v/>
      </c>
      <c r="I35" s="216" t="str">
        <f>IFERROR(VLOOKUP($A35,TableHandbook[],I$2,FALSE),"")</f>
        <v/>
      </c>
      <c r="J35" s="216" t="str">
        <f>IFERROR(VLOOKUP($A35,TableHandbook[],J$2,FALSE),"")</f>
        <v/>
      </c>
      <c r="K35" s="220" t="str">
        <f>IFERROR(VLOOKUP($A35,TableHandbook[],K$2,FALSE),"")</f>
        <v/>
      </c>
      <c r="L35" s="40"/>
      <c r="M35" s="221">
        <v>22</v>
      </c>
      <c r="N35" s="222"/>
      <c r="O35" s="222"/>
    </row>
    <row r="36" spans="1:16" s="223" customFormat="1" ht="19.5" customHeight="1" x14ac:dyDescent="0.15">
      <c r="A36" s="215" t="str">
        <f>IFERROR(IF(HLOOKUP($L$4,RangeUnitsets,M36,FALSE)=0,"",HLOOKUP($L$4,RangeUnitsets,M36,FALSE)),"")</f>
        <v/>
      </c>
      <c r="B36" s="230" t="str">
        <f>IFERROR(IF(VLOOKUP($A36,TableHandbook[],2,FALSE)=0,"",VLOOKUP($A36,TableHandbook[],2,FALSE)),"")</f>
        <v/>
      </c>
      <c r="C36" s="230" t="str">
        <f>IFERROR(IF(VLOOKUP($A36,TableHandbook[],3,FALSE)=0,"",VLOOKUP($A36,TableHandbook[],3,FALSE)),"")</f>
        <v/>
      </c>
      <c r="D36" s="235" t="str">
        <f>IFERROR(IF(VLOOKUP($A36,TableHandbook[],4,FALSE)=0,"",VLOOKUP($A36,TableHandbook[],4,FALSE)),"")</f>
        <v/>
      </c>
      <c r="E36" s="230" t="str">
        <f>IF(A36="","",E35)</f>
        <v/>
      </c>
      <c r="F36" s="218" t="str">
        <f>IFERROR(IF(VLOOKUP($A36,TableHandbook[],6,FALSE)=0,"",VLOOKUP($A36,TableHandbook[],6,FALSE)),"")</f>
        <v/>
      </c>
      <c r="G36" s="216" t="str">
        <f>IFERROR(IF(VLOOKUP($A36,TableHandbook[],5,FALSE)=0,"",VLOOKUP($A36,TableHandbook[],5,FALSE)),"")</f>
        <v/>
      </c>
      <c r="H36" s="219" t="str">
        <f>IFERROR(VLOOKUP($A36,TableHandbook[],H$2,FALSE),"")</f>
        <v/>
      </c>
      <c r="I36" s="216" t="str">
        <f>IFERROR(VLOOKUP($A36,TableHandbook[],I$2,FALSE),"")</f>
        <v/>
      </c>
      <c r="J36" s="216" t="str">
        <f>IFERROR(VLOOKUP($A36,TableHandbook[],J$2,FALSE),"")</f>
        <v/>
      </c>
      <c r="K36" s="220" t="str">
        <f>IFERROR(VLOOKUP($A36,TableHandbook[],K$2,FALSE),"")</f>
        <v/>
      </c>
      <c r="L36" s="40"/>
      <c r="M36" s="221">
        <v>23</v>
      </c>
      <c r="N36" s="222"/>
      <c r="O36" s="222"/>
    </row>
    <row r="37" spans="1:16" s="234" customFormat="1" ht="19.5" customHeight="1" x14ac:dyDescent="0.15">
      <c r="A37" s="215" t="str">
        <f>IFERROR(IF(HLOOKUP($L$4,RangeUnitsets,M37,FALSE)=0,"",HLOOKUP($L$4,RangeUnitsets,M37,FALSE)),"")</f>
        <v/>
      </c>
      <c r="B37" s="230" t="str">
        <f>IFERROR(IF(VLOOKUP($A37,TableHandbook[],2,FALSE)=0,"",VLOOKUP($A37,TableHandbook[],2,FALSE)),"")</f>
        <v/>
      </c>
      <c r="C37" s="230" t="str">
        <f>IFERROR(IF(VLOOKUP($A37,TableHandbook[],3,FALSE)=0,"",VLOOKUP($A37,TableHandbook[],3,FALSE)),"")</f>
        <v/>
      </c>
      <c r="D37" s="235" t="str">
        <f>IFERROR(IF(VLOOKUP($A37,TableHandbook[],4,FALSE)=0,"",VLOOKUP($A37,TableHandbook[],4,FALSE)),"")</f>
        <v/>
      </c>
      <c r="E37" s="230" t="str">
        <f>IF(A37="","",E36)</f>
        <v/>
      </c>
      <c r="F37" s="218" t="str">
        <f>IFERROR(IF(VLOOKUP($A37,TableHandbook[],6,FALSE)=0,"",VLOOKUP($A37,TableHandbook[],6,FALSE)),"")</f>
        <v/>
      </c>
      <c r="G37" s="216" t="str">
        <f>IFERROR(IF(VLOOKUP($A37,TableHandbook[],5,FALSE)=0,"",VLOOKUP($A37,TableHandbook[],5,FALSE)),"")</f>
        <v/>
      </c>
      <c r="H37" s="219" t="str">
        <f>IFERROR(VLOOKUP($A37,TableHandbook[],H$2,FALSE),"")</f>
        <v/>
      </c>
      <c r="I37" s="216" t="str">
        <f>IFERROR(VLOOKUP($A37,TableHandbook[],I$2,FALSE),"")</f>
        <v/>
      </c>
      <c r="J37" s="216" t="str">
        <f>IFERROR(VLOOKUP($A37,TableHandbook[],J$2,FALSE),"")</f>
        <v/>
      </c>
      <c r="K37" s="220" t="str">
        <f>IFERROR(VLOOKUP($A37,TableHandbook[],K$2,FALSE),"")</f>
        <v/>
      </c>
      <c r="L37" s="40"/>
      <c r="M37" s="221">
        <v>24</v>
      </c>
      <c r="N37" s="233"/>
      <c r="O37" s="233"/>
    </row>
    <row r="38" spans="1:16" s="234" customFormat="1" ht="19.5" customHeight="1" x14ac:dyDescent="0.15">
      <c r="A38" s="215" t="str">
        <f>IFERROR(IF(HLOOKUP($L$4,RangeUnitsets,M38,FALSE)=0,"",HLOOKUP($L$4,RangeUnitsets,M38,FALSE)),"")</f>
        <v/>
      </c>
      <c r="B38" s="230" t="str">
        <f>IFERROR(IF(VLOOKUP($A38,TableHandbook[],2,FALSE)=0,"",VLOOKUP($A38,TableHandbook[],2,FALSE)),"")</f>
        <v/>
      </c>
      <c r="C38" s="230" t="str">
        <f>IFERROR(IF(VLOOKUP($A38,TableHandbook[],3,FALSE)=0,"",VLOOKUP($A38,TableHandbook[],3,FALSE)),"")</f>
        <v/>
      </c>
      <c r="D38" s="235" t="str">
        <f>IFERROR(IF(VLOOKUP($A38,TableHandbook[],4,FALSE)=0,"",VLOOKUP($A38,TableHandbook[],4,FALSE)),"")</f>
        <v/>
      </c>
      <c r="E38" s="216" t="str">
        <f>IF(A38="","",E37)</f>
        <v/>
      </c>
      <c r="F38" s="218" t="str">
        <f>IFERROR(IF(VLOOKUP($A38,TableHandbook[],6,FALSE)=0,"",VLOOKUP($A38,TableHandbook[],6,FALSE)),"")</f>
        <v/>
      </c>
      <c r="G38" s="216" t="str">
        <f>IFERROR(IF(VLOOKUP($A38,TableHandbook[],5,FALSE)=0,"",VLOOKUP($A38,TableHandbook[],5,FALSE)),"")</f>
        <v/>
      </c>
      <c r="H38" s="219" t="str">
        <f>IFERROR(VLOOKUP($A38,TableHandbook[],H$2,FALSE),"")</f>
        <v/>
      </c>
      <c r="I38" s="216" t="str">
        <f>IFERROR(VLOOKUP($A38,TableHandbook[],I$2,FALSE),"")</f>
        <v/>
      </c>
      <c r="J38" s="216" t="str">
        <f>IFERROR(VLOOKUP($A38,TableHandbook[],J$2,FALSE),"")</f>
        <v/>
      </c>
      <c r="K38" s="220" t="str">
        <f>IFERROR(VLOOKUP($A38,TableHandbook[],K$2,FALSE),"")</f>
        <v/>
      </c>
      <c r="L38" s="40"/>
      <c r="M38" s="221">
        <v>25</v>
      </c>
      <c r="N38" s="233"/>
      <c r="O38" s="233"/>
    </row>
    <row r="39" spans="1:16" s="234" customFormat="1" ht="21" x14ac:dyDescent="0.15">
      <c r="A39" s="204" t="s">
        <v>35</v>
      </c>
      <c r="B39" s="204"/>
      <c r="C39" s="204"/>
      <c r="D39" s="205" t="s">
        <v>3</v>
      </c>
      <c r="E39" s="212"/>
      <c r="F39" s="204"/>
      <c r="G39" s="204" t="s">
        <v>27</v>
      </c>
      <c r="H39" s="213" t="s">
        <v>28</v>
      </c>
      <c r="I39" s="212" t="s">
        <v>29</v>
      </c>
      <c r="J39" s="212" t="s">
        <v>30</v>
      </c>
      <c r="K39" s="214" t="s">
        <v>31</v>
      </c>
      <c r="L39" s="204" t="s">
        <v>32</v>
      </c>
      <c r="M39" s="236"/>
      <c r="N39" s="233"/>
      <c r="O39" s="233"/>
    </row>
    <row r="40" spans="1:16" s="234" customFormat="1" ht="19.5" customHeight="1" x14ac:dyDescent="0.15">
      <c r="A40" s="238" t="str">
        <f t="shared" ref="A40:A47" si="0">IFERROR(IF(HLOOKUP($L$4,RangeUnitsets,M40,FALSE)=0,"",HLOOKUP($L$4,RangeUnitsets,M40,FALSE)),"")</f>
        <v/>
      </c>
      <c r="B40" s="239" t="str">
        <f>IFERROR(IF(VLOOKUP($A40,TableHandbook[],2,FALSE)=0,"",VLOOKUP($A40,TableHandbook[],2,FALSE)),"")</f>
        <v/>
      </c>
      <c r="C40" s="239" t="str">
        <f>IFERROR(IF(VLOOKUP($A40,TableHandbook[],3,FALSE)=0,"",VLOOKUP($A40,TableHandbook[],3,FALSE)),"")</f>
        <v/>
      </c>
      <c r="D40" s="240" t="str">
        <f>IFERROR(IF(VLOOKUP($A40,TableHandbook[],4,FALSE)=0,"",VLOOKUP($A40,TableHandbook[],4,FALSE)),"")</f>
        <v/>
      </c>
      <c r="E40" s="239"/>
      <c r="F40" s="241"/>
      <c r="G40" s="242" t="str">
        <f>IFERROR(IF(VLOOKUP($A40,TableHandbook[],5,FALSE)=0,"",VLOOKUP($A40,TableHandbook[],5,FALSE)),"")</f>
        <v/>
      </c>
      <c r="H40" s="243" t="str">
        <f>IFERROR(VLOOKUP($A40,TableHandbook[],H$2,FALSE),"")</f>
        <v/>
      </c>
      <c r="I40" s="242" t="str">
        <f>IFERROR(VLOOKUP($A40,TableHandbook[],I$2,FALSE),"")</f>
        <v/>
      </c>
      <c r="J40" s="242" t="str">
        <f>IFERROR(VLOOKUP($A40,TableHandbook[],J$2,FALSE),"")</f>
        <v/>
      </c>
      <c r="K40" s="244" t="str">
        <f>IFERROR(VLOOKUP($A40,TableHandbook[],K$2,FALSE),"")</f>
        <v/>
      </c>
      <c r="L40" s="133"/>
      <c r="M40" s="221">
        <v>26</v>
      </c>
      <c r="N40" s="233"/>
      <c r="O40" s="233"/>
    </row>
    <row r="41" spans="1:16" s="234" customFormat="1" ht="19.5" customHeight="1" x14ac:dyDescent="0.15">
      <c r="A41" s="238" t="str">
        <f t="shared" si="0"/>
        <v/>
      </c>
      <c r="B41" s="239" t="str">
        <f>IFERROR(IF(VLOOKUP($A41,TableHandbook[],2,FALSE)=0,"",VLOOKUP($A41,TableHandbook[],2,FALSE)),"")</f>
        <v/>
      </c>
      <c r="C41" s="239" t="str">
        <f>IFERROR(IF(VLOOKUP($A41,TableHandbook[],3,FALSE)=0,"",VLOOKUP($A41,TableHandbook[],3,FALSE)),"")</f>
        <v/>
      </c>
      <c r="D41" s="245" t="str">
        <f>IFERROR(IF(VLOOKUP($A41,TableHandbook[],4,FALSE)=0,"",VLOOKUP($A41,TableHandbook[],4,FALSE)),"")</f>
        <v/>
      </c>
      <c r="E41" s="239"/>
      <c r="F41" s="241"/>
      <c r="G41" s="242" t="str">
        <f>IFERROR(IF(VLOOKUP($A41,TableHandbook[],5,FALSE)=0,"",VLOOKUP($A41,TableHandbook[],5,FALSE)),"")</f>
        <v/>
      </c>
      <c r="H41" s="243" t="str">
        <f>IFERROR(VLOOKUP($A41,TableHandbook[],H$2,FALSE),"")</f>
        <v/>
      </c>
      <c r="I41" s="242" t="str">
        <f>IFERROR(VLOOKUP($A41,TableHandbook[],I$2,FALSE),"")</f>
        <v/>
      </c>
      <c r="J41" s="242" t="str">
        <f>IFERROR(VLOOKUP($A41,TableHandbook[],J$2,FALSE),"")</f>
        <v/>
      </c>
      <c r="K41" s="244" t="str">
        <f>IFERROR(VLOOKUP($A41,TableHandbook[],K$2,FALSE),"")</f>
        <v/>
      </c>
      <c r="L41" s="133"/>
      <c r="M41" s="221">
        <v>27</v>
      </c>
      <c r="N41" s="233"/>
      <c r="O41" s="233"/>
    </row>
    <row r="42" spans="1:16" s="234" customFormat="1" ht="19.5" customHeight="1" x14ac:dyDescent="0.15">
      <c r="A42" s="238" t="str">
        <f t="shared" si="0"/>
        <v/>
      </c>
      <c r="B42" s="239" t="str">
        <f>IFERROR(IF(VLOOKUP($A42,TableHandbook[],2,FALSE)=0,"",VLOOKUP($A42,TableHandbook[],2,FALSE)),"")</f>
        <v/>
      </c>
      <c r="C42" s="239" t="str">
        <f>IFERROR(IF(VLOOKUP($A42,TableHandbook[],3,FALSE)=0,"",VLOOKUP($A42,TableHandbook[],3,FALSE)),"")</f>
        <v/>
      </c>
      <c r="D42" s="245" t="str">
        <f>IFERROR(IF(VLOOKUP($A42,TableHandbook[],4,FALSE)=0,"",VLOOKUP($A42,TableHandbook[],4,FALSE)),"")</f>
        <v/>
      </c>
      <c r="E42" s="239"/>
      <c r="F42" s="241"/>
      <c r="G42" s="242" t="str">
        <f>IFERROR(IF(VLOOKUP($A42,TableHandbook[],5,FALSE)=0,"",VLOOKUP($A42,TableHandbook[],5,FALSE)),"")</f>
        <v/>
      </c>
      <c r="H42" s="243" t="str">
        <f>IFERROR(VLOOKUP($A42,TableHandbook[],H$2,FALSE),"")</f>
        <v/>
      </c>
      <c r="I42" s="242" t="str">
        <f>IFERROR(VLOOKUP($A42,TableHandbook[],I$2,FALSE),"")</f>
        <v/>
      </c>
      <c r="J42" s="242" t="str">
        <f>IFERROR(VLOOKUP($A42,TableHandbook[],J$2,FALSE),"")</f>
        <v/>
      </c>
      <c r="K42" s="244" t="str">
        <f>IFERROR(VLOOKUP($A42,TableHandbook[],K$2,FALSE),"")</f>
        <v/>
      </c>
      <c r="L42" s="133"/>
      <c r="M42" s="221">
        <v>28</v>
      </c>
      <c r="N42" s="233"/>
      <c r="O42" s="233"/>
    </row>
    <row r="43" spans="1:16" s="234" customFormat="1" ht="19.5" customHeight="1" x14ac:dyDescent="0.15">
      <c r="A43" s="238" t="str">
        <f t="shared" si="0"/>
        <v/>
      </c>
      <c r="B43" s="239" t="str">
        <f>IFERROR(IF(VLOOKUP($A43,TableHandbook[],2,FALSE)=0,"",VLOOKUP($A43,TableHandbook[],2,FALSE)),"")</f>
        <v/>
      </c>
      <c r="C43" s="239" t="str">
        <f>IFERROR(IF(VLOOKUP($A43,TableHandbook[],3,FALSE)=0,"",VLOOKUP($A43,TableHandbook[],3,FALSE)),"")</f>
        <v/>
      </c>
      <c r="D43" s="245" t="str">
        <f>IFERROR(IF(VLOOKUP($A43,TableHandbook[],4,FALSE)=0,"",VLOOKUP($A43,TableHandbook[],4,FALSE)),"")</f>
        <v/>
      </c>
      <c r="E43" s="239"/>
      <c r="F43" s="241"/>
      <c r="G43" s="242" t="str">
        <f>IFERROR(IF(VLOOKUP($A43,TableHandbook[],5,FALSE)=0,"",VLOOKUP($A43,TableHandbook[],5,FALSE)),"")</f>
        <v/>
      </c>
      <c r="H43" s="243" t="str">
        <f>IFERROR(VLOOKUP($A43,TableHandbook[],H$2,FALSE),"")</f>
        <v/>
      </c>
      <c r="I43" s="242" t="str">
        <f>IFERROR(VLOOKUP($A43,TableHandbook[],I$2,FALSE),"")</f>
        <v/>
      </c>
      <c r="J43" s="242" t="str">
        <f>IFERROR(VLOOKUP($A43,TableHandbook[],J$2,FALSE),"")</f>
        <v/>
      </c>
      <c r="K43" s="244" t="str">
        <f>IFERROR(VLOOKUP($A43,TableHandbook[],K$2,FALSE),"")</f>
        <v/>
      </c>
      <c r="L43" s="133"/>
      <c r="M43" s="221">
        <v>29</v>
      </c>
      <c r="N43" s="233"/>
      <c r="O43" s="233"/>
    </row>
    <row r="44" spans="1:16" s="234" customFormat="1" ht="19.5" customHeight="1" x14ac:dyDescent="0.15">
      <c r="A44" s="238" t="str">
        <f t="shared" si="0"/>
        <v/>
      </c>
      <c r="B44" s="239" t="str">
        <f>IFERROR(IF(VLOOKUP($A44,TableHandbook[],2,FALSE)=0,"",VLOOKUP($A44,TableHandbook[],2,FALSE)),"")</f>
        <v/>
      </c>
      <c r="C44" s="239" t="str">
        <f>IFERROR(IF(VLOOKUP($A44,TableHandbook[],3,FALSE)=0,"",VLOOKUP($A44,TableHandbook[],3,FALSE)),"")</f>
        <v/>
      </c>
      <c r="D44" s="245" t="str">
        <f>IFERROR(IF(VLOOKUP($A44,TableHandbook[],4,FALSE)=0,"",VLOOKUP($A44,TableHandbook[],4,FALSE)),"")</f>
        <v/>
      </c>
      <c r="E44" s="239"/>
      <c r="F44" s="241"/>
      <c r="G44" s="242" t="str">
        <f>IFERROR(IF(VLOOKUP($A44,TableHandbook[],5,FALSE)=0,"",VLOOKUP($A44,TableHandbook[],5,FALSE)),"")</f>
        <v/>
      </c>
      <c r="H44" s="243" t="str">
        <f>IFERROR(VLOOKUP($A44,TableHandbook[],H$2,FALSE),"")</f>
        <v/>
      </c>
      <c r="I44" s="242" t="str">
        <f>IFERROR(VLOOKUP($A44,TableHandbook[],I$2,FALSE),"")</f>
        <v/>
      </c>
      <c r="J44" s="242" t="str">
        <f>IFERROR(VLOOKUP($A44,TableHandbook[],J$2,FALSE),"")</f>
        <v/>
      </c>
      <c r="K44" s="244" t="str">
        <f>IFERROR(VLOOKUP($A44,TableHandbook[],K$2,FALSE),"")</f>
        <v/>
      </c>
      <c r="L44" s="133"/>
      <c r="M44" s="221">
        <v>30</v>
      </c>
      <c r="N44" s="233"/>
      <c r="O44" s="233"/>
    </row>
    <row r="45" spans="1:16" s="234" customFormat="1" ht="19.5" customHeight="1" x14ac:dyDescent="0.15">
      <c r="A45" s="238" t="str">
        <f t="shared" si="0"/>
        <v/>
      </c>
      <c r="B45" s="239" t="str">
        <f>IFERROR(IF(VLOOKUP($A45,TableHandbook[],2,FALSE)=0,"",VLOOKUP($A45,TableHandbook[],2,FALSE)),"")</f>
        <v/>
      </c>
      <c r="C45" s="239" t="str">
        <f>IFERROR(IF(VLOOKUP($A45,TableHandbook[],3,FALSE)=0,"",VLOOKUP($A45,TableHandbook[],3,FALSE)),"")</f>
        <v/>
      </c>
      <c r="D45" s="245" t="str">
        <f>IFERROR(IF(VLOOKUP($A45,TableHandbook[],4,FALSE)=0,"",VLOOKUP($A45,TableHandbook[],4,FALSE)),"")</f>
        <v/>
      </c>
      <c r="E45" s="239"/>
      <c r="F45" s="241"/>
      <c r="G45" s="242" t="str">
        <f>IFERROR(IF(VLOOKUP($A45,TableHandbook[],5,FALSE)=0,"",VLOOKUP($A45,TableHandbook[],5,FALSE)),"")</f>
        <v/>
      </c>
      <c r="H45" s="243" t="str">
        <f>IFERROR(VLOOKUP($A45,TableHandbook[],H$2,FALSE),"")</f>
        <v/>
      </c>
      <c r="I45" s="242" t="str">
        <f>IFERROR(VLOOKUP($A45,TableHandbook[],I$2,FALSE),"")</f>
        <v/>
      </c>
      <c r="J45" s="242" t="str">
        <f>IFERROR(VLOOKUP($A45,TableHandbook[],J$2,FALSE),"")</f>
        <v/>
      </c>
      <c r="K45" s="244" t="str">
        <f>IFERROR(VLOOKUP($A45,TableHandbook[],K$2,FALSE),"")</f>
        <v/>
      </c>
      <c r="L45" s="133"/>
      <c r="M45" s="221">
        <v>31</v>
      </c>
      <c r="N45" s="233"/>
      <c r="O45" s="233"/>
    </row>
    <row r="46" spans="1:16" s="234" customFormat="1" ht="19.5" customHeight="1" x14ac:dyDescent="0.15">
      <c r="A46" s="238" t="str">
        <f t="shared" si="0"/>
        <v/>
      </c>
      <c r="B46" s="239" t="str">
        <f>IFERROR(IF(VLOOKUP($A46,TableHandbook[],2,FALSE)=0,"",VLOOKUP($A46,TableHandbook[],2,FALSE)),"")</f>
        <v/>
      </c>
      <c r="C46" s="239" t="str">
        <f>IFERROR(IF(VLOOKUP($A46,TableHandbook[],3,FALSE)=0,"",VLOOKUP($A46,TableHandbook[],3,FALSE)),"")</f>
        <v/>
      </c>
      <c r="D46" s="245" t="str">
        <f>IFERROR(IF(VLOOKUP($A46,TableHandbook[],4,FALSE)=0,"",VLOOKUP($A46,TableHandbook[],4,FALSE)),"")</f>
        <v/>
      </c>
      <c r="E46" s="239"/>
      <c r="F46" s="241"/>
      <c r="G46" s="242" t="str">
        <f>IFERROR(IF(VLOOKUP($A46,TableHandbook[],5,FALSE)=0,"",VLOOKUP($A46,TableHandbook[],5,FALSE)),"")</f>
        <v/>
      </c>
      <c r="H46" s="243" t="str">
        <f>IFERROR(VLOOKUP($A46,TableHandbook[],H$2,FALSE),"")</f>
        <v/>
      </c>
      <c r="I46" s="242" t="str">
        <f>IFERROR(VLOOKUP($A46,TableHandbook[],I$2,FALSE),"")</f>
        <v/>
      </c>
      <c r="J46" s="242" t="str">
        <f>IFERROR(VLOOKUP($A46,TableHandbook[],J$2,FALSE),"")</f>
        <v/>
      </c>
      <c r="K46" s="244" t="str">
        <f>IFERROR(VLOOKUP($A46,TableHandbook[],K$2,FALSE),"")</f>
        <v/>
      </c>
      <c r="L46" s="133"/>
      <c r="M46" s="221">
        <v>32</v>
      </c>
      <c r="N46" s="233"/>
      <c r="O46" s="233"/>
    </row>
    <row r="47" spans="1:16" s="234" customFormat="1" ht="19.5" customHeight="1" x14ac:dyDescent="0.15">
      <c r="A47" s="238" t="str">
        <f t="shared" si="0"/>
        <v/>
      </c>
      <c r="B47" s="239" t="str">
        <f>IFERROR(IF(VLOOKUP($A47,TableHandbook[],2,FALSE)=0,"",VLOOKUP($A47,TableHandbook[],2,FALSE)),"")</f>
        <v/>
      </c>
      <c r="C47" s="239" t="str">
        <f>IFERROR(IF(VLOOKUP($A47,TableHandbook[],3,FALSE)=0,"",VLOOKUP($A47,TableHandbook[],3,FALSE)),"")</f>
        <v/>
      </c>
      <c r="D47" s="245" t="str">
        <f>IFERROR(IF(VLOOKUP($A47,TableHandbook[],4,FALSE)=0,"",VLOOKUP($A47,TableHandbook[],4,FALSE)),"")</f>
        <v/>
      </c>
      <c r="E47" s="242"/>
      <c r="F47" s="241"/>
      <c r="G47" s="242" t="str">
        <f>IFERROR(IF(VLOOKUP($A47,TableHandbook[],5,FALSE)=0,"",VLOOKUP($A47,TableHandbook[],5,FALSE)),"")</f>
        <v/>
      </c>
      <c r="H47" s="243" t="str">
        <f>IFERROR(VLOOKUP($A47,TableHandbook[],H$2,FALSE),"")</f>
        <v/>
      </c>
      <c r="I47" s="242" t="str">
        <f>IFERROR(VLOOKUP($A47,TableHandbook[],I$2,FALSE),"")</f>
        <v/>
      </c>
      <c r="J47" s="242" t="str">
        <f>IFERROR(VLOOKUP($A47,TableHandbook[],J$2,FALSE),"")</f>
        <v/>
      </c>
      <c r="K47" s="244" t="str">
        <f>IFERROR(VLOOKUP($A47,TableHandbook[],K$2,FALSE),"")</f>
        <v/>
      </c>
      <c r="L47" s="133"/>
      <c r="M47" s="221">
        <v>33</v>
      </c>
      <c r="N47" s="233"/>
      <c r="O47" s="233"/>
    </row>
    <row r="48" spans="1:16" s="251" customFormat="1" ht="13.9" customHeight="1" x14ac:dyDescent="0.2">
      <c r="A48" s="246"/>
      <c r="B48" s="246"/>
      <c r="C48" s="246"/>
      <c r="D48" s="247"/>
      <c r="E48" s="247"/>
      <c r="F48" s="248"/>
      <c r="G48" s="248"/>
      <c r="H48" s="248"/>
      <c r="I48" s="248"/>
      <c r="J48" s="248"/>
      <c r="K48" s="248"/>
      <c r="L48" s="280"/>
      <c r="M48" s="249"/>
      <c r="N48" s="250"/>
      <c r="O48" s="250"/>
    </row>
    <row r="49" spans="1:13" ht="16.5" x14ac:dyDescent="0.25">
      <c r="A49" s="252" t="str">
        <f>D6</f>
        <v>Choose your Specialisation (drop-down list)</v>
      </c>
      <c r="B49" s="253"/>
      <c r="C49" s="253"/>
      <c r="D49" s="252"/>
      <c r="E49" s="254"/>
      <c r="F49" s="254"/>
      <c r="G49" s="254"/>
      <c r="H49" s="207" t="s">
        <v>23</v>
      </c>
      <c r="I49" s="255"/>
      <c r="J49" s="256"/>
      <c r="K49" s="257"/>
      <c r="L49" s="258" t="e">
        <f>VLOOKUP(D6,TableSpecialisations[],2,FALSE)</f>
        <v>#N/A</v>
      </c>
      <c r="M49" s="259"/>
    </row>
    <row r="50" spans="1:13" s="262" customFormat="1" ht="21" x14ac:dyDescent="0.25">
      <c r="A50" s="260"/>
      <c r="B50" s="261"/>
      <c r="C50" s="261"/>
      <c r="D50" s="205" t="s">
        <v>3</v>
      </c>
      <c r="E50" s="212"/>
      <c r="F50" s="204" t="s">
        <v>26</v>
      </c>
      <c r="G50" s="204" t="s">
        <v>27</v>
      </c>
      <c r="H50" s="213" t="s">
        <v>28</v>
      </c>
      <c r="I50" s="212" t="s">
        <v>29</v>
      </c>
      <c r="J50" s="212" t="s">
        <v>30</v>
      </c>
      <c r="K50" s="214" t="s">
        <v>31</v>
      </c>
      <c r="L50" s="204" t="s">
        <v>32</v>
      </c>
      <c r="M50" s="259"/>
    </row>
    <row r="51" spans="1:13" ht="19.5" customHeight="1" x14ac:dyDescent="0.25">
      <c r="A51" s="263" t="str">
        <f t="shared" ref="A51:A57" si="1">IFERROR(IF(HLOOKUP($L$49,RangeSpecSets,M51,FALSE)=0,"",HLOOKUP($L$49,RangeSpecSets,M51,FALSE)),"")</f>
        <v/>
      </c>
      <c r="B51" s="264" t="str">
        <f>IFERROR(IF(VLOOKUP($A51,TableHandbook[],2,FALSE)=0,"",VLOOKUP($A51,TableHandbook[],2,FALSE)),"")</f>
        <v/>
      </c>
      <c r="C51" s="265" t="str">
        <f>IFERROR(IF(VLOOKUP($A51,TableHandbook[],3,FALSE)=0,"",VLOOKUP($A51,TableHandbook[],3,FALSE)),"")</f>
        <v/>
      </c>
      <c r="D51" s="265" t="str">
        <f>IFERROR(IF(VLOOKUP($A51,TableHandbook[],4,FALSE)=0,"",VLOOKUP($A51,TableHandbook[],4,FALSE)),"")</f>
        <v/>
      </c>
      <c r="E51" s="266"/>
      <c r="F51" s="218" t="str">
        <f>IFERROR(IF(VLOOKUP($A51,TableHandbook[],6,FALSE)=0,"",VLOOKUP($A51,TableHandbook[],6,FALSE)),"")</f>
        <v/>
      </c>
      <c r="G51" s="267" t="str">
        <f>IFERROR(IF(VLOOKUP($A51,TableHandbook[],5,FALSE)=0,"",VLOOKUP($A51,TableHandbook[],5,FALSE)),"")</f>
        <v/>
      </c>
      <c r="H51" s="268" t="str">
        <f>IFERROR(VLOOKUP($A51,TableHandbook[],H$2,FALSE),"")</f>
        <v/>
      </c>
      <c r="I51" s="269" t="str">
        <f>IFERROR(VLOOKUP($A51,TableHandbook[],I$2,FALSE),"")</f>
        <v/>
      </c>
      <c r="J51" s="269" t="str">
        <f>IFERROR(VLOOKUP($A51,TableHandbook[],J$2,FALSE),"")</f>
        <v/>
      </c>
      <c r="K51" s="270" t="str">
        <f>IFERROR(VLOOKUP($A51,TableHandbook[],K$2,FALSE),"")</f>
        <v/>
      </c>
      <c r="L51" s="132"/>
      <c r="M51" s="221">
        <v>2</v>
      </c>
    </row>
    <row r="52" spans="1:13" ht="19.5" customHeight="1" x14ac:dyDescent="0.25">
      <c r="A52" s="263" t="str">
        <f t="shared" si="1"/>
        <v/>
      </c>
      <c r="B52" s="264" t="str">
        <f>IFERROR(IF(VLOOKUP($A52,TableHandbook[],2,FALSE)=0,"",VLOOKUP($A52,TableHandbook[],2,FALSE)),"")</f>
        <v/>
      </c>
      <c r="C52" s="265" t="str">
        <f>IFERROR(IF(VLOOKUP($A52,TableHandbook[],3,FALSE)=0,"",VLOOKUP($A52,TableHandbook[],3,FALSE)),"")</f>
        <v/>
      </c>
      <c r="D52" s="265" t="str">
        <f>IFERROR(IF(VLOOKUP($A52,TableHandbook[],4,FALSE)=0,"",VLOOKUP($A52,TableHandbook[],4,FALSE)),"")</f>
        <v/>
      </c>
      <c r="E52" s="266"/>
      <c r="F52" s="218" t="str">
        <f>IFERROR(IF(VLOOKUP($A52,TableHandbook[],6,FALSE)=0,"",VLOOKUP($A52,TableHandbook[],6,FALSE)),"")</f>
        <v/>
      </c>
      <c r="G52" s="267" t="str">
        <f>IFERROR(IF(VLOOKUP($A52,TableHandbook[],5,FALSE)=0,"",VLOOKUP($A52,TableHandbook[],5,FALSE)),"")</f>
        <v/>
      </c>
      <c r="H52" s="268" t="str">
        <f>IFERROR(VLOOKUP($A52,TableHandbook[],H$2,FALSE),"")</f>
        <v/>
      </c>
      <c r="I52" s="269" t="str">
        <f>IFERROR(VLOOKUP($A52,TableHandbook[],I$2,FALSE),"")</f>
        <v/>
      </c>
      <c r="J52" s="269" t="str">
        <f>IFERROR(VLOOKUP($A52,TableHandbook[],J$2,FALSE),"")</f>
        <v/>
      </c>
      <c r="K52" s="270" t="str">
        <f>IFERROR(VLOOKUP($A52,TableHandbook[],K$2,FALSE),"")</f>
        <v/>
      </c>
      <c r="L52" s="132"/>
      <c r="M52" s="221">
        <v>3</v>
      </c>
    </row>
    <row r="53" spans="1:13" ht="19.5" customHeight="1" x14ac:dyDescent="0.25">
      <c r="A53" s="263" t="str">
        <f t="shared" si="1"/>
        <v/>
      </c>
      <c r="B53" s="264" t="str">
        <f>IFERROR(IF(VLOOKUP($A53,TableHandbook[],2,FALSE)=0,"",VLOOKUP($A53,TableHandbook[],2,FALSE)),"")</f>
        <v/>
      </c>
      <c r="C53" s="265" t="str">
        <f>IFERROR(IF(VLOOKUP($A53,TableHandbook[],3,FALSE)=0,"",VLOOKUP($A53,TableHandbook[],3,FALSE)),"")</f>
        <v/>
      </c>
      <c r="D53" s="265" t="str">
        <f>IFERROR(IF(VLOOKUP($A53,TableHandbook[],4,FALSE)=0,"",VLOOKUP($A53,TableHandbook[],4,FALSE)),"")</f>
        <v/>
      </c>
      <c r="E53" s="266"/>
      <c r="F53" s="218" t="str">
        <f>IFERROR(IF(VLOOKUP($A53,TableHandbook[],6,FALSE)=0,"",VLOOKUP($A53,TableHandbook[],6,FALSE)),"")</f>
        <v/>
      </c>
      <c r="G53" s="267" t="str">
        <f>IFERROR(IF(VLOOKUP($A53,TableHandbook[],5,FALSE)=0,"",VLOOKUP($A53,TableHandbook[],5,FALSE)),"")</f>
        <v/>
      </c>
      <c r="H53" s="268" t="str">
        <f>IFERROR(VLOOKUP($A53,TableHandbook[],H$2,FALSE),"")</f>
        <v/>
      </c>
      <c r="I53" s="269" t="str">
        <f>IFERROR(VLOOKUP($A53,TableHandbook[],I$2,FALSE),"")</f>
        <v/>
      </c>
      <c r="J53" s="269" t="str">
        <f>IFERROR(VLOOKUP($A53,TableHandbook[],J$2,FALSE),"")</f>
        <v/>
      </c>
      <c r="K53" s="270" t="str">
        <f>IFERROR(VLOOKUP($A53,TableHandbook[],K$2,FALSE),"")</f>
        <v/>
      </c>
      <c r="L53" s="132"/>
      <c r="M53" s="221">
        <v>4</v>
      </c>
    </row>
    <row r="54" spans="1:13" ht="19.5" customHeight="1" x14ac:dyDescent="0.25">
      <c r="A54" s="263" t="str">
        <f t="shared" si="1"/>
        <v/>
      </c>
      <c r="B54" s="264" t="str">
        <f>IFERROR(IF(VLOOKUP($A54,TableHandbook[],2,FALSE)=0,"",VLOOKUP($A54,TableHandbook[],2,FALSE)),"")</f>
        <v/>
      </c>
      <c r="C54" s="265" t="str">
        <f>IFERROR(IF(VLOOKUP($A54,TableHandbook[],3,FALSE)=0,"",VLOOKUP($A54,TableHandbook[],3,FALSE)),"")</f>
        <v/>
      </c>
      <c r="D54" s="265" t="str">
        <f>IFERROR(IF(VLOOKUP($A54,TableHandbook[],4,FALSE)=0,"",VLOOKUP($A54,TableHandbook[],4,FALSE)),"")</f>
        <v/>
      </c>
      <c r="E54" s="266"/>
      <c r="F54" s="218" t="str">
        <f>IFERROR(IF(VLOOKUP($A54,TableHandbook[],6,FALSE)=0,"",VLOOKUP($A54,TableHandbook[],6,FALSE)),"")</f>
        <v/>
      </c>
      <c r="G54" s="267" t="str">
        <f>IFERROR(IF(VLOOKUP($A54,TableHandbook[],5,FALSE)=0,"",VLOOKUP($A54,TableHandbook[],5,FALSE)),"")</f>
        <v/>
      </c>
      <c r="H54" s="268" t="str">
        <f>IFERROR(VLOOKUP($A54,TableHandbook[],H$2,FALSE),"")</f>
        <v/>
      </c>
      <c r="I54" s="269" t="str">
        <f>IFERROR(VLOOKUP($A54,TableHandbook[],I$2,FALSE),"")</f>
        <v/>
      </c>
      <c r="J54" s="269" t="str">
        <f>IFERROR(VLOOKUP($A54,TableHandbook[],J$2,FALSE),"")</f>
        <v/>
      </c>
      <c r="K54" s="270" t="str">
        <f>IFERROR(VLOOKUP($A54,TableHandbook[],K$2,FALSE),"")</f>
        <v/>
      </c>
      <c r="L54" s="132"/>
      <c r="M54" s="221">
        <v>5</v>
      </c>
    </row>
    <row r="55" spans="1:13" ht="19.5" customHeight="1" x14ac:dyDescent="0.25">
      <c r="A55" s="263" t="str">
        <f t="shared" si="1"/>
        <v/>
      </c>
      <c r="B55" s="264" t="str">
        <f>IFERROR(IF(VLOOKUP($A55,TableHandbook[],2,FALSE)=0,"",VLOOKUP($A55,TableHandbook[],2,FALSE)),"")</f>
        <v/>
      </c>
      <c r="C55" s="265" t="str">
        <f>IFERROR(IF(VLOOKUP($A55,TableHandbook[],3,FALSE)=0,"",VLOOKUP($A55,TableHandbook[],3,FALSE)),"")</f>
        <v/>
      </c>
      <c r="D55" s="265" t="str">
        <f>IFERROR(IF(VLOOKUP($A55,TableHandbook[],4,FALSE)=0,"",VLOOKUP($A55,TableHandbook[],4,FALSE)),"")</f>
        <v/>
      </c>
      <c r="E55" s="266"/>
      <c r="F55" s="267" t="str">
        <f>IFERROR(IF(VLOOKUP($A55,TableHandbook[],6,FALSE)=0,"",VLOOKUP($A55,TableHandbook[],6,FALSE)),"")</f>
        <v/>
      </c>
      <c r="G55" s="267" t="str">
        <f>IFERROR(IF(VLOOKUP($A55,TableHandbook[],5,FALSE)=0,"",VLOOKUP($A55,TableHandbook[],5,FALSE)),"")</f>
        <v/>
      </c>
      <c r="H55" s="219" t="str">
        <f>IFERROR(VLOOKUP($A55,TableHandbook[],H$2,FALSE),"")</f>
        <v/>
      </c>
      <c r="I55" s="216" t="str">
        <f>IFERROR(VLOOKUP($A55,TableHandbook[],I$2,FALSE),"")</f>
        <v/>
      </c>
      <c r="J55" s="216" t="str">
        <f>IFERROR(VLOOKUP($A55,TableHandbook[],J$2,FALSE),"")</f>
        <v/>
      </c>
      <c r="K55" s="220" t="str">
        <f>IFERROR(VLOOKUP($A55,TableHandbook[],K$2,FALSE),"")</f>
        <v/>
      </c>
      <c r="L55" s="132"/>
      <c r="M55" s="221">
        <v>6</v>
      </c>
    </row>
    <row r="56" spans="1:13" ht="19.5" customHeight="1" x14ac:dyDescent="0.25">
      <c r="A56" s="263" t="str">
        <f t="shared" si="1"/>
        <v/>
      </c>
      <c r="B56" s="264" t="str">
        <f>IFERROR(IF(VLOOKUP($A56,TableHandbook[],2,FALSE)=0,"",VLOOKUP($A56,TableHandbook[],2,FALSE)),"")</f>
        <v/>
      </c>
      <c r="C56" s="265" t="str">
        <f>IFERROR(IF(VLOOKUP($A56,TableHandbook[],3,FALSE)=0,"",VLOOKUP($A56,TableHandbook[],3,FALSE)),"")</f>
        <v/>
      </c>
      <c r="D56" s="265" t="str">
        <f>IFERROR(IF(VLOOKUP($A56,TableHandbook[],4,FALSE)=0,"",VLOOKUP($A56,TableHandbook[],4,FALSE)),"")</f>
        <v/>
      </c>
      <c r="E56" s="266"/>
      <c r="F56" s="267" t="str">
        <f>IFERROR(IF(VLOOKUP($A56,TableHandbook[],6,FALSE)=0,"",VLOOKUP($A56,TableHandbook[],6,FALSE)),"")</f>
        <v/>
      </c>
      <c r="G56" s="267" t="str">
        <f>IFERROR(IF(VLOOKUP($A56,TableHandbook[],5,FALSE)=0,"",VLOOKUP($A56,TableHandbook[],5,FALSE)),"")</f>
        <v/>
      </c>
      <c r="H56" s="219" t="str">
        <f>IFERROR(VLOOKUP($A56,TableHandbook[],H$2,FALSE),"")</f>
        <v/>
      </c>
      <c r="I56" s="216" t="str">
        <f>IFERROR(VLOOKUP($A56,TableHandbook[],I$2,FALSE),"")</f>
        <v/>
      </c>
      <c r="J56" s="216" t="str">
        <f>IFERROR(VLOOKUP($A56,TableHandbook[],J$2,FALSE),"")</f>
        <v/>
      </c>
      <c r="K56" s="220" t="str">
        <f>IFERROR(VLOOKUP($A56,TableHandbook[],K$2,FALSE),"")</f>
        <v/>
      </c>
      <c r="L56" s="132"/>
      <c r="M56" s="221">
        <v>7</v>
      </c>
    </row>
    <row r="57" spans="1:13" ht="19.5" customHeight="1" x14ac:dyDescent="0.25">
      <c r="A57" s="263" t="str">
        <f t="shared" si="1"/>
        <v/>
      </c>
      <c r="B57" s="264" t="str">
        <f>IFERROR(IF(VLOOKUP($A57,TableHandbook[],2,FALSE)=0,"",VLOOKUP($A57,TableHandbook[],2,FALSE)),"")</f>
        <v/>
      </c>
      <c r="C57" s="265" t="str">
        <f>IFERROR(IF(VLOOKUP($A57,TableHandbook[],3,FALSE)=0,"",VLOOKUP($A57,TableHandbook[],3,FALSE)),"")</f>
        <v/>
      </c>
      <c r="D57" s="265" t="str">
        <f>IFERROR(IF(VLOOKUP($A57,TableHandbook[],4,FALSE)=0,"",VLOOKUP($A57,TableHandbook[],4,FALSE)),"")</f>
        <v/>
      </c>
      <c r="E57" s="266"/>
      <c r="F57" s="267" t="str">
        <f>IFERROR(IF(VLOOKUP($A57,TableHandbook[],6,FALSE)=0,"",VLOOKUP($A57,TableHandbook[],6,FALSE)),"")</f>
        <v/>
      </c>
      <c r="G57" s="267" t="str">
        <f>IFERROR(IF(VLOOKUP($A57,TableHandbook[],5,FALSE)=0,"",VLOOKUP($A57,TableHandbook[],5,FALSE)),"")</f>
        <v/>
      </c>
      <c r="H57" s="219" t="str">
        <f>IFERROR(VLOOKUP($A57,TableHandbook[],H$2,FALSE),"")</f>
        <v/>
      </c>
      <c r="I57" s="216" t="str">
        <f>IFERROR(VLOOKUP($A57,TableHandbook[],I$2,FALSE),"")</f>
        <v/>
      </c>
      <c r="J57" s="216" t="str">
        <f>IFERROR(VLOOKUP($A57,TableHandbook[],J$2,FALSE),"")</f>
        <v/>
      </c>
      <c r="K57" s="220" t="str">
        <f>IFERROR(VLOOKUP($A57,TableHandbook[],K$2,FALSE),"")</f>
        <v/>
      </c>
      <c r="L57" s="132"/>
      <c r="M57" s="221">
        <v>8</v>
      </c>
    </row>
    <row r="58" spans="1:13" ht="19.5" customHeight="1" x14ac:dyDescent="0.25">
      <c r="A58" s="263" t="str">
        <f t="shared" ref="A58:A70" si="2">IFERROR(IF(HLOOKUP($L$49,RangeSpecSets,M58,FALSE)=0,"",HLOOKUP($L$49,RangeSpecSets,M58,FALSE)),"")</f>
        <v/>
      </c>
      <c r="B58" s="264" t="str">
        <f>IFERROR(IF(VLOOKUP($A58,TableHandbook[],2,FALSE)=0,"",VLOOKUP($A58,TableHandbook[],2,FALSE)),"")</f>
        <v/>
      </c>
      <c r="C58" s="265" t="str">
        <f>IFERROR(IF(VLOOKUP($A58,TableHandbook[],3,FALSE)=0,"",VLOOKUP($A58,TableHandbook[],3,FALSE)),"")</f>
        <v/>
      </c>
      <c r="D58" s="265" t="str">
        <f>IFERROR(IF(VLOOKUP($A58,TableHandbook[],4,FALSE)=0,"",VLOOKUP($A58,TableHandbook[],4,FALSE)),"")</f>
        <v/>
      </c>
      <c r="E58" s="266"/>
      <c r="F58" s="267" t="str">
        <f>IFERROR(IF(VLOOKUP($A58,TableHandbook[],6,FALSE)=0,"",VLOOKUP($A58,TableHandbook[],6,FALSE)),"")</f>
        <v/>
      </c>
      <c r="G58" s="267" t="str">
        <f>IFERROR(IF(VLOOKUP($A58,TableHandbook[],5,FALSE)=0,"",VLOOKUP($A58,TableHandbook[],5,FALSE)),"")</f>
        <v/>
      </c>
      <c r="H58" s="219" t="str">
        <f>IFERROR(VLOOKUP($A58,TableHandbook[],H$2,FALSE),"")</f>
        <v/>
      </c>
      <c r="I58" s="216" t="str">
        <f>IFERROR(VLOOKUP($A58,TableHandbook[],I$2,FALSE),"")</f>
        <v/>
      </c>
      <c r="J58" s="216" t="str">
        <f>IFERROR(VLOOKUP($A58,TableHandbook[],J$2,FALSE),"")</f>
        <v/>
      </c>
      <c r="K58" s="220" t="str">
        <f>IFERROR(VLOOKUP($A58,TableHandbook[],K$2,FALSE),"")</f>
        <v/>
      </c>
      <c r="L58" s="132"/>
      <c r="M58" s="221">
        <v>9</v>
      </c>
    </row>
    <row r="59" spans="1:13" ht="19.5" customHeight="1" x14ac:dyDescent="0.25">
      <c r="A59" s="263" t="str">
        <f t="shared" si="2"/>
        <v/>
      </c>
      <c r="B59" s="264" t="str">
        <f>IFERROR(IF(VLOOKUP($A59,TableHandbook[],2,FALSE)=0,"",VLOOKUP($A59,TableHandbook[],2,FALSE)),"")</f>
        <v/>
      </c>
      <c r="C59" s="265" t="str">
        <f>IFERROR(IF(VLOOKUP($A59,TableHandbook[],3,FALSE)=0,"",VLOOKUP($A59,TableHandbook[],3,FALSE)),"")</f>
        <v/>
      </c>
      <c r="D59" s="265" t="str">
        <f>IFERROR(IF(VLOOKUP($A59,TableHandbook[],4,FALSE)=0,"",VLOOKUP($A59,TableHandbook[],4,FALSE)),"")</f>
        <v/>
      </c>
      <c r="E59" s="266"/>
      <c r="F59" s="267" t="str">
        <f>IFERROR(IF(VLOOKUP($A59,TableHandbook[],6,FALSE)=0,"",VLOOKUP($A59,TableHandbook[],6,FALSE)),"")</f>
        <v/>
      </c>
      <c r="G59" s="267" t="str">
        <f>IFERROR(IF(VLOOKUP($A59,TableHandbook[],5,FALSE)=0,"",VLOOKUP($A59,TableHandbook[],5,FALSE)),"")</f>
        <v/>
      </c>
      <c r="H59" s="219" t="str">
        <f>IFERROR(VLOOKUP($A59,TableHandbook[],H$2,FALSE),"")</f>
        <v/>
      </c>
      <c r="I59" s="216" t="str">
        <f>IFERROR(VLOOKUP($A59,TableHandbook[],I$2,FALSE),"")</f>
        <v/>
      </c>
      <c r="J59" s="216" t="str">
        <f>IFERROR(VLOOKUP($A59,TableHandbook[],J$2,FALSE),"")</f>
        <v/>
      </c>
      <c r="K59" s="220" t="str">
        <f>IFERROR(VLOOKUP($A59,TableHandbook[],K$2,FALSE),"")</f>
        <v/>
      </c>
      <c r="L59" s="132"/>
      <c r="M59" s="221">
        <v>10</v>
      </c>
    </row>
    <row r="60" spans="1:13" ht="19.5" customHeight="1" x14ac:dyDescent="0.25">
      <c r="A60" s="263" t="str">
        <f t="shared" si="2"/>
        <v/>
      </c>
      <c r="B60" s="264" t="str">
        <f>IFERROR(IF(VLOOKUP($A60,TableHandbook[],2,FALSE)=0,"",VLOOKUP($A60,TableHandbook[],2,FALSE)),"")</f>
        <v/>
      </c>
      <c r="C60" s="265" t="str">
        <f>IFERROR(IF(VLOOKUP($A60,TableHandbook[],3,FALSE)=0,"",VLOOKUP($A60,TableHandbook[],3,FALSE)),"")</f>
        <v/>
      </c>
      <c r="D60" s="265" t="str">
        <f>IFERROR(IF(VLOOKUP($A60,TableHandbook[],4,FALSE)=0,"",VLOOKUP($A60,TableHandbook[],4,FALSE)),"")</f>
        <v/>
      </c>
      <c r="E60" s="266"/>
      <c r="F60" s="267" t="str">
        <f>IFERROR(IF(VLOOKUP($A60,TableHandbook[],6,FALSE)=0,"",VLOOKUP($A60,TableHandbook[],6,FALSE)),"")</f>
        <v/>
      </c>
      <c r="G60" s="267" t="str">
        <f>IFERROR(IF(VLOOKUP($A60,TableHandbook[],5,FALSE)=0,"",VLOOKUP($A60,TableHandbook[],5,FALSE)),"")</f>
        <v/>
      </c>
      <c r="H60" s="219" t="str">
        <f>IFERROR(VLOOKUP($A60,TableHandbook[],H$2,FALSE),"")</f>
        <v/>
      </c>
      <c r="I60" s="216" t="str">
        <f>IFERROR(VLOOKUP($A60,TableHandbook[],I$2,FALSE),"")</f>
        <v/>
      </c>
      <c r="J60" s="216" t="str">
        <f>IFERROR(VLOOKUP($A60,TableHandbook[],J$2,FALSE),"")</f>
        <v/>
      </c>
      <c r="K60" s="220" t="str">
        <f>IFERROR(VLOOKUP($A60,TableHandbook[],K$2,FALSE),"")</f>
        <v/>
      </c>
      <c r="L60" s="132"/>
      <c r="M60" s="221">
        <v>11</v>
      </c>
    </row>
    <row r="61" spans="1:13" ht="19.5" customHeight="1" x14ac:dyDescent="0.25">
      <c r="A61" s="263" t="str">
        <f t="shared" si="2"/>
        <v/>
      </c>
      <c r="B61" s="264" t="str">
        <f>IFERROR(IF(VLOOKUP($A61,TableHandbook[],2,FALSE)=0,"",VLOOKUP($A61,TableHandbook[],2,FALSE)),"")</f>
        <v/>
      </c>
      <c r="C61" s="265" t="str">
        <f>IFERROR(IF(VLOOKUP($A61,TableHandbook[],3,FALSE)=0,"",VLOOKUP($A61,TableHandbook[],3,FALSE)),"")</f>
        <v/>
      </c>
      <c r="D61" s="265" t="str">
        <f>IFERROR(IF(VLOOKUP($A61,TableHandbook[],4,FALSE)=0,"",VLOOKUP($A61,TableHandbook[],4,FALSE)),"")</f>
        <v/>
      </c>
      <c r="E61" s="266"/>
      <c r="F61" s="267" t="str">
        <f>IFERROR(IF(VLOOKUP($A61,TableHandbook[],6,FALSE)=0,"",VLOOKUP($A61,TableHandbook[],6,FALSE)),"")</f>
        <v/>
      </c>
      <c r="G61" s="267" t="str">
        <f>IFERROR(IF(VLOOKUP($A61,TableHandbook[],5,FALSE)=0,"",VLOOKUP($A61,TableHandbook[],5,FALSE)),"")</f>
        <v/>
      </c>
      <c r="H61" s="219" t="str">
        <f>IFERROR(VLOOKUP($A61,TableHandbook[],H$2,FALSE),"")</f>
        <v/>
      </c>
      <c r="I61" s="216" t="str">
        <f>IFERROR(VLOOKUP($A61,TableHandbook[],I$2,FALSE),"")</f>
        <v/>
      </c>
      <c r="J61" s="216" t="str">
        <f>IFERROR(VLOOKUP($A61,TableHandbook[],J$2,FALSE),"")</f>
        <v/>
      </c>
      <c r="K61" s="220" t="str">
        <f>IFERROR(VLOOKUP($A61,TableHandbook[],K$2,FALSE),"")</f>
        <v/>
      </c>
      <c r="L61" s="132"/>
      <c r="M61" s="221">
        <v>12</v>
      </c>
    </row>
    <row r="62" spans="1:13" ht="19.5" customHeight="1" x14ac:dyDescent="0.25">
      <c r="A62" s="263" t="str">
        <f t="shared" si="2"/>
        <v/>
      </c>
      <c r="B62" s="264" t="str">
        <f>IFERROR(IF(VLOOKUP($A62,TableHandbook[],2,FALSE)=0,"",VLOOKUP($A62,TableHandbook[],2,FALSE)),"")</f>
        <v/>
      </c>
      <c r="C62" s="265" t="str">
        <f>IFERROR(IF(VLOOKUP($A62,TableHandbook[],3,FALSE)=0,"",VLOOKUP($A62,TableHandbook[],3,FALSE)),"")</f>
        <v/>
      </c>
      <c r="D62" s="265" t="str">
        <f>IFERROR(IF(VLOOKUP($A62,TableHandbook[],4,FALSE)=0,"",VLOOKUP($A62,TableHandbook[],4,FALSE)),"")</f>
        <v/>
      </c>
      <c r="E62" s="266"/>
      <c r="F62" s="267" t="str">
        <f>IFERROR(IF(VLOOKUP($A62,TableHandbook[],6,FALSE)=0,"",VLOOKUP($A62,TableHandbook[],6,FALSE)),"")</f>
        <v/>
      </c>
      <c r="G62" s="267" t="str">
        <f>IFERROR(IF(VLOOKUP($A62,TableHandbook[],5,FALSE)=0,"",VLOOKUP($A62,TableHandbook[],5,FALSE)),"")</f>
        <v/>
      </c>
      <c r="H62" s="219" t="str">
        <f>IFERROR(VLOOKUP($A62,TableHandbook[],H$2,FALSE),"")</f>
        <v/>
      </c>
      <c r="I62" s="216" t="str">
        <f>IFERROR(VLOOKUP($A62,TableHandbook[],I$2,FALSE),"")</f>
        <v/>
      </c>
      <c r="J62" s="216" t="str">
        <f>IFERROR(VLOOKUP($A62,TableHandbook[],J$2,FALSE),"")</f>
        <v/>
      </c>
      <c r="K62" s="220" t="str">
        <f>IFERROR(VLOOKUP($A62,TableHandbook[],K$2,FALSE),"")</f>
        <v/>
      </c>
      <c r="L62" s="132"/>
      <c r="M62" s="221">
        <v>13</v>
      </c>
    </row>
    <row r="63" spans="1:13" ht="19.5" customHeight="1" x14ac:dyDescent="0.25">
      <c r="A63" s="263" t="str">
        <f t="shared" si="2"/>
        <v/>
      </c>
      <c r="B63" s="264" t="str">
        <f>IFERROR(IF(VLOOKUP($A63,TableHandbook[],2,FALSE)=0,"",VLOOKUP($A63,TableHandbook[],2,FALSE)),"")</f>
        <v/>
      </c>
      <c r="C63" s="265" t="str">
        <f>IFERROR(IF(VLOOKUP($A63,TableHandbook[],3,FALSE)=0,"",VLOOKUP($A63,TableHandbook[],3,FALSE)),"")</f>
        <v/>
      </c>
      <c r="D63" s="265" t="str">
        <f>IFERROR(IF(VLOOKUP($A63,TableHandbook[],4,FALSE)=0,"",VLOOKUP($A63,TableHandbook[],4,FALSE)),"")</f>
        <v/>
      </c>
      <c r="E63" s="266"/>
      <c r="F63" s="267" t="str">
        <f>IFERROR(IF(VLOOKUP($A63,TableHandbook[],6,FALSE)=0,"",VLOOKUP($A63,TableHandbook[],6,FALSE)),"")</f>
        <v/>
      </c>
      <c r="G63" s="267" t="str">
        <f>IFERROR(IF(VLOOKUP($A63,TableHandbook[],5,FALSE)=0,"",VLOOKUP($A63,TableHandbook[],5,FALSE)),"")</f>
        <v/>
      </c>
      <c r="H63" s="219" t="str">
        <f>IFERROR(VLOOKUP($A63,TableHandbook[],H$2,FALSE),"")</f>
        <v/>
      </c>
      <c r="I63" s="216" t="str">
        <f>IFERROR(VLOOKUP($A63,TableHandbook[],I$2,FALSE),"")</f>
        <v/>
      </c>
      <c r="J63" s="216" t="str">
        <f>IFERROR(VLOOKUP($A63,TableHandbook[],J$2,FALSE),"")</f>
        <v/>
      </c>
      <c r="K63" s="220" t="str">
        <f>IFERROR(VLOOKUP($A63,TableHandbook[],K$2,FALSE),"")</f>
        <v/>
      </c>
      <c r="L63" s="132"/>
      <c r="M63" s="221">
        <v>14</v>
      </c>
    </row>
    <row r="64" spans="1:13" ht="19.5" customHeight="1" x14ac:dyDescent="0.25">
      <c r="A64" s="263" t="str">
        <f t="shared" si="2"/>
        <v/>
      </c>
      <c r="B64" s="264" t="str">
        <f>IFERROR(IF(VLOOKUP($A64,TableHandbook[],2,FALSE)=0,"",VLOOKUP($A64,TableHandbook[],2,FALSE)),"")</f>
        <v/>
      </c>
      <c r="C64" s="265" t="str">
        <f>IFERROR(IF(VLOOKUP($A64,TableHandbook[],3,FALSE)=0,"",VLOOKUP($A64,TableHandbook[],3,FALSE)),"")</f>
        <v/>
      </c>
      <c r="D64" s="265" t="str">
        <f>IFERROR(IF(VLOOKUP($A64,TableHandbook[],4,FALSE)=0,"",VLOOKUP($A64,TableHandbook[],4,FALSE)),"")</f>
        <v/>
      </c>
      <c r="E64" s="266"/>
      <c r="F64" s="267" t="str">
        <f>IFERROR(IF(VLOOKUP($A64,TableHandbook[],6,FALSE)=0,"",VLOOKUP($A64,TableHandbook[],6,FALSE)),"")</f>
        <v/>
      </c>
      <c r="G64" s="267" t="str">
        <f>IFERROR(IF(VLOOKUP($A64,TableHandbook[],5,FALSE)=0,"",VLOOKUP($A64,TableHandbook[],5,FALSE)),"")</f>
        <v/>
      </c>
      <c r="H64" s="219" t="str">
        <f>IFERROR(VLOOKUP($A64,TableHandbook[],H$2,FALSE),"")</f>
        <v/>
      </c>
      <c r="I64" s="216" t="str">
        <f>IFERROR(VLOOKUP($A64,TableHandbook[],I$2,FALSE),"")</f>
        <v/>
      </c>
      <c r="J64" s="216" t="str">
        <f>IFERROR(VLOOKUP($A64,TableHandbook[],J$2,FALSE),"")</f>
        <v/>
      </c>
      <c r="K64" s="220" t="str">
        <f>IFERROR(VLOOKUP($A64,TableHandbook[],K$2,FALSE),"")</f>
        <v/>
      </c>
      <c r="L64" s="132"/>
      <c r="M64" s="221">
        <v>15</v>
      </c>
    </row>
    <row r="65" spans="1:15" ht="19.5" customHeight="1" x14ac:dyDescent="0.25">
      <c r="A65" s="263" t="str">
        <f t="shared" si="2"/>
        <v/>
      </c>
      <c r="B65" s="264" t="str">
        <f>IFERROR(IF(VLOOKUP($A65,TableHandbook[],2,FALSE)=0,"",VLOOKUP($A65,TableHandbook[],2,FALSE)),"")</f>
        <v/>
      </c>
      <c r="C65" s="265" t="str">
        <f>IFERROR(IF(VLOOKUP($A65,TableHandbook[],3,FALSE)=0,"",VLOOKUP($A65,TableHandbook[],3,FALSE)),"")</f>
        <v/>
      </c>
      <c r="D65" s="265" t="str">
        <f>IFERROR(IF(VLOOKUP($A65,TableHandbook[],4,FALSE)=0,"",VLOOKUP($A65,TableHandbook[],4,FALSE)),"")</f>
        <v/>
      </c>
      <c r="E65" s="266"/>
      <c r="F65" s="267" t="str">
        <f>IFERROR(IF(VLOOKUP($A65,TableHandbook[],6,FALSE)=0,"",VLOOKUP($A65,TableHandbook[],6,FALSE)),"")</f>
        <v/>
      </c>
      <c r="G65" s="267" t="str">
        <f>IFERROR(IF(VLOOKUP($A65,TableHandbook[],5,FALSE)=0,"",VLOOKUP($A65,TableHandbook[],5,FALSE)),"")</f>
        <v/>
      </c>
      <c r="H65" s="219" t="str">
        <f>IFERROR(VLOOKUP($A65,TableHandbook[],H$2,FALSE),"")</f>
        <v/>
      </c>
      <c r="I65" s="216" t="str">
        <f>IFERROR(VLOOKUP($A65,TableHandbook[],I$2,FALSE),"")</f>
        <v/>
      </c>
      <c r="J65" s="216" t="str">
        <f>IFERROR(VLOOKUP($A65,TableHandbook[],J$2,FALSE),"")</f>
        <v/>
      </c>
      <c r="K65" s="220" t="str">
        <f>IFERROR(VLOOKUP($A65,TableHandbook[],K$2,FALSE),"")</f>
        <v/>
      </c>
      <c r="L65" s="132"/>
      <c r="M65" s="221">
        <v>16</v>
      </c>
    </row>
    <row r="66" spans="1:15" ht="19.5" customHeight="1" x14ac:dyDescent="0.25">
      <c r="A66" s="263" t="str">
        <f t="shared" si="2"/>
        <v/>
      </c>
      <c r="B66" s="264" t="str">
        <f>IFERROR(IF(VLOOKUP($A66,TableHandbook[],2,FALSE)=0,"",VLOOKUP($A66,TableHandbook[],2,FALSE)),"")</f>
        <v/>
      </c>
      <c r="C66" s="265" t="str">
        <f>IFERROR(IF(VLOOKUP($A66,TableHandbook[],3,FALSE)=0,"",VLOOKUP($A66,TableHandbook[],3,FALSE)),"")</f>
        <v/>
      </c>
      <c r="D66" s="265" t="str">
        <f>IFERROR(IF(VLOOKUP($A66,TableHandbook[],4,FALSE)=0,"",VLOOKUP($A66,TableHandbook[],4,FALSE)),"")</f>
        <v/>
      </c>
      <c r="E66" s="266"/>
      <c r="F66" s="267" t="str">
        <f>IFERROR(IF(VLOOKUP($A66,TableHandbook[],6,FALSE)=0,"",VLOOKUP($A66,TableHandbook[],6,FALSE)),"")</f>
        <v/>
      </c>
      <c r="G66" s="267" t="str">
        <f>IFERROR(IF(VLOOKUP($A66,TableHandbook[],5,FALSE)=0,"",VLOOKUP($A66,TableHandbook[],5,FALSE)),"")</f>
        <v/>
      </c>
      <c r="H66" s="219" t="str">
        <f>IFERROR(VLOOKUP($A66,TableHandbook[],H$2,FALSE),"")</f>
        <v/>
      </c>
      <c r="I66" s="216" t="str">
        <f>IFERROR(VLOOKUP($A66,TableHandbook[],I$2,FALSE),"")</f>
        <v/>
      </c>
      <c r="J66" s="216" t="str">
        <f>IFERROR(VLOOKUP($A66,TableHandbook[],J$2,FALSE),"")</f>
        <v/>
      </c>
      <c r="K66" s="220" t="str">
        <f>IFERROR(VLOOKUP($A66,TableHandbook[],K$2,FALSE),"")</f>
        <v/>
      </c>
      <c r="L66" s="132"/>
      <c r="M66" s="221">
        <v>17</v>
      </c>
    </row>
    <row r="67" spans="1:15" ht="19.5" customHeight="1" x14ac:dyDescent="0.25">
      <c r="A67" s="263" t="str">
        <f t="shared" si="2"/>
        <v/>
      </c>
      <c r="B67" s="264" t="str">
        <f>IFERROR(IF(VLOOKUP($A67,TableHandbook[],2,FALSE)=0,"",VLOOKUP($A67,TableHandbook[],2,FALSE)),"")</f>
        <v/>
      </c>
      <c r="C67" s="265" t="str">
        <f>IFERROR(IF(VLOOKUP($A67,TableHandbook[],3,FALSE)=0,"",VLOOKUP($A67,TableHandbook[],3,FALSE)),"")</f>
        <v/>
      </c>
      <c r="D67" s="265" t="str">
        <f>IFERROR(IF(VLOOKUP($A67,TableHandbook[],4,FALSE)=0,"",VLOOKUP($A67,TableHandbook[],4,FALSE)),"")</f>
        <v/>
      </c>
      <c r="E67" s="266"/>
      <c r="F67" s="267" t="str">
        <f>IFERROR(IF(VLOOKUP($A67,TableHandbook[],6,FALSE)=0,"",VLOOKUP($A67,TableHandbook[],6,FALSE)),"")</f>
        <v/>
      </c>
      <c r="G67" s="267" t="str">
        <f>IFERROR(IF(VLOOKUP($A67,TableHandbook[],5,FALSE)=0,"",VLOOKUP($A67,TableHandbook[],5,FALSE)),"")</f>
        <v/>
      </c>
      <c r="H67" s="219" t="str">
        <f>IFERROR(VLOOKUP($A67,TableHandbook[],H$2,FALSE),"")</f>
        <v/>
      </c>
      <c r="I67" s="216" t="str">
        <f>IFERROR(VLOOKUP($A67,TableHandbook[],I$2,FALSE),"")</f>
        <v/>
      </c>
      <c r="J67" s="216" t="str">
        <f>IFERROR(VLOOKUP($A67,TableHandbook[],J$2,FALSE),"")</f>
        <v/>
      </c>
      <c r="K67" s="220" t="str">
        <f>IFERROR(VLOOKUP($A67,TableHandbook[],K$2,FALSE),"")</f>
        <v/>
      </c>
      <c r="L67" s="132"/>
      <c r="M67" s="221">
        <v>18</v>
      </c>
    </row>
    <row r="68" spans="1:15" ht="19.5" customHeight="1" x14ac:dyDescent="0.25">
      <c r="A68" s="263" t="str">
        <f t="shared" si="2"/>
        <v/>
      </c>
      <c r="B68" s="264" t="str">
        <f>IFERROR(IF(VLOOKUP($A68,TableHandbook[],2,FALSE)=0,"",VLOOKUP($A68,TableHandbook[],2,FALSE)),"")</f>
        <v/>
      </c>
      <c r="C68" s="265" t="str">
        <f>IFERROR(IF(VLOOKUP($A68,TableHandbook[],3,FALSE)=0,"",VLOOKUP($A68,TableHandbook[],3,FALSE)),"")</f>
        <v/>
      </c>
      <c r="D68" s="265" t="str">
        <f>IFERROR(IF(VLOOKUP($A68,TableHandbook[],4,FALSE)=0,"",VLOOKUP($A68,TableHandbook[],4,FALSE)),"")</f>
        <v/>
      </c>
      <c r="E68" s="266"/>
      <c r="F68" s="267" t="str">
        <f>IFERROR(IF(VLOOKUP($A68,TableHandbook[],6,FALSE)=0,"",VLOOKUP($A68,TableHandbook[],6,FALSE)),"")</f>
        <v/>
      </c>
      <c r="G68" s="267" t="str">
        <f>IFERROR(IF(VLOOKUP($A68,TableHandbook[],5,FALSE)=0,"",VLOOKUP($A68,TableHandbook[],5,FALSE)),"")</f>
        <v/>
      </c>
      <c r="H68" s="219" t="str">
        <f>IFERROR(VLOOKUP($A68,TableHandbook[],H$2,FALSE),"")</f>
        <v/>
      </c>
      <c r="I68" s="216" t="str">
        <f>IFERROR(VLOOKUP($A68,TableHandbook[],I$2,FALSE),"")</f>
        <v/>
      </c>
      <c r="J68" s="216" t="str">
        <f>IFERROR(VLOOKUP($A68,TableHandbook[],J$2,FALSE),"")</f>
        <v/>
      </c>
      <c r="K68" s="220" t="str">
        <f>IFERROR(VLOOKUP($A68,TableHandbook[],K$2,FALSE),"")</f>
        <v/>
      </c>
      <c r="L68" s="132"/>
      <c r="M68" s="221">
        <v>19</v>
      </c>
    </row>
    <row r="69" spans="1:15" ht="19.5" customHeight="1" x14ac:dyDescent="0.25">
      <c r="A69" s="263" t="str">
        <f t="shared" si="2"/>
        <v/>
      </c>
      <c r="B69" s="264" t="str">
        <f>IFERROR(IF(VLOOKUP($A69,TableHandbook[],2,FALSE)=0,"",VLOOKUP($A69,TableHandbook[],2,FALSE)),"")</f>
        <v/>
      </c>
      <c r="C69" s="265" t="str">
        <f>IFERROR(IF(VLOOKUP($A69,TableHandbook[],3,FALSE)=0,"",VLOOKUP($A69,TableHandbook[],3,FALSE)),"")</f>
        <v/>
      </c>
      <c r="D69" s="265" t="str">
        <f>IFERROR(IF(VLOOKUP($A69,TableHandbook[],4,FALSE)=0,"",VLOOKUP($A69,TableHandbook[],4,FALSE)),"")</f>
        <v/>
      </c>
      <c r="E69" s="266"/>
      <c r="F69" s="267" t="str">
        <f>IFERROR(IF(VLOOKUP($A69,TableHandbook[],6,FALSE)=0,"",VLOOKUP($A69,TableHandbook[],6,FALSE)),"")</f>
        <v/>
      </c>
      <c r="G69" s="267" t="str">
        <f>IFERROR(IF(VLOOKUP($A69,TableHandbook[],5,FALSE)=0,"",VLOOKUP($A69,TableHandbook[],5,FALSE)),"")</f>
        <v/>
      </c>
      <c r="H69" s="219" t="str">
        <f>IFERROR(VLOOKUP($A69,TableHandbook[],H$2,FALSE),"")</f>
        <v/>
      </c>
      <c r="I69" s="216" t="str">
        <f>IFERROR(VLOOKUP($A69,TableHandbook[],I$2,FALSE),"")</f>
        <v/>
      </c>
      <c r="J69" s="216" t="str">
        <f>IFERROR(VLOOKUP($A69,TableHandbook[],J$2,FALSE),"")</f>
        <v/>
      </c>
      <c r="K69" s="220" t="str">
        <f>IFERROR(VLOOKUP($A69,TableHandbook[],K$2,FALSE),"")</f>
        <v/>
      </c>
      <c r="L69" s="132"/>
      <c r="M69" s="221">
        <v>20</v>
      </c>
    </row>
    <row r="70" spans="1:15" ht="19.5" customHeight="1" x14ac:dyDescent="0.25">
      <c r="A70" s="263" t="str">
        <f t="shared" si="2"/>
        <v/>
      </c>
      <c r="B70" s="264" t="str">
        <f>IFERROR(IF(VLOOKUP($A70,TableHandbook[],2,FALSE)=0,"",VLOOKUP($A70,TableHandbook[],2,FALSE)),"")</f>
        <v/>
      </c>
      <c r="C70" s="265" t="str">
        <f>IFERROR(IF(VLOOKUP($A70,TableHandbook[],3,FALSE)=0,"",VLOOKUP($A70,TableHandbook[],3,FALSE)),"")</f>
        <v/>
      </c>
      <c r="D70" s="265" t="str">
        <f>IFERROR(IF(VLOOKUP($A70,TableHandbook[],4,FALSE)=0,"",VLOOKUP($A70,TableHandbook[],4,FALSE)),"")</f>
        <v/>
      </c>
      <c r="E70" s="266"/>
      <c r="F70" s="267" t="str">
        <f>IFERROR(IF(VLOOKUP($A70,TableHandbook[],6,FALSE)=0,"",VLOOKUP($A70,TableHandbook[],6,FALSE)),"")</f>
        <v/>
      </c>
      <c r="G70" s="267" t="str">
        <f>IFERROR(IF(VLOOKUP($A70,TableHandbook[],5,FALSE)=0,"",VLOOKUP($A70,TableHandbook[],5,FALSE)),"")</f>
        <v/>
      </c>
      <c r="H70" s="219" t="str">
        <f>IFERROR(VLOOKUP($A70,TableHandbook[],H$2,FALSE),"")</f>
        <v/>
      </c>
      <c r="I70" s="216" t="str">
        <f>IFERROR(VLOOKUP($A70,TableHandbook[],I$2,FALSE),"")</f>
        <v/>
      </c>
      <c r="J70" s="216" t="str">
        <f>IFERROR(VLOOKUP($A70,TableHandbook[],J$2,FALSE),"")</f>
        <v/>
      </c>
      <c r="K70" s="220" t="str">
        <f>IFERROR(VLOOKUP($A70,TableHandbook[],K$2,FALSE),"")</f>
        <v/>
      </c>
      <c r="L70" s="132"/>
      <c r="M70" s="221">
        <v>21</v>
      </c>
    </row>
    <row r="71" spans="1:15" ht="32.25" customHeight="1" x14ac:dyDescent="0.25">
      <c r="A71" s="271" t="s">
        <v>36</v>
      </c>
      <c r="B71" s="271"/>
      <c r="C71" s="271"/>
      <c r="D71" s="271"/>
      <c r="E71" s="271"/>
      <c r="F71" s="271"/>
      <c r="G71" s="271"/>
      <c r="H71" s="271"/>
      <c r="I71" s="271"/>
      <c r="J71" s="271"/>
      <c r="K71" s="271"/>
      <c r="L71" s="271"/>
    </row>
    <row r="72" spans="1:15" s="273" customFormat="1" ht="24.95" customHeight="1" x14ac:dyDescent="0.3">
      <c r="A72" s="129" t="s">
        <v>37</v>
      </c>
      <c r="B72" s="129"/>
      <c r="C72" s="129"/>
      <c r="D72" s="130"/>
      <c r="E72" s="130"/>
      <c r="F72" s="130"/>
      <c r="G72" s="130"/>
      <c r="H72" s="130"/>
      <c r="I72" s="130"/>
      <c r="J72" s="130"/>
      <c r="K72" s="130"/>
      <c r="L72" s="130"/>
      <c r="M72" s="272"/>
      <c r="N72" s="272"/>
      <c r="O72" s="272"/>
    </row>
    <row r="73" spans="1:15" ht="15" customHeight="1" x14ac:dyDescent="0.25">
      <c r="A73" s="274" t="s">
        <v>38</v>
      </c>
      <c r="B73" s="274"/>
      <c r="C73" s="274"/>
      <c r="D73" s="274"/>
      <c r="E73" s="275"/>
      <c r="F73" s="248"/>
      <c r="G73" s="276"/>
      <c r="H73" s="276"/>
      <c r="I73" s="276"/>
      <c r="J73" s="276"/>
      <c r="K73" s="276"/>
      <c r="L73" s="276" t="s">
        <v>39</v>
      </c>
    </row>
  </sheetData>
  <sheetProtection algorithmName="SHA-512" hashValue="BIMi7+Xrze7rLJfvfxxhYfvLjXwWp7CtXEtI2XH63vmaGvk5sbB4BCkarfRoDVp/EEiJ8bB76F2RTe6NBnXzKw==" saltValue="5lfBhTblic6DrtPWa5CODA==" spinCount="100000" sheet="1" objects="1" scenarios="1" formatCells="0"/>
  <mergeCells count="2">
    <mergeCell ref="A3:D3"/>
    <mergeCell ref="A71:L71"/>
  </mergeCells>
  <conditionalFormatting sqref="D5:D7">
    <cfRule type="containsText" dxfId="138" priority="3" operator="containsText" text="Choose">
      <formula>NOT(ISERROR(SEARCH("Choose",D5)))</formula>
    </cfRule>
  </conditionalFormatting>
  <conditionalFormatting sqref="A10:L47">
    <cfRule type="expression" dxfId="137" priority="5">
      <formula>$A10="Spec"</formula>
    </cfRule>
  </conditionalFormatting>
  <conditionalFormatting sqref="A51:L70">
    <cfRule type="expression" dxfId="136" priority="1">
      <formula>$A51=""</formula>
    </cfRule>
    <cfRule type="expression" dxfId="135" priority="4">
      <formula>LEFT($D51,5)="Study"</formula>
    </cfRule>
  </conditionalFormatting>
  <dataValidations count="1">
    <dataValidation type="list" allowBlank="1" showInputMessage="1" showErrorMessage="1" sqref="L24 L14 L34"/>
  </dataValidations>
  <hyperlinks>
    <hyperlink ref="A72:L7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47" max="10" man="1"/>
  </rowBreaks>
  <ignoredErrors>
    <ignoredError sqref="M34"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Unitsets!$A$11:$A$13</xm:f>
          </x14:formula1>
          <xm:sqref>D7</xm:sqref>
        </x14:dataValidation>
        <x14:dataValidation type="list" showInputMessage="1" showErrorMessage="1">
          <x14:formula1>
            <xm:f>Unitsets!$A$6:$A$8</xm:f>
          </x14:formula1>
          <xm:sqref>D5</xm:sqref>
        </x14:dataValidation>
        <x14:dataValidation type="list" showInputMessage="1" showErrorMessage="1">
          <x14:formula1>
            <xm:f>Unitsets!$A$21:$A$27</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5"/>
  <sheetViews>
    <sheetView zoomScale="85" zoomScaleNormal="85" workbookViewId="0">
      <selection activeCell="A34" sqref="A34"/>
    </sheetView>
  </sheetViews>
  <sheetFormatPr defaultRowHeight="15.75" x14ac:dyDescent="0.25"/>
  <cols>
    <col min="1" max="1" width="56.375" style="13" bestFit="1" customWidth="1"/>
    <col min="2" max="2" width="19.875" style="8" bestFit="1" customWidth="1"/>
    <col min="3" max="3" width="8.875" style="8" bestFit="1" customWidth="1"/>
    <col min="4" max="4" width="19.375" style="8" bestFit="1" customWidth="1"/>
    <col min="5" max="6" width="13.625" style="8" customWidth="1"/>
    <col min="7" max="7" width="13.125" style="8" bestFit="1" customWidth="1"/>
    <col min="8" max="8" width="13.25" style="8" bestFit="1" customWidth="1"/>
    <col min="9" max="9" width="3.625" customWidth="1"/>
    <col min="10" max="10" width="6" bestFit="1" customWidth="1"/>
    <col min="11" max="11" width="10.25" bestFit="1" customWidth="1"/>
    <col min="12" max="12" width="6" bestFit="1" customWidth="1"/>
    <col min="13" max="13" width="8.375" customWidth="1"/>
    <col min="14" max="14" width="6" customWidth="1"/>
    <col min="15" max="15" width="12.75" customWidth="1"/>
    <col min="16" max="16" width="6" customWidth="1"/>
    <col min="17" max="17" width="11.5" bestFit="1" customWidth="1"/>
    <col min="18" max="18" width="6" customWidth="1"/>
    <col min="19" max="19" width="11" bestFit="1" customWidth="1"/>
    <col min="20" max="20" width="6" customWidth="1"/>
    <col min="21" max="21" width="11.5" bestFit="1" customWidth="1"/>
    <col min="22" max="22" width="6" customWidth="1"/>
    <col min="23" max="23" width="7.625" customWidth="1"/>
    <col min="24" max="24" width="6" customWidth="1"/>
    <col min="25" max="25" width="7.625" customWidth="1"/>
    <col min="26" max="26" width="6" customWidth="1"/>
    <col min="27" max="27" width="7.625" customWidth="1"/>
    <col min="28" max="28" width="6" customWidth="1"/>
    <col min="29" max="29" width="7.625" customWidth="1"/>
    <col min="30" max="30" width="6" customWidth="1"/>
    <col min="31" max="31" width="7.625" customWidth="1"/>
    <col min="32" max="32" width="6" customWidth="1"/>
    <col min="33" max="33" width="7.625" customWidth="1"/>
    <col min="34" max="34" width="6" customWidth="1"/>
    <col min="35" max="35" width="16.25" bestFit="1" customWidth="1"/>
    <col min="36" max="36" width="4" bestFit="1" customWidth="1"/>
    <col min="37" max="37" width="1.875" bestFit="1" customWidth="1"/>
    <col min="38" max="38" width="53.25" customWidth="1"/>
    <col min="39" max="39" width="5" bestFit="1" customWidth="1"/>
    <col min="40" max="40" width="34.375" customWidth="1"/>
    <col min="41" max="41" width="4.875" bestFit="1" customWidth="1"/>
    <col min="42" max="42" width="5" bestFit="1" customWidth="1"/>
    <col min="43" max="43" width="4.875" bestFit="1" customWidth="1"/>
    <col min="44" max="44" width="5" bestFit="1" customWidth="1"/>
  </cols>
  <sheetData>
    <row r="1" spans="1:56" x14ac:dyDescent="0.25">
      <c r="A1" s="15" t="s">
        <v>15</v>
      </c>
      <c r="B1" s="16"/>
      <c r="C1" s="16"/>
      <c r="D1" s="16"/>
      <c r="AM1" s="65" t="s">
        <v>40</v>
      </c>
    </row>
    <row r="2" spans="1:56" x14ac:dyDescent="0.25">
      <c r="J2" s="31"/>
      <c r="K2" s="9"/>
      <c r="L2" s="10"/>
      <c r="M2" s="9"/>
      <c r="N2" s="9"/>
      <c r="O2" s="9"/>
      <c r="P2" s="9"/>
      <c r="Q2" s="9"/>
      <c r="R2" s="9"/>
      <c r="S2" s="9"/>
      <c r="T2" s="9"/>
      <c r="U2" s="9"/>
      <c r="V2" s="9"/>
      <c r="W2" s="9"/>
      <c r="X2" s="9"/>
      <c r="Y2" s="9"/>
      <c r="Z2" s="9"/>
      <c r="AA2" s="9"/>
      <c r="AB2" s="9"/>
      <c r="AC2" s="9"/>
      <c r="AD2" s="9"/>
      <c r="AE2" s="9"/>
      <c r="AF2" s="9"/>
      <c r="AG2" s="9"/>
      <c r="AH2" s="9"/>
      <c r="AI2" s="9"/>
      <c r="AJ2" s="9"/>
      <c r="AK2" s="9"/>
      <c r="AL2" s="9"/>
      <c r="AM2" s="65" t="s">
        <v>41</v>
      </c>
      <c r="AN2">
        <v>2</v>
      </c>
      <c r="AO2">
        <v>3</v>
      </c>
      <c r="AP2">
        <v>4</v>
      </c>
      <c r="AQ2">
        <v>5</v>
      </c>
      <c r="AR2">
        <v>6</v>
      </c>
      <c r="AS2">
        <v>16</v>
      </c>
      <c r="AT2">
        <v>17</v>
      </c>
      <c r="AU2">
        <v>18</v>
      </c>
      <c r="AV2">
        <v>19</v>
      </c>
      <c r="AW2" s="23"/>
      <c r="AX2" s="23"/>
      <c r="AY2" s="23"/>
      <c r="AZ2" s="23"/>
      <c r="BA2" s="23"/>
    </row>
    <row r="3" spans="1:56" ht="31.5" x14ac:dyDescent="0.25">
      <c r="H3" s="109" t="s">
        <v>42</v>
      </c>
      <c r="I3" s="1">
        <v>1</v>
      </c>
      <c r="J3" s="39"/>
      <c r="K3" s="11" t="s">
        <v>43</v>
      </c>
      <c r="L3" s="39"/>
      <c r="M3" s="12" t="s">
        <v>44</v>
      </c>
      <c r="N3" s="39"/>
      <c r="O3" s="126" t="s">
        <v>45</v>
      </c>
      <c r="P3" s="39"/>
      <c r="Q3" s="127" t="s">
        <v>46</v>
      </c>
      <c r="R3" s="39"/>
      <c r="S3" s="126" t="s">
        <v>47</v>
      </c>
      <c r="T3" s="39"/>
      <c r="U3" s="127" t="s">
        <v>48</v>
      </c>
      <c r="AM3" s="41" t="s">
        <v>49</v>
      </c>
      <c r="AN3" s="41" t="s">
        <v>1</v>
      </c>
      <c r="AO3" s="42"/>
      <c r="AP3" s="41" t="s">
        <v>50</v>
      </c>
      <c r="AQ3" s="43" t="s">
        <v>6</v>
      </c>
      <c r="AR3" s="43" t="s">
        <v>51</v>
      </c>
      <c r="AS3" s="45" t="s">
        <v>52</v>
      </c>
      <c r="AT3" s="45" t="s">
        <v>53</v>
      </c>
      <c r="AU3" s="45" t="s">
        <v>54</v>
      </c>
      <c r="AV3" s="45" t="s">
        <v>55</v>
      </c>
      <c r="AW3" s="23"/>
      <c r="AX3" s="23"/>
      <c r="AY3" s="23"/>
      <c r="AZ3" s="23"/>
      <c r="BA3" s="23"/>
      <c r="BB3" s="23"/>
      <c r="BC3" s="23"/>
      <c r="BD3" s="23"/>
    </row>
    <row r="4" spans="1:56" x14ac:dyDescent="0.25">
      <c r="I4" s="19">
        <v>2</v>
      </c>
      <c r="J4" s="51" t="s">
        <v>56</v>
      </c>
      <c r="K4" s="29" t="s">
        <v>57</v>
      </c>
      <c r="L4" s="51" t="s">
        <v>58</v>
      </c>
      <c r="M4" s="112" t="s">
        <v>59</v>
      </c>
      <c r="N4" s="114" t="s">
        <v>56</v>
      </c>
      <c r="O4" s="115" t="str">
        <f>K4</f>
        <v>COMS1010</v>
      </c>
      <c r="P4" s="114" t="s">
        <v>58</v>
      </c>
      <c r="Q4" s="116" t="str">
        <f>M4</f>
        <v>--</v>
      </c>
      <c r="R4" s="114" t="s">
        <v>56</v>
      </c>
      <c r="S4" s="115" t="str">
        <f>K4</f>
        <v>COMS1010</v>
      </c>
      <c r="T4" s="114" t="s">
        <v>58</v>
      </c>
      <c r="U4" s="115" t="str">
        <f>M4</f>
        <v>--</v>
      </c>
      <c r="AM4" s="66" t="e">
        <f>IF(HLOOKUP($AM$1,RangeUnitsets,I4,FALSE)="Spec",HLOOKUP($AM$1,RangeSpecSets,$I$41,FALSE),HLOOKUP($AM$1,RangeUnitsets,I4,FALSE))</f>
        <v>#N/A</v>
      </c>
      <c r="AN4" s="67" t="e">
        <f>VLOOKUP($AM4,TableHandbook[],AN$2,FALSE)</f>
        <v>#N/A</v>
      </c>
      <c r="AO4" s="33" t="e">
        <f>VLOOKUP($AM4,TableHandbook[],AO$2,FALSE)</f>
        <v>#N/A</v>
      </c>
      <c r="AP4" s="68" t="e">
        <f>VLOOKUP($AM4,TableHandbook[],AP$2,FALSE)</f>
        <v>#N/A</v>
      </c>
      <c r="AQ4" s="69" t="e">
        <f>VLOOKUP($AM4,TableHandbook[],AQ$2,FALSE)</f>
        <v>#N/A</v>
      </c>
      <c r="AR4" s="24" t="e">
        <f>VLOOKUP($AM4,TableHandbook[],AR$2,FALSE)</f>
        <v>#N/A</v>
      </c>
      <c r="AS4" s="70" t="e">
        <f>VLOOKUP($AM4,TableHandbook[],AS$2,FALSE)</f>
        <v>#N/A</v>
      </c>
      <c r="AT4" s="70" t="e">
        <f>VLOOKUP($AM4,TableHandbook[],AT$2,FALSE)</f>
        <v>#N/A</v>
      </c>
      <c r="AU4" s="70" t="e">
        <f>VLOOKUP($AM4,TableHandbook[],AU$2,FALSE)</f>
        <v>#N/A</v>
      </c>
      <c r="AV4" s="71" t="e">
        <f>VLOOKUP($AM4,TableHandbook[],AV$2,FALSE)</f>
        <v>#N/A</v>
      </c>
      <c r="AW4" s="23"/>
      <c r="AX4" s="23"/>
      <c r="AY4" s="23"/>
      <c r="AZ4" s="23"/>
      <c r="BA4" s="23"/>
      <c r="BB4" s="23"/>
      <c r="BC4" s="23"/>
      <c r="BD4" s="23"/>
    </row>
    <row r="5" spans="1:56" x14ac:dyDescent="0.25">
      <c r="A5" s="128" t="s">
        <v>60</v>
      </c>
      <c r="I5" s="19">
        <v>3</v>
      </c>
      <c r="J5" s="52" t="s">
        <v>56</v>
      </c>
      <c r="K5" s="30" t="s">
        <v>61</v>
      </c>
      <c r="L5" s="52" t="s">
        <v>58</v>
      </c>
      <c r="M5" s="30"/>
      <c r="N5" s="117" t="s">
        <v>56</v>
      </c>
      <c r="O5" s="118" t="str">
        <f t="shared" ref="O5:O27" si="0">K5</f>
        <v>BLDG1000</v>
      </c>
      <c r="P5" s="117" t="s">
        <v>58</v>
      </c>
      <c r="Q5" s="118">
        <f t="shared" ref="Q5:Q27" si="1">M5</f>
        <v>0</v>
      </c>
      <c r="R5" s="117" t="s">
        <v>56</v>
      </c>
      <c r="S5" s="118" t="str">
        <f t="shared" ref="S5:S27" si="2">K5</f>
        <v>BLDG1000</v>
      </c>
      <c r="T5" s="117" t="s">
        <v>58</v>
      </c>
      <c r="U5" s="118">
        <f t="shared" ref="U5:U27" si="3">M5</f>
        <v>0</v>
      </c>
      <c r="AM5" s="72" t="e">
        <f>IF(HLOOKUP($AM$1,RangeUnitsets,I5,FALSE)="Spec",HLOOKUP($AM$1,RangeSpecSets,$I$41,FALSE),HLOOKUP($AM$1,RangeUnitsets,I5,FALSE))</f>
        <v>#N/A</v>
      </c>
      <c r="AN5" s="5" t="e">
        <f>VLOOKUP($AM5,TableHandbook[],AN$2,FALSE)</f>
        <v>#N/A</v>
      </c>
      <c r="AO5" t="e">
        <f>VLOOKUP($AM5,TableHandbook[],AO$2,FALSE)</f>
        <v>#N/A</v>
      </c>
      <c r="AP5" s="4" t="e">
        <f>VLOOKUP($AM5,TableHandbook[],AP$2,FALSE)</f>
        <v>#N/A</v>
      </c>
      <c r="AQ5" s="73" t="e">
        <f>VLOOKUP($AM5,TableHandbook[],AQ$2,FALSE)</f>
        <v>#N/A</v>
      </c>
      <c r="AR5" s="81" t="e">
        <f>VLOOKUP($AM5,TableHandbook[],AR$2,FALSE)</f>
        <v>#N/A</v>
      </c>
      <c r="AS5" s="2" t="e">
        <f>VLOOKUP($AM5,TableHandbook[],AS$2,FALSE)</f>
        <v>#N/A</v>
      </c>
      <c r="AT5" s="2" t="e">
        <f>VLOOKUP($AM5,TableHandbook[],AT$2,FALSE)</f>
        <v>#N/A</v>
      </c>
      <c r="AU5" s="2" t="e">
        <f>VLOOKUP($AM5,TableHandbook[],AU$2,FALSE)</f>
        <v>#N/A</v>
      </c>
      <c r="AV5" s="74" t="e">
        <f>VLOOKUP($AM5,TableHandbook[],AV$2,FALSE)</f>
        <v>#N/A</v>
      </c>
      <c r="AW5" s="23"/>
      <c r="AX5" s="23"/>
      <c r="AY5" s="23"/>
      <c r="AZ5" s="23"/>
      <c r="BA5" s="23"/>
      <c r="BB5" s="23"/>
      <c r="BC5" s="23"/>
      <c r="BD5" s="23"/>
    </row>
    <row r="6" spans="1:56" x14ac:dyDescent="0.25">
      <c r="A6" s="8" t="s">
        <v>62</v>
      </c>
      <c r="B6" s="13" t="s">
        <v>0</v>
      </c>
      <c r="C6" s="8" t="s">
        <v>63</v>
      </c>
      <c r="D6" s="8" t="s">
        <v>64</v>
      </c>
      <c r="E6" s="8" t="s">
        <v>65</v>
      </c>
      <c r="F6" s="8" t="s">
        <v>66</v>
      </c>
      <c r="G6" s="8" t="s">
        <v>7</v>
      </c>
      <c r="I6" s="19">
        <v>4</v>
      </c>
      <c r="J6" s="52" t="s">
        <v>56</v>
      </c>
      <c r="K6" s="30" t="s">
        <v>67</v>
      </c>
      <c r="L6" s="52" t="s">
        <v>58</v>
      </c>
      <c r="M6" s="30"/>
      <c r="N6" s="117" t="s">
        <v>56</v>
      </c>
      <c r="O6" s="118" t="str">
        <f t="shared" si="0"/>
        <v>BLDG1003</v>
      </c>
      <c r="P6" s="117" t="s">
        <v>58</v>
      </c>
      <c r="Q6" s="118">
        <f t="shared" si="1"/>
        <v>0</v>
      </c>
      <c r="R6" s="117" t="s">
        <v>56</v>
      </c>
      <c r="S6" s="118" t="str">
        <f t="shared" si="2"/>
        <v>BLDG1003</v>
      </c>
      <c r="T6" s="117" t="s">
        <v>58</v>
      </c>
      <c r="U6" s="118">
        <f t="shared" si="3"/>
        <v>0</v>
      </c>
      <c r="AM6" s="72" t="e">
        <f>IF(HLOOKUP($AM$1,RangeUnitsets,I6,FALSE)="Spec",HLOOKUP($AM$1,RangeSpecSets,$I$41,FALSE),HLOOKUP($AM$1,RangeUnitsets,I6,FALSE))</f>
        <v>#N/A</v>
      </c>
      <c r="AN6" s="5" t="e">
        <f>VLOOKUP($AM6,TableHandbook[],AN$2,FALSE)</f>
        <v>#N/A</v>
      </c>
      <c r="AO6" t="e">
        <f>VLOOKUP($AM6,TableHandbook[],AO$2,FALSE)</f>
        <v>#N/A</v>
      </c>
      <c r="AP6" s="4" t="e">
        <f>VLOOKUP($AM6,TableHandbook[],AP$2,FALSE)</f>
        <v>#N/A</v>
      </c>
      <c r="AQ6" s="73" t="e">
        <f>VLOOKUP($AM6,TableHandbook[],AQ$2,FALSE)</f>
        <v>#N/A</v>
      </c>
      <c r="AR6" s="81" t="e">
        <f>VLOOKUP($AM6,TableHandbook[],AR$2,FALSE)</f>
        <v>#N/A</v>
      </c>
      <c r="AS6" s="2" t="e">
        <f>VLOOKUP($AM6,TableHandbook[],AS$2,FALSE)</f>
        <v>#N/A</v>
      </c>
      <c r="AT6" s="2" t="e">
        <f>VLOOKUP($AM6,TableHandbook[],AT$2,FALSE)</f>
        <v>#N/A</v>
      </c>
      <c r="AU6" s="2" t="e">
        <f>VLOOKUP($AM6,TableHandbook[],AU$2,FALSE)</f>
        <v>#N/A</v>
      </c>
      <c r="AV6" s="74" t="e">
        <f>VLOOKUP($AM6,TableHandbook[],AV$2,FALSE)</f>
        <v>#N/A</v>
      </c>
      <c r="AW6" s="8"/>
      <c r="AX6" s="5"/>
      <c r="AY6" s="23"/>
      <c r="AZ6" s="23"/>
      <c r="BA6" s="23"/>
      <c r="BB6" s="23"/>
      <c r="BC6" s="23"/>
      <c r="BD6" s="23"/>
    </row>
    <row r="7" spans="1:56" x14ac:dyDescent="0.25">
      <c r="A7" s="8" t="s">
        <v>15</v>
      </c>
      <c r="B7" s="91" t="s">
        <v>68</v>
      </c>
      <c r="C7" s="8" t="s">
        <v>69</v>
      </c>
      <c r="D7" s="8" t="s">
        <v>70</v>
      </c>
      <c r="E7" s="136">
        <v>44927</v>
      </c>
      <c r="F7" s="136">
        <v>44927</v>
      </c>
      <c r="I7" s="19">
        <v>5</v>
      </c>
      <c r="J7" s="52" t="s">
        <v>56</v>
      </c>
      <c r="K7" s="30" t="s">
        <v>71</v>
      </c>
      <c r="L7" s="52" t="s">
        <v>58</v>
      </c>
      <c r="M7" s="30"/>
      <c r="N7" s="117" t="s">
        <v>56</v>
      </c>
      <c r="O7" s="118" t="str">
        <f t="shared" si="0"/>
        <v>BLDG1004</v>
      </c>
      <c r="P7" s="117" t="s">
        <v>58</v>
      </c>
      <c r="Q7" s="118">
        <f t="shared" si="1"/>
        <v>0</v>
      </c>
      <c r="R7" s="117" t="s">
        <v>56</v>
      </c>
      <c r="S7" s="118" t="str">
        <f t="shared" si="2"/>
        <v>BLDG1004</v>
      </c>
      <c r="T7" s="117" t="s">
        <v>58</v>
      </c>
      <c r="U7" s="118">
        <f t="shared" si="3"/>
        <v>0</v>
      </c>
      <c r="AM7" s="72" t="e">
        <f>IF(HLOOKUP($AM$1,RangeUnitsets,I7,FALSE)="Spec Unit",HLOOKUP($AM$2,RangeSpecSets,$I$41,FALSE),HLOOKUP($AM$1,RangeUnitsets,I7,FALSE))</f>
        <v>#N/A</v>
      </c>
      <c r="AN7" s="5" t="e">
        <f>VLOOKUP($AM7,TableHandbook[],AN$2,FALSE)</f>
        <v>#N/A</v>
      </c>
      <c r="AO7" t="e">
        <f>VLOOKUP($AM7,TableHandbook[],AO$2,FALSE)</f>
        <v>#N/A</v>
      </c>
      <c r="AP7" s="4" t="e">
        <f>VLOOKUP($AM7,TableHandbook[],AP$2,FALSE)</f>
        <v>#N/A</v>
      </c>
      <c r="AQ7" s="73" t="e">
        <f>VLOOKUP($AM7,TableHandbook[],AQ$2,FALSE)</f>
        <v>#N/A</v>
      </c>
      <c r="AR7" s="81" t="e">
        <f>VLOOKUP($AM7,TableHandbook[],AR$2,FALSE)</f>
        <v>#N/A</v>
      </c>
      <c r="AS7" s="2" t="e">
        <f>VLOOKUP($AM7,TableHandbook[],AS$2,FALSE)</f>
        <v>#N/A</v>
      </c>
      <c r="AT7" s="2" t="e">
        <f>VLOOKUP($AM7,TableHandbook[],AT$2,FALSE)</f>
        <v>#N/A</v>
      </c>
      <c r="AU7" s="2" t="e">
        <f>VLOOKUP($AM7,TableHandbook[],AU$2,FALSE)</f>
        <v>#N/A</v>
      </c>
      <c r="AV7" s="74" t="e">
        <f>VLOOKUP($AM7,TableHandbook[],AV$2,FALSE)</f>
        <v>#N/A</v>
      </c>
      <c r="AW7" s="8"/>
      <c r="AX7" s="5"/>
      <c r="AY7" s="4"/>
      <c r="AZ7" s="5"/>
      <c r="BA7" s="4"/>
      <c r="BB7" s="5"/>
      <c r="BC7" s="5"/>
    </row>
    <row r="8" spans="1:56" x14ac:dyDescent="0.25">
      <c r="A8" s="8" t="s">
        <v>72</v>
      </c>
      <c r="B8" s="91" t="s">
        <v>73</v>
      </c>
      <c r="C8" s="8" t="s">
        <v>69</v>
      </c>
      <c r="D8" s="8" t="s">
        <v>70</v>
      </c>
      <c r="E8" s="136">
        <v>44927</v>
      </c>
      <c r="F8" s="136">
        <v>44927</v>
      </c>
      <c r="I8" s="19">
        <v>6</v>
      </c>
      <c r="J8" s="52" t="s">
        <v>58</v>
      </c>
      <c r="K8" s="30" t="s">
        <v>74</v>
      </c>
      <c r="L8" s="52" t="s">
        <v>56</v>
      </c>
      <c r="M8" s="30"/>
      <c r="N8" s="117" t="s">
        <v>58</v>
      </c>
      <c r="O8" s="118" t="str">
        <f t="shared" si="0"/>
        <v>BLDG1016</v>
      </c>
      <c r="P8" s="117" t="s">
        <v>56</v>
      </c>
      <c r="Q8" s="118">
        <f t="shared" si="1"/>
        <v>0</v>
      </c>
      <c r="R8" s="117" t="s">
        <v>58</v>
      </c>
      <c r="S8" s="118" t="str">
        <f t="shared" si="2"/>
        <v>BLDG1016</v>
      </c>
      <c r="T8" s="117" t="s">
        <v>56</v>
      </c>
      <c r="U8" s="118">
        <f t="shared" si="3"/>
        <v>0</v>
      </c>
      <c r="AM8" s="66" t="e">
        <f>IF(HLOOKUP($AM$1,RangeUnitsets,I8,FALSE)="Spec",HLOOKUP($AM$1,RangeSpecSets,$I$42,FALSE),HLOOKUP($AM$1,RangeUnitsets,I8,FALSE))</f>
        <v>#N/A</v>
      </c>
      <c r="AN8" s="67" t="e">
        <f>VLOOKUP($AM8,TableHandbook[],AN$2,FALSE)</f>
        <v>#N/A</v>
      </c>
      <c r="AO8" s="33" t="e">
        <f>VLOOKUP($AM8,TableHandbook[],AO$2,FALSE)</f>
        <v>#N/A</v>
      </c>
      <c r="AP8" s="68" t="e">
        <f>VLOOKUP($AM8,TableHandbook[],AP$2,FALSE)</f>
        <v>#N/A</v>
      </c>
      <c r="AQ8" s="69" t="e">
        <f>VLOOKUP($AM8,TableHandbook[],AQ$2,FALSE)</f>
        <v>#N/A</v>
      </c>
      <c r="AR8" s="24" t="e">
        <f>VLOOKUP($AM8,TableHandbook[],AR$2,FALSE)</f>
        <v>#N/A</v>
      </c>
      <c r="AS8" s="70" t="e">
        <f>VLOOKUP($AM8,TableHandbook[],AS$2,FALSE)</f>
        <v>#N/A</v>
      </c>
      <c r="AT8" s="70" t="e">
        <f>VLOOKUP($AM8,TableHandbook[],AT$2,FALSE)</f>
        <v>#N/A</v>
      </c>
      <c r="AU8" s="70" t="e">
        <f>VLOOKUP($AM8,TableHandbook[],AU$2,FALSE)</f>
        <v>#N/A</v>
      </c>
      <c r="AV8" s="71" t="e">
        <f>VLOOKUP($AM8,TableHandbook[],AV$2,FALSE)</f>
        <v>#N/A</v>
      </c>
      <c r="AX8" s="32"/>
      <c r="AY8" s="4"/>
      <c r="AZ8" s="5"/>
      <c r="BA8" s="4"/>
      <c r="BB8" s="22"/>
      <c r="BC8" s="5"/>
    </row>
    <row r="9" spans="1:56" x14ac:dyDescent="0.25">
      <c r="I9" s="19">
        <v>7</v>
      </c>
      <c r="J9" s="52" t="s">
        <v>58</v>
      </c>
      <c r="K9" s="30" t="s">
        <v>75</v>
      </c>
      <c r="L9" s="52" t="s">
        <v>56</v>
      </c>
      <c r="M9" s="30"/>
      <c r="N9" s="117" t="s">
        <v>58</v>
      </c>
      <c r="O9" s="118" t="str">
        <f t="shared" si="0"/>
        <v>BLDG1001</v>
      </c>
      <c r="P9" s="117" t="s">
        <v>56</v>
      </c>
      <c r="Q9" s="118">
        <f t="shared" si="1"/>
        <v>0</v>
      </c>
      <c r="R9" s="117" t="s">
        <v>58</v>
      </c>
      <c r="S9" s="118" t="str">
        <f t="shared" si="2"/>
        <v>BLDG1001</v>
      </c>
      <c r="T9" s="117" t="s">
        <v>56</v>
      </c>
      <c r="U9" s="118">
        <f t="shared" si="3"/>
        <v>0</v>
      </c>
      <c r="AM9" s="72" t="e">
        <f>IF(HLOOKUP($AM$1,RangeUnitsets,I9,FALSE)="Spec",HLOOKUP($AM$1,RangeSpecSets,$I$42,FALSE),HLOOKUP($AM$1,RangeUnitsets,I9,FALSE))</f>
        <v>#N/A</v>
      </c>
      <c r="AN9" s="5" t="e">
        <f>VLOOKUP($AM9,TableHandbook[],AN$2,FALSE)</f>
        <v>#N/A</v>
      </c>
      <c r="AO9" t="e">
        <f>VLOOKUP($AM9,TableHandbook[],AO$2,FALSE)</f>
        <v>#N/A</v>
      </c>
      <c r="AP9" s="4" t="e">
        <f>VLOOKUP($AM9,TableHandbook[],AP$2,FALSE)</f>
        <v>#N/A</v>
      </c>
      <c r="AQ9" s="73" t="e">
        <f>VLOOKUP($AM9,TableHandbook[],AQ$2,FALSE)</f>
        <v>#N/A</v>
      </c>
      <c r="AR9" s="81" t="e">
        <f>VLOOKUP($AM9,TableHandbook[],AR$2,FALSE)</f>
        <v>#N/A</v>
      </c>
      <c r="AS9" s="2" t="e">
        <f>VLOOKUP($AM9,TableHandbook[],AS$2,FALSE)</f>
        <v>#N/A</v>
      </c>
      <c r="AT9" s="2" t="e">
        <f>VLOOKUP($AM9,TableHandbook[],AT$2,FALSE)</f>
        <v>#N/A</v>
      </c>
      <c r="AU9" s="2" t="e">
        <f>VLOOKUP($AM9,TableHandbook[],AU$2,FALSE)</f>
        <v>#N/A</v>
      </c>
      <c r="AV9" s="74" t="e">
        <f>VLOOKUP($AM9,TableHandbook[],AV$2,FALSE)</f>
        <v>#N/A</v>
      </c>
      <c r="BB9" s="5"/>
      <c r="BC9" s="5"/>
    </row>
    <row r="10" spans="1:56" x14ac:dyDescent="0.25">
      <c r="A10" s="128" t="s">
        <v>76</v>
      </c>
      <c r="I10" s="19">
        <v>8</v>
      </c>
      <c r="J10" s="52" t="s">
        <v>58</v>
      </c>
      <c r="K10" s="30" t="s">
        <v>77</v>
      </c>
      <c r="L10" s="52" t="s">
        <v>56</v>
      </c>
      <c r="M10" s="30"/>
      <c r="N10" s="117" t="s">
        <v>58</v>
      </c>
      <c r="O10" s="118" t="str">
        <f t="shared" si="0"/>
        <v>ARCH1016</v>
      </c>
      <c r="P10" s="117" t="s">
        <v>56</v>
      </c>
      <c r="Q10" s="118">
        <f t="shared" si="1"/>
        <v>0</v>
      </c>
      <c r="R10" s="117" t="s">
        <v>58</v>
      </c>
      <c r="S10" s="118" t="str">
        <f t="shared" si="2"/>
        <v>ARCH1016</v>
      </c>
      <c r="T10" s="117" t="s">
        <v>56</v>
      </c>
      <c r="U10" s="118">
        <f t="shared" si="3"/>
        <v>0</v>
      </c>
      <c r="AM10" s="72" t="e">
        <f>IF(HLOOKUP($AM$1,RangeUnitsets,I10,FALSE)="Spec",HLOOKUP($AM$1,RangeSpecSets,$I$42,FALSE),HLOOKUP($AM$1,RangeUnitsets,I10,FALSE))</f>
        <v>#N/A</v>
      </c>
      <c r="AN10" s="5" t="e">
        <f>VLOOKUP($AM10,TableHandbook[],AN$2,FALSE)</f>
        <v>#N/A</v>
      </c>
      <c r="AO10" t="e">
        <f>VLOOKUP($AM10,TableHandbook[],AO$2,FALSE)</f>
        <v>#N/A</v>
      </c>
      <c r="AP10" s="4" t="e">
        <f>VLOOKUP($AM10,TableHandbook[],AP$2,FALSE)</f>
        <v>#N/A</v>
      </c>
      <c r="AQ10" s="73" t="e">
        <f>VLOOKUP($AM10,TableHandbook[],AQ$2,FALSE)</f>
        <v>#N/A</v>
      </c>
      <c r="AR10" s="81" t="e">
        <f>VLOOKUP($AM10,TableHandbook[],AR$2,FALSE)</f>
        <v>#N/A</v>
      </c>
      <c r="AS10" s="2" t="e">
        <f>VLOOKUP($AM10,TableHandbook[],AS$2,FALSE)</f>
        <v>#N/A</v>
      </c>
      <c r="AT10" s="2" t="e">
        <f>VLOOKUP($AM10,TableHandbook[],AT$2,FALSE)</f>
        <v>#N/A</v>
      </c>
      <c r="AU10" s="2" t="e">
        <f>VLOOKUP($AM10,TableHandbook[],AU$2,FALSE)</f>
        <v>#N/A</v>
      </c>
      <c r="AV10" s="74" t="e">
        <f>VLOOKUP($AM10,TableHandbook[],AV$2,FALSE)</f>
        <v>#N/A</v>
      </c>
      <c r="AX10" s="32"/>
      <c r="BB10" s="5"/>
      <c r="BC10" s="5"/>
    </row>
    <row r="11" spans="1:56" x14ac:dyDescent="0.25">
      <c r="A11" s="14" t="s">
        <v>21</v>
      </c>
      <c r="B11" s="17" t="s">
        <v>78</v>
      </c>
      <c r="C11" s="17" t="s">
        <v>79</v>
      </c>
      <c r="I11" s="19">
        <v>9</v>
      </c>
      <c r="J11" s="52" t="s">
        <v>58</v>
      </c>
      <c r="K11" s="30" t="s">
        <v>80</v>
      </c>
      <c r="L11" s="56" t="s">
        <v>56</v>
      </c>
      <c r="M11" s="30"/>
      <c r="N11" s="117" t="s">
        <v>58</v>
      </c>
      <c r="O11" s="118" t="str">
        <f t="shared" si="0"/>
        <v>BLDG1018</v>
      </c>
      <c r="P11" s="119" t="s">
        <v>56</v>
      </c>
      <c r="Q11" s="118">
        <f t="shared" si="1"/>
        <v>0</v>
      </c>
      <c r="R11" s="117" t="s">
        <v>58</v>
      </c>
      <c r="S11" s="118" t="str">
        <f t="shared" si="2"/>
        <v>BLDG1018</v>
      </c>
      <c r="T11" s="119" t="s">
        <v>56</v>
      </c>
      <c r="U11" s="118">
        <f t="shared" si="3"/>
        <v>0</v>
      </c>
      <c r="AM11" s="72" t="e">
        <f>IF(HLOOKUP($AM$1,RangeUnitsets,I11,FALSE)="Spec Unit",HLOOKUP($AM$2,RangeSpecSets,$I$42,FALSE),HLOOKUP($AM$1,RangeUnitsets,I11,FALSE))</f>
        <v>#N/A</v>
      </c>
      <c r="AN11" s="35" t="e">
        <f>VLOOKUP($AM11,TableHandbook[],AN$2,FALSE)</f>
        <v>#N/A</v>
      </c>
      <c r="AO11" s="36" t="e">
        <f>VLOOKUP($AM11,TableHandbook[],AO$2,FALSE)</f>
        <v>#N/A</v>
      </c>
      <c r="AP11" s="34" t="e">
        <f>VLOOKUP($AM11,TableHandbook[],AP$2,FALSE)</f>
        <v>#N/A</v>
      </c>
      <c r="AQ11" s="37" t="e">
        <f>VLOOKUP($AM11,TableHandbook[],AQ$2,FALSE)</f>
        <v>#N/A</v>
      </c>
      <c r="AR11" s="82" t="e">
        <f>VLOOKUP($AM11,TableHandbook[],AR$2,FALSE)</f>
        <v>#N/A</v>
      </c>
      <c r="AS11" s="75" t="e">
        <f>VLOOKUP($AM11,TableHandbook[],AS$2,FALSE)</f>
        <v>#N/A</v>
      </c>
      <c r="AT11" s="75" t="e">
        <f>VLOOKUP($AM11,TableHandbook[],AT$2,FALSE)</f>
        <v>#N/A</v>
      </c>
      <c r="AU11" s="75" t="e">
        <f>VLOOKUP($AM11,TableHandbook[],AU$2,FALSE)</f>
        <v>#N/A</v>
      </c>
      <c r="AV11" s="76" t="e">
        <f>VLOOKUP($AM11,TableHandbook[],AV$2,FALSE)</f>
        <v>#N/A</v>
      </c>
      <c r="AX11" s="38"/>
      <c r="BB11" s="5"/>
      <c r="BC11" s="5"/>
    </row>
    <row r="12" spans="1:56" x14ac:dyDescent="0.25">
      <c r="A12" s="8" t="s">
        <v>81</v>
      </c>
      <c r="B12" s="8" t="s">
        <v>82</v>
      </c>
      <c r="C12" s="8" t="s">
        <v>83</v>
      </c>
      <c r="I12" s="19">
        <v>10</v>
      </c>
      <c r="J12" s="54" t="s">
        <v>84</v>
      </c>
      <c r="K12" s="29" t="s">
        <v>85</v>
      </c>
      <c r="L12" s="54" t="s">
        <v>86</v>
      </c>
      <c r="M12" s="29"/>
      <c r="N12" s="114" t="s">
        <v>84</v>
      </c>
      <c r="O12" s="115" t="str">
        <f t="shared" si="0"/>
        <v>BLDG2013</v>
      </c>
      <c r="P12" s="114" t="s">
        <v>86</v>
      </c>
      <c r="Q12" s="115">
        <f t="shared" si="1"/>
        <v>0</v>
      </c>
      <c r="R12" s="114" t="s">
        <v>84</v>
      </c>
      <c r="S12" s="115" t="str">
        <f t="shared" si="2"/>
        <v>BLDG2013</v>
      </c>
      <c r="T12" s="114" t="s">
        <v>86</v>
      </c>
      <c r="U12" s="115">
        <f t="shared" si="3"/>
        <v>0</v>
      </c>
      <c r="AM12" s="66" t="e">
        <f>IF(HLOOKUP($AM$1,RangeUnitsets,I12,FALSE)="Spec",HLOOKUP($AM$1,RangeSpecSets,$I$43,FALSE),HLOOKUP($AM$1,RangeUnitsets,I12,FALSE))</f>
        <v>#N/A</v>
      </c>
      <c r="AN12" s="67" t="e">
        <f>VLOOKUP($AM12,TableHandbook[],AN$2,FALSE)</f>
        <v>#N/A</v>
      </c>
      <c r="AO12" s="33" t="e">
        <f>VLOOKUP($AM12,TableHandbook[],AO$2,FALSE)</f>
        <v>#N/A</v>
      </c>
      <c r="AP12" s="68" t="e">
        <f>VLOOKUP($AM12,TableHandbook[],AP$2,FALSE)</f>
        <v>#N/A</v>
      </c>
      <c r="AQ12" s="69" t="e">
        <f>VLOOKUP($AM12,TableHandbook[],AQ$2,FALSE)</f>
        <v>#N/A</v>
      </c>
      <c r="AR12" s="24" t="e">
        <f>VLOOKUP($AM12,TableHandbook[],AR$2,FALSE)</f>
        <v>#N/A</v>
      </c>
      <c r="AS12" s="70" t="e">
        <f>VLOOKUP($AM12,TableHandbook[],AS$2,FALSE)</f>
        <v>#N/A</v>
      </c>
      <c r="AT12" s="70" t="e">
        <f>VLOOKUP($AM12,TableHandbook[],AT$2,FALSE)</f>
        <v>#N/A</v>
      </c>
      <c r="AU12" s="70" t="e">
        <f>VLOOKUP($AM12,TableHandbook[],AU$2,FALSE)</f>
        <v>#N/A</v>
      </c>
      <c r="AV12" s="71" t="e">
        <f>VLOOKUP($AM12,TableHandbook[],AV$2,FALSE)</f>
        <v>#N/A</v>
      </c>
      <c r="BB12" s="5"/>
      <c r="BC12" s="5"/>
    </row>
    <row r="13" spans="1:56" x14ac:dyDescent="0.25">
      <c r="A13" s="8" t="s">
        <v>87</v>
      </c>
      <c r="B13" s="8" t="s">
        <v>83</v>
      </c>
      <c r="C13" s="8" t="s">
        <v>82</v>
      </c>
      <c r="I13" s="19">
        <v>11</v>
      </c>
      <c r="J13" s="53" t="s">
        <v>84</v>
      </c>
      <c r="K13" s="30" t="s">
        <v>88</v>
      </c>
      <c r="L13" s="53" t="s">
        <v>86</v>
      </c>
      <c r="M13" s="30"/>
      <c r="N13" s="117" t="s">
        <v>84</v>
      </c>
      <c r="O13" s="118" t="str">
        <f t="shared" si="0"/>
        <v>BLDG2023</v>
      </c>
      <c r="P13" s="117" t="s">
        <v>86</v>
      </c>
      <c r="Q13" s="118">
        <f t="shared" si="1"/>
        <v>0</v>
      </c>
      <c r="R13" s="117" t="s">
        <v>84</v>
      </c>
      <c r="S13" s="118" t="str">
        <f t="shared" si="2"/>
        <v>BLDG2023</v>
      </c>
      <c r="T13" s="117" t="s">
        <v>86</v>
      </c>
      <c r="U13" s="118">
        <f t="shared" si="3"/>
        <v>0</v>
      </c>
      <c r="AM13" s="72" t="e">
        <f>IF(HLOOKUP($AM$1,RangeUnitsets,I13,FALSE)="Spec",HLOOKUP($AM$1,RangeSpecSets,$I$43,FALSE),HLOOKUP($AM$1,RangeUnitsets,I13,FALSE))</f>
        <v>#N/A</v>
      </c>
      <c r="AN13" s="5" t="e">
        <f>VLOOKUP($AM13,TableHandbook[],AN$2,FALSE)</f>
        <v>#N/A</v>
      </c>
      <c r="AO13" t="e">
        <f>VLOOKUP($AM13,TableHandbook[],AO$2,FALSE)</f>
        <v>#N/A</v>
      </c>
      <c r="AP13" s="4" t="e">
        <f>VLOOKUP($AM13,TableHandbook[],AP$2,FALSE)</f>
        <v>#N/A</v>
      </c>
      <c r="AQ13" s="73" t="e">
        <f>VLOOKUP($AM13,TableHandbook[],AQ$2,FALSE)</f>
        <v>#N/A</v>
      </c>
      <c r="AR13" s="81" t="e">
        <f>VLOOKUP($AM13,TableHandbook[],AR$2,FALSE)</f>
        <v>#N/A</v>
      </c>
      <c r="AS13" s="2" t="e">
        <f>VLOOKUP($AM13,TableHandbook[],AS$2,FALSE)</f>
        <v>#N/A</v>
      </c>
      <c r="AT13" s="2" t="e">
        <f>VLOOKUP($AM13,TableHandbook[],AT$2,FALSE)</f>
        <v>#N/A</v>
      </c>
      <c r="AU13" s="2" t="e">
        <f>VLOOKUP($AM13,TableHandbook[],AU$2,FALSE)</f>
        <v>#N/A</v>
      </c>
      <c r="AV13" s="74" t="e">
        <f>VLOOKUP($AM13,TableHandbook[],AV$2,FALSE)</f>
        <v>#N/A</v>
      </c>
      <c r="BB13" s="5"/>
      <c r="BC13" s="5"/>
    </row>
    <row r="14" spans="1:56" x14ac:dyDescent="0.25">
      <c r="A14" s="8"/>
      <c r="I14" s="19">
        <v>12</v>
      </c>
      <c r="J14" s="53" t="s">
        <v>84</v>
      </c>
      <c r="K14" s="30" t="s">
        <v>89</v>
      </c>
      <c r="L14" s="53" t="s">
        <v>86</v>
      </c>
      <c r="M14" s="30"/>
      <c r="N14" s="117" t="s">
        <v>84</v>
      </c>
      <c r="O14" s="118" t="str">
        <f t="shared" si="0"/>
        <v>BLDG2024</v>
      </c>
      <c r="P14" s="117" t="s">
        <v>86</v>
      </c>
      <c r="Q14" s="118">
        <f t="shared" si="1"/>
        <v>0</v>
      </c>
      <c r="R14" s="117" t="s">
        <v>84</v>
      </c>
      <c r="S14" s="118" t="str">
        <f t="shared" si="2"/>
        <v>BLDG2024</v>
      </c>
      <c r="T14" s="117" t="s">
        <v>86</v>
      </c>
      <c r="U14" s="118">
        <f t="shared" si="3"/>
        <v>0</v>
      </c>
      <c r="AM14" s="72" t="e">
        <f>IF(HLOOKUP($AM$1,RangeUnitsets,I14,FALSE)="Spec",HLOOKUP($AM$1,RangeSpecSets,$I$43,FALSE),HLOOKUP($AM$1,RangeUnitsets,I14,FALSE))</f>
        <v>#N/A</v>
      </c>
      <c r="AN14" s="5" t="e">
        <f>VLOOKUP($AM14,TableHandbook[],AN$2,FALSE)</f>
        <v>#N/A</v>
      </c>
      <c r="AO14" t="e">
        <f>VLOOKUP($AM14,TableHandbook[],AO$2,FALSE)</f>
        <v>#N/A</v>
      </c>
      <c r="AP14" s="4" t="e">
        <f>VLOOKUP($AM14,TableHandbook[],AP$2,FALSE)</f>
        <v>#N/A</v>
      </c>
      <c r="AQ14" s="73" t="e">
        <f>VLOOKUP($AM14,TableHandbook[],AQ$2,FALSE)</f>
        <v>#N/A</v>
      </c>
      <c r="AR14" s="81" t="e">
        <f>VLOOKUP($AM14,TableHandbook[],AR$2,FALSE)</f>
        <v>#N/A</v>
      </c>
      <c r="AS14" s="2" t="e">
        <f>VLOOKUP($AM14,TableHandbook[],AS$2,FALSE)</f>
        <v>#N/A</v>
      </c>
      <c r="AT14" s="2" t="e">
        <f>VLOOKUP($AM14,TableHandbook[],AT$2,FALSE)</f>
        <v>#N/A</v>
      </c>
      <c r="AU14" s="2" t="e">
        <f>VLOOKUP($AM14,TableHandbook[],AU$2,FALSE)</f>
        <v>#N/A</v>
      </c>
      <c r="AV14" s="74" t="e">
        <f>VLOOKUP($AM14,TableHandbook[],AV$2,FALSE)</f>
        <v>#N/A</v>
      </c>
      <c r="BB14" s="5"/>
      <c r="BC14" s="5"/>
    </row>
    <row r="15" spans="1:56" x14ac:dyDescent="0.25">
      <c r="A15" s="128" t="s">
        <v>90</v>
      </c>
      <c r="E15" s="18"/>
      <c r="F15" s="18"/>
      <c r="I15" s="19">
        <v>13</v>
      </c>
      <c r="J15" s="93" t="s">
        <v>84</v>
      </c>
      <c r="K15" s="85" t="s">
        <v>91</v>
      </c>
      <c r="L15" s="93" t="s">
        <v>86</v>
      </c>
      <c r="M15" s="85"/>
      <c r="N15" s="117" t="s">
        <v>84</v>
      </c>
      <c r="O15" s="118" t="str">
        <f t="shared" si="0"/>
        <v>Spec</v>
      </c>
      <c r="P15" s="117" t="s">
        <v>86</v>
      </c>
      <c r="Q15" s="118">
        <f t="shared" si="1"/>
        <v>0</v>
      </c>
      <c r="R15" s="117" t="s">
        <v>84</v>
      </c>
      <c r="S15" s="118" t="str">
        <f t="shared" si="2"/>
        <v>Spec</v>
      </c>
      <c r="T15" s="117" t="s">
        <v>86</v>
      </c>
      <c r="U15" s="118">
        <f t="shared" si="3"/>
        <v>0</v>
      </c>
      <c r="AM15" s="97" t="e">
        <f>IF(HLOOKUP($AM$1,RangeUnitsets,I15,FALSE)="Spec Unit",HLOOKUP($AM$2,RangeSpecSets,$I$41,FALSE),HLOOKUP($AM$1,RangeUnitsets,I15,FALSE))</f>
        <v>#N/A</v>
      </c>
      <c r="AN15" s="35" t="e">
        <f>VLOOKUP($AM15,TableHandbook[],AN$2,FALSE)</f>
        <v>#N/A</v>
      </c>
      <c r="AO15" s="36" t="e">
        <f>VLOOKUP($AM15,TableHandbook[],AO$2,FALSE)</f>
        <v>#N/A</v>
      </c>
      <c r="AP15" s="34" t="e">
        <f>VLOOKUP($AM15,TableHandbook[],AP$2,FALSE)</f>
        <v>#N/A</v>
      </c>
      <c r="AQ15" s="37" t="e">
        <f>VLOOKUP($AM15,TableHandbook[],AQ$2,FALSE)</f>
        <v>#N/A</v>
      </c>
      <c r="AR15" s="82" t="e">
        <f>VLOOKUP($AM15,TableHandbook[],AR$2,FALSE)</f>
        <v>#N/A</v>
      </c>
      <c r="AS15" s="75" t="e">
        <f>VLOOKUP($AM15,TableHandbook[],AS$2,FALSE)</f>
        <v>#N/A</v>
      </c>
      <c r="AT15" s="75" t="e">
        <f>VLOOKUP($AM15,TableHandbook[],AT$2,FALSE)</f>
        <v>#N/A</v>
      </c>
      <c r="AU15" s="75" t="e">
        <f>VLOOKUP($AM15,TableHandbook[],AU$2,FALSE)</f>
        <v>#N/A</v>
      </c>
      <c r="AV15" s="76" t="e">
        <f>VLOOKUP($AM15,TableHandbook[],AV$2,FALSE)</f>
        <v>#N/A</v>
      </c>
      <c r="AW15" s="8"/>
      <c r="AX15" s="5"/>
      <c r="BB15" s="5"/>
      <c r="BC15" s="5"/>
    </row>
    <row r="16" spans="1:56" x14ac:dyDescent="0.25">
      <c r="A16" s="105" t="s">
        <v>92</v>
      </c>
      <c r="B16" s="106" t="s">
        <v>0</v>
      </c>
      <c r="C16" s="105" t="s">
        <v>63</v>
      </c>
      <c r="D16" s="105" t="s">
        <v>64</v>
      </c>
      <c r="E16" s="105" t="s">
        <v>65</v>
      </c>
      <c r="F16" s="105" t="s">
        <v>66</v>
      </c>
      <c r="G16" s="18"/>
      <c r="I16" s="19">
        <v>14</v>
      </c>
      <c r="J16" s="53" t="s">
        <v>86</v>
      </c>
      <c r="K16" s="30" t="s">
        <v>93</v>
      </c>
      <c r="L16" s="53" t="s">
        <v>84</v>
      </c>
      <c r="M16" s="30"/>
      <c r="N16" s="117" t="s">
        <v>86</v>
      </c>
      <c r="O16" s="118" t="str">
        <f t="shared" si="0"/>
        <v>BLDG2015</v>
      </c>
      <c r="P16" s="117" t="s">
        <v>84</v>
      </c>
      <c r="Q16" s="118">
        <f t="shared" si="1"/>
        <v>0</v>
      </c>
      <c r="R16" s="117" t="s">
        <v>86</v>
      </c>
      <c r="S16" s="118" t="str">
        <f t="shared" si="2"/>
        <v>BLDG2015</v>
      </c>
      <c r="T16" s="117" t="s">
        <v>84</v>
      </c>
      <c r="U16" s="118">
        <f t="shared" si="3"/>
        <v>0</v>
      </c>
      <c r="AM16" s="66" t="e">
        <f>IF(HLOOKUP($AM$1,RangeUnitsets,I16,FALSE)="Spec",HLOOKUP($AM$1,RangeSpecSets,$I$44,FALSE),HLOOKUP($AM$1,RangeUnitsets,I16,FALSE))</f>
        <v>#N/A</v>
      </c>
      <c r="AN16" s="67" t="e">
        <f>VLOOKUP($AM16,TableHandbook[],AN$2,FALSE)</f>
        <v>#N/A</v>
      </c>
      <c r="AO16" s="33" t="e">
        <f>VLOOKUP($AM16,TableHandbook[],AO$2,FALSE)</f>
        <v>#N/A</v>
      </c>
      <c r="AP16" s="68" t="e">
        <f>VLOOKUP($AM16,TableHandbook[],AP$2,FALSE)</f>
        <v>#N/A</v>
      </c>
      <c r="AQ16" s="69" t="e">
        <f>VLOOKUP($AM16,TableHandbook[],AQ$2,FALSE)</f>
        <v>#N/A</v>
      </c>
      <c r="AR16" s="24" t="e">
        <f>VLOOKUP($AM16,TableHandbook[],AR$2,FALSE)</f>
        <v>#N/A</v>
      </c>
      <c r="AS16" s="70" t="e">
        <f>VLOOKUP($AM16,TableHandbook[],AS$2,FALSE)</f>
        <v>#N/A</v>
      </c>
      <c r="AT16" s="70" t="e">
        <f>VLOOKUP($AM16,TableHandbook[],AT$2,FALSE)</f>
        <v>#N/A</v>
      </c>
      <c r="AU16" s="70" t="e">
        <f>VLOOKUP($AM16,TableHandbook[],AU$2,FALSE)</f>
        <v>#N/A</v>
      </c>
      <c r="AV16" s="71" t="e">
        <f>VLOOKUP($AM16,TableHandbook[],AV$2,FALSE)</f>
        <v>#N/A</v>
      </c>
      <c r="AW16" s="8"/>
      <c r="AX16" s="5"/>
      <c r="AY16" s="4"/>
      <c r="AZ16" s="5"/>
      <c r="BA16" s="7"/>
      <c r="BB16" s="5"/>
      <c r="BC16" s="5"/>
    </row>
    <row r="17" spans="1:55" x14ac:dyDescent="0.25">
      <c r="A17" s="100" t="s">
        <v>94</v>
      </c>
      <c r="B17" s="155" t="s">
        <v>95</v>
      </c>
      <c r="C17" s="157" t="s">
        <v>96</v>
      </c>
      <c r="D17" s="99" t="s">
        <v>97</v>
      </c>
      <c r="E17" s="158">
        <v>45292</v>
      </c>
      <c r="F17" s="159">
        <v>45292</v>
      </c>
      <c r="G17" s="18"/>
      <c r="I17" s="19">
        <v>15</v>
      </c>
      <c r="J17" s="53" t="s">
        <v>86</v>
      </c>
      <c r="K17" s="30" t="s">
        <v>98</v>
      </c>
      <c r="L17" s="53" t="s">
        <v>84</v>
      </c>
      <c r="M17" s="30"/>
      <c r="N17" s="117" t="s">
        <v>86</v>
      </c>
      <c r="O17" s="118" t="str">
        <f t="shared" si="0"/>
        <v>BLDG2012</v>
      </c>
      <c r="P17" s="117" t="s">
        <v>84</v>
      </c>
      <c r="Q17" s="118">
        <f t="shared" si="1"/>
        <v>0</v>
      </c>
      <c r="R17" s="117" t="s">
        <v>86</v>
      </c>
      <c r="S17" s="118" t="str">
        <f t="shared" si="2"/>
        <v>BLDG2012</v>
      </c>
      <c r="T17" s="117" t="s">
        <v>84</v>
      </c>
      <c r="U17" s="118">
        <f t="shared" si="3"/>
        <v>0</v>
      </c>
      <c r="AM17" s="72" t="e">
        <f>IF(HLOOKUP($AM$1,RangeUnitsets,I17,FALSE)="Spec",HLOOKUP($AM$1,RangeSpecSets,$I$44,FALSE),HLOOKUP($AM$1,RangeUnitsets,I17,FALSE))</f>
        <v>#N/A</v>
      </c>
      <c r="AN17" s="5" t="e">
        <f>VLOOKUP($AM17,TableHandbook[],AN$2,FALSE)</f>
        <v>#N/A</v>
      </c>
      <c r="AO17" t="e">
        <f>VLOOKUP($AM17,TableHandbook[],AO$2,FALSE)</f>
        <v>#N/A</v>
      </c>
      <c r="AP17" s="4" t="e">
        <f>VLOOKUP($AM17,TableHandbook[],AP$2,FALSE)</f>
        <v>#N/A</v>
      </c>
      <c r="AQ17" s="73" t="e">
        <f>VLOOKUP($AM17,TableHandbook[],AQ$2,FALSE)</f>
        <v>#N/A</v>
      </c>
      <c r="AR17" s="81" t="e">
        <f>VLOOKUP($AM17,TableHandbook[],AR$2,FALSE)</f>
        <v>#N/A</v>
      </c>
      <c r="AS17" s="2" t="e">
        <f>VLOOKUP($AM17,TableHandbook[],AS$2,FALSE)</f>
        <v>#N/A</v>
      </c>
      <c r="AT17" s="2" t="e">
        <f>VLOOKUP($AM17,TableHandbook[],AT$2,FALSE)</f>
        <v>#N/A</v>
      </c>
      <c r="AU17" s="2" t="e">
        <f>VLOOKUP($AM17,TableHandbook[],AU$2,FALSE)</f>
        <v>#N/A</v>
      </c>
      <c r="AV17" s="74" t="e">
        <f>VLOOKUP($AM17,TableHandbook[],AV$2,FALSE)</f>
        <v>#N/A</v>
      </c>
      <c r="AW17" s="8"/>
      <c r="AX17" s="5"/>
      <c r="AY17" s="4"/>
      <c r="AZ17" s="5"/>
      <c r="BA17" s="7"/>
      <c r="BB17" s="5"/>
      <c r="BC17" s="5"/>
    </row>
    <row r="18" spans="1:55" x14ac:dyDescent="0.25">
      <c r="A18" s="100" t="s">
        <v>99</v>
      </c>
      <c r="B18" s="155" t="s">
        <v>100</v>
      </c>
      <c r="C18" s="157" t="s">
        <v>96</v>
      </c>
      <c r="D18" s="99" t="s">
        <v>97</v>
      </c>
      <c r="E18" s="158">
        <v>45292</v>
      </c>
      <c r="F18" s="159">
        <v>45292</v>
      </c>
      <c r="I18" s="19">
        <v>16</v>
      </c>
      <c r="J18" s="53" t="s">
        <v>86</v>
      </c>
      <c r="K18" s="30" t="s">
        <v>101</v>
      </c>
      <c r="L18" s="53" t="s">
        <v>84</v>
      </c>
      <c r="M18" s="30"/>
      <c r="N18" s="117" t="s">
        <v>86</v>
      </c>
      <c r="O18" s="118" t="str">
        <f t="shared" si="0"/>
        <v>BLDG2033</v>
      </c>
      <c r="P18" s="117" t="s">
        <v>84</v>
      </c>
      <c r="Q18" s="118">
        <f t="shared" si="1"/>
        <v>0</v>
      </c>
      <c r="R18" s="117" t="s">
        <v>86</v>
      </c>
      <c r="S18" s="118" t="str">
        <f t="shared" si="2"/>
        <v>BLDG2033</v>
      </c>
      <c r="T18" s="117" t="s">
        <v>84</v>
      </c>
      <c r="U18" s="118">
        <f t="shared" si="3"/>
        <v>0</v>
      </c>
      <c r="AM18" s="72" t="e">
        <f>IF(HLOOKUP($AM$1,RangeUnitsets,I18,FALSE)="Spec",HLOOKUP($AM$1,RangeSpecSets,$I$44,FALSE),HLOOKUP($AM$1,RangeUnitsets,I18,FALSE))</f>
        <v>#N/A</v>
      </c>
      <c r="AN18" s="5" t="e">
        <f>VLOOKUP($AM18,TableHandbook[],AN$2,FALSE)</f>
        <v>#N/A</v>
      </c>
      <c r="AO18" t="e">
        <f>VLOOKUP($AM18,TableHandbook[],AO$2,FALSE)</f>
        <v>#N/A</v>
      </c>
      <c r="AP18" s="4" t="e">
        <f>VLOOKUP($AM18,TableHandbook[],AP$2,FALSE)</f>
        <v>#N/A</v>
      </c>
      <c r="AQ18" s="73" t="e">
        <f>VLOOKUP($AM18,TableHandbook[],AQ$2,FALSE)</f>
        <v>#N/A</v>
      </c>
      <c r="AR18" s="81" t="e">
        <f>VLOOKUP($AM18,TableHandbook[],AR$2,FALSE)</f>
        <v>#N/A</v>
      </c>
      <c r="AS18" s="2" t="e">
        <f>VLOOKUP($AM18,TableHandbook[],AS$2,FALSE)</f>
        <v>#N/A</v>
      </c>
      <c r="AT18" s="2" t="e">
        <f>VLOOKUP($AM18,TableHandbook[],AT$2,FALSE)</f>
        <v>#N/A</v>
      </c>
      <c r="AU18" s="2" t="e">
        <f>VLOOKUP($AM18,TableHandbook[],AU$2,FALSE)</f>
        <v>#N/A</v>
      </c>
      <c r="AV18" s="74" t="e">
        <f>VLOOKUP($AM18,TableHandbook[],AV$2,FALSE)</f>
        <v>#N/A</v>
      </c>
      <c r="AW18" s="8"/>
      <c r="AX18" s="5"/>
      <c r="AY18" s="4"/>
      <c r="AZ18" s="5"/>
      <c r="BA18" s="7"/>
      <c r="BB18" s="5"/>
      <c r="BC18" s="5"/>
    </row>
    <row r="19" spans="1:55" x14ac:dyDescent="0.25">
      <c r="A19" s="8"/>
      <c r="B19" s="13"/>
      <c r="C19" s="4"/>
      <c r="D19" s="4"/>
      <c r="E19" s="62"/>
      <c r="F19" s="62"/>
      <c r="I19" s="19">
        <v>17</v>
      </c>
      <c r="J19" s="94" t="s">
        <v>86</v>
      </c>
      <c r="K19" s="85" t="s">
        <v>91</v>
      </c>
      <c r="L19" s="94" t="s">
        <v>84</v>
      </c>
      <c r="M19" s="85"/>
      <c r="N19" s="119" t="s">
        <v>86</v>
      </c>
      <c r="O19" s="118" t="str">
        <f t="shared" si="0"/>
        <v>Spec</v>
      </c>
      <c r="P19" s="119" t="s">
        <v>84</v>
      </c>
      <c r="Q19" s="118">
        <f t="shared" si="1"/>
        <v>0</v>
      </c>
      <c r="R19" s="119" t="s">
        <v>86</v>
      </c>
      <c r="S19" s="118" t="str">
        <f t="shared" si="2"/>
        <v>Spec</v>
      </c>
      <c r="T19" s="119" t="s">
        <v>84</v>
      </c>
      <c r="U19" s="118">
        <f t="shared" si="3"/>
        <v>0</v>
      </c>
      <c r="AM19" s="97" t="e">
        <f>IF(HLOOKUP($AM$1,RangeUnitsets,I19,FALSE)="Spec Unit",HLOOKUP($AM$2,RangeSpecSets,$I$42,FALSE),HLOOKUP($AM$1,RangeUnitsets,I19,FALSE))</f>
        <v>#N/A</v>
      </c>
      <c r="AN19" s="35" t="e">
        <f>VLOOKUP($AM19,TableHandbook[],AN$2,FALSE)</f>
        <v>#N/A</v>
      </c>
      <c r="AO19" s="36" t="e">
        <f>VLOOKUP($AM19,TableHandbook[],AO$2,FALSE)</f>
        <v>#N/A</v>
      </c>
      <c r="AP19" s="34" t="e">
        <f>VLOOKUP($AM19,TableHandbook[],AP$2,FALSE)</f>
        <v>#N/A</v>
      </c>
      <c r="AQ19" s="37" t="e">
        <f>VLOOKUP($AM19,TableHandbook[],AQ$2,FALSE)</f>
        <v>#N/A</v>
      </c>
      <c r="AR19" s="82" t="e">
        <f>VLOOKUP($AM19,TableHandbook[],AR$2,FALSE)</f>
        <v>#N/A</v>
      </c>
      <c r="AS19" s="75" t="e">
        <f>VLOOKUP($AM19,TableHandbook[],AS$2,FALSE)</f>
        <v>#N/A</v>
      </c>
      <c r="AT19" s="75" t="e">
        <f>VLOOKUP($AM19,TableHandbook[],AT$2,FALSE)</f>
        <v>#N/A</v>
      </c>
      <c r="AU19" s="75" t="e">
        <f>VLOOKUP($AM19,TableHandbook[],AU$2,FALSE)</f>
        <v>#N/A</v>
      </c>
      <c r="AV19" s="76" t="e">
        <f>VLOOKUP($AM19,TableHandbook[],AV$2,FALSE)</f>
        <v>#N/A</v>
      </c>
      <c r="AY19" s="4"/>
      <c r="AZ19" s="5"/>
      <c r="BA19" s="6"/>
      <c r="BB19" s="5"/>
      <c r="BC19" s="22"/>
    </row>
    <row r="20" spans="1:55" x14ac:dyDescent="0.25">
      <c r="A20" s="128" t="s">
        <v>102</v>
      </c>
      <c r="E20" s="18"/>
      <c r="F20" s="18"/>
      <c r="I20" s="19">
        <v>18</v>
      </c>
      <c r="J20" s="54" t="s">
        <v>103</v>
      </c>
      <c r="K20" s="29" t="s">
        <v>104</v>
      </c>
      <c r="L20" s="54" t="s">
        <v>105</v>
      </c>
      <c r="M20" s="29"/>
      <c r="N20" s="114" t="s">
        <v>103</v>
      </c>
      <c r="O20" s="115" t="str">
        <f t="shared" si="0"/>
        <v>BLDG3034</v>
      </c>
      <c r="P20" s="114" t="s">
        <v>105</v>
      </c>
      <c r="Q20" s="115">
        <f t="shared" si="1"/>
        <v>0</v>
      </c>
      <c r="R20" s="114" t="s">
        <v>103</v>
      </c>
      <c r="S20" s="115" t="str">
        <f t="shared" si="2"/>
        <v>BLDG3034</v>
      </c>
      <c r="T20" s="114" t="s">
        <v>105</v>
      </c>
      <c r="U20" s="115">
        <f t="shared" si="3"/>
        <v>0</v>
      </c>
      <c r="AM20" s="66" t="e">
        <f>IF(HLOOKUP($AM$1,RangeUnitsets,I20,FALSE)="Spec",HLOOKUP($AM$1,RangeSpecSets,$I$41,FALSE),HLOOKUP($AM$1,RangeUnitsets,I20,FALSE))</f>
        <v>#N/A</v>
      </c>
      <c r="AN20" s="67" t="e">
        <f>VLOOKUP($AM20,TableHandbook[],AN$2,FALSE)</f>
        <v>#N/A</v>
      </c>
      <c r="AO20" s="33" t="e">
        <f>VLOOKUP($AM20,TableHandbook[],AO$2,FALSE)</f>
        <v>#N/A</v>
      </c>
      <c r="AP20" s="68" t="e">
        <f>VLOOKUP($AM20,TableHandbook[],AP$2,FALSE)</f>
        <v>#N/A</v>
      </c>
      <c r="AQ20" s="69" t="e">
        <f>VLOOKUP($AM20,TableHandbook[],AQ$2,FALSE)</f>
        <v>#N/A</v>
      </c>
      <c r="AR20" s="24" t="e">
        <f>VLOOKUP($AM20,TableHandbook[],AR$2,FALSE)</f>
        <v>#N/A</v>
      </c>
      <c r="AS20" s="70" t="e">
        <f>VLOOKUP($AM20,TableHandbook[],AS$2,FALSE)</f>
        <v>#N/A</v>
      </c>
      <c r="AT20" s="70" t="e">
        <f>VLOOKUP($AM20,TableHandbook[],AT$2,FALSE)</f>
        <v>#N/A</v>
      </c>
      <c r="AU20" s="70" t="e">
        <f>VLOOKUP($AM20,TableHandbook[],AU$2,FALSE)</f>
        <v>#N/A</v>
      </c>
      <c r="AV20" s="71" t="e">
        <f>VLOOKUP($AM20,TableHandbook[],AV$2,FALSE)</f>
        <v>#N/A</v>
      </c>
    </row>
    <row r="21" spans="1:55" x14ac:dyDescent="0.25">
      <c r="A21" s="8" t="s">
        <v>18</v>
      </c>
      <c r="B21" s="13" t="s">
        <v>0</v>
      </c>
      <c r="C21" s="8" t="s">
        <v>63</v>
      </c>
      <c r="D21" s="8" t="s">
        <v>64</v>
      </c>
      <c r="E21" s="8" t="s">
        <v>65</v>
      </c>
      <c r="F21" s="8" t="s">
        <v>66</v>
      </c>
      <c r="I21" s="19">
        <v>19</v>
      </c>
      <c r="J21" s="53" t="s">
        <v>103</v>
      </c>
      <c r="K21" s="30" t="s">
        <v>106</v>
      </c>
      <c r="L21" s="53" t="s">
        <v>105</v>
      </c>
      <c r="M21" s="30"/>
      <c r="N21" s="117" t="s">
        <v>103</v>
      </c>
      <c r="O21" s="118" t="str">
        <f t="shared" si="0"/>
        <v>BLDG3016</v>
      </c>
      <c r="P21" s="117" t="s">
        <v>105</v>
      </c>
      <c r="Q21" s="118">
        <f t="shared" si="1"/>
        <v>0</v>
      </c>
      <c r="R21" s="117" t="s">
        <v>103</v>
      </c>
      <c r="S21" s="118" t="str">
        <f t="shared" si="2"/>
        <v>BLDG3016</v>
      </c>
      <c r="T21" s="117" t="s">
        <v>105</v>
      </c>
      <c r="U21" s="118">
        <f t="shared" si="3"/>
        <v>0</v>
      </c>
      <c r="AM21" s="72" t="e">
        <f>IF(HLOOKUP($AM$1,RangeUnitsets,I21,FALSE)="Spec",HLOOKUP($AM$1,RangeSpecSets,$I$41,FALSE),HLOOKUP($AM$1,RangeUnitsets,I21,FALSE))</f>
        <v>#N/A</v>
      </c>
      <c r="AN21" s="5" t="e">
        <f>VLOOKUP($AM21,TableHandbook[],AN$2,FALSE)</f>
        <v>#N/A</v>
      </c>
      <c r="AO21" t="e">
        <f>VLOOKUP($AM21,TableHandbook[],AO$2,FALSE)</f>
        <v>#N/A</v>
      </c>
      <c r="AP21" s="4" t="e">
        <f>VLOOKUP($AM21,TableHandbook[],AP$2,FALSE)</f>
        <v>#N/A</v>
      </c>
      <c r="AQ21" s="73" t="e">
        <f>VLOOKUP($AM21,TableHandbook[],AQ$2,FALSE)</f>
        <v>#N/A</v>
      </c>
      <c r="AR21" s="81" t="e">
        <f>VLOOKUP($AM21,TableHandbook[],AR$2,FALSE)</f>
        <v>#N/A</v>
      </c>
      <c r="AS21" s="2" t="e">
        <f>VLOOKUP($AM21,TableHandbook[],AS$2,FALSE)</f>
        <v>#N/A</v>
      </c>
      <c r="AT21" s="2" t="e">
        <f>VLOOKUP($AM21,TableHandbook[],AT$2,FALSE)</f>
        <v>#N/A</v>
      </c>
      <c r="AU21" s="2" t="e">
        <f>VLOOKUP($AM21,TableHandbook[],AU$2,FALSE)</f>
        <v>#N/A</v>
      </c>
      <c r="AV21" s="74" t="e">
        <f>VLOOKUP($AM21,TableHandbook[],AV$2,FALSE)</f>
        <v>#N/A</v>
      </c>
    </row>
    <row r="22" spans="1:55" x14ac:dyDescent="0.25">
      <c r="A22" s="8" t="s">
        <v>107</v>
      </c>
      <c r="B22" s="137" t="s">
        <v>108</v>
      </c>
      <c r="C22" s="4" t="s">
        <v>109</v>
      </c>
      <c r="D22" s="4" t="s">
        <v>110</v>
      </c>
      <c r="E22" s="62">
        <v>44562</v>
      </c>
      <c r="F22" s="62">
        <v>44562</v>
      </c>
      <c r="I22" s="19">
        <v>20</v>
      </c>
      <c r="J22" s="53" t="s">
        <v>103</v>
      </c>
      <c r="K22" s="30" t="s">
        <v>111</v>
      </c>
      <c r="L22" s="53" t="s">
        <v>105</v>
      </c>
      <c r="M22" s="30"/>
      <c r="N22" s="117" t="s">
        <v>103</v>
      </c>
      <c r="O22" s="118" t="str">
        <f t="shared" si="0"/>
        <v>BLDG3012</v>
      </c>
      <c r="P22" s="117" t="s">
        <v>105</v>
      </c>
      <c r="Q22" s="118">
        <f t="shared" si="1"/>
        <v>0</v>
      </c>
      <c r="R22" s="117" t="s">
        <v>103</v>
      </c>
      <c r="S22" s="118" t="str">
        <f t="shared" si="2"/>
        <v>BLDG3012</v>
      </c>
      <c r="T22" s="117" t="s">
        <v>105</v>
      </c>
      <c r="U22" s="118">
        <f t="shared" si="3"/>
        <v>0</v>
      </c>
      <c r="AM22" s="72" t="e">
        <f>IF(HLOOKUP($AM$1,RangeUnitsets,I22,FALSE)="Spec",HLOOKUP($AM$1,RangeSpecSets,$I$41,FALSE),HLOOKUP($AM$1,RangeUnitsets,I22,FALSE))</f>
        <v>#N/A</v>
      </c>
      <c r="AN22" s="5" t="e">
        <f>VLOOKUP($AM22,TableHandbook[],AN$2,FALSE)</f>
        <v>#N/A</v>
      </c>
      <c r="AO22" t="e">
        <f>VLOOKUP($AM22,TableHandbook[],AO$2,FALSE)</f>
        <v>#N/A</v>
      </c>
      <c r="AP22" s="4" t="e">
        <f>VLOOKUP($AM22,TableHandbook[],AP$2,FALSE)</f>
        <v>#N/A</v>
      </c>
      <c r="AQ22" s="73" t="e">
        <f>VLOOKUP($AM22,TableHandbook[],AQ$2,FALSE)</f>
        <v>#N/A</v>
      </c>
      <c r="AR22" s="81" t="e">
        <f>VLOOKUP($AM22,TableHandbook[],AR$2,FALSE)</f>
        <v>#N/A</v>
      </c>
      <c r="AS22" s="2" t="e">
        <f>VLOOKUP($AM22,TableHandbook[],AS$2,FALSE)</f>
        <v>#N/A</v>
      </c>
      <c r="AT22" s="2" t="e">
        <f>VLOOKUP($AM22,TableHandbook[],AT$2,FALSE)</f>
        <v>#N/A</v>
      </c>
      <c r="AU22" s="2" t="e">
        <f>VLOOKUP($AM22,TableHandbook[],AU$2,FALSE)</f>
        <v>#N/A</v>
      </c>
      <c r="AV22" s="74" t="e">
        <f>VLOOKUP($AM22,TableHandbook[],AV$2,FALSE)</f>
        <v>#N/A</v>
      </c>
    </row>
    <row r="23" spans="1:55" x14ac:dyDescent="0.25">
      <c r="A23" s="8" t="s">
        <v>112</v>
      </c>
      <c r="B23" s="137" t="s">
        <v>113</v>
      </c>
      <c r="C23" s="4" t="s">
        <v>109</v>
      </c>
      <c r="D23" s="4" t="s">
        <v>110</v>
      </c>
      <c r="E23" s="62">
        <v>44562</v>
      </c>
      <c r="F23" s="62">
        <v>44562</v>
      </c>
      <c r="I23" s="19">
        <v>21</v>
      </c>
      <c r="J23" s="93" t="s">
        <v>103</v>
      </c>
      <c r="K23" s="85" t="s">
        <v>91</v>
      </c>
      <c r="L23" s="93" t="s">
        <v>105</v>
      </c>
      <c r="M23" s="85"/>
      <c r="N23" s="117" t="s">
        <v>103</v>
      </c>
      <c r="O23" s="118" t="str">
        <f t="shared" si="0"/>
        <v>Spec</v>
      </c>
      <c r="P23" s="117" t="s">
        <v>105</v>
      </c>
      <c r="Q23" s="118">
        <f t="shared" si="1"/>
        <v>0</v>
      </c>
      <c r="R23" s="117" t="s">
        <v>103</v>
      </c>
      <c r="S23" s="118" t="str">
        <f t="shared" si="2"/>
        <v>Spec</v>
      </c>
      <c r="T23" s="117" t="s">
        <v>105</v>
      </c>
      <c r="U23" s="118">
        <f t="shared" si="3"/>
        <v>0</v>
      </c>
      <c r="AM23" s="97" t="e">
        <f>IF(HLOOKUP($AM$1,RangeUnitsets,I23,FALSE)="Spec Unit",HLOOKUP($AM$2,RangeSpecSets,$I$43,FALSE),HLOOKUP($AM$1,RangeUnitsets,I23,FALSE))</f>
        <v>#N/A</v>
      </c>
      <c r="AN23" s="35" t="e">
        <f>VLOOKUP($AM23,TableHandbook[],AN$2,FALSE)</f>
        <v>#N/A</v>
      </c>
      <c r="AO23" s="36" t="e">
        <f>VLOOKUP($AM23,TableHandbook[],AO$2,FALSE)</f>
        <v>#N/A</v>
      </c>
      <c r="AP23" s="34" t="e">
        <f>VLOOKUP($AM23,TableHandbook[],AP$2,FALSE)</f>
        <v>#N/A</v>
      </c>
      <c r="AQ23" s="37" t="e">
        <f>VLOOKUP($AM23,TableHandbook[],AQ$2,FALSE)</f>
        <v>#N/A</v>
      </c>
      <c r="AR23" s="82" t="e">
        <f>VLOOKUP($AM23,TableHandbook[],AR$2,FALSE)</f>
        <v>#N/A</v>
      </c>
      <c r="AS23" s="75" t="e">
        <f>VLOOKUP($AM23,TableHandbook[],AS$2,FALSE)</f>
        <v>#N/A</v>
      </c>
      <c r="AT23" s="75" t="e">
        <f>VLOOKUP($AM23,TableHandbook[],AT$2,FALSE)</f>
        <v>#N/A</v>
      </c>
      <c r="AU23" s="75" t="e">
        <f>VLOOKUP($AM23,TableHandbook[],AU$2,FALSE)</f>
        <v>#N/A</v>
      </c>
      <c r="AV23" s="76" t="e">
        <f>VLOOKUP($AM23,TableHandbook[],AV$2,FALSE)</f>
        <v>#N/A</v>
      </c>
    </row>
    <row r="24" spans="1:55" x14ac:dyDescent="0.25">
      <c r="A24" s="8" t="s">
        <v>114</v>
      </c>
      <c r="B24" s="137" t="s">
        <v>115</v>
      </c>
      <c r="C24" s="162" t="s">
        <v>96</v>
      </c>
      <c r="D24" s="4" t="s">
        <v>110</v>
      </c>
      <c r="E24" s="159">
        <v>45292</v>
      </c>
      <c r="F24" s="159">
        <v>45292</v>
      </c>
      <c r="I24" s="19">
        <v>22</v>
      </c>
      <c r="J24" s="53" t="s">
        <v>105</v>
      </c>
      <c r="K24" s="30" t="s">
        <v>116</v>
      </c>
      <c r="L24" s="53" t="s">
        <v>103</v>
      </c>
      <c r="M24" s="30"/>
      <c r="N24" s="117" t="s">
        <v>105</v>
      </c>
      <c r="O24" s="118" t="str">
        <f t="shared" si="0"/>
        <v>BLDG3032</v>
      </c>
      <c r="P24" s="117" t="s">
        <v>103</v>
      </c>
      <c r="Q24" s="118">
        <f t="shared" si="1"/>
        <v>0</v>
      </c>
      <c r="R24" s="117" t="s">
        <v>105</v>
      </c>
      <c r="S24" s="118" t="str">
        <f t="shared" si="2"/>
        <v>BLDG3032</v>
      </c>
      <c r="T24" s="117" t="s">
        <v>103</v>
      </c>
      <c r="U24" s="118">
        <f t="shared" si="3"/>
        <v>0</v>
      </c>
      <c r="AM24" s="66" t="e">
        <f>IF(HLOOKUP($AM$1,RangeUnitsets,I24,FALSE)="Spec",HLOOKUP($AM$1,RangeSpecSets,$I$41,FALSE),HLOOKUP($AM$1,RangeUnitsets,I24,FALSE))</f>
        <v>#N/A</v>
      </c>
      <c r="AN24" s="67" t="e">
        <f>VLOOKUP($AM24,TableHandbook[],AN$2,FALSE)</f>
        <v>#N/A</v>
      </c>
      <c r="AO24" s="33" t="e">
        <f>VLOOKUP($AM24,TableHandbook[],AO$2,FALSE)</f>
        <v>#N/A</v>
      </c>
      <c r="AP24" s="68" t="e">
        <f>VLOOKUP($AM24,TableHandbook[],AP$2,FALSE)</f>
        <v>#N/A</v>
      </c>
      <c r="AQ24" s="69" t="e">
        <f>VLOOKUP($AM24,TableHandbook[],AQ$2,FALSE)</f>
        <v>#N/A</v>
      </c>
      <c r="AR24" s="24" t="e">
        <f>VLOOKUP($AM24,TableHandbook[],AR$2,FALSE)</f>
        <v>#N/A</v>
      </c>
      <c r="AS24" s="70" t="e">
        <f>VLOOKUP($AM24,TableHandbook[],AS$2,FALSE)</f>
        <v>#N/A</v>
      </c>
      <c r="AT24" s="70" t="e">
        <f>VLOOKUP($AM24,TableHandbook[],AT$2,FALSE)</f>
        <v>#N/A</v>
      </c>
      <c r="AU24" s="70" t="e">
        <f>VLOOKUP($AM24,TableHandbook[],AU$2,FALSE)</f>
        <v>#N/A</v>
      </c>
      <c r="AV24" s="71" t="e">
        <f>VLOOKUP($AM24,TableHandbook[],AV$2,FALSE)</f>
        <v>#N/A</v>
      </c>
    </row>
    <row r="25" spans="1:55" x14ac:dyDescent="0.25">
      <c r="A25" s="8" t="s">
        <v>117</v>
      </c>
      <c r="B25" s="137" t="s">
        <v>118</v>
      </c>
      <c r="C25" s="4" t="s">
        <v>109</v>
      </c>
      <c r="D25" s="4" t="s">
        <v>110</v>
      </c>
      <c r="E25" s="62">
        <v>44197</v>
      </c>
      <c r="F25" s="62">
        <v>44197</v>
      </c>
      <c r="G25"/>
      <c r="I25" s="19">
        <v>23</v>
      </c>
      <c r="J25" s="53" t="s">
        <v>105</v>
      </c>
      <c r="K25" s="30" t="s">
        <v>119</v>
      </c>
      <c r="L25" s="53" t="s">
        <v>103</v>
      </c>
      <c r="M25" s="30"/>
      <c r="N25" s="117" t="s">
        <v>105</v>
      </c>
      <c r="O25" s="118" t="str">
        <f t="shared" si="0"/>
        <v>BLDG3030</v>
      </c>
      <c r="P25" s="117" t="s">
        <v>103</v>
      </c>
      <c r="Q25" s="118">
        <f t="shared" si="1"/>
        <v>0</v>
      </c>
      <c r="R25" s="117" t="s">
        <v>105</v>
      </c>
      <c r="S25" s="118" t="str">
        <f t="shared" si="2"/>
        <v>BLDG3030</v>
      </c>
      <c r="T25" s="117" t="s">
        <v>103</v>
      </c>
      <c r="U25" s="118">
        <f t="shared" si="3"/>
        <v>0</v>
      </c>
      <c r="AM25" s="72" t="e">
        <f>IF(HLOOKUP($AM$1,RangeUnitsets,I25,FALSE)="Spec",HLOOKUP($AM$1,RangeSpecSets,$I$41,FALSE),HLOOKUP($AM$1,RangeUnitsets,I25,FALSE))</f>
        <v>#N/A</v>
      </c>
      <c r="AN25" s="5" t="e">
        <f>VLOOKUP($AM25,TableHandbook[],AN$2,FALSE)</f>
        <v>#N/A</v>
      </c>
      <c r="AO25" t="e">
        <f>VLOOKUP($AM25,TableHandbook[],AO$2,FALSE)</f>
        <v>#N/A</v>
      </c>
      <c r="AP25" s="4" t="e">
        <f>VLOOKUP($AM25,TableHandbook[],AP$2,FALSE)</f>
        <v>#N/A</v>
      </c>
      <c r="AQ25" s="73" t="e">
        <f>VLOOKUP($AM25,TableHandbook[],AQ$2,FALSE)</f>
        <v>#N/A</v>
      </c>
      <c r="AR25" s="81" t="e">
        <f>VLOOKUP($AM25,TableHandbook[],AR$2,FALSE)</f>
        <v>#N/A</v>
      </c>
      <c r="AS25" s="2" t="e">
        <f>VLOOKUP($AM25,TableHandbook[],AS$2,FALSE)</f>
        <v>#N/A</v>
      </c>
      <c r="AT25" s="2" t="e">
        <f>VLOOKUP($AM25,TableHandbook[],AT$2,FALSE)</f>
        <v>#N/A</v>
      </c>
      <c r="AU25" s="2" t="e">
        <f>VLOOKUP($AM25,TableHandbook[],AU$2,FALSE)</f>
        <v>#N/A</v>
      </c>
      <c r="AV25" s="74" t="e">
        <f>VLOOKUP($AM25,TableHandbook[],AV$2,FALSE)</f>
        <v>#N/A</v>
      </c>
    </row>
    <row r="26" spans="1:55" x14ac:dyDescent="0.25">
      <c r="A26" s="8" t="s">
        <v>120</v>
      </c>
      <c r="B26" s="137" t="s">
        <v>121</v>
      </c>
      <c r="C26" s="162" t="s">
        <v>122</v>
      </c>
      <c r="D26" s="4" t="s">
        <v>110</v>
      </c>
      <c r="E26" s="159">
        <v>45292</v>
      </c>
      <c r="F26" s="159">
        <v>45292</v>
      </c>
      <c r="G26"/>
      <c r="I26" s="19">
        <v>24</v>
      </c>
      <c r="J26" s="53" t="s">
        <v>105</v>
      </c>
      <c r="K26" s="30" t="s">
        <v>123</v>
      </c>
      <c r="L26" s="53" t="s">
        <v>103</v>
      </c>
      <c r="M26" s="30"/>
      <c r="N26" s="117" t="s">
        <v>105</v>
      </c>
      <c r="O26" s="118" t="str">
        <f t="shared" si="0"/>
        <v>URDE3007</v>
      </c>
      <c r="P26" s="117" t="s">
        <v>103</v>
      </c>
      <c r="Q26" s="118">
        <f t="shared" si="1"/>
        <v>0</v>
      </c>
      <c r="R26" s="117" t="s">
        <v>105</v>
      </c>
      <c r="S26" s="118" t="str">
        <f t="shared" si="2"/>
        <v>URDE3007</v>
      </c>
      <c r="T26" s="117" t="s">
        <v>103</v>
      </c>
      <c r="U26" s="118">
        <f t="shared" si="3"/>
        <v>0</v>
      </c>
      <c r="AM26" s="72" t="e">
        <f>IF(HLOOKUP($AM$1,RangeUnitsets,I26,FALSE)="Spec",HLOOKUP($AM$1,RangeSpecSets,$I$41,FALSE),HLOOKUP($AM$1,RangeUnitsets,I26,FALSE))</f>
        <v>#N/A</v>
      </c>
      <c r="AN26" s="5" t="e">
        <f>VLOOKUP($AM26,TableHandbook[],AN$2,FALSE)</f>
        <v>#N/A</v>
      </c>
      <c r="AO26" t="e">
        <f>VLOOKUP($AM26,TableHandbook[],AO$2,FALSE)</f>
        <v>#N/A</v>
      </c>
      <c r="AP26" s="4" t="e">
        <f>VLOOKUP($AM26,TableHandbook[],AP$2,FALSE)</f>
        <v>#N/A</v>
      </c>
      <c r="AQ26" s="73" t="e">
        <f>VLOOKUP($AM26,TableHandbook[],AQ$2,FALSE)</f>
        <v>#N/A</v>
      </c>
      <c r="AR26" s="81" t="e">
        <f>VLOOKUP($AM26,TableHandbook[],AR$2,FALSE)</f>
        <v>#N/A</v>
      </c>
      <c r="AS26" s="2" t="e">
        <f>VLOOKUP($AM26,TableHandbook[],AS$2,FALSE)</f>
        <v>#N/A</v>
      </c>
      <c r="AT26" s="2" t="e">
        <f>VLOOKUP($AM26,TableHandbook[],AT$2,FALSE)</f>
        <v>#N/A</v>
      </c>
      <c r="AU26" s="2" t="e">
        <f>VLOOKUP($AM26,TableHandbook[],AU$2,FALSE)</f>
        <v>#N/A</v>
      </c>
      <c r="AV26" s="74" t="e">
        <f>VLOOKUP($AM26,TableHandbook[],AV$2,FALSE)</f>
        <v>#N/A</v>
      </c>
    </row>
    <row r="27" spans="1:55" x14ac:dyDescent="0.25">
      <c r="A27" s="8" t="s">
        <v>124</v>
      </c>
      <c r="B27" s="137" t="s">
        <v>125</v>
      </c>
      <c r="C27" s="4" t="s">
        <v>109</v>
      </c>
      <c r="D27" s="4" t="s">
        <v>110</v>
      </c>
      <c r="E27" s="62">
        <v>44197</v>
      </c>
      <c r="F27" s="62">
        <v>44197</v>
      </c>
      <c r="G27"/>
      <c r="I27" s="19">
        <v>25</v>
      </c>
      <c r="J27" s="94" t="s">
        <v>105</v>
      </c>
      <c r="K27" s="85" t="s">
        <v>91</v>
      </c>
      <c r="L27" s="94" t="s">
        <v>103</v>
      </c>
      <c r="M27" s="108"/>
      <c r="N27" s="119" t="s">
        <v>105</v>
      </c>
      <c r="O27" s="118" t="str">
        <f t="shared" si="0"/>
        <v>Spec</v>
      </c>
      <c r="P27" s="119" t="s">
        <v>103</v>
      </c>
      <c r="Q27" s="120">
        <f t="shared" si="1"/>
        <v>0</v>
      </c>
      <c r="R27" s="119" t="s">
        <v>105</v>
      </c>
      <c r="S27" s="118" t="str">
        <f t="shared" si="2"/>
        <v>Spec</v>
      </c>
      <c r="T27" s="119" t="s">
        <v>103</v>
      </c>
      <c r="U27" s="120">
        <f t="shared" si="3"/>
        <v>0</v>
      </c>
      <c r="AM27" s="97" t="e">
        <f>IF(HLOOKUP($AM$1,RangeUnitsets,I27,FALSE)="Spec Unit",HLOOKUP($AM$2,RangeSpecSets,$I$44,FALSE),HLOOKUP($AM$1,RangeUnitsets,I27,FALSE))</f>
        <v>#N/A</v>
      </c>
      <c r="AN27" s="35" t="e">
        <f>VLOOKUP($AM27,TableHandbook[],AN$2,FALSE)</f>
        <v>#N/A</v>
      </c>
      <c r="AO27" s="36" t="e">
        <f>VLOOKUP($AM27,TableHandbook[],AO$2,FALSE)</f>
        <v>#N/A</v>
      </c>
      <c r="AP27" s="34" t="e">
        <f>VLOOKUP($AM27,TableHandbook[],AP$2,FALSE)</f>
        <v>#N/A</v>
      </c>
      <c r="AQ27" s="37" t="e">
        <f>VLOOKUP($AM27,TableHandbook[],AQ$2,FALSE)</f>
        <v>#N/A</v>
      </c>
      <c r="AR27" s="82" t="e">
        <f>VLOOKUP($AM27,TableHandbook[],AR$2,FALSE)</f>
        <v>#N/A</v>
      </c>
      <c r="AS27" s="75" t="e">
        <f>VLOOKUP($AM27,TableHandbook[],AS$2,FALSE)</f>
        <v>#N/A</v>
      </c>
      <c r="AT27" s="75" t="e">
        <f>VLOOKUP($AM27,TableHandbook[],AT$2,FALSE)</f>
        <v>#N/A</v>
      </c>
      <c r="AU27" s="75" t="e">
        <f>VLOOKUP($AM27,TableHandbook[],AU$2,FALSE)</f>
        <v>#N/A</v>
      </c>
      <c r="AV27" s="76" t="e">
        <f>VLOOKUP($AM27,TableHandbook[],AV$2,FALSE)</f>
        <v>#N/A</v>
      </c>
    </row>
    <row r="28" spans="1:55" x14ac:dyDescent="0.25">
      <c r="G28"/>
      <c r="I28" s="19">
        <v>26</v>
      </c>
      <c r="J28" s="54" t="s">
        <v>126</v>
      </c>
      <c r="K28" s="29"/>
      <c r="L28" s="54" t="s">
        <v>127</v>
      </c>
      <c r="M28" s="29"/>
      <c r="N28" s="54" t="s">
        <v>126</v>
      </c>
      <c r="O28" s="29" t="s">
        <v>128</v>
      </c>
      <c r="P28" s="54" t="s">
        <v>127</v>
      </c>
      <c r="Q28" s="29"/>
      <c r="R28" s="54" t="s">
        <v>126</v>
      </c>
      <c r="S28" s="29" t="s">
        <v>128</v>
      </c>
      <c r="T28" s="54" t="s">
        <v>127</v>
      </c>
      <c r="U28" s="29"/>
      <c r="AM28" s="66" t="e">
        <f t="shared" ref="AM28:AM35" si="4">IF(HLOOKUP($AM$1,RangeUnitsets,I28,FALSE)="Spec",HLOOKUP($AM$1,RangeSpecSets,$I$41,FALSE),HLOOKUP($AM$1,RangeUnitsets,I28,FALSE))</f>
        <v>#N/A</v>
      </c>
      <c r="AN28" s="67" t="e">
        <f>VLOOKUP($AM28,TableHandbook[],AN$2,FALSE)</f>
        <v>#N/A</v>
      </c>
      <c r="AO28" s="33" t="e">
        <f>VLOOKUP($AM28,TableHandbook[],AO$2,FALSE)</f>
        <v>#N/A</v>
      </c>
      <c r="AP28" s="68" t="e">
        <f>VLOOKUP($AM28,TableHandbook[],AP$2,FALSE)</f>
        <v>#N/A</v>
      </c>
      <c r="AQ28" s="69" t="e">
        <f>VLOOKUP($AM28,TableHandbook[],AQ$2,FALSE)</f>
        <v>#N/A</v>
      </c>
      <c r="AR28" s="24" t="e">
        <f>VLOOKUP($AM28,TableHandbook[],AR$2,FALSE)</f>
        <v>#N/A</v>
      </c>
      <c r="AS28" s="70" t="e">
        <f>VLOOKUP($AM28,TableHandbook[],AS$2,FALSE)</f>
        <v>#N/A</v>
      </c>
      <c r="AT28" s="70" t="e">
        <f>VLOOKUP($AM28,TableHandbook[],AT$2,FALSE)</f>
        <v>#N/A</v>
      </c>
      <c r="AU28" s="70" t="e">
        <f>VLOOKUP($AM28,TableHandbook[],AU$2,FALSE)</f>
        <v>#N/A</v>
      </c>
      <c r="AV28" s="71" t="e">
        <f>VLOOKUP($AM28,TableHandbook[],AV$2,FALSE)</f>
        <v>#N/A</v>
      </c>
    </row>
    <row r="29" spans="1:55" x14ac:dyDescent="0.25">
      <c r="A29"/>
      <c r="B29"/>
      <c r="C29"/>
      <c r="D29"/>
      <c r="E29"/>
      <c r="F29"/>
      <c r="G29"/>
      <c r="H29"/>
      <c r="I29" s="19">
        <v>27</v>
      </c>
      <c r="J29" s="53" t="s">
        <v>126</v>
      </c>
      <c r="K29" s="30"/>
      <c r="L29" s="53" t="s">
        <v>127</v>
      </c>
      <c r="M29" s="30"/>
      <c r="N29" s="53" t="s">
        <v>126</v>
      </c>
      <c r="O29" s="30" t="s">
        <v>129</v>
      </c>
      <c r="P29" s="53" t="s">
        <v>127</v>
      </c>
      <c r="Q29" s="30"/>
      <c r="R29" s="53" t="s">
        <v>126</v>
      </c>
      <c r="S29" s="30" t="s">
        <v>129</v>
      </c>
      <c r="T29" s="53" t="s">
        <v>127</v>
      </c>
      <c r="U29" s="30"/>
      <c r="AM29" s="72" t="e">
        <f t="shared" si="4"/>
        <v>#N/A</v>
      </c>
      <c r="AN29" s="5" t="e">
        <f>VLOOKUP($AM29,TableHandbook[],AN$2,FALSE)</f>
        <v>#N/A</v>
      </c>
      <c r="AO29" t="e">
        <f>VLOOKUP($AM29,TableHandbook[],AO$2,FALSE)</f>
        <v>#N/A</v>
      </c>
      <c r="AP29" s="4" t="e">
        <f>VLOOKUP($AM29,TableHandbook[],AP$2,FALSE)</f>
        <v>#N/A</v>
      </c>
      <c r="AQ29" s="73" t="e">
        <f>VLOOKUP($AM29,TableHandbook[],AQ$2,FALSE)</f>
        <v>#N/A</v>
      </c>
      <c r="AR29" s="81" t="e">
        <f>VLOOKUP($AM29,TableHandbook[],AR$2,FALSE)</f>
        <v>#N/A</v>
      </c>
      <c r="AS29" s="2" t="e">
        <f>VLOOKUP($AM29,TableHandbook[],AS$2,FALSE)</f>
        <v>#N/A</v>
      </c>
      <c r="AT29" s="2" t="e">
        <f>VLOOKUP($AM29,TableHandbook[],AT$2,FALSE)</f>
        <v>#N/A</v>
      </c>
      <c r="AU29" s="2" t="e">
        <f>VLOOKUP($AM29,TableHandbook[],AU$2,FALSE)</f>
        <v>#N/A</v>
      </c>
      <c r="AV29" s="74" t="e">
        <f>VLOOKUP($AM29,TableHandbook[],AV$2,FALSE)</f>
        <v>#N/A</v>
      </c>
    </row>
    <row r="30" spans="1:55" x14ac:dyDescent="0.25">
      <c r="A30"/>
      <c r="B30" s="134"/>
      <c r="C30"/>
      <c r="D30"/>
      <c r="E30"/>
      <c r="F30"/>
      <c r="G30"/>
      <c r="H30"/>
      <c r="I30" s="19">
        <v>28</v>
      </c>
      <c r="J30" s="53" t="s">
        <v>126</v>
      </c>
      <c r="K30" s="30"/>
      <c r="L30" s="53" t="s">
        <v>127</v>
      </c>
      <c r="M30" s="30"/>
      <c r="N30" s="53" t="s">
        <v>126</v>
      </c>
      <c r="O30" s="30" t="s">
        <v>130</v>
      </c>
      <c r="P30" s="53" t="s">
        <v>127</v>
      </c>
      <c r="Q30" s="30"/>
      <c r="R30" s="53" t="s">
        <v>126</v>
      </c>
      <c r="S30" s="30" t="s">
        <v>131</v>
      </c>
      <c r="T30" s="53" t="s">
        <v>127</v>
      </c>
      <c r="U30" s="30"/>
      <c r="AM30" s="72" t="e">
        <f t="shared" si="4"/>
        <v>#N/A</v>
      </c>
      <c r="AN30" s="5" t="e">
        <f>VLOOKUP($AM30,TableHandbook[],AN$2,FALSE)</f>
        <v>#N/A</v>
      </c>
      <c r="AO30" t="e">
        <f>VLOOKUP($AM30,TableHandbook[],AO$2,FALSE)</f>
        <v>#N/A</v>
      </c>
      <c r="AP30" s="4" t="e">
        <f>VLOOKUP($AM30,TableHandbook[],AP$2,FALSE)</f>
        <v>#N/A</v>
      </c>
      <c r="AQ30" s="73" t="e">
        <f>VLOOKUP($AM30,TableHandbook[],AQ$2,FALSE)</f>
        <v>#N/A</v>
      </c>
      <c r="AR30" s="81" t="e">
        <f>VLOOKUP($AM30,TableHandbook[],AR$2,FALSE)</f>
        <v>#N/A</v>
      </c>
      <c r="AS30" s="2" t="e">
        <f>VLOOKUP($AM30,TableHandbook[],AS$2,FALSE)</f>
        <v>#N/A</v>
      </c>
      <c r="AT30" s="2" t="e">
        <f>VLOOKUP($AM30,TableHandbook[],AT$2,FALSE)</f>
        <v>#N/A</v>
      </c>
      <c r="AU30" s="2" t="e">
        <f>VLOOKUP($AM30,TableHandbook[],AU$2,FALSE)</f>
        <v>#N/A</v>
      </c>
      <c r="AV30" s="74" t="e">
        <f>VLOOKUP($AM30,TableHandbook[],AV$2,FALSE)</f>
        <v>#N/A</v>
      </c>
    </row>
    <row r="31" spans="1:55" x14ac:dyDescent="0.25">
      <c r="A31"/>
      <c r="B31"/>
      <c r="C31"/>
      <c r="D31"/>
      <c r="E31"/>
      <c r="F31"/>
      <c r="G31"/>
      <c r="H31"/>
      <c r="I31" s="19">
        <v>29</v>
      </c>
      <c r="J31" s="53" t="s">
        <v>126</v>
      </c>
      <c r="K31" s="30"/>
      <c r="L31" s="53" t="s">
        <v>127</v>
      </c>
      <c r="M31" s="30"/>
      <c r="N31" s="53" t="s">
        <v>126</v>
      </c>
      <c r="O31" s="30" t="s">
        <v>131</v>
      </c>
      <c r="P31" s="53" t="s">
        <v>127</v>
      </c>
      <c r="Q31" s="30"/>
      <c r="R31" s="53" t="s">
        <v>126</v>
      </c>
      <c r="S31" s="30" t="s">
        <v>132</v>
      </c>
      <c r="T31" s="53" t="s">
        <v>127</v>
      </c>
      <c r="U31" s="30"/>
      <c r="AM31" s="72" t="e">
        <f t="shared" si="4"/>
        <v>#N/A</v>
      </c>
      <c r="AN31" s="35" t="e">
        <f>VLOOKUP($AM31,TableHandbook[],AN$2,FALSE)</f>
        <v>#N/A</v>
      </c>
      <c r="AO31" s="36" t="e">
        <f>VLOOKUP($AM31,TableHandbook[],AO$2,FALSE)</f>
        <v>#N/A</v>
      </c>
      <c r="AP31" s="34" t="e">
        <f>VLOOKUP($AM31,TableHandbook[],AP$2,FALSE)</f>
        <v>#N/A</v>
      </c>
      <c r="AQ31" s="37" t="e">
        <f>VLOOKUP($AM31,TableHandbook[],AQ$2,FALSE)</f>
        <v>#N/A</v>
      </c>
      <c r="AR31" s="82" t="e">
        <f>VLOOKUP($AM31,TableHandbook[],AR$2,FALSE)</f>
        <v>#N/A</v>
      </c>
      <c r="AS31" s="75" t="e">
        <f>VLOOKUP($AM31,TableHandbook[],AS$2,FALSE)</f>
        <v>#N/A</v>
      </c>
      <c r="AT31" s="75" t="e">
        <f>VLOOKUP($AM31,TableHandbook[],AT$2,FALSE)</f>
        <v>#N/A</v>
      </c>
      <c r="AU31" s="75" t="e">
        <f>VLOOKUP($AM31,TableHandbook[],AU$2,FALSE)</f>
        <v>#N/A</v>
      </c>
      <c r="AV31" s="76" t="e">
        <f>VLOOKUP($AM31,TableHandbook[],AV$2,FALSE)</f>
        <v>#N/A</v>
      </c>
    </row>
    <row r="32" spans="1:55" x14ac:dyDescent="0.25">
      <c r="A32" s="172" t="s">
        <v>133</v>
      </c>
      <c r="B32"/>
      <c r="C32"/>
      <c r="D32"/>
      <c r="E32"/>
      <c r="F32"/>
      <c r="G32"/>
      <c r="H32"/>
      <c r="I32" s="19">
        <v>30</v>
      </c>
      <c r="J32" s="53" t="s">
        <v>127</v>
      </c>
      <c r="K32" s="30"/>
      <c r="L32" s="53" t="s">
        <v>126</v>
      </c>
      <c r="M32" s="30"/>
      <c r="N32" s="53" t="s">
        <v>127</v>
      </c>
      <c r="O32" s="30" t="s">
        <v>134</v>
      </c>
      <c r="P32" s="53" t="s">
        <v>126</v>
      </c>
      <c r="Q32" s="30"/>
      <c r="R32" s="53" t="s">
        <v>127</v>
      </c>
      <c r="S32" s="30" t="s">
        <v>134</v>
      </c>
      <c r="T32" s="53" t="s">
        <v>126</v>
      </c>
      <c r="U32" s="30"/>
      <c r="AM32" s="66" t="e">
        <f t="shared" si="4"/>
        <v>#N/A</v>
      </c>
      <c r="AN32" s="67" t="e">
        <f>VLOOKUP($AM32,TableHandbook[],AN$2,FALSE)</f>
        <v>#N/A</v>
      </c>
      <c r="AO32" s="33" t="e">
        <f>VLOOKUP($AM32,TableHandbook[],AO$2,FALSE)</f>
        <v>#N/A</v>
      </c>
      <c r="AP32" s="68" t="e">
        <f>VLOOKUP($AM32,TableHandbook[],AP$2,FALSE)</f>
        <v>#N/A</v>
      </c>
      <c r="AQ32" s="69" t="e">
        <f>VLOOKUP($AM32,TableHandbook[],AQ$2,FALSE)</f>
        <v>#N/A</v>
      </c>
      <c r="AR32" s="24" t="e">
        <f>VLOOKUP($AM32,TableHandbook[],AR$2,FALSE)</f>
        <v>#N/A</v>
      </c>
      <c r="AS32" s="70" t="e">
        <f>VLOOKUP($AM32,TableHandbook[],AS$2,FALSE)</f>
        <v>#N/A</v>
      </c>
      <c r="AT32" s="70" t="e">
        <f>VLOOKUP($AM32,TableHandbook[],AT$2,FALSE)</f>
        <v>#N/A</v>
      </c>
      <c r="AU32" s="70" t="e">
        <f>VLOOKUP($AM32,TableHandbook[],AU$2,FALSE)</f>
        <v>#N/A</v>
      </c>
      <c r="AV32" s="71" t="e">
        <f>VLOOKUP($AM32,TableHandbook[],AV$2,FALSE)</f>
        <v>#N/A</v>
      </c>
    </row>
    <row r="33" spans="1:48" x14ac:dyDescent="0.25">
      <c r="A33" s="172" t="s">
        <v>135</v>
      </c>
      <c r="B33"/>
      <c r="C33"/>
      <c r="D33"/>
      <c r="E33"/>
      <c r="F33"/>
      <c r="G33"/>
      <c r="H33"/>
      <c r="I33" s="19">
        <v>31</v>
      </c>
      <c r="J33" s="53" t="s">
        <v>127</v>
      </c>
      <c r="K33" s="30"/>
      <c r="L33" s="53" t="s">
        <v>126</v>
      </c>
      <c r="M33" s="30"/>
      <c r="N33" s="53" t="s">
        <v>127</v>
      </c>
      <c r="O33" s="30" t="s">
        <v>136</v>
      </c>
      <c r="P33" s="53" t="s">
        <v>126</v>
      </c>
      <c r="Q33" s="30"/>
      <c r="R33" s="53" t="s">
        <v>127</v>
      </c>
      <c r="S33" s="30" t="s">
        <v>136</v>
      </c>
      <c r="T33" s="53" t="s">
        <v>126</v>
      </c>
      <c r="U33" s="30"/>
      <c r="AM33" s="72" t="e">
        <f t="shared" si="4"/>
        <v>#N/A</v>
      </c>
      <c r="AN33" s="5" t="e">
        <f>VLOOKUP($AM33,TableHandbook[],AN$2,FALSE)</f>
        <v>#N/A</v>
      </c>
      <c r="AO33" t="e">
        <f>VLOOKUP($AM33,TableHandbook[],AO$2,FALSE)</f>
        <v>#N/A</v>
      </c>
      <c r="AP33" s="4" t="e">
        <f>VLOOKUP($AM33,TableHandbook[],AP$2,FALSE)</f>
        <v>#N/A</v>
      </c>
      <c r="AQ33" s="73" t="e">
        <f>VLOOKUP($AM33,TableHandbook[],AQ$2,FALSE)</f>
        <v>#N/A</v>
      </c>
      <c r="AR33" s="81" t="e">
        <f>VLOOKUP($AM33,TableHandbook[],AR$2,FALSE)</f>
        <v>#N/A</v>
      </c>
      <c r="AS33" s="2" t="e">
        <f>VLOOKUP($AM33,TableHandbook[],AS$2,FALSE)</f>
        <v>#N/A</v>
      </c>
      <c r="AT33" s="2" t="e">
        <f>VLOOKUP($AM33,TableHandbook[],AT$2,FALSE)</f>
        <v>#N/A</v>
      </c>
      <c r="AU33" s="2" t="e">
        <f>VLOOKUP($AM33,TableHandbook[],AU$2,FALSE)</f>
        <v>#N/A</v>
      </c>
      <c r="AV33" s="74" t="e">
        <f>VLOOKUP($AM33,TableHandbook[],AV$2,FALSE)</f>
        <v>#N/A</v>
      </c>
    </row>
    <row r="34" spans="1:48" ht="15.75" customHeight="1" x14ac:dyDescent="0.25">
      <c r="A34" s="121" t="s">
        <v>412</v>
      </c>
      <c r="B34"/>
      <c r="C34"/>
      <c r="D34"/>
      <c r="E34"/>
      <c r="F34"/>
      <c r="G34"/>
      <c r="H34"/>
      <c r="I34" s="19">
        <v>32</v>
      </c>
      <c r="J34" s="53" t="s">
        <v>127</v>
      </c>
      <c r="K34" s="30"/>
      <c r="L34" s="53" t="s">
        <v>126</v>
      </c>
      <c r="M34" s="30"/>
      <c r="N34" s="53" t="s">
        <v>127</v>
      </c>
      <c r="O34" s="110" t="s">
        <v>137</v>
      </c>
      <c r="P34" s="53" t="s">
        <v>126</v>
      </c>
      <c r="Q34" s="30"/>
      <c r="R34" s="53" t="s">
        <v>127</v>
      </c>
      <c r="S34" s="110" t="s">
        <v>138</v>
      </c>
      <c r="T34" s="53" t="s">
        <v>126</v>
      </c>
      <c r="U34" s="30"/>
      <c r="AM34" s="72" t="e">
        <f t="shared" si="4"/>
        <v>#N/A</v>
      </c>
      <c r="AN34" s="5" t="e">
        <f>VLOOKUP($AM34,TableHandbook[],AN$2,FALSE)</f>
        <v>#N/A</v>
      </c>
      <c r="AO34" t="e">
        <f>VLOOKUP($AM34,TableHandbook[],AO$2,FALSE)</f>
        <v>#N/A</v>
      </c>
      <c r="AP34" s="4" t="e">
        <f>VLOOKUP($AM34,TableHandbook[],AP$2,FALSE)</f>
        <v>#N/A</v>
      </c>
      <c r="AQ34" s="73" t="e">
        <f>VLOOKUP($AM34,TableHandbook[],AQ$2,FALSE)</f>
        <v>#N/A</v>
      </c>
      <c r="AR34" s="81" t="e">
        <f>VLOOKUP($AM34,TableHandbook[],AR$2,FALSE)</f>
        <v>#N/A</v>
      </c>
      <c r="AS34" s="2" t="e">
        <f>VLOOKUP($AM34,TableHandbook[],AS$2,FALSE)</f>
        <v>#N/A</v>
      </c>
      <c r="AT34" s="2" t="e">
        <f>VLOOKUP($AM34,TableHandbook[],AT$2,FALSE)</f>
        <v>#N/A</v>
      </c>
      <c r="AU34" s="2" t="e">
        <f>VLOOKUP($AM34,TableHandbook[],AU$2,FALSE)</f>
        <v>#N/A</v>
      </c>
      <c r="AV34" s="74" t="e">
        <f>VLOOKUP($AM34,TableHandbook[],AV$2,FALSE)</f>
        <v>#N/A</v>
      </c>
    </row>
    <row r="35" spans="1:48" x14ac:dyDescent="0.25">
      <c r="A35"/>
      <c r="B35"/>
      <c r="C35"/>
      <c r="D35"/>
      <c r="E35"/>
      <c r="F35"/>
      <c r="G35"/>
      <c r="H35"/>
      <c r="I35" s="19">
        <v>33</v>
      </c>
      <c r="J35" s="55" t="s">
        <v>127</v>
      </c>
      <c r="K35" s="64"/>
      <c r="L35" s="55" t="s">
        <v>126</v>
      </c>
      <c r="M35" s="64"/>
      <c r="N35" s="55" t="s">
        <v>127</v>
      </c>
      <c r="O35" s="111" t="s">
        <v>139</v>
      </c>
      <c r="P35" s="55" t="s">
        <v>126</v>
      </c>
      <c r="Q35" s="64"/>
      <c r="R35" s="55" t="s">
        <v>127</v>
      </c>
      <c r="S35" s="111" t="s">
        <v>139</v>
      </c>
      <c r="T35" s="55" t="s">
        <v>126</v>
      </c>
      <c r="U35" s="64"/>
      <c r="AM35" s="84" t="e">
        <f t="shared" si="4"/>
        <v>#N/A</v>
      </c>
      <c r="AN35" s="35" t="e">
        <f>VLOOKUP($AM35,TableHandbook[],AN$2,FALSE)</f>
        <v>#N/A</v>
      </c>
      <c r="AO35" s="36" t="e">
        <f>VLOOKUP($AM35,TableHandbook[],AO$2,FALSE)</f>
        <v>#N/A</v>
      </c>
      <c r="AP35" s="34" t="e">
        <f>VLOOKUP($AM35,TableHandbook[],AP$2,FALSE)</f>
        <v>#N/A</v>
      </c>
      <c r="AQ35" s="37" t="e">
        <f>VLOOKUP($AM35,TableHandbook[],AQ$2,FALSE)</f>
        <v>#N/A</v>
      </c>
      <c r="AR35" s="82" t="e">
        <f>VLOOKUP($AM35,TableHandbook[],AR$2,FALSE)</f>
        <v>#N/A</v>
      </c>
      <c r="AS35" s="75" t="e">
        <f>VLOOKUP($AM35,TableHandbook[],AS$2,FALSE)</f>
        <v>#N/A</v>
      </c>
      <c r="AT35" s="75" t="e">
        <f>VLOOKUP($AM35,TableHandbook[],AT$2,FALSE)</f>
        <v>#N/A</v>
      </c>
      <c r="AU35" s="75" t="e">
        <f>VLOOKUP($AM35,TableHandbook[],AU$2,FALSE)</f>
        <v>#N/A</v>
      </c>
      <c r="AV35" s="76" t="e">
        <f>VLOOKUP($AM35,TableHandbook[],AV$2,FALSE)</f>
        <v>#N/A</v>
      </c>
    </row>
    <row r="36" spans="1:48" ht="15.75" customHeight="1" x14ac:dyDescent="0.25">
      <c r="A36" s="154" t="s">
        <v>140</v>
      </c>
      <c r="B36"/>
      <c r="C36"/>
      <c r="D36"/>
      <c r="E36"/>
      <c r="F36"/>
      <c r="G36"/>
      <c r="H36"/>
      <c r="J36" s="33"/>
      <c r="K36" s="86" t="s">
        <v>141</v>
      </c>
      <c r="L36" s="33"/>
      <c r="M36" s="86" t="s">
        <v>141</v>
      </c>
      <c r="N36" s="33"/>
      <c r="O36" s="86" t="s">
        <v>141</v>
      </c>
      <c r="P36" s="33"/>
      <c r="Q36" s="86" t="s">
        <v>141</v>
      </c>
      <c r="R36" s="33"/>
      <c r="S36" s="86" t="s">
        <v>141</v>
      </c>
      <c r="T36" s="33"/>
      <c r="U36" s="86" t="s">
        <v>141</v>
      </c>
    </row>
    <row r="37" spans="1:48" ht="15.75" customHeight="1" x14ac:dyDescent="0.25">
      <c r="A37" t="s">
        <v>142</v>
      </c>
      <c r="B37"/>
      <c r="C37"/>
      <c r="D37"/>
      <c r="E37"/>
      <c r="F37"/>
      <c r="G37"/>
      <c r="H37"/>
      <c r="O37" s="95" t="s">
        <v>143</v>
      </c>
      <c r="Q37" s="95" t="s">
        <v>143</v>
      </c>
      <c r="S37" s="95" t="s">
        <v>143</v>
      </c>
      <c r="U37" s="95" t="s">
        <v>143</v>
      </c>
    </row>
    <row r="38" spans="1:48" x14ac:dyDescent="0.25">
      <c r="A38" t="s">
        <v>144</v>
      </c>
      <c r="B38"/>
      <c r="C38"/>
      <c r="D38"/>
      <c r="E38"/>
      <c r="F38"/>
      <c r="G38"/>
      <c r="H38"/>
    </row>
    <row r="39" spans="1:48" x14ac:dyDescent="0.25">
      <c r="A39" t="s">
        <v>145</v>
      </c>
      <c r="B39"/>
      <c r="C39"/>
      <c r="D39"/>
      <c r="E39"/>
      <c r="F39"/>
      <c r="G39"/>
      <c r="H39"/>
    </row>
    <row r="40" spans="1:48" x14ac:dyDescent="0.25">
      <c r="A40" t="s">
        <v>146</v>
      </c>
      <c r="B40"/>
      <c r="C40"/>
      <c r="D40"/>
      <c r="E40"/>
      <c r="F40"/>
      <c r="G40"/>
      <c r="H40" s="109" t="s">
        <v>147</v>
      </c>
      <c r="J40" s="78"/>
      <c r="K40" s="79" t="s">
        <v>108</v>
      </c>
      <c r="L40" s="78"/>
      <c r="M40" s="80" t="s">
        <v>113</v>
      </c>
      <c r="N40" s="78"/>
      <c r="O40" s="80" t="s">
        <v>115</v>
      </c>
      <c r="P40" s="78"/>
      <c r="Q40" s="80" t="s">
        <v>118</v>
      </c>
      <c r="R40" s="78"/>
      <c r="S40" s="170" t="s">
        <v>121</v>
      </c>
      <c r="T40" s="78"/>
      <c r="U40" s="80" t="s">
        <v>125</v>
      </c>
    </row>
    <row r="41" spans="1:48" x14ac:dyDescent="0.25">
      <c r="A41" t="s">
        <v>148</v>
      </c>
      <c r="B41"/>
      <c r="C41"/>
      <c r="D41"/>
      <c r="E41"/>
      <c r="F41"/>
      <c r="I41" s="19">
        <v>2</v>
      </c>
      <c r="J41" s="51" t="s">
        <v>149</v>
      </c>
      <c r="K41" s="29" t="s">
        <v>150</v>
      </c>
      <c r="L41" s="51" t="s">
        <v>149</v>
      </c>
      <c r="M41" s="29" t="s">
        <v>151</v>
      </c>
      <c r="N41" s="51" t="s">
        <v>149</v>
      </c>
      <c r="O41" s="149" t="s">
        <v>152</v>
      </c>
      <c r="P41" s="51" t="s">
        <v>149</v>
      </c>
      <c r="Q41" s="29" t="s">
        <v>153</v>
      </c>
      <c r="R41" s="51" t="s">
        <v>149</v>
      </c>
      <c r="S41" s="29" t="s">
        <v>154</v>
      </c>
      <c r="T41" s="51" t="s">
        <v>149</v>
      </c>
      <c r="U41" s="29" t="s">
        <v>155</v>
      </c>
    </row>
    <row r="42" spans="1:48" x14ac:dyDescent="0.25">
      <c r="A42"/>
      <c r="B42"/>
      <c r="C42"/>
      <c r="D42"/>
      <c r="E42"/>
      <c r="F42"/>
      <c r="I42" s="19">
        <v>3</v>
      </c>
      <c r="J42" s="52" t="s">
        <v>156</v>
      </c>
      <c r="K42" s="30" t="s">
        <v>157</v>
      </c>
      <c r="L42" s="52" t="s">
        <v>156</v>
      </c>
      <c r="M42" s="30" t="s">
        <v>158</v>
      </c>
      <c r="N42" s="52" t="s">
        <v>156</v>
      </c>
      <c r="O42" s="83" t="s">
        <v>159</v>
      </c>
      <c r="P42" s="52" t="s">
        <v>156</v>
      </c>
      <c r="Q42" s="30" t="s">
        <v>160</v>
      </c>
      <c r="R42" s="52" t="s">
        <v>156</v>
      </c>
      <c r="S42" s="30" t="s">
        <v>161</v>
      </c>
      <c r="T42" s="52" t="s">
        <v>156</v>
      </c>
      <c r="U42" s="30" t="s">
        <v>162</v>
      </c>
    </row>
    <row r="43" spans="1:48" x14ac:dyDescent="0.25">
      <c r="A43"/>
      <c r="B43"/>
      <c r="C43"/>
      <c r="D43"/>
      <c r="E43"/>
      <c r="F43"/>
      <c r="H43"/>
      <c r="I43" s="19">
        <v>4</v>
      </c>
      <c r="J43" s="52" t="s">
        <v>163</v>
      </c>
      <c r="K43" s="30" t="s">
        <v>164</v>
      </c>
      <c r="L43" s="52" t="s">
        <v>163</v>
      </c>
      <c r="M43" s="30" t="s">
        <v>165</v>
      </c>
      <c r="N43" s="52" t="s">
        <v>163</v>
      </c>
      <c r="O43" s="83" t="s">
        <v>166</v>
      </c>
      <c r="P43" s="52" t="s">
        <v>163</v>
      </c>
      <c r="Q43" s="30" t="s">
        <v>158</v>
      </c>
      <c r="R43" s="52" t="s">
        <v>163</v>
      </c>
      <c r="S43" s="30" t="s">
        <v>167</v>
      </c>
      <c r="T43" s="52" t="s">
        <v>163</v>
      </c>
      <c r="U43" s="83" t="s">
        <v>168</v>
      </c>
    </row>
    <row r="44" spans="1:48" x14ac:dyDescent="0.25">
      <c r="A44"/>
      <c r="B44"/>
      <c r="C44"/>
      <c r="D44"/>
      <c r="E44"/>
      <c r="F44"/>
      <c r="H44"/>
      <c r="I44" s="19">
        <v>5</v>
      </c>
      <c r="J44" s="52" t="s">
        <v>169</v>
      </c>
      <c r="K44" s="30" t="s">
        <v>158</v>
      </c>
      <c r="L44" s="52" t="s">
        <v>169</v>
      </c>
      <c r="M44" s="30" t="s">
        <v>170</v>
      </c>
      <c r="N44" s="52" t="s">
        <v>169</v>
      </c>
      <c r="O44" s="83" t="s">
        <v>171</v>
      </c>
      <c r="P44" s="52" t="s">
        <v>169</v>
      </c>
      <c r="Q44" s="30" t="s">
        <v>172</v>
      </c>
      <c r="R44" s="52" t="s">
        <v>169</v>
      </c>
      <c r="S44" s="30" t="s">
        <v>173</v>
      </c>
      <c r="T44" s="52" t="s">
        <v>169</v>
      </c>
      <c r="U44" s="83" t="s">
        <v>174</v>
      </c>
    </row>
    <row r="45" spans="1:48" x14ac:dyDescent="0.25">
      <c r="A45"/>
      <c r="B45"/>
      <c r="C45"/>
      <c r="H45"/>
      <c r="I45" s="19">
        <v>6</v>
      </c>
      <c r="J45" s="52" t="s">
        <v>175</v>
      </c>
      <c r="K45" s="83" t="s">
        <v>176</v>
      </c>
      <c r="L45" s="52" t="s">
        <v>175</v>
      </c>
      <c r="M45" s="30" t="s">
        <v>177</v>
      </c>
      <c r="N45" s="52" t="s">
        <v>175</v>
      </c>
      <c r="O45" s="83" t="s">
        <v>178</v>
      </c>
      <c r="P45" s="52" t="s">
        <v>175</v>
      </c>
      <c r="Q45" s="30" t="s">
        <v>179</v>
      </c>
      <c r="R45" s="52"/>
      <c r="T45" s="52"/>
      <c r="U45" s="83"/>
    </row>
    <row r="46" spans="1:48" x14ac:dyDescent="0.25">
      <c r="A46"/>
      <c r="B46"/>
      <c r="C46"/>
      <c r="H46"/>
      <c r="I46" s="19">
        <v>7</v>
      </c>
      <c r="J46" s="52" t="s">
        <v>180</v>
      </c>
      <c r="K46" s="113" t="s">
        <v>181</v>
      </c>
      <c r="L46" s="52" t="s">
        <v>180</v>
      </c>
      <c r="M46" s="30" t="s">
        <v>182</v>
      </c>
      <c r="N46" s="52" t="s">
        <v>180</v>
      </c>
      <c r="O46" s="113" t="s">
        <v>183</v>
      </c>
      <c r="P46" s="52" t="s">
        <v>180</v>
      </c>
      <c r="Q46" s="30" t="s">
        <v>184</v>
      </c>
      <c r="R46" s="52"/>
      <c r="T46" s="52"/>
      <c r="U46" s="83"/>
    </row>
    <row r="47" spans="1:48" x14ac:dyDescent="0.25">
      <c r="A47"/>
      <c r="B47"/>
      <c r="C47"/>
      <c r="H47"/>
      <c r="I47" s="19">
        <v>8</v>
      </c>
      <c r="J47" s="52" t="s">
        <v>185</v>
      </c>
      <c r="K47" s="83" t="s">
        <v>186</v>
      </c>
      <c r="L47" s="52" t="s">
        <v>185</v>
      </c>
      <c r="M47" s="30" t="s">
        <v>187</v>
      </c>
      <c r="N47" s="52" t="s">
        <v>185</v>
      </c>
      <c r="O47" s="83" t="s">
        <v>158</v>
      </c>
      <c r="P47" s="52" t="s">
        <v>185</v>
      </c>
      <c r="Q47" s="113" t="s">
        <v>188</v>
      </c>
      <c r="R47" s="52"/>
      <c r="T47" s="52"/>
      <c r="U47" s="83"/>
    </row>
    <row r="48" spans="1:48" x14ac:dyDescent="0.25">
      <c r="A48"/>
      <c r="B48"/>
      <c r="C48"/>
      <c r="H48"/>
      <c r="I48" s="19">
        <v>9</v>
      </c>
      <c r="J48" s="52"/>
      <c r="K48" s="83"/>
      <c r="L48" s="52" t="s">
        <v>189</v>
      </c>
      <c r="M48" s="30" t="s">
        <v>190</v>
      </c>
      <c r="N48" s="52" t="s">
        <v>189</v>
      </c>
      <c r="O48" s="83" t="s">
        <v>191</v>
      </c>
      <c r="P48" s="52" t="s">
        <v>189</v>
      </c>
      <c r="Q48" s="30" t="s">
        <v>192</v>
      </c>
      <c r="R48" s="52"/>
      <c r="S48" s="30"/>
      <c r="T48" s="52"/>
      <c r="U48" s="83"/>
    </row>
    <row r="49" spans="1:21" x14ac:dyDescent="0.25">
      <c r="A49"/>
      <c r="B49"/>
      <c r="C49"/>
      <c r="H49"/>
      <c r="I49" s="19">
        <v>10</v>
      </c>
      <c r="J49" s="52"/>
      <c r="K49" s="83"/>
      <c r="L49" s="52" t="s">
        <v>193</v>
      </c>
      <c r="M49" s="30" t="s">
        <v>194</v>
      </c>
      <c r="N49" s="52" t="s">
        <v>193</v>
      </c>
      <c r="O49" s="83" t="s">
        <v>195</v>
      </c>
      <c r="P49" s="52" t="s">
        <v>193</v>
      </c>
      <c r="Q49" s="30" t="s">
        <v>196</v>
      </c>
      <c r="R49" s="52"/>
      <c r="S49" s="30"/>
      <c r="T49" s="52"/>
      <c r="U49" s="83"/>
    </row>
    <row r="50" spans="1:21" x14ac:dyDescent="0.25">
      <c r="A50"/>
      <c r="B50"/>
      <c r="C50"/>
      <c r="H50"/>
      <c r="I50" s="19">
        <v>11</v>
      </c>
      <c r="J50" s="52"/>
      <c r="K50" s="83"/>
      <c r="L50" s="52"/>
      <c r="M50" s="30"/>
      <c r="N50" s="52" t="s">
        <v>197</v>
      </c>
      <c r="O50" s="83" t="s">
        <v>198</v>
      </c>
      <c r="P50" s="52"/>
      <c r="Q50" s="30"/>
      <c r="R50" s="52"/>
      <c r="S50" s="30"/>
      <c r="T50" s="52"/>
      <c r="U50" s="83"/>
    </row>
    <row r="51" spans="1:21" x14ac:dyDescent="0.25">
      <c r="A51"/>
      <c r="B51"/>
      <c r="C51"/>
      <c r="G51"/>
      <c r="H51"/>
      <c r="I51" s="19">
        <v>12</v>
      </c>
      <c r="J51" s="52"/>
      <c r="K51" s="83"/>
      <c r="L51" s="52"/>
      <c r="M51" s="30"/>
      <c r="N51" s="52" t="s">
        <v>199</v>
      </c>
      <c r="O51" s="83" t="s">
        <v>200</v>
      </c>
      <c r="P51" s="52"/>
      <c r="R51" s="52"/>
      <c r="S51" s="30"/>
      <c r="T51" s="52"/>
      <c r="U51" s="83"/>
    </row>
    <row r="52" spans="1:21" x14ac:dyDescent="0.25">
      <c r="A52"/>
      <c r="B52"/>
      <c r="C52"/>
      <c r="G52"/>
      <c r="H52"/>
      <c r="I52" s="19">
        <v>13</v>
      </c>
      <c r="J52" s="52"/>
      <c r="K52" s="83"/>
      <c r="L52" s="52"/>
      <c r="M52" s="30"/>
      <c r="N52" s="52" t="s">
        <v>201</v>
      </c>
      <c r="O52" s="83" t="s">
        <v>202</v>
      </c>
      <c r="P52" s="52"/>
      <c r="Q52" s="30"/>
      <c r="R52" s="52"/>
      <c r="S52" s="30"/>
      <c r="T52" s="52"/>
      <c r="U52" s="83"/>
    </row>
    <row r="53" spans="1:21" x14ac:dyDescent="0.25">
      <c r="A53"/>
      <c r="B53"/>
      <c r="C53"/>
      <c r="D53"/>
      <c r="E53"/>
      <c r="F53"/>
      <c r="G53"/>
      <c r="H53"/>
      <c r="I53" s="19">
        <v>14</v>
      </c>
      <c r="J53" s="52"/>
      <c r="K53" s="83"/>
      <c r="L53" s="52"/>
      <c r="M53" s="30"/>
      <c r="N53" s="52" t="s">
        <v>203</v>
      </c>
      <c r="O53" s="83" t="s">
        <v>204</v>
      </c>
      <c r="P53" s="52"/>
      <c r="Q53" s="30"/>
      <c r="R53" s="52"/>
      <c r="S53" s="30"/>
      <c r="T53" s="52"/>
      <c r="U53" s="83"/>
    </row>
    <row r="54" spans="1:21" x14ac:dyDescent="0.25">
      <c r="A54"/>
      <c r="B54"/>
      <c r="C54"/>
      <c r="D54"/>
      <c r="E54"/>
      <c r="F54"/>
      <c r="G54"/>
      <c r="H54"/>
      <c r="I54" s="19">
        <v>15</v>
      </c>
      <c r="J54" s="52"/>
      <c r="K54" s="83"/>
      <c r="L54" s="52"/>
      <c r="M54" s="30"/>
      <c r="N54" s="52" t="s">
        <v>205</v>
      </c>
      <c r="O54" s="83" t="s">
        <v>206</v>
      </c>
      <c r="P54" s="52"/>
      <c r="Q54" s="30"/>
      <c r="R54" s="52"/>
      <c r="S54" s="30"/>
      <c r="T54" s="52"/>
      <c r="U54" s="83"/>
    </row>
    <row r="55" spans="1:21" x14ac:dyDescent="0.25">
      <c r="A55"/>
      <c r="B55"/>
      <c r="C55"/>
      <c r="D55"/>
      <c r="E55"/>
      <c r="F55"/>
      <c r="G55"/>
      <c r="H55"/>
      <c r="I55" s="19">
        <v>16</v>
      </c>
      <c r="J55" s="52"/>
      <c r="K55" s="83"/>
      <c r="L55" s="52"/>
      <c r="M55" s="30"/>
      <c r="N55" s="52" t="s">
        <v>207</v>
      </c>
      <c r="O55" s="83" t="s">
        <v>208</v>
      </c>
      <c r="P55" s="52"/>
      <c r="Q55" s="30"/>
      <c r="R55" s="52"/>
      <c r="S55" s="30"/>
      <c r="T55" s="52"/>
      <c r="U55" s="83"/>
    </row>
    <row r="56" spans="1:21" x14ac:dyDescent="0.25">
      <c r="A56"/>
      <c r="B56"/>
      <c r="C56"/>
      <c r="D56"/>
      <c r="E56"/>
      <c r="F56"/>
      <c r="G56"/>
      <c r="H56"/>
      <c r="I56" s="19">
        <v>17</v>
      </c>
      <c r="J56" s="52"/>
      <c r="K56" s="83"/>
      <c r="L56" s="52"/>
      <c r="M56" s="30"/>
      <c r="N56" s="52" t="s">
        <v>209</v>
      </c>
      <c r="O56" s="83" t="s">
        <v>210</v>
      </c>
      <c r="P56" s="52"/>
      <c r="Q56" s="30"/>
      <c r="R56" s="52"/>
      <c r="S56" s="30"/>
      <c r="T56" s="52"/>
      <c r="U56" s="83"/>
    </row>
    <row r="57" spans="1:21" x14ac:dyDescent="0.25">
      <c r="A57"/>
      <c r="B57"/>
      <c r="C57"/>
      <c r="D57"/>
      <c r="E57"/>
      <c r="F57"/>
      <c r="G57"/>
      <c r="H57"/>
      <c r="I57" s="19">
        <v>18</v>
      </c>
      <c r="J57" s="52"/>
      <c r="K57" s="83"/>
      <c r="L57" s="52"/>
      <c r="M57" s="30"/>
      <c r="N57" s="52" t="s">
        <v>211</v>
      </c>
      <c r="O57" s="83" t="s">
        <v>212</v>
      </c>
      <c r="P57" s="52"/>
      <c r="Q57" s="30"/>
      <c r="R57" s="52"/>
      <c r="S57" s="30"/>
      <c r="T57" s="52"/>
      <c r="U57" s="83"/>
    </row>
    <row r="58" spans="1:21" x14ac:dyDescent="0.25">
      <c r="A58"/>
      <c r="B58"/>
      <c r="C58"/>
      <c r="D58"/>
      <c r="E58"/>
      <c r="F58"/>
      <c r="G58"/>
      <c r="H58"/>
      <c r="I58" s="19">
        <v>19</v>
      </c>
      <c r="J58" s="52"/>
      <c r="K58" s="83"/>
      <c r="L58" s="52"/>
      <c r="M58" s="30"/>
      <c r="N58" s="52" t="s">
        <v>213</v>
      </c>
      <c r="O58" s="83" t="s">
        <v>186</v>
      </c>
      <c r="P58" s="52"/>
      <c r="Q58" s="148"/>
      <c r="R58" s="52"/>
      <c r="S58" s="30"/>
      <c r="T58" s="52"/>
      <c r="U58" s="83"/>
    </row>
    <row r="59" spans="1:21" x14ac:dyDescent="0.25">
      <c r="A59"/>
      <c r="B59"/>
      <c r="C59"/>
      <c r="D59"/>
      <c r="E59"/>
      <c r="F59"/>
      <c r="G59"/>
      <c r="H59"/>
      <c r="I59" s="19">
        <v>20</v>
      </c>
      <c r="J59" s="52"/>
      <c r="K59" s="83"/>
      <c r="L59" s="52"/>
      <c r="M59" s="30"/>
      <c r="N59" s="52" t="s">
        <v>214</v>
      </c>
      <c r="O59" s="83" t="s">
        <v>215</v>
      </c>
      <c r="P59" s="52"/>
      <c r="Q59" s="148"/>
      <c r="R59" s="52"/>
      <c r="S59" s="30"/>
      <c r="T59" s="52"/>
      <c r="U59" s="83"/>
    </row>
    <row r="60" spans="1:21" x14ac:dyDescent="0.25">
      <c r="A60"/>
      <c r="B60"/>
      <c r="C60"/>
      <c r="D60"/>
      <c r="E60"/>
      <c r="F60"/>
      <c r="G60"/>
      <c r="H60"/>
      <c r="I60" s="19">
        <v>21</v>
      </c>
      <c r="J60" s="56"/>
      <c r="K60" s="30"/>
      <c r="L60" s="56"/>
      <c r="M60" s="77"/>
      <c r="N60" s="56" t="s">
        <v>216</v>
      </c>
      <c r="O60" s="64" t="s">
        <v>217</v>
      </c>
      <c r="P60" s="56"/>
      <c r="Q60" s="77"/>
      <c r="R60" s="56"/>
      <c r="S60" s="77"/>
      <c r="T60" s="56"/>
      <c r="U60" s="64"/>
    </row>
    <row r="61" spans="1:21" ht="21" customHeight="1" x14ac:dyDescent="0.25">
      <c r="A61"/>
      <c r="B61"/>
      <c r="C61"/>
      <c r="D61"/>
      <c r="E61"/>
      <c r="F61"/>
      <c r="I61" s="19"/>
      <c r="J61" s="174" t="s">
        <v>218</v>
      </c>
      <c r="K61" s="174"/>
      <c r="N61" s="174" t="s">
        <v>219</v>
      </c>
      <c r="O61" s="174"/>
      <c r="P61" s="174" t="s">
        <v>218</v>
      </c>
      <c r="Q61" s="174"/>
      <c r="R61" s="175" t="s">
        <v>220</v>
      </c>
      <c r="S61" s="175"/>
    </row>
    <row r="62" spans="1:21" x14ac:dyDescent="0.25">
      <c r="A62"/>
      <c r="B62"/>
      <c r="C62"/>
      <c r="D62"/>
      <c r="E62"/>
      <c r="F62"/>
      <c r="I62" s="19"/>
      <c r="R62" s="174" t="s">
        <v>218</v>
      </c>
      <c r="S62" s="174"/>
    </row>
    <row r="63" spans="1:21" x14ac:dyDescent="0.25">
      <c r="I63" s="19"/>
    </row>
    <row r="64" spans="1:21" x14ac:dyDescent="0.25">
      <c r="I64" s="19"/>
    </row>
    <row r="65" spans="9:9" x14ac:dyDescent="0.25">
      <c r="I65" s="19"/>
    </row>
  </sheetData>
  <mergeCells count="5">
    <mergeCell ref="J61:K61"/>
    <mergeCell ref="R61:S61"/>
    <mergeCell ref="P61:Q61"/>
    <mergeCell ref="R62:S62"/>
    <mergeCell ref="N61:O61"/>
  </mergeCells>
  <dataValidations count="2">
    <dataValidation type="list" allowBlank="1" showInputMessage="1" showErrorMessage="1" sqref="AM1">
      <formula1>$K$3:$M$3</formula1>
    </dataValidation>
    <dataValidation type="list" allowBlank="1" showInputMessage="1" showErrorMessage="1" sqref="AM2">
      <formula1>$K$40:$AG$40</formula1>
    </dataValidation>
  </dataValidations>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zoomScale="85" zoomScaleNormal="85" workbookViewId="0">
      <pane ySplit="3" topLeftCell="A4" activePane="bottomLeft" state="frozen"/>
      <selection activeCell="A34" sqref="A34"/>
      <selection pane="bottomLeft" activeCell="A34" sqref="A34"/>
    </sheetView>
  </sheetViews>
  <sheetFormatPr defaultRowHeight="15.75" x14ac:dyDescent="0.25"/>
  <cols>
    <col min="1" max="1" width="15.25" bestFit="1" customWidth="1"/>
    <col min="2" max="2" width="6" style="2" bestFit="1" customWidth="1"/>
    <col min="3" max="3" width="9.125" bestFit="1" customWidth="1"/>
    <col min="4" max="4" width="57.375" customWidth="1"/>
    <col min="5" max="5" width="8.625" style="2" bestFit="1" customWidth="1"/>
    <col min="6" max="6" width="28.625" customWidth="1"/>
    <col min="7" max="7" width="10.125" bestFit="1" customWidth="1"/>
    <col min="8" max="8" width="7.375" bestFit="1" customWidth="1"/>
    <col min="9" max="9" width="10.125" bestFit="1" customWidth="1"/>
    <col min="10" max="10" width="7.375" bestFit="1" customWidth="1"/>
    <col min="11" max="11" width="44.125" customWidth="1"/>
    <col min="12" max="12" width="6" bestFit="1" customWidth="1"/>
    <col min="13" max="14" width="5.375" bestFit="1" customWidth="1"/>
    <col min="15" max="15" width="6.5" bestFit="1" customWidth="1"/>
    <col min="16" max="16" width="6" style="2" bestFit="1" customWidth="1"/>
    <col min="17" max="17" width="6.5" style="2" bestFit="1" customWidth="1"/>
    <col min="18" max="18" width="6" style="2" bestFit="1" customWidth="1"/>
    <col min="19" max="19" width="6.5" style="2" bestFit="1" customWidth="1"/>
    <col min="20" max="20" width="5.375" bestFit="1" customWidth="1"/>
    <col min="21" max="21" width="6" bestFit="1" customWidth="1"/>
    <col min="22" max="23" width="5.375" bestFit="1" customWidth="1"/>
    <col min="24" max="24" width="6.5" bestFit="1" customWidth="1"/>
    <col min="25" max="25" width="6" bestFit="1" customWidth="1"/>
    <col min="26" max="26" width="6.5" bestFit="1" customWidth="1"/>
    <col min="27" max="27" width="6" bestFit="1" customWidth="1"/>
    <col min="28" max="28" width="6.5" customWidth="1"/>
    <col min="29" max="29" width="5.375" bestFit="1" customWidth="1"/>
  </cols>
  <sheetData>
    <row r="1" spans="1:21" x14ac:dyDescent="0.25">
      <c r="A1" s="28">
        <v>1</v>
      </c>
      <c r="B1" s="28">
        <v>2</v>
      </c>
      <c r="C1" s="28">
        <v>3</v>
      </c>
      <c r="D1" s="28">
        <v>4</v>
      </c>
      <c r="E1" s="28">
        <v>5</v>
      </c>
      <c r="F1" s="28">
        <v>6</v>
      </c>
      <c r="G1" s="28">
        <v>7</v>
      </c>
      <c r="H1" s="28">
        <v>8</v>
      </c>
      <c r="I1" s="28">
        <v>9</v>
      </c>
      <c r="J1" s="28">
        <v>10</v>
      </c>
      <c r="K1" s="28">
        <v>11</v>
      </c>
      <c r="L1" s="28">
        <v>12</v>
      </c>
      <c r="M1" s="28">
        <v>13</v>
      </c>
      <c r="N1" s="28">
        <v>14</v>
      </c>
      <c r="O1" s="28">
        <v>15</v>
      </c>
      <c r="P1" s="28">
        <v>16</v>
      </c>
      <c r="Q1" s="28">
        <v>17</v>
      </c>
      <c r="R1" s="28">
        <v>18</v>
      </c>
      <c r="S1" s="28">
        <v>19</v>
      </c>
      <c r="T1" s="28">
        <v>20</v>
      </c>
    </row>
    <row r="2" spans="1:21" x14ac:dyDescent="0.25">
      <c r="A2" s="20"/>
      <c r="B2" s="21"/>
      <c r="C2" s="21"/>
      <c r="D2" s="20"/>
      <c r="E2" s="21"/>
      <c r="F2" s="20"/>
      <c r="G2" s="27" t="s">
        <v>221</v>
      </c>
      <c r="H2" s="21"/>
      <c r="I2" s="25" t="s">
        <v>222</v>
      </c>
      <c r="J2" s="26"/>
      <c r="K2" s="3"/>
      <c r="L2" s="20"/>
      <c r="M2" s="20"/>
      <c r="N2" s="20"/>
      <c r="O2" s="20"/>
      <c r="P2" s="20"/>
      <c r="Q2" s="20"/>
      <c r="R2" s="20"/>
      <c r="S2" s="20"/>
      <c r="T2" s="20"/>
      <c r="U2" s="3"/>
    </row>
    <row r="3" spans="1:21" ht="71.25" x14ac:dyDescent="0.25">
      <c r="A3" s="44" t="s">
        <v>0</v>
      </c>
      <c r="B3" s="44" t="s">
        <v>1</v>
      </c>
      <c r="C3" s="44" t="s">
        <v>2</v>
      </c>
      <c r="D3" s="44" t="s">
        <v>223</v>
      </c>
      <c r="E3" s="44" t="s">
        <v>6</v>
      </c>
      <c r="F3" s="44" t="s">
        <v>5</v>
      </c>
      <c r="G3" s="48" t="s">
        <v>224</v>
      </c>
      <c r="H3" s="49" t="s">
        <v>225</v>
      </c>
      <c r="I3" s="49" t="s">
        <v>226</v>
      </c>
      <c r="J3" s="50" t="s">
        <v>227</v>
      </c>
      <c r="K3" s="49" t="s">
        <v>228</v>
      </c>
      <c r="L3" s="87" t="s">
        <v>229</v>
      </c>
      <c r="M3" s="87" t="s">
        <v>100</v>
      </c>
      <c r="N3" s="87" t="s">
        <v>95</v>
      </c>
      <c r="O3" s="87" t="s">
        <v>108</v>
      </c>
      <c r="P3" s="87" t="s">
        <v>113</v>
      </c>
      <c r="Q3" s="87" t="s">
        <v>115</v>
      </c>
      <c r="R3" s="87" t="s">
        <v>118</v>
      </c>
      <c r="S3" s="87" t="s">
        <v>121</v>
      </c>
      <c r="T3" s="87" t="s">
        <v>125</v>
      </c>
      <c r="U3" s="3"/>
    </row>
    <row r="4" spans="1:21" x14ac:dyDescent="0.25">
      <c r="A4" s="8" t="s">
        <v>139</v>
      </c>
      <c r="B4" s="63"/>
      <c r="C4" s="8"/>
      <c r="D4" s="8" t="s">
        <v>230</v>
      </c>
      <c r="E4" s="63"/>
      <c r="F4" s="96"/>
      <c r="G4" s="46" t="str">
        <f>IFERROR(IF(VLOOKUP(TableHandbook[[#This Row],[UDC]],TableAvailabilities[],2,FALSE)&gt;0,"Y",""),"")</f>
        <v/>
      </c>
      <c r="H4" s="124" t="str">
        <f>IFERROR(IF(VLOOKUP(TableHandbook[[#This Row],[UDC]],TableAvailabilities[],3,FALSE)&gt;0,"Y",""),"")</f>
        <v/>
      </c>
      <c r="I4" s="125" t="str">
        <f>IFERROR(IF(VLOOKUP(TableHandbook[[#This Row],[UDC]],TableAvailabilities[],4,FALSE)&gt;0,"Y",""),"")</f>
        <v/>
      </c>
      <c r="J4" s="47" t="str">
        <f>IFERROR(IF(VLOOKUP(TableHandbook[[#This Row],[UDC]],TableAvailabilities[],5,FALSE)&gt;0,"Y",""),"")</f>
        <v/>
      </c>
      <c r="K4" s="140"/>
      <c r="L4" s="88" t="str">
        <f>IFERROR(VLOOKUP(TableHandbook[[#This Row],[UDC]],TableBCONM[],7,FALSE),"")</f>
        <v/>
      </c>
      <c r="M4" s="89" t="str">
        <f>IFERROR(VLOOKUP(TableHandbook[[#This Row],[UDC]],TableSTRHCONMN[],7,FALSE),"")</f>
        <v/>
      </c>
      <c r="N4" s="89" t="str">
        <f>IFERROR(VLOOKUP(TableHandbook[[#This Row],[UDC]],TableSTRUCONMN[],7,FALSE),"")</f>
        <v/>
      </c>
      <c r="O4" s="89" t="str">
        <f>IFERROR(VLOOKUP(TableHandbook[[#This Row],[UDC]],TableSPUCANGAD[],7,FALSE),"")</f>
        <v/>
      </c>
      <c r="P4" s="89" t="str">
        <f>IFERROR(VLOOKUP(TableHandbook[[#This Row],[UDC]],TableSPUCFINCE[],7,FALSE),"")</f>
        <v/>
      </c>
      <c r="Q4" s="89" t="str">
        <f>IFERROR(VLOOKUP(TableHandbook[[#This Row],[UDC]],TableSPUCINARS[],7,FALSE),"")</f>
        <v/>
      </c>
      <c r="R4" s="92" t="str">
        <f>IFERROR(VLOOKUP(TableHandbook[[#This Row],[UDC]],TableSPUCINENT[],7,FALSE),"")</f>
        <v/>
      </c>
      <c r="S4" s="92" t="str">
        <f>IFERROR(VLOOKUP(TableHandbook[[#This Row],[UDC]],TableSPUCPROPT[],7,FALSE),"")</f>
        <v/>
      </c>
      <c r="T4" s="90" t="str">
        <f>IFERROR(VLOOKUP(TableHandbook[[#This Row],[UDC]],TableSPUCURDES[],7,FALSE),"")</f>
        <v/>
      </c>
      <c r="U4" s="3"/>
    </row>
    <row r="5" spans="1:21" ht="26.25" x14ac:dyDescent="0.25">
      <c r="A5" s="8" t="s">
        <v>59</v>
      </c>
      <c r="B5" s="63"/>
      <c r="C5" s="8"/>
      <c r="D5" s="122" t="s">
        <v>231</v>
      </c>
      <c r="E5" s="63"/>
      <c r="F5" s="96"/>
      <c r="G5" s="46" t="str">
        <f>IFERROR(IF(VLOOKUP(TableHandbook[[#This Row],[UDC]],TableAvailabilities[],2,FALSE)&gt;0,"Y",""),"")</f>
        <v/>
      </c>
      <c r="H5" s="124" t="str">
        <f>IFERROR(IF(VLOOKUP(TableHandbook[[#This Row],[UDC]],TableAvailabilities[],3,FALSE)&gt;0,"Y",""),"")</f>
        <v/>
      </c>
      <c r="I5" s="125" t="str">
        <f>IFERROR(IF(VLOOKUP(TableHandbook[[#This Row],[UDC]],TableAvailabilities[],4,FALSE)&gt;0,"Y",""),"")</f>
        <v/>
      </c>
      <c r="J5" s="47" t="str">
        <f>IFERROR(IF(VLOOKUP(TableHandbook[[#This Row],[UDC]],TableAvailabilities[],5,FALSE)&gt;0,"Y",""),"")</f>
        <v/>
      </c>
      <c r="K5" s="140"/>
      <c r="L5" s="101" t="str">
        <f>IFERROR(VLOOKUP(TableHandbook[[#This Row],[UDC]],TableBCONM[],7,FALSE),"")</f>
        <v/>
      </c>
      <c r="M5" s="102" t="str">
        <f>IFERROR(VLOOKUP(TableHandbook[[#This Row],[UDC]],TableSTRHCONMN[],7,FALSE),"")</f>
        <v/>
      </c>
      <c r="N5" s="102" t="str">
        <f>IFERROR(VLOOKUP(TableHandbook[[#This Row],[UDC]],TableSTRUCONMN[],7,FALSE),"")</f>
        <v/>
      </c>
      <c r="O5" s="102" t="str">
        <f>IFERROR(VLOOKUP(TableHandbook[[#This Row],[UDC]],TableSPUCANGAD[],7,FALSE),"")</f>
        <v/>
      </c>
      <c r="P5" s="102" t="str">
        <f>IFERROR(VLOOKUP(TableHandbook[[#This Row],[UDC]],TableSPUCFINCE[],7,FALSE),"")</f>
        <v/>
      </c>
      <c r="Q5" s="102" t="str">
        <f>IFERROR(VLOOKUP(TableHandbook[[#This Row],[UDC]],TableSPUCINARS[],7,FALSE),"")</f>
        <v/>
      </c>
      <c r="R5" s="103" t="str">
        <f>IFERROR(VLOOKUP(TableHandbook[[#This Row],[UDC]],TableSPUCINENT[],7,FALSE),"")</f>
        <v/>
      </c>
      <c r="S5" s="103" t="str">
        <f>IFERROR(VLOOKUP(TableHandbook[[#This Row],[UDC]],TableSPUCPROPT[],7,FALSE),"")</f>
        <v/>
      </c>
      <c r="T5" s="104" t="str">
        <f>IFERROR(VLOOKUP(TableHandbook[[#This Row],[UDC]],TableSPUCURDES[],7,FALSE),"")</f>
        <v/>
      </c>
    </row>
    <row r="6" spans="1:21" x14ac:dyDescent="0.25">
      <c r="A6" s="8" t="s">
        <v>232</v>
      </c>
      <c r="B6" s="63">
        <v>0</v>
      </c>
      <c r="C6" s="8"/>
      <c r="D6" s="8" t="s">
        <v>233</v>
      </c>
      <c r="E6" s="63">
        <v>200</v>
      </c>
      <c r="F6" s="96"/>
      <c r="G6" s="46" t="str">
        <f>IFERROR(IF(VLOOKUP(TableHandbook[[#This Row],[UDC]],TableAvailabilities[],2,FALSE)&gt;0,"Y",""),"")</f>
        <v/>
      </c>
      <c r="H6" s="124" t="str">
        <f>IFERROR(IF(VLOOKUP(TableHandbook[[#This Row],[UDC]],TableAvailabilities[],3,FALSE)&gt;0,"Y",""),"")</f>
        <v/>
      </c>
      <c r="I6" s="125" t="str">
        <f>IFERROR(IF(VLOOKUP(TableHandbook[[#This Row],[UDC]],TableAvailabilities[],4,FALSE)&gt;0,"Y",""),"")</f>
        <v/>
      </c>
      <c r="J6" s="47" t="str">
        <f>IFERROR(IF(VLOOKUP(TableHandbook[[#This Row],[UDC]],TableAvailabilities[],5,FALSE)&gt;0,"Y",""),"")</f>
        <v/>
      </c>
      <c r="K6" s="140"/>
      <c r="L6" s="101" t="str">
        <f>IFERROR(VLOOKUP(TableHandbook[[#This Row],[UDC]],TableBCONM[],7,FALSE),"")</f>
        <v>AltCore</v>
      </c>
      <c r="M6" s="102" t="str">
        <f>IFERROR(VLOOKUP(TableHandbook[[#This Row],[UDC]],TableSTRHCONMN[],7,FALSE),"")</f>
        <v/>
      </c>
      <c r="N6" s="102" t="str">
        <f>IFERROR(VLOOKUP(TableHandbook[[#This Row],[UDC]],TableSTRUCONMN[],7,FALSE),"")</f>
        <v/>
      </c>
      <c r="O6" s="102" t="str">
        <f>IFERROR(VLOOKUP(TableHandbook[[#This Row],[UDC]],TableSPUCANGAD[],7,FALSE),"")</f>
        <v/>
      </c>
      <c r="P6" s="102" t="str">
        <f>IFERROR(VLOOKUP(TableHandbook[[#This Row],[UDC]],TableSPUCFINCE[],7,FALSE),"")</f>
        <v/>
      </c>
      <c r="Q6" s="102" t="str">
        <f>IFERROR(VLOOKUP(TableHandbook[[#This Row],[UDC]],TableSPUCINARS[],7,FALSE),"")</f>
        <v/>
      </c>
      <c r="R6" s="103" t="str">
        <f>IFERROR(VLOOKUP(TableHandbook[[#This Row],[UDC]],TableSPUCINENT[],7,FALSE),"")</f>
        <v/>
      </c>
      <c r="S6" s="103" t="str">
        <f>IFERROR(VLOOKUP(TableHandbook[[#This Row],[UDC]],TableSPUCPROPT[],7,FALSE),"")</f>
        <v/>
      </c>
      <c r="T6" s="104" t="str">
        <f>IFERROR(VLOOKUP(TableHandbook[[#This Row],[UDC]],TableSPUCURDES[],7,FALSE),"")</f>
        <v/>
      </c>
    </row>
    <row r="7" spans="1:21" x14ac:dyDescent="0.25">
      <c r="A7" s="8" t="s">
        <v>176</v>
      </c>
      <c r="B7" s="63">
        <v>0</v>
      </c>
      <c r="C7" s="8"/>
      <c r="D7" s="8" t="s">
        <v>234</v>
      </c>
      <c r="E7" s="63"/>
      <c r="F7" s="96"/>
      <c r="G7" s="46" t="str">
        <f>IFERROR(IF(VLOOKUP(TableHandbook[[#This Row],[UDC]],TableAvailabilities[],2,FALSE)&gt;0,"Y",""),"")</f>
        <v/>
      </c>
      <c r="H7" s="124" t="str">
        <f>IFERROR(IF(VLOOKUP(TableHandbook[[#This Row],[UDC]],TableAvailabilities[],3,FALSE)&gt;0,"Y",""),"")</f>
        <v/>
      </c>
      <c r="I7" s="125" t="str">
        <f>IFERROR(IF(VLOOKUP(TableHandbook[[#This Row],[UDC]],TableAvailabilities[],4,FALSE)&gt;0,"Y",""),"")</f>
        <v/>
      </c>
      <c r="J7" s="47" t="str">
        <f>IFERROR(IF(VLOOKUP(TableHandbook[[#This Row],[UDC]],TableAvailabilities[],5,FALSE)&gt;0,"Y",""),"")</f>
        <v/>
      </c>
      <c r="K7" s="140"/>
      <c r="L7" s="101" t="str">
        <f>IFERROR(VLOOKUP(TableHandbook[[#This Row],[UDC]],TableBCONM[],7,FALSE),"")</f>
        <v/>
      </c>
      <c r="M7" s="102" t="str">
        <f>IFERROR(VLOOKUP(TableHandbook[[#This Row],[UDC]],TableSTRHCONMN[],7,FALSE),"")</f>
        <v/>
      </c>
      <c r="N7" s="102" t="str">
        <f>IFERROR(VLOOKUP(TableHandbook[[#This Row],[UDC]],TableSTRUCONMN[],7,FALSE),"")</f>
        <v/>
      </c>
      <c r="O7" s="102" t="str">
        <f>IFERROR(VLOOKUP(TableHandbook[[#This Row],[UDC]],TableSPUCANGAD[],7,FALSE),"")</f>
        <v>AltCore</v>
      </c>
      <c r="P7" s="102" t="str">
        <f>IFERROR(VLOOKUP(TableHandbook[[#This Row],[UDC]],TableSPUCFINCE[],7,FALSE),"")</f>
        <v/>
      </c>
      <c r="Q7" s="102" t="str">
        <f>IFERROR(VLOOKUP(TableHandbook[[#This Row],[UDC]],TableSPUCINARS[],7,FALSE),"")</f>
        <v/>
      </c>
      <c r="R7" s="103" t="str">
        <f>IFERROR(VLOOKUP(TableHandbook[[#This Row],[UDC]],TableSPUCINENT[],7,FALSE),"")</f>
        <v/>
      </c>
      <c r="S7" s="103" t="str">
        <f>IFERROR(VLOOKUP(TableHandbook[[#This Row],[UDC]],TableSPUCPROPT[],7,FALSE),"")</f>
        <v/>
      </c>
      <c r="T7" s="104" t="str">
        <f>IFERROR(VLOOKUP(TableHandbook[[#This Row],[UDC]],TableSPUCURDES[],7,FALSE),"")</f>
        <v/>
      </c>
    </row>
    <row r="8" spans="1:21" x14ac:dyDescent="0.25">
      <c r="A8" s="8" t="s">
        <v>152</v>
      </c>
      <c r="B8" s="63">
        <v>0</v>
      </c>
      <c r="C8" s="8"/>
      <c r="D8" s="8" t="s">
        <v>235</v>
      </c>
      <c r="E8" s="63"/>
      <c r="F8" s="96"/>
      <c r="G8" s="46" t="str">
        <f>IFERROR(IF(VLOOKUP(TableHandbook[[#This Row],[UDC]],TableAvailabilities[],2,FALSE)&gt;0,"Y",""),"")</f>
        <v/>
      </c>
      <c r="H8" s="124" t="str">
        <f>IFERROR(IF(VLOOKUP(TableHandbook[[#This Row],[UDC]],TableAvailabilities[],3,FALSE)&gt;0,"Y",""),"")</f>
        <v/>
      </c>
      <c r="I8" s="125" t="str">
        <f>IFERROR(IF(VLOOKUP(TableHandbook[[#This Row],[UDC]],TableAvailabilities[],4,FALSE)&gt;0,"Y",""),"")</f>
        <v/>
      </c>
      <c r="J8" s="47" t="str">
        <f>IFERROR(IF(VLOOKUP(TableHandbook[[#This Row],[UDC]],TableAvailabilities[],5,FALSE)&gt;0,"Y",""),"")</f>
        <v/>
      </c>
      <c r="K8" s="140"/>
      <c r="L8" s="101" t="str">
        <f>IFERROR(VLOOKUP(TableHandbook[[#This Row],[UDC]],TableBCONM[],7,FALSE),"")</f>
        <v/>
      </c>
      <c r="M8" s="102" t="str">
        <f>IFERROR(VLOOKUP(TableHandbook[[#This Row],[UDC]],TableSTRHCONMN[],7,FALSE),"")</f>
        <v/>
      </c>
      <c r="N8" s="102" t="str">
        <f>IFERROR(VLOOKUP(TableHandbook[[#This Row],[UDC]],TableSTRUCONMN[],7,FALSE),"")</f>
        <v/>
      </c>
      <c r="O8" s="102" t="str">
        <f>IFERROR(VLOOKUP(TableHandbook[[#This Row],[UDC]],TableSPUCANGAD[],7,FALSE),"")</f>
        <v/>
      </c>
      <c r="P8" s="102" t="str">
        <f>IFERROR(VLOOKUP(TableHandbook[[#This Row],[UDC]],TableSPUCFINCE[],7,FALSE),"")</f>
        <v/>
      </c>
      <c r="Q8" s="102" t="str">
        <f>IFERROR(VLOOKUP(TableHandbook[[#This Row],[UDC]],TableSPUCINARS[],7,FALSE),"")</f>
        <v>AltCore</v>
      </c>
      <c r="R8" s="103" t="str">
        <f>IFERROR(VLOOKUP(TableHandbook[[#This Row],[UDC]],TableSPUCINENT[],7,FALSE),"")</f>
        <v/>
      </c>
      <c r="S8" s="103" t="str">
        <f>IFERROR(VLOOKUP(TableHandbook[[#This Row],[UDC]],TableSPUCPROPT[],7,FALSE),"")</f>
        <v/>
      </c>
      <c r="T8" s="104" t="str">
        <f>IFERROR(VLOOKUP(TableHandbook[[#This Row],[UDC]],TableSPUCURDES[],7,FALSE),"")</f>
        <v/>
      </c>
    </row>
    <row r="9" spans="1:21" x14ac:dyDescent="0.25">
      <c r="A9" s="8" t="s">
        <v>236</v>
      </c>
      <c r="B9" s="63">
        <v>0</v>
      </c>
      <c r="C9" s="8"/>
      <c r="D9" s="8" t="s">
        <v>237</v>
      </c>
      <c r="E9" s="63"/>
      <c r="F9" s="96"/>
      <c r="G9" s="46" t="str">
        <f>IFERROR(IF(VLOOKUP(TableHandbook[[#This Row],[UDC]],TableAvailabilities[],2,FALSE)&gt;0,"Y",""),"")</f>
        <v/>
      </c>
      <c r="H9" s="124" t="str">
        <f>IFERROR(IF(VLOOKUP(TableHandbook[[#This Row],[UDC]],TableAvailabilities[],3,FALSE)&gt;0,"Y",""),"")</f>
        <v/>
      </c>
      <c r="I9" s="125" t="str">
        <f>IFERROR(IF(VLOOKUP(TableHandbook[[#This Row],[UDC]],TableAvailabilities[],4,FALSE)&gt;0,"Y",""),"")</f>
        <v/>
      </c>
      <c r="J9" s="47" t="str">
        <f>IFERROR(IF(VLOOKUP(TableHandbook[[#This Row],[UDC]],TableAvailabilities[],5,FALSE)&gt;0,"Y",""),"")</f>
        <v/>
      </c>
      <c r="K9" s="140"/>
      <c r="L9" s="101" t="str">
        <f>IFERROR(VLOOKUP(TableHandbook[[#This Row],[UDC]],TableBCONM[],7,FALSE),"")</f>
        <v/>
      </c>
      <c r="M9" s="102" t="str">
        <f>IFERROR(VLOOKUP(TableHandbook[[#This Row],[UDC]],TableSTRHCONMN[],7,FALSE),"")</f>
        <v/>
      </c>
      <c r="N9" s="102" t="str">
        <f>IFERROR(VLOOKUP(TableHandbook[[#This Row],[UDC]],TableSTRUCONMN[],7,FALSE),"")</f>
        <v/>
      </c>
      <c r="O9" s="102" t="str">
        <f>IFERROR(VLOOKUP(TableHandbook[[#This Row],[UDC]],TableSPUCANGAD[],7,FALSE),"")</f>
        <v/>
      </c>
      <c r="P9" s="102" t="str">
        <f>IFERROR(VLOOKUP(TableHandbook[[#This Row],[UDC]],TableSPUCFINCE[],7,FALSE),"")</f>
        <v/>
      </c>
      <c r="Q9" s="102" t="str">
        <f>IFERROR(VLOOKUP(TableHandbook[[#This Row],[UDC]],TableSPUCINARS[],7,FALSE),"")</f>
        <v/>
      </c>
      <c r="R9" s="103" t="str">
        <f>IFERROR(VLOOKUP(TableHandbook[[#This Row],[UDC]],TableSPUCINENT[],7,FALSE),"")</f>
        <v/>
      </c>
      <c r="S9" s="103" t="str">
        <f>IFERROR(VLOOKUP(TableHandbook[[#This Row],[UDC]],TableSPUCPROPT[],7,FALSE),"")</f>
        <v/>
      </c>
      <c r="T9" s="104" t="str">
        <f>IFERROR(VLOOKUP(TableHandbook[[#This Row],[UDC]],TableSPUCURDES[],7,FALSE),"")</f>
        <v/>
      </c>
    </row>
    <row r="10" spans="1:21" x14ac:dyDescent="0.25">
      <c r="A10" s="8" t="s">
        <v>77</v>
      </c>
      <c r="B10" s="63">
        <v>3</v>
      </c>
      <c r="C10" s="8"/>
      <c r="D10" s="8" t="s">
        <v>238</v>
      </c>
      <c r="E10" s="63">
        <v>25</v>
      </c>
      <c r="F10" s="96" t="s">
        <v>239</v>
      </c>
      <c r="G10" s="46" t="str">
        <f>IFERROR(IF(VLOOKUP(TableHandbook[[#This Row],[UDC]],TableAvailabilities[],2,FALSE)&gt;0,"Y",""),"")</f>
        <v/>
      </c>
      <c r="H10" s="124" t="str">
        <f>IFERROR(IF(VLOOKUP(TableHandbook[[#This Row],[UDC]],TableAvailabilities[],3,FALSE)&gt;0,"Y",""),"")</f>
        <v/>
      </c>
      <c r="I10" s="125" t="str">
        <f>IFERROR(IF(VLOOKUP(TableHandbook[[#This Row],[UDC]],TableAvailabilities[],4,FALSE)&gt;0,"Y",""),"")</f>
        <v>Y</v>
      </c>
      <c r="J10" s="47" t="str">
        <f>IFERROR(IF(VLOOKUP(TableHandbook[[#This Row],[UDC]],TableAvailabilities[],5,FALSE)&gt;0,"Y",""),"")</f>
        <v/>
      </c>
      <c r="K10" s="140"/>
      <c r="L10" s="101" t="str">
        <f>IFERROR(VLOOKUP(TableHandbook[[#This Row],[UDC]],TableBCONM[],7,FALSE),"")</f>
        <v>Core</v>
      </c>
      <c r="M10" s="102" t="str">
        <f>IFERROR(VLOOKUP(TableHandbook[[#This Row],[UDC]],TableSTRHCONMN[],7,FALSE),"")</f>
        <v/>
      </c>
      <c r="N10" s="102" t="str">
        <f>IFERROR(VLOOKUP(TableHandbook[[#This Row],[UDC]],TableSTRUCONMN[],7,FALSE),"")</f>
        <v/>
      </c>
      <c r="O10" s="102" t="str">
        <f>IFERROR(VLOOKUP(TableHandbook[[#This Row],[UDC]],TableSPUCANGAD[],7,FALSE),"")</f>
        <v/>
      </c>
      <c r="P10" s="102" t="str">
        <f>IFERROR(VLOOKUP(TableHandbook[[#This Row],[UDC]],TableSPUCFINCE[],7,FALSE),"")</f>
        <v/>
      </c>
      <c r="Q10" s="102" t="str">
        <f>IFERROR(VLOOKUP(TableHandbook[[#This Row],[UDC]],TableSPUCINARS[],7,FALSE),"")</f>
        <v/>
      </c>
      <c r="R10" s="103" t="str">
        <f>IFERROR(VLOOKUP(TableHandbook[[#This Row],[UDC]],TableSPUCINENT[],7,FALSE),"")</f>
        <v/>
      </c>
      <c r="S10" s="103" t="str">
        <f>IFERROR(VLOOKUP(TableHandbook[[#This Row],[UDC]],TableSPUCPROPT[],7,FALSE),"")</f>
        <v/>
      </c>
      <c r="T10" s="104" t="str">
        <f>IFERROR(VLOOKUP(TableHandbook[[#This Row],[UDC]],TableSPUCURDES[],7,FALSE),"")</f>
        <v/>
      </c>
    </row>
    <row r="11" spans="1:21" x14ac:dyDescent="0.25">
      <c r="A11" s="8" t="s">
        <v>200</v>
      </c>
      <c r="B11" s="63">
        <v>1</v>
      </c>
      <c r="C11" s="8"/>
      <c r="D11" s="8" t="s">
        <v>240</v>
      </c>
      <c r="E11" s="63">
        <v>25</v>
      </c>
      <c r="F11" s="96" t="s">
        <v>241</v>
      </c>
      <c r="G11" s="46" t="str">
        <f>IFERROR(IF(VLOOKUP(TableHandbook[[#This Row],[UDC]],TableAvailabilities[],2,FALSE)&gt;0,"Y",""),"")</f>
        <v/>
      </c>
      <c r="H11" s="124" t="str">
        <f>IFERROR(IF(VLOOKUP(TableHandbook[[#This Row],[UDC]],TableAvailabilities[],3,FALSE)&gt;0,"Y",""),"")</f>
        <v/>
      </c>
      <c r="I11" s="125" t="str">
        <f>IFERROR(IF(VLOOKUP(TableHandbook[[#This Row],[UDC]],TableAvailabilities[],4,FALSE)&gt;0,"Y",""),"")</f>
        <v/>
      </c>
      <c r="J11" s="47" t="str">
        <f>IFERROR(IF(VLOOKUP(TableHandbook[[#This Row],[UDC]],TableAvailabilities[],5,FALSE)&gt;0,"Y",""),"")</f>
        <v/>
      </c>
      <c r="K11" s="140"/>
      <c r="L11" s="101" t="str">
        <f>IFERROR(VLOOKUP(TableHandbook[[#This Row],[UDC]],TableBCONM[],7,FALSE),"")</f>
        <v/>
      </c>
      <c r="M11" s="102" t="str">
        <f>IFERROR(VLOOKUP(TableHandbook[[#This Row],[UDC]],TableSTRHCONMN[],7,FALSE),"")</f>
        <v/>
      </c>
      <c r="N11" s="102" t="str">
        <f>IFERROR(VLOOKUP(TableHandbook[[#This Row],[UDC]],TableSTRUCONMN[],7,FALSE),"")</f>
        <v/>
      </c>
      <c r="O11" s="102" t="str">
        <f>IFERROR(VLOOKUP(TableHandbook[[#This Row],[UDC]],TableSPUCANGAD[],7,FALSE),"")</f>
        <v/>
      </c>
      <c r="P11" s="102" t="str">
        <f>IFERROR(VLOOKUP(TableHandbook[[#This Row],[UDC]],TableSPUCFINCE[],7,FALSE),"")</f>
        <v/>
      </c>
      <c r="Q11" s="102" t="str">
        <f>IFERROR(VLOOKUP(TableHandbook[[#This Row],[UDC]],TableSPUCINARS[],7,FALSE),"")</f>
        <v>Option</v>
      </c>
      <c r="R11" s="103" t="str">
        <f>IFERROR(VLOOKUP(TableHandbook[[#This Row],[UDC]],TableSPUCINENT[],7,FALSE),"")</f>
        <v/>
      </c>
      <c r="S11" s="103" t="str">
        <f>IFERROR(VLOOKUP(TableHandbook[[#This Row],[UDC]],TableSPUCPROPT[],7,FALSE),"")</f>
        <v/>
      </c>
      <c r="T11" s="104" t="str">
        <f>IFERROR(VLOOKUP(TableHandbook[[#This Row],[UDC]],TableSPUCURDES[],7,FALSE),"")</f>
        <v/>
      </c>
    </row>
    <row r="12" spans="1:21" x14ac:dyDescent="0.25">
      <c r="A12" s="8" t="s">
        <v>202</v>
      </c>
      <c r="B12" s="63">
        <v>1</v>
      </c>
      <c r="C12" s="8"/>
      <c r="D12" s="8" t="s">
        <v>243</v>
      </c>
      <c r="E12" s="63">
        <v>25</v>
      </c>
      <c r="F12" s="96" t="s">
        <v>241</v>
      </c>
      <c r="G12" s="46" t="str">
        <f>IFERROR(IF(VLOOKUP(TableHandbook[[#This Row],[UDC]],TableAvailabilities[],2,FALSE)&gt;0,"Y",""),"")</f>
        <v/>
      </c>
      <c r="H12" s="124" t="str">
        <f>IFERROR(IF(VLOOKUP(TableHandbook[[#This Row],[UDC]],TableAvailabilities[],3,FALSE)&gt;0,"Y",""),"")</f>
        <v/>
      </c>
      <c r="I12" s="125" t="str">
        <f>IFERROR(IF(VLOOKUP(TableHandbook[[#This Row],[UDC]],TableAvailabilities[],4,FALSE)&gt;0,"Y",""),"")</f>
        <v/>
      </c>
      <c r="J12" s="47" t="str">
        <f>IFERROR(IF(VLOOKUP(TableHandbook[[#This Row],[UDC]],TableAvailabilities[],5,FALSE)&gt;0,"Y",""),"")</f>
        <v/>
      </c>
      <c r="K12" s="140"/>
      <c r="L12" s="101" t="str">
        <f>IFERROR(VLOOKUP(TableHandbook[[#This Row],[UDC]],TableBCONM[],7,FALSE),"")</f>
        <v/>
      </c>
      <c r="M12" s="102" t="str">
        <f>IFERROR(VLOOKUP(TableHandbook[[#This Row],[UDC]],TableSTRHCONMN[],7,FALSE),"")</f>
        <v/>
      </c>
      <c r="N12" s="102" t="str">
        <f>IFERROR(VLOOKUP(TableHandbook[[#This Row],[UDC]],TableSTRUCONMN[],7,FALSE),"")</f>
        <v/>
      </c>
      <c r="O12" s="102" t="str">
        <f>IFERROR(VLOOKUP(TableHandbook[[#This Row],[UDC]],TableSPUCANGAD[],7,FALSE),"")</f>
        <v/>
      </c>
      <c r="P12" s="102" t="str">
        <f>IFERROR(VLOOKUP(TableHandbook[[#This Row],[UDC]],TableSPUCFINCE[],7,FALSE),"")</f>
        <v/>
      </c>
      <c r="Q12" s="102" t="str">
        <f>IFERROR(VLOOKUP(TableHandbook[[#This Row],[UDC]],TableSPUCINARS[],7,FALSE),"")</f>
        <v>Option</v>
      </c>
      <c r="R12" s="103" t="str">
        <f>IFERROR(VLOOKUP(TableHandbook[[#This Row],[UDC]],TableSPUCINENT[],7,FALSE),"")</f>
        <v/>
      </c>
      <c r="S12" s="103" t="str">
        <f>IFERROR(VLOOKUP(TableHandbook[[#This Row],[UDC]],TableSPUCPROPT[],7,FALSE),"")</f>
        <v/>
      </c>
      <c r="T12" s="104" t="str">
        <f>IFERROR(VLOOKUP(TableHandbook[[#This Row],[UDC]],TableSPUCURDES[],7,FALSE),"")</f>
        <v/>
      </c>
    </row>
    <row r="13" spans="1:21" x14ac:dyDescent="0.25">
      <c r="A13" s="8" t="s">
        <v>61</v>
      </c>
      <c r="B13" s="63">
        <v>2</v>
      </c>
      <c r="C13" s="8"/>
      <c r="D13" s="8" t="s">
        <v>244</v>
      </c>
      <c r="E13" s="63">
        <v>25</v>
      </c>
      <c r="F13" s="96" t="s">
        <v>239</v>
      </c>
      <c r="G13" s="46" t="str">
        <f>IFERROR(IF(VLOOKUP(TableHandbook[[#This Row],[UDC]],TableAvailabilities[],2,FALSE)&gt;0,"Y",""),"")</f>
        <v>Y</v>
      </c>
      <c r="H13" s="124" t="str">
        <f>IFERROR(IF(VLOOKUP(TableHandbook[[#This Row],[UDC]],TableAvailabilities[],3,FALSE)&gt;0,"Y",""),"")</f>
        <v/>
      </c>
      <c r="I13" s="125" t="str">
        <f>IFERROR(IF(VLOOKUP(TableHandbook[[#This Row],[UDC]],TableAvailabilities[],4,FALSE)&gt;0,"Y",""),"")</f>
        <v/>
      </c>
      <c r="J13" s="47" t="str">
        <f>IFERROR(IF(VLOOKUP(TableHandbook[[#This Row],[UDC]],TableAvailabilities[],5,FALSE)&gt;0,"Y",""),"")</f>
        <v/>
      </c>
      <c r="K13" s="140"/>
      <c r="L13" s="101" t="str">
        <f>IFERROR(VLOOKUP(TableHandbook[[#This Row],[UDC]],TableBCONM[],7,FALSE),"")</f>
        <v>Core</v>
      </c>
      <c r="M13" s="102" t="str">
        <f>IFERROR(VLOOKUP(TableHandbook[[#This Row],[UDC]],TableSTRHCONMN[],7,FALSE),"")</f>
        <v/>
      </c>
      <c r="N13" s="102" t="str">
        <f>IFERROR(VLOOKUP(TableHandbook[[#This Row],[UDC]],TableSTRUCONMN[],7,FALSE),"")</f>
        <v/>
      </c>
      <c r="O13" s="102" t="str">
        <f>IFERROR(VLOOKUP(TableHandbook[[#This Row],[UDC]],TableSPUCANGAD[],7,FALSE),"")</f>
        <v/>
      </c>
      <c r="P13" s="102" t="str">
        <f>IFERROR(VLOOKUP(TableHandbook[[#This Row],[UDC]],TableSPUCFINCE[],7,FALSE),"")</f>
        <v/>
      </c>
      <c r="Q13" s="102" t="str">
        <f>IFERROR(VLOOKUP(TableHandbook[[#This Row],[UDC]],TableSPUCINARS[],7,FALSE),"")</f>
        <v/>
      </c>
      <c r="R13" s="103" t="str">
        <f>IFERROR(VLOOKUP(TableHandbook[[#This Row],[UDC]],TableSPUCINENT[],7,FALSE),"")</f>
        <v/>
      </c>
      <c r="S13" s="103" t="str">
        <f>IFERROR(VLOOKUP(TableHandbook[[#This Row],[UDC]],TableSPUCPROPT[],7,FALSE),"")</f>
        <v/>
      </c>
      <c r="T13" s="104" t="str">
        <f>IFERROR(VLOOKUP(TableHandbook[[#This Row],[UDC]],TableSPUCURDES[],7,FALSE),"")</f>
        <v/>
      </c>
    </row>
    <row r="14" spans="1:21" x14ac:dyDescent="0.25">
      <c r="A14" s="8" t="s">
        <v>75</v>
      </c>
      <c r="B14" s="63">
        <v>3</v>
      </c>
      <c r="C14" s="8"/>
      <c r="D14" s="8" t="s">
        <v>245</v>
      </c>
      <c r="E14" s="63">
        <v>25</v>
      </c>
      <c r="F14" s="96" t="s">
        <v>61</v>
      </c>
      <c r="G14" s="46" t="str">
        <f>IFERROR(IF(VLOOKUP(TableHandbook[[#This Row],[UDC]],TableAvailabilities[],2,FALSE)&gt;0,"Y",""),"")</f>
        <v/>
      </c>
      <c r="H14" s="124" t="str">
        <f>IFERROR(IF(VLOOKUP(TableHandbook[[#This Row],[UDC]],TableAvailabilities[],3,FALSE)&gt;0,"Y",""),"")</f>
        <v/>
      </c>
      <c r="I14" s="125" t="str">
        <f>IFERROR(IF(VLOOKUP(TableHandbook[[#This Row],[UDC]],TableAvailabilities[],4,FALSE)&gt;0,"Y",""),"")</f>
        <v>Y</v>
      </c>
      <c r="J14" s="47" t="str">
        <f>IFERROR(IF(VLOOKUP(TableHandbook[[#This Row],[UDC]],TableAvailabilities[],5,FALSE)&gt;0,"Y",""),"")</f>
        <v/>
      </c>
      <c r="K14" s="140"/>
      <c r="L14" s="101" t="str">
        <f>IFERROR(VLOOKUP(TableHandbook[[#This Row],[UDC]],TableBCONM[],7,FALSE),"")</f>
        <v>Core</v>
      </c>
      <c r="M14" s="102" t="str">
        <f>IFERROR(VLOOKUP(TableHandbook[[#This Row],[UDC]],TableSTRHCONMN[],7,FALSE),"")</f>
        <v/>
      </c>
      <c r="N14" s="102" t="str">
        <f>IFERROR(VLOOKUP(TableHandbook[[#This Row],[UDC]],TableSTRUCONMN[],7,FALSE),"")</f>
        <v/>
      </c>
      <c r="O14" s="102" t="str">
        <f>IFERROR(VLOOKUP(TableHandbook[[#This Row],[UDC]],TableSPUCANGAD[],7,FALSE),"")</f>
        <v/>
      </c>
      <c r="P14" s="102" t="str">
        <f>IFERROR(VLOOKUP(TableHandbook[[#This Row],[UDC]],TableSPUCFINCE[],7,FALSE),"")</f>
        <v/>
      </c>
      <c r="Q14" s="102" t="str">
        <f>IFERROR(VLOOKUP(TableHandbook[[#This Row],[UDC]],TableSPUCINARS[],7,FALSE),"")</f>
        <v/>
      </c>
      <c r="R14" s="103" t="str">
        <f>IFERROR(VLOOKUP(TableHandbook[[#This Row],[UDC]],TableSPUCINENT[],7,FALSE),"")</f>
        <v/>
      </c>
      <c r="S14" s="103" t="str">
        <f>IFERROR(VLOOKUP(TableHandbook[[#This Row],[UDC]],TableSPUCPROPT[],7,FALSE),"")</f>
        <v/>
      </c>
      <c r="T14" s="104" t="str">
        <f>IFERROR(VLOOKUP(TableHandbook[[#This Row],[UDC]],TableSPUCURDES[],7,FALSE),"")</f>
        <v/>
      </c>
    </row>
    <row r="15" spans="1:21" x14ac:dyDescent="0.25">
      <c r="A15" s="8" t="s">
        <v>67</v>
      </c>
      <c r="B15" s="63">
        <v>1</v>
      </c>
      <c r="C15" s="8"/>
      <c r="D15" s="8" t="s">
        <v>246</v>
      </c>
      <c r="E15" s="63">
        <v>25</v>
      </c>
      <c r="F15" s="96" t="s">
        <v>239</v>
      </c>
      <c r="G15" s="46" t="str">
        <f>IFERROR(IF(VLOOKUP(TableHandbook[[#This Row],[UDC]],TableAvailabilities[],2,FALSE)&gt;0,"Y",""),"")</f>
        <v>Y</v>
      </c>
      <c r="H15" s="124" t="str">
        <f>IFERROR(IF(VLOOKUP(TableHandbook[[#This Row],[UDC]],TableAvailabilities[],3,FALSE)&gt;0,"Y",""),"")</f>
        <v/>
      </c>
      <c r="I15" s="125" t="str">
        <f>IFERROR(IF(VLOOKUP(TableHandbook[[#This Row],[UDC]],TableAvailabilities[],4,FALSE)&gt;0,"Y",""),"")</f>
        <v/>
      </c>
      <c r="J15" s="47" t="str">
        <f>IFERROR(IF(VLOOKUP(TableHandbook[[#This Row],[UDC]],TableAvailabilities[],5,FALSE)&gt;0,"Y",""),"")</f>
        <v/>
      </c>
      <c r="K15" s="140"/>
      <c r="L15" s="101" t="str">
        <f>IFERROR(VLOOKUP(TableHandbook[[#This Row],[UDC]],TableBCONM[],7,FALSE),"")</f>
        <v>Core</v>
      </c>
      <c r="M15" s="102" t="str">
        <f>IFERROR(VLOOKUP(TableHandbook[[#This Row],[UDC]],TableSTRHCONMN[],7,FALSE),"")</f>
        <v/>
      </c>
      <c r="N15" s="102" t="str">
        <f>IFERROR(VLOOKUP(TableHandbook[[#This Row],[UDC]],TableSTRUCONMN[],7,FALSE),"")</f>
        <v/>
      </c>
      <c r="O15" s="102" t="str">
        <f>IFERROR(VLOOKUP(TableHandbook[[#This Row],[UDC]],TableSPUCANGAD[],7,FALSE),"")</f>
        <v/>
      </c>
      <c r="P15" s="102" t="str">
        <f>IFERROR(VLOOKUP(TableHandbook[[#This Row],[UDC]],TableSPUCFINCE[],7,FALSE),"")</f>
        <v/>
      </c>
      <c r="Q15" s="102" t="str">
        <f>IFERROR(VLOOKUP(TableHandbook[[#This Row],[UDC]],TableSPUCINARS[],7,FALSE),"")</f>
        <v/>
      </c>
      <c r="R15" s="103" t="str">
        <f>IFERROR(VLOOKUP(TableHandbook[[#This Row],[UDC]],TableSPUCINENT[],7,FALSE),"")</f>
        <v/>
      </c>
      <c r="S15" s="103" t="str">
        <f>IFERROR(VLOOKUP(TableHandbook[[#This Row],[UDC]],TableSPUCPROPT[],7,FALSE),"")</f>
        <v/>
      </c>
      <c r="T15" s="104" t="str">
        <f>IFERROR(VLOOKUP(TableHandbook[[#This Row],[UDC]],TableSPUCURDES[],7,FALSE),"")</f>
        <v/>
      </c>
    </row>
    <row r="16" spans="1:21" x14ac:dyDescent="0.25">
      <c r="A16" s="8" t="s">
        <v>71</v>
      </c>
      <c r="B16" s="63">
        <v>3</v>
      </c>
      <c r="C16" s="8"/>
      <c r="D16" s="8" t="s">
        <v>247</v>
      </c>
      <c r="E16" s="63">
        <v>25</v>
      </c>
      <c r="F16" s="96" t="s">
        <v>239</v>
      </c>
      <c r="G16" s="46" t="str">
        <f>IFERROR(IF(VLOOKUP(TableHandbook[[#This Row],[UDC]],TableAvailabilities[],2,FALSE)&gt;0,"Y",""),"")</f>
        <v>Y</v>
      </c>
      <c r="H16" s="124" t="str">
        <f>IFERROR(IF(VLOOKUP(TableHandbook[[#This Row],[UDC]],TableAvailabilities[],3,FALSE)&gt;0,"Y",""),"")</f>
        <v/>
      </c>
      <c r="I16" s="125" t="str">
        <f>IFERROR(IF(VLOOKUP(TableHandbook[[#This Row],[UDC]],TableAvailabilities[],4,FALSE)&gt;0,"Y",""),"")</f>
        <v/>
      </c>
      <c r="J16" s="47" t="str">
        <f>IFERROR(IF(VLOOKUP(TableHandbook[[#This Row],[UDC]],TableAvailabilities[],5,FALSE)&gt;0,"Y",""),"")</f>
        <v/>
      </c>
      <c r="K16" s="140"/>
      <c r="L16" s="101" t="str">
        <f>IFERROR(VLOOKUP(TableHandbook[[#This Row],[UDC]],TableBCONM[],7,FALSE),"")</f>
        <v>Core</v>
      </c>
      <c r="M16" s="102" t="str">
        <f>IFERROR(VLOOKUP(TableHandbook[[#This Row],[UDC]],TableSTRHCONMN[],7,FALSE),"")</f>
        <v/>
      </c>
      <c r="N16" s="102" t="str">
        <f>IFERROR(VLOOKUP(TableHandbook[[#This Row],[UDC]],TableSTRUCONMN[],7,FALSE),"")</f>
        <v/>
      </c>
      <c r="O16" s="102" t="str">
        <f>IFERROR(VLOOKUP(TableHandbook[[#This Row],[UDC]],TableSPUCANGAD[],7,FALSE),"")</f>
        <v/>
      </c>
      <c r="P16" s="102" t="str">
        <f>IFERROR(VLOOKUP(TableHandbook[[#This Row],[UDC]],TableSPUCFINCE[],7,FALSE),"")</f>
        <v/>
      </c>
      <c r="Q16" s="102" t="str">
        <f>IFERROR(VLOOKUP(TableHandbook[[#This Row],[UDC]],TableSPUCINARS[],7,FALSE),"")</f>
        <v/>
      </c>
      <c r="R16" s="103" t="str">
        <f>IFERROR(VLOOKUP(TableHandbook[[#This Row],[UDC]],TableSPUCINENT[],7,FALSE),"")</f>
        <v/>
      </c>
      <c r="S16" s="103" t="str">
        <f>IFERROR(VLOOKUP(TableHandbook[[#This Row],[UDC]],TableSPUCPROPT[],7,FALSE),"")</f>
        <v/>
      </c>
      <c r="T16" s="104" t="str">
        <f>IFERROR(VLOOKUP(TableHandbook[[#This Row],[UDC]],TableSPUCURDES[],7,FALSE),"")</f>
        <v/>
      </c>
    </row>
    <row r="17" spans="1:20" x14ac:dyDescent="0.25">
      <c r="A17" s="8" t="s">
        <v>74</v>
      </c>
      <c r="B17" s="63">
        <v>1</v>
      </c>
      <c r="C17" s="8"/>
      <c r="D17" s="8" t="s">
        <v>248</v>
      </c>
      <c r="E17" s="63">
        <v>25</v>
      </c>
      <c r="F17" s="96" t="s">
        <v>61</v>
      </c>
      <c r="G17" s="46" t="str">
        <f>IFERROR(IF(VLOOKUP(TableHandbook[[#This Row],[UDC]],TableAvailabilities[],2,FALSE)&gt;0,"Y",""),"")</f>
        <v/>
      </c>
      <c r="H17" s="124" t="str">
        <f>IFERROR(IF(VLOOKUP(TableHandbook[[#This Row],[UDC]],TableAvailabilities[],3,FALSE)&gt;0,"Y",""),"")</f>
        <v/>
      </c>
      <c r="I17" s="125" t="str">
        <f>IFERROR(IF(VLOOKUP(TableHandbook[[#This Row],[UDC]],TableAvailabilities[],4,FALSE)&gt;0,"Y",""),"")</f>
        <v>Y</v>
      </c>
      <c r="J17" s="47" t="str">
        <f>IFERROR(IF(VLOOKUP(TableHandbook[[#This Row],[UDC]],TableAvailabilities[],5,FALSE)&gt;0,"Y",""),"")</f>
        <v/>
      </c>
      <c r="K17" s="140"/>
      <c r="L17" s="101" t="str">
        <f>IFERROR(VLOOKUP(TableHandbook[[#This Row],[UDC]],TableBCONM[],7,FALSE),"")</f>
        <v>Core</v>
      </c>
      <c r="M17" s="102" t="str">
        <f>IFERROR(VLOOKUP(TableHandbook[[#This Row],[UDC]],TableSTRHCONMN[],7,FALSE),"")</f>
        <v/>
      </c>
      <c r="N17" s="102" t="str">
        <f>IFERROR(VLOOKUP(TableHandbook[[#This Row],[UDC]],TableSTRUCONMN[],7,FALSE),"")</f>
        <v/>
      </c>
      <c r="O17" s="102" t="str">
        <f>IFERROR(VLOOKUP(TableHandbook[[#This Row],[UDC]],TableSPUCANGAD[],7,FALSE),"")</f>
        <v/>
      </c>
      <c r="P17" s="102" t="str">
        <f>IFERROR(VLOOKUP(TableHandbook[[#This Row],[UDC]],TableSPUCFINCE[],7,FALSE),"")</f>
        <v/>
      </c>
      <c r="Q17" s="102" t="str">
        <f>IFERROR(VLOOKUP(TableHandbook[[#This Row],[UDC]],TableSPUCINARS[],7,FALSE),"")</f>
        <v/>
      </c>
      <c r="R17" s="103" t="str">
        <f>IFERROR(VLOOKUP(TableHandbook[[#This Row],[UDC]],TableSPUCINENT[],7,FALSE),"")</f>
        <v/>
      </c>
      <c r="S17" s="103" t="str">
        <f>IFERROR(VLOOKUP(TableHandbook[[#This Row],[UDC]],TableSPUCPROPT[],7,FALSE),"")</f>
        <v/>
      </c>
      <c r="T17" s="104" t="str">
        <f>IFERROR(VLOOKUP(TableHandbook[[#This Row],[UDC]],TableSPUCURDES[],7,FALSE),"")</f>
        <v/>
      </c>
    </row>
    <row r="18" spans="1:20" x14ac:dyDescent="0.25">
      <c r="A18" s="8" t="s">
        <v>80</v>
      </c>
      <c r="B18" s="63">
        <v>1</v>
      </c>
      <c r="C18" s="8"/>
      <c r="D18" s="8" t="s">
        <v>249</v>
      </c>
      <c r="E18" s="63">
        <v>25</v>
      </c>
      <c r="F18" s="96" t="s">
        <v>61</v>
      </c>
      <c r="G18" s="46" t="str">
        <f>IFERROR(IF(VLOOKUP(TableHandbook[[#This Row],[UDC]],TableAvailabilities[],2,FALSE)&gt;0,"Y",""),"")</f>
        <v/>
      </c>
      <c r="H18" s="124" t="str">
        <f>IFERROR(IF(VLOOKUP(TableHandbook[[#This Row],[UDC]],TableAvailabilities[],3,FALSE)&gt;0,"Y",""),"")</f>
        <v/>
      </c>
      <c r="I18" s="125" t="str">
        <f>IFERROR(IF(VLOOKUP(TableHandbook[[#This Row],[UDC]],TableAvailabilities[],4,FALSE)&gt;0,"Y",""),"")</f>
        <v>Y</v>
      </c>
      <c r="J18" s="47" t="str">
        <f>IFERROR(IF(VLOOKUP(TableHandbook[[#This Row],[UDC]],TableAvailabilities[],5,FALSE)&gt;0,"Y",""),"")</f>
        <v/>
      </c>
      <c r="K18" s="140"/>
      <c r="L18" s="101" t="str">
        <f>IFERROR(VLOOKUP(TableHandbook[[#This Row],[UDC]],TableBCONM[],7,FALSE),"")</f>
        <v>Core</v>
      </c>
      <c r="M18" s="102" t="str">
        <f>IFERROR(VLOOKUP(TableHandbook[[#This Row],[UDC]],TableSTRHCONMN[],7,FALSE),"")</f>
        <v/>
      </c>
      <c r="N18" s="102" t="str">
        <f>IFERROR(VLOOKUP(TableHandbook[[#This Row],[UDC]],TableSTRUCONMN[],7,FALSE),"")</f>
        <v/>
      </c>
      <c r="O18" s="102" t="str">
        <f>IFERROR(VLOOKUP(TableHandbook[[#This Row],[UDC]],TableSPUCANGAD[],7,FALSE),"")</f>
        <v/>
      </c>
      <c r="P18" s="102" t="str">
        <f>IFERROR(VLOOKUP(TableHandbook[[#This Row],[UDC]],TableSPUCFINCE[],7,FALSE),"")</f>
        <v/>
      </c>
      <c r="Q18" s="102" t="str">
        <f>IFERROR(VLOOKUP(TableHandbook[[#This Row],[UDC]],TableSPUCINARS[],7,FALSE),"")</f>
        <v/>
      </c>
      <c r="R18" s="103" t="str">
        <f>IFERROR(VLOOKUP(TableHandbook[[#This Row],[UDC]],TableSPUCINENT[],7,FALSE),"")</f>
        <v/>
      </c>
      <c r="S18" s="103" t="str">
        <f>IFERROR(VLOOKUP(TableHandbook[[#This Row],[UDC]],TableSPUCPROPT[],7,FALSE),"")</f>
        <v/>
      </c>
      <c r="T18" s="104" t="str">
        <f>IFERROR(VLOOKUP(TableHandbook[[#This Row],[UDC]],TableSPUCURDES[],7,FALSE),"")</f>
        <v/>
      </c>
    </row>
    <row r="19" spans="1:20" x14ac:dyDescent="0.25">
      <c r="A19" s="8" t="s">
        <v>98</v>
      </c>
      <c r="B19" s="63">
        <v>1</v>
      </c>
      <c r="C19" s="8"/>
      <c r="D19" s="8" t="s">
        <v>250</v>
      </c>
      <c r="E19" s="63">
        <v>25</v>
      </c>
      <c r="F19" s="96" t="s">
        <v>88</v>
      </c>
      <c r="G19" s="46" t="str">
        <f>IFERROR(IF(VLOOKUP(TableHandbook[[#This Row],[UDC]],TableAvailabilities[],2,FALSE)&gt;0,"Y",""),"")</f>
        <v/>
      </c>
      <c r="H19" s="124" t="str">
        <f>IFERROR(IF(VLOOKUP(TableHandbook[[#This Row],[UDC]],TableAvailabilities[],3,FALSE)&gt;0,"Y",""),"")</f>
        <v/>
      </c>
      <c r="I19" s="125" t="str">
        <f>IFERROR(IF(VLOOKUP(TableHandbook[[#This Row],[UDC]],TableAvailabilities[],4,FALSE)&gt;0,"Y",""),"")</f>
        <v>Y</v>
      </c>
      <c r="J19" s="47" t="str">
        <f>IFERROR(IF(VLOOKUP(TableHandbook[[#This Row],[UDC]],TableAvailabilities[],5,FALSE)&gt;0,"Y",""),"")</f>
        <v/>
      </c>
      <c r="K19" s="140"/>
      <c r="L19" s="101" t="str">
        <f>IFERROR(VLOOKUP(TableHandbook[[#This Row],[UDC]],TableBCONM[],7,FALSE),"")</f>
        <v>Core</v>
      </c>
      <c r="M19" s="102" t="str">
        <f>IFERROR(VLOOKUP(TableHandbook[[#This Row],[UDC]],TableSTRHCONMN[],7,FALSE),"")</f>
        <v/>
      </c>
      <c r="N19" s="102" t="str">
        <f>IFERROR(VLOOKUP(TableHandbook[[#This Row],[UDC]],TableSTRUCONMN[],7,FALSE),"")</f>
        <v/>
      </c>
      <c r="O19" s="102" t="str">
        <f>IFERROR(VLOOKUP(TableHandbook[[#This Row],[UDC]],TableSPUCANGAD[],7,FALSE),"")</f>
        <v/>
      </c>
      <c r="P19" s="102" t="str">
        <f>IFERROR(VLOOKUP(TableHandbook[[#This Row],[UDC]],TableSPUCFINCE[],7,FALSE),"")</f>
        <v/>
      </c>
      <c r="Q19" s="102" t="str">
        <f>IFERROR(VLOOKUP(TableHandbook[[#This Row],[UDC]],TableSPUCINARS[],7,FALSE),"")</f>
        <v/>
      </c>
      <c r="R19" s="103" t="str">
        <f>IFERROR(VLOOKUP(TableHandbook[[#This Row],[UDC]],TableSPUCINENT[],7,FALSE),"")</f>
        <v/>
      </c>
      <c r="S19" s="103" t="str">
        <f>IFERROR(VLOOKUP(TableHandbook[[#This Row],[UDC]],TableSPUCPROPT[],7,FALSE),"")</f>
        <v/>
      </c>
      <c r="T19" s="104" t="str">
        <f>IFERROR(VLOOKUP(TableHandbook[[#This Row],[UDC]],TableSPUCURDES[],7,FALSE),"")</f>
        <v/>
      </c>
    </row>
    <row r="20" spans="1:20" x14ac:dyDescent="0.25">
      <c r="A20" s="6" t="s">
        <v>85</v>
      </c>
      <c r="B20" s="123">
        <v>1</v>
      </c>
      <c r="C20" s="6"/>
      <c r="D20" s="6" t="s">
        <v>251</v>
      </c>
      <c r="E20" s="63">
        <v>25</v>
      </c>
      <c r="F20" s="96" t="s">
        <v>239</v>
      </c>
      <c r="G20" s="46" t="str">
        <f>IFERROR(IF(VLOOKUP(TableHandbook[[#This Row],[UDC]],TableAvailabilities[],2,FALSE)&gt;0,"Y",""),"")</f>
        <v>Y</v>
      </c>
      <c r="H20" s="124" t="str">
        <f>IFERROR(IF(VLOOKUP(TableHandbook[[#This Row],[UDC]],TableAvailabilities[],3,FALSE)&gt;0,"Y",""),"")</f>
        <v/>
      </c>
      <c r="I20" s="125" t="str">
        <f>IFERROR(IF(VLOOKUP(TableHandbook[[#This Row],[UDC]],TableAvailabilities[],4,FALSE)&gt;0,"Y",""),"")</f>
        <v/>
      </c>
      <c r="J20" s="47" t="str">
        <f>IFERROR(IF(VLOOKUP(TableHandbook[[#This Row],[UDC]],TableAvailabilities[],5,FALSE)&gt;0,"Y",""),"")</f>
        <v/>
      </c>
      <c r="K20" s="140"/>
      <c r="L20" s="101" t="str">
        <f>IFERROR(VLOOKUP(TableHandbook[[#This Row],[UDC]],TableBCONM[],7,FALSE),"")</f>
        <v>Core</v>
      </c>
      <c r="M20" s="102" t="str">
        <f>IFERROR(VLOOKUP(TableHandbook[[#This Row],[UDC]],TableSTRHCONMN[],7,FALSE),"")</f>
        <v/>
      </c>
      <c r="N20" s="102" t="str">
        <f>IFERROR(VLOOKUP(TableHandbook[[#This Row],[UDC]],TableSTRUCONMN[],7,FALSE),"")</f>
        <v/>
      </c>
      <c r="O20" s="102" t="str">
        <f>IFERROR(VLOOKUP(TableHandbook[[#This Row],[UDC]],TableSPUCANGAD[],7,FALSE),"")</f>
        <v/>
      </c>
      <c r="P20" s="102" t="str">
        <f>IFERROR(VLOOKUP(TableHandbook[[#This Row],[UDC]],TableSPUCFINCE[],7,FALSE),"")</f>
        <v/>
      </c>
      <c r="Q20" s="102" t="str">
        <f>IFERROR(VLOOKUP(TableHandbook[[#This Row],[UDC]],TableSPUCINARS[],7,FALSE),"")</f>
        <v/>
      </c>
      <c r="R20" s="103" t="str">
        <f>IFERROR(VLOOKUP(TableHandbook[[#This Row],[UDC]],TableSPUCINENT[],7,FALSE),"")</f>
        <v/>
      </c>
      <c r="S20" s="103" t="str">
        <f>IFERROR(VLOOKUP(TableHandbook[[#This Row],[UDC]],TableSPUCPROPT[],7,FALSE),"")</f>
        <v/>
      </c>
      <c r="T20" s="104" t="str">
        <f>IFERROR(VLOOKUP(TableHandbook[[#This Row],[UDC]],TableSPUCURDES[],7,FALSE),"")</f>
        <v/>
      </c>
    </row>
    <row r="21" spans="1:20" x14ac:dyDescent="0.25">
      <c r="A21" s="8" t="s">
        <v>93</v>
      </c>
      <c r="B21" s="63">
        <v>3</v>
      </c>
      <c r="C21" s="8"/>
      <c r="D21" s="8" t="s">
        <v>252</v>
      </c>
      <c r="E21" s="63">
        <v>25</v>
      </c>
      <c r="F21" s="96" t="s">
        <v>75</v>
      </c>
      <c r="G21" s="46" t="str">
        <f>IFERROR(IF(VLOOKUP(TableHandbook[[#This Row],[UDC]],TableAvailabilities[],2,FALSE)&gt;0,"Y",""),"")</f>
        <v/>
      </c>
      <c r="H21" s="124" t="str">
        <f>IFERROR(IF(VLOOKUP(TableHandbook[[#This Row],[UDC]],TableAvailabilities[],3,FALSE)&gt;0,"Y",""),"")</f>
        <v/>
      </c>
      <c r="I21" s="125" t="str">
        <f>IFERROR(IF(VLOOKUP(TableHandbook[[#This Row],[UDC]],TableAvailabilities[],4,FALSE)&gt;0,"Y",""),"")</f>
        <v>Y</v>
      </c>
      <c r="J21" s="47" t="str">
        <f>IFERROR(IF(VLOOKUP(TableHandbook[[#This Row],[UDC]],TableAvailabilities[],5,FALSE)&gt;0,"Y",""),"")</f>
        <v/>
      </c>
      <c r="K21" s="140"/>
      <c r="L21" s="101" t="str">
        <f>IFERROR(VLOOKUP(TableHandbook[[#This Row],[UDC]],TableBCONM[],7,FALSE),"")</f>
        <v>Core</v>
      </c>
      <c r="M21" s="102" t="str">
        <f>IFERROR(VLOOKUP(TableHandbook[[#This Row],[UDC]],TableSTRHCONMN[],7,FALSE),"")</f>
        <v/>
      </c>
      <c r="N21" s="102" t="str">
        <f>IFERROR(VLOOKUP(TableHandbook[[#This Row],[UDC]],TableSTRUCONMN[],7,FALSE),"")</f>
        <v/>
      </c>
      <c r="O21" s="102" t="str">
        <f>IFERROR(VLOOKUP(TableHandbook[[#This Row],[UDC]],TableSPUCANGAD[],7,FALSE),"")</f>
        <v/>
      </c>
      <c r="P21" s="102" t="str">
        <f>IFERROR(VLOOKUP(TableHandbook[[#This Row],[UDC]],TableSPUCFINCE[],7,FALSE),"")</f>
        <v/>
      </c>
      <c r="Q21" s="102" t="str">
        <f>IFERROR(VLOOKUP(TableHandbook[[#This Row],[UDC]],TableSPUCINARS[],7,FALSE),"")</f>
        <v/>
      </c>
      <c r="R21" s="103" t="str">
        <f>IFERROR(VLOOKUP(TableHandbook[[#This Row],[UDC]],TableSPUCINENT[],7,FALSE),"")</f>
        <v/>
      </c>
      <c r="S21" s="103" t="str">
        <f>IFERROR(VLOOKUP(TableHandbook[[#This Row],[UDC]],TableSPUCPROPT[],7,FALSE),"")</f>
        <v/>
      </c>
      <c r="T21" s="104" t="str">
        <f>IFERROR(VLOOKUP(TableHandbook[[#This Row],[UDC]],TableSPUCURDES[],7,FALSE),"")</f>
        <v/>
      </c>
    </row>
    <row r="22" spans="1:20" x14ac:dyDescent="0.25">
      <c r="A22" s="8" t="s">
        <v>88</v>
      </c>
      <c r="B22" s="63">
        <v>1</v>
      </c>
      <c r="C22" s="8"/>
      <c r="D22" s="8" t="s">
        <v>253</v>
      </c>
      <c r="E22" s="63">
        <v>25</v>
      </c>
      <c r="F22" s="96" t="s">
        <v>75</v>
      </c>
      <c r="G22" s="46" t="str">
        <f>IFERROR(IF(VLOOKUP(TableHandbook[[#This Row],[UDC]],TableAvailabilities[],2,FALSE)&gt;0,"Y",""),"")</f>
        <v>Y</v>
      </c>
      <c r="H22" s="124" t="str">
        <f>IFERROR(IF(VLOOKUP(TableHandbook[[#This Row],[UDC]],TableAvailabilities[],3,FALSE)&gt;0,"Y",""),"")</f>
        <v/>
      </c>
      <c r="I22" s="125" t="str">
        <f>IFERROR(IF(VLOOKUP(TableHandbook[[#This Row],[UDC]],TableAvailabilities[],4,FALSE)&gt;0,"Y",""),"")</f>
        <v/>
      </c>
      <c r="J22" s="47" t="str">
        <f>IFERROR(IF(VLOOKUP(TableHandbook[[#This Row],[UDC]],TableAvailabilities[],5,FALSE)&gt;0,"Y",""),"")</f>
        <v/>
      </c>
      <c r="K22" s="140"/>
      <c r="L22" s="101" t="str">
        <f>IFERROR(VLOOKUP(TableHandbook[[#This Row],[UDC]],TableBCONM[],7,FALSE),"")</f>
        <v>Core</v>
      </c>
      <c r="M22" s="102" t="str">
        <f>IFERROR(VLOOKUP(TableHandbook[[#This Row],[UDC]],TableSTRHCONMN[],7,FALSE),"")</f>
        <v/>
      </c>
      <c r="N22" s="102" t="str">
        <f>IFERROR(VLOOKUP(TableHandbook[[#This Row],[UDC]],TableSTRUCONMN[],7,FALSE),"")</f>
        <v/>
      </c>
      <c r="O22" s="102" t="str">
        <f>IFERROR(VLOOKUP(TableHandbook[[#This Row],[UDC]],TableSPUCANGAD[],7,FALSE),"")</f>
        <v/>
      </c>
      <c r="P22" s="102" t="str">
        <f>IFERROR(VLOOKUP(TableHandbook[[#This Row],[UDC]],TableSPUCFINCE[],7,FALSE),"")</f>
        <v/>
      </c>
      <c r="Q22" s="102" t="str">
        <f>IFERROR(VLOOKUP(TableHandbook[[#This Row],[UDC]],TableSPUCINARS[],7,FALSE),"")</f>
        <v/>
      </c>
      <c r="R22" s="103" t="str">
        <f>IFERROR(VLOOKUP(TableHandbook[[#This Row],[UDC]],TableSPUCINENT[],7,FALSE),"")</f>
        <v/>
      </c>
      <c r="S22" s="103" t="str">
        <f>IFERROR(VLOOKUP(TableHandbook[[#This Row],[UDC]],TableSPUCPROPT[],7,FALSE),"")</f>
        <v/>
      </c>
      <c r="T22" s="104" t="str">
        <f>IFERROR(VLOOKUP(TableHandbook[[#This Row],[UDC]],TableSPUCURDES[],7,FALSE),"")</f>
        <v/>
      </c>
    </row>
    <row r="23" spans="1:20" x14ac:dyDescent="0.25">
      <c r="A23" s="8" t="s">
        <v>89</v>
      </c>
      <c r="B23" s="63">
        <v>2</v>
      </c>
      <c r="C23" s="8"/>
      <c r="D23" s="8" t="s">
        <v>254</v>
      </c>
      <c r="E23" s="63">
        <v>25</v>
      </c>
      <c r="F23" s="96" t="s">
        <v>239</v>
      </c>
      <c r="G23" s="46" t="str">
        <f>IFERROR(IF(VLOOKUP(TableHandbook[[#This Row],[UDC]],TableAvailabilities[],2,FALSE)&gt;0,"Y",""),"")</f>
        <v>Y</v>
      </c>
      <c r="H23" s="124" t="str">
        <f>IFERROR(IF(VLOOKUP(TableHandbook[[#This Row],[UDC]],TableAvailabilities[],3,FALSE)&gt;0,"Y",""),"")</f>
        <v/>
      </c>
      <c r="I23" s="125" t="str">
        <f>IFERROR(IF(VLOOKUP(TableHandbook[[#This Row],[UDC]],TableAvailabilities[],4,FALSE)&gt;0,"Y",""),"")</f>
        <v/>
      </c>
      <c r="J23" s="47" t="str">
        <f>IFERROR(IF(VLOOKUP(TableHandbook[[#This Row],[UDC]],TableAvailabilities[],5,FALSE)&gt;0,"Y",""),"")</f>
        <v/>
      </c>
      <c r="K23" s="140"/>
      <c r="L23" s="101" t="str">
        <f>IFERROR(VLOOKUP(TableHandbook[[#This Row],[UDC]],TableBCONM[],7,FALSE),"")</f>
        <v>Core</v>
      </c>
      <c r="M23" s="102" t="str">
        <f>IFERROR(VLOOKUP(TableHandbook[[#This Row],[UDC]],TableSTRHCONMN[],7,FALSE),"")</f>
        <v/>
      </c>
      <c r="N23" s="102" t="str">
        <f>IFERROR(VLOOKUP(TableHandbook[[#This Row],[UDC]],TableSTRUCONMN[],7,FALSE),"")</f>
        <v/>
      </c>
      <c r="O23" s="102" t="str">
        <f>IFERROR(VLOOKUP(TableHandbook[[#This Row],[UDC]],TableSPUCANGAD[],7,FALSE),"")</f>
        <v/>
      </c>
      <c r="P23" s="102" t="str">
        <f>IFERROR(VLOOKUP(TableHandbook[[#This Row],[UDC]],TableSPUCFINCE[],7,FALSE),"")</f>
        <v/>
      </c>
      <c r="Q23" s="102" t="str">
        <f>IFERROR(VLOOKUP(TableHandbook[[#This Row],[UDC]],TableSPUCINARS[],7,FALSE),"")</f>
        <v/>
      </c>
      <c r="R23" s="103" t="str">
        <f>IFERROR(VLOOKUP(TableHandbook[[#This Row],[UDC]],TableSPUCINENT[],7,FALSE),"")</f>
        <v/>
      </c>
      <c r="S23" s="103" t="str">
        <f>IFERROR(VLOOKUP(TableHandbook[[#This Row],[UDC]],TableSPUCPROPT[],7,FALSE),"")</f>
        <v/>
      </c>
      <c r="T23" s="104" t="str">
        <f>IFERROR(VLOOKUP(TableHandbook[[#This Row],[UDC]],TableSPUCURDES[],7,FALSE),"")</f>
        <v/>
      </c>
    </row>
    <row r="24" spans="1:20" x14ac:dyDescent="0.25">
      <c r="A24" s="6" t="s">
        <v>101</v>
      </c>
      <c r="B24" s="123">
        <v>1</v>
      </c>
      <c r="C24" s="6"/>
      <c r="D24" s="6" t="s">
        <v>255</v>
      </c>
      <c r="E24" s="123">
        <v>25</v>
      </c>
      <c r="F24" s="142" t="s">
        <v>256</v>
      </c>
      <c r="G24" s="46" t="str">
        <f>IFERROR(IF(VLOOKUP(TableHandbook[[#This Row],[UDC]],TableAvailabilities[],2,FALSE)&gt;0,"Y",""),"")</f>
        <v/>
      </c>
      <c r="H24" s="124" t="str">
        <f>IFERROR(IF(VLOOKUP(TableHandbook[[#This Row],[UDC]],TableAvailabilities[],3,FALSE)&gt;0,"Y",""),"")</f>
        <v/>
      </c>
      <c r="I24" s="125" t="str">
        <f>IFERROR(IF(VLOOKUP(TableHandbook[[#This Row],[UDC]],TableAvailabilities[],4,FALSE)&gt;0,"Y",""),"")</f>
        <v>Y</v>
      </c>
      <c r="J24" s="47" t="str">
        <f>IFERROR(IF(VLOOKUP(TableHandbook[[#This Row],[UDC]],TableAvailabilities[],5,FALSE)&gt;0,"Y",""),"")</f>
        <v/>
      </c>
      <c r="K24" s="143"/>
      <c r="L24" s="101" t="str">
        <f>IFERROR(VLOOKUP(TableHandbook[[#This Row],[UDC]],TableBCONM[],7,FALSE),"")</f>
        <v>Core</v>
      </c>
      <c r="M24" s="102" t="str">
        <f>IFERROR(VLOOKUP(TableHandbook[[#This Row],[UDC]],TableSTRHCONMN[],7,FALSE),"")</f>
        <v/>
      </c>
      <c r="N24" s="102" t="str">
        <f>IFERROR(VLOOKUP(TableHandbook[[#This Row],[UDC]],TableSTRUCONMN[],7,FALSE),"")</f>
        <v/>
      </c>
      <c r="O24" s="102" t="str">
        <f>IFERROR(VLOOKUP(TableHandbook[[#This Row],[UDC]],TableSPUCANGAD[],7,FALSE),"")</f>
        <v/>
      </c>
      <c r="P24" s="102" t="str">
        <f>IFERROR(VLOOKUP(TableHandbook[[#This Row],[UDC]],TableSPUCFINCE[],7,FALSE),"")</f>
        <v/>
      </c>
      <c r="Q24" s="102" t="str">
        <f>IFERROR(VLOOKUP(TableHandbook[[#This Row],[UDC]],TableSPUCINARS[],7,FALSE),"")</f>
        <v/>
      </c>
      <c r="R24" s="103" t="str">
        <f>IFERROR(VLOOKUP(TableHandbook[[#This Row],[UDC]],TableSPUCINENT[],7,FALSE),"")</f>
        <v/>
      </c>
      <c r="S24" s="103" t="str">
        <f>IFERROR(VLOOKUP(TableHandbook[[#This Row],[UDC]],TableSPUCPROPT[],7,FALSE),"")</f>
        <v/>
      </c>
      <c r="T24" s="104" t="str">
        <f>IFERROR(VLOOKUP(TableHandbook[[#This Row],[UDC]],TableSPUCURDES[],7,FALSE),"")</f>
        <v/>
      </c>
    </row>
    <row r="25" spans="1:20" ht="26.25" x14ac:dyDescent="0.25">
      <c r="A25" s="8" t="s">
        <v>111</v>
      </c>
      <c r="B25" s="63">
        <v>3</v>
      </c>
      <c r="C25" s="8"/>
      <c r="D25" s="8" t="s">
        <v>257</v>
      </c>
      <c r="E25" s="63">
        <v>25</v>
      </c>
      <c r="F25" s="96" t="s">
        <v>258</v>
      </c>
      <c r="G25" s="46" t="str">
        <f>IFERROR(IF(VLOOKUP(TableHandbook[[#This Row],[UDC]],TableAvailabilities[],2,FALSE)&gt;0,"Y",""),"")</f>
        <v>Y</v>
      </c>
      <c r="H25" s="124" t="str">
        <f>IFERROR(IF(VLOOKUP(TableHandbook[[#This Row],[UDC]],TableAvailabilities[],3,FALSE)&gt;0,"Y",""),"")</f>
        <v/>
      </c>
      <c r="I25" s="125" t="str">
        <f>IFERROR(IF(VLOOKUP(TableHandbook[[#This Row],[UDC]],TableAvailabilities[],4,FALSE)&gt;0,"Y",""),"")</f>
        <v/>
      </c>
      <c r="J25" s="47" t="str">
        <f>IFERROR(IF(VLOOKUP(TableHandbook[[#This Row],[UDC]],TableAvailabilities[],5,FALSE)&gt;0,"Y",""),"")</f>
        <v/>
      </c>
      <c r="K25" s="140"/>
      <c r="L25" s="101" t="str">
        <f>IFERROR(VLOOKUP(TableHandbook[[#This Row],[UDC]],TableBCONM[],7,FALSE),"")</f>
        <v>Core</v>
      </c>
      <c r="M25" s="102" t="str">
        <f>IFERROR(VLOOKUP(TableHandbook[[#This Row],[UDC]],TableSTRHCONMN[],7,FALSE),"")</f>
        <v/>
      </c>
      <c r="N25" s="102" t="str">
        <f>IFERROR(VLOOKUP(TableHandbook[[#This Row],[UDC]],TableSTRUCONMN[],7,FALSE),"")</f>
        <v/>
      </c>
      <c r="O25" s="102" t="str">
        <f>IFERROR(VLOOKUP(TableHandbook[[#This Row],[UDC]],TableSPUCANGAD[],7,FALSE),"")</f>
        <v/>
      </c>
      <c r="P25" s="102" t="str">
        <f>IFERROR(VLOOKUP(TableHandbook[[#This Row],[UDC]],TableSPUCFINCE[],7,FALSE),"")</f>
        <v/>
      </c>
      <c r="Q25" s="102" t="str">
        <f>IFERROR(VLOOKUP(TableHandbook[[#This Row],[UDC]],TableSPUCINARS[],7,FALSE),"")</f>
        <v/>
      </c>
      <c r="R25" s="103" t="str">
        <f>IFERROR(VLOOKUP(TableHandbook[[#This Row],[UDC]],TableSPUCINENT[],7,FALSE),"")</f>
        <v/>
      </c>
      <c r="S25" s="103" t="str">
        <f>IFERROR(VLOOKUP(TableHandbook[[#This Row],[UDC]],TableSPUCPROPT[],7,FALSE),"")</f>
        <v/>
      </c>
      <c r="T25" s="104" t="str">
        <f>IFERROR(VLOOKUP(TableHandbook[[#This Row],[UDC]],TableSPUCURDES[],7,FALSE),"")</f>
        <v/>
      </c>
    </row>
    <row r="26" spans="1:20" x14ac:dyDescent="0.25">
      <c r="A26" s="8" t="s">
        <v>106</v>
      </c>
      <c r="B26" s="63">
        <v>2</v>
      </c>
      <c r="C26" s="8"/>
      <c r="D26" s="8" t="s">
        <v>259</v>
      </c>
      <c r="E26" s="63">
        <v>25</v>
      </c>
      <c r="F26" s="96" t="s">
        <v>75</v>
      </c>
      <c r="G26" s="46" t="str">
        <f>IFERROR(IF(VLOOKUP(TableHandbook[[#This Row],[UDC]],TableAvailabilities[],2,FALSE)&gt;0,"Y",""),"")</f>
        <v>Y</v>
      </c>
      <c r="H26" s="124" t="str">
        <f>IFERROR(IF(VLOOKUP(TableHandbook[[#This Row],[UDC]],TableAvailabilities[],3,FALSE)&gt;0,"Y",""),"")</f>
        <v/>
      </c>
      <c r="I26" s="125" t="str">
        <f>IFERROR(IF(VLOOKUP(TableHandbook[[#This Row],[UDC]],TableAvailabilities[],4,FALSE)&gt;0,"Y",""),"")</f>
        <v/>
      </c>
      <c r="J26" s="47" t="str">
        <f>IFERROR(IF(VLOOKUP(TableHandbook[[#This Row],[UDC]],TableAvailabilities[],5,FALSE)&gt;0,"Y",""),"")</f>
        <v/>
      </c>
      <c r="K26" s="140"/>
      <c r="L26" s="101" t="str">
        <f>IFERROR(VLOOKUP(TableHandbook[[#This Row],[UDC]],TableBCONM[],7,FALSE),"")</f>
        <v>Core</v>
      </c>
      <c r="M26" s="102" t="str">
        <f>IFERROR(VLOOKUP(TableHandbook[[#This Row],[UDC]],TableSTRHCONMN[],7,FALSE),"")</f>
        <v/>
      </c>
      <c r="N26" s="102" t="str">
        <f>IFERROR(VLOOKUP(TableHandbook[[#This Row],[UDC]],TableSTRUCONMN[],7,FALSE),"")</f>
        <v/>
      </c>
      <c r="O26" s="102" t="str">
        <f>IFERROR(VLOOKUP(TableHandbook[[#This Row],[UDC]],TableSPUCANGAD[],7,FALSE),"")</f>
        <v/>
      </c>
      <c r="P26" s="102" t="str">
        <f>IFERROR(VLOOKUP(TableHandbook[[#This Row],[UDC]],TableSPUCFINCE[],7,FALSE),"")</f>
        <v/>
      </c>
      <c r="Q26" s="102" t="str">
        <f>IFERROR(VLOOKUP(TableHandbook[[#This Row],[UDC]],TableSPUCINARS[],7,FALSE),"")</f>
        <v/>
      </c>
      <c r="R26" s="103" t="str">
        <f>IFERROR(VLOOKUP(TableHandbook[[#This Row],[UDC]],TableSPUCINENT[],7,FALSE),"")</f>
        <v/>
      </c>
      <c r="S26" s="103" t="str">
        <f>IFERROR(VLOOKUP(TableHandbook[[#This Row],[UDC]],TableSPUCPROPT[],7,FALSE),"")</f>
        <v/>
      </c>
      <c r="T26" s="104" t="str">
        <f>IFERROR(VLOOKUP(TableHandbook[[#This Row],[UDC]],TableSPUCURDES[],7,FALSE),"")</f>
        <v/>
      </c>
    </row>
    <row r="27" spans="1:20" x14ac:dyDescent="0.25">
      <c r="A27" s="6" t="s">
        <v>119</v>
      </c>
      <c r="B27" s="123">
        <v>1</v>
      </c>
      <c r="C27" s="6"/>
      <c r="D27" s="6" t="s">
        <v>260</v>
      </c>
      <c r="E27" s="123">
        <v>25</v>
      </c>
      <c r="F27" s="96" t="s">
        <v>239</v>
      </c>
      <c r="G27" s="46" t="str">
        <f>IFERROR(IF(VLOOKUP(TableHandbook[[#This Row],[UDC]],TableAvailabilities[],2,FALSE)&gt;0,"Y",""),"")</f>
        <v/>
      </c>
      <c r="H27" s="124" t="str">
        <f>IFERROR(IF(VLOOKUP(TableHandbook[[#This Row],[UDC]],TableAvailabilities[],3,FALSE)&gt;0,"Y",""),"")</f>
        <v/>
      </c>
      <c r="I27" s="125" t="str">
        <f>IFERROR(IF(VLOOKUP(TableHandbook[[#This Row],[UDC]],TableAvailabilities[],4,FALSE)&gt;0,"Y",""),"")</f>
        <v>Y</v>
      </c>
      <c r="J27" s="47" t="str">
        <f>IFERROR(IF(VLOOKUP(TableHandbook[[#This Row],[UDC]],TableAvailabilities[],5,FALSE)&gt;0,"Y",""),"")</f>
        <v/>
      </c>
      <c r="K27" s="171" t="s">
        <v>261</v>
      </c>
      <c r="L27" s="101" t="str">
        <f>IFERROR(VLOOKUP(TableHandbook[[#This Row],[UDC]],TableBCONM[],7,FALSE),"")</f>
        <v>Core</v>
      </c>
      <c r="M27" s="102" t="str">
        <f>IFERROR(VLOOKUP(TableHandbook[[#This Row],[UDC]],TableSTRHCONMN[],7,FALSE),"")</f>
        <v/>
      </c>
      <c r="N27" s="102" t="str">
        <f>IFERROR(VLOOKUP(TableHandbook[[#This Row],[UDC]],TableSTRUCONMN[],7,FALSE),"")</f>
        <v/>
      </c>
      <c r="O27" s="102" t="str">
        <f>IFERROR(VLOOKUP(TableHandbook[[#This Row],[UDC]],TableSPUCANGAD[],7,FALSE),"")</f>
        <v/>
      </c>
      <c r="P27" s="102" t="str">
        <f>IFERROR(VLOOKUP(TableHandbook[[#This Row],[UDC]],TableSPUCFINCE[],7,FALSE),"")</f>
        <v/>
      </c>
      <c r="Q27" s="102" t="str">
        <f>IFERROR(VLOOKUP(TableHandbook[[#This Row],[UDC]],TableSPUCINARS[],7,FALSE),"")</f>
        <v/>
      </c>
      <c r="R27" s="103" t="str">
        <f>IFERROR(VLOOKUP(TableHandbook[[#This Row],[UDC]],TableSPUCINENT[],7,FALSE),"")</f>
        <v/>
      </c>
      <c r="S27" s="103" t="str">
        <f>IFERROR(VLOOKUP(TableHandbook[[#This Row],[UDC]],TableSPUCPROPT[],7,FALSE),"")</f>
        <v/>
      </c>
      <c r="T27" s="104" t="str">
        <f>IFERROR(VLOOKUP(TableHandbook[[#This Row],[UDC]],TableSPUCURDES[],7,FALSE),"")</f>
        <v/>
      </c>
    </row>
    <row r="28" spans="1:20" x14ac:dyDescent="0.25">
      <c r="A28" s="6" t="s">
        <v>116</v>
      </c>
      <c r="B28" s="123">
        <v>1</v>
      </c>
      <c r="C28" s="6"/>
      <c r="D28" s="6" t="s">
        <v>262</v>
      </c>
      <c r="E28" s="123">
        <v>25</v>
      </c>
      <c r="F28" s="96" t="s">
        <v>263</v>
      </c>
      <c r="G28" s="46" t="str">
        <f>IFERROR(IF(VLOOKUP(TableHandbook[[#This Row],[UDC]],TableAvailabilities[],2,FALSE)&gt;0,"Y",""),"")</f>
        <v/>
      </c>
      <c r="H28" s="124" t="str">
        <f>IFERROR(IF(VLOOKUP(TableHandbook[[#This Row],[UDC]],TableAvailabilities[],3,FALSE)&gt;0,"Y",""),"")</f>
        <v/>
      </c>
      <c r="I28" s="125" t="str">
        <f>IFERROR(IF(VLOOKUP(TableHandbook[[#This Row],[UDC]],TableAvailabilities[],4,FALSE)&gt;0,"Y",""),"")</f>
        <v>Y</v>
      </c>
      <c r="J28" s="47" t="str">
        <f>IFERROR(IF(VLOOKUP(TableHandbook[[#This Row],[UDC]],TableAvailabilities[],5,FALSE)&gt;0,"Y",""),"")</f>
        <v/>
      </c>
      <c r="K28" s="171" t="s">
        <v>261</v>
      </c>
      <c r="L28" s="101" t="str">
        <f>IFERROR(VLOOKUP(TableHandbook[[#This Row],[UDC]],TableBCONM[],7,FALSE),"")</f>
        <v>Core</v>
      </c>
      <c r="M28" s="102" t="str">
        <f>IFERROR(VLOOKUP(TableHandbook[[#This Row],[UDC]],TableSTRHCONMN[],7,FALSE),"")</f>
        <v/>
      </c>
      <c r="N28" s="102" t="str">
        <f>IFERROR(VLOOKUP(TableHandbook[[#This Row],[UDC]],TableSTRUCONMN[],7,FALSE),"")</f>
        <v/>
      </c>
      <c r="O28" s="102" t="str">
        <f>IFERROR(VLOOKUP(TableHandbook[[#This Row],[UDC]],TableSPUCANGAD[],7,FALSE),"")</f>
        <v/>
      </c>
      <c r="P28" s="102" t="str">
        <f>IFERROR(VLOOKUP(TableHandbook[[#This Row],[UDC]],TableSPUCFINCE[],7,FALSE),"")</f>
        <v/>
      </c>
      <c r="Q28" s="102" t="str">
        <f>IFERROR(VLOOKUP(TableHandbook[[#This Row],[UDC]],TableSPUCINARS[],7,FALSE),"")</f>
        <v/>
      </c>
      <c r="R28" s="103" t="str">
        <f>IFERROR(VLOOKUP(TableHandbook[[#This Row],[UDC]],TableSPUCINENT[],7,FALSE),"")</f>
        <v/>
      </c>
      <c r="S28" s="103" t="str">
        <f>IFERROR(VLOOKUP(TableHandbook[[#This Row],[UDC]],TableSPUCPROPT[],7,FALSE),"")</f>
        <v/>
      </c>
      <c r="T28" s="104" t="str">
        <f>IFERROR(VLOOKUP(TableHandbook[[#This Row],[UDC]],TableSPUCURDES[],7,FALSE),"")</f>
        <v/>
      </c>
    </row>
    <row r="29" spans="1:20" x14ac:dyDescent="0.25">
      <c r="A29" s="6" t="s">
        <v>104</v>
      </c>
      <c r="B29" s="123">
        <v>1</v>
      </c>
      <c r="C29" s="6"/>
      <c r="D29" s="6" t="s">
        <v>264</v>
      </c>
      <c r="E29" s="123">
        <v>25</v>
      </c>
      <c r="F29" s="142" t="s">
        <v>88</v>
      </c>
      <c r="G29" s="46" t="str">
        <f>IFERROR(IF(VLOOKUP(TableHandbook[[#This Row],[UDC]],TableAvailabilities[],2,FALSE)&gt;0,"Y",""),"")</f>
        <v>Y</v>
      </c>
      <c r="H29" s="124" t="str">
        <f>IFERROR(IF(VLOOKUP(TableHandbook[[#This Row],[UDC]],TableAvailabilities[],3,FALSE)&gt;0,"Y",""),"")</f>
        <v/>
      </c>
      <c r="I29" s="125" t="str">
        <f>IFERROR(IF(VLOOKUP(TableHandbook[[#This Row],[UDC]],TableAvailabilities[],4,FALSE)&gt;0,"Y",""),"")</f>
        <v/>
      </c>
      <c r="J29" s="47" t="str">
        <f>IFERROR(IF(VLOOKUP(TableHandbook[[#This Row],[UDC]],TableAvailabilities[],5,FALSE)&gt;0,"Y",""),"")</f>
        <v/>
      </c>
      <c r="K29" s="143"/>
      <c r="L29" s="101" t="str">
        <f>IFERROR(VLOOKUP(TableHandbook[[#This Row],[UDC]],TableBCONM[],7,FALSE),"")</f>
        <v>Core</v>
      </c>
      <c r="M29" s="102" t="str">
        <f>IFERROR(VLOOKUP(TableHandbook[[#This Row],[UDC]],TableSTRHCONMN[],7,FALSE),"")</f>
        <v/>
      </c>
      <c r="N29" s="102" t="str">
        <f>IFERROR(VLOOKUP(TableHandbook[[#This Row],[UDC]],TableSTRUCONMN[],7,FALSE),"")</f>
        <v/>
      </c>
      <c r="O29" s="102" t="str">
        <f>IFERROR(VLOOKUP(TableHandbook[[#This Row],[UDC]],TableSPUCANGAD[],7,FALSE),"")</f>
        <v/>
      </c>
      <c r="P29" s="102" t="str">
        <f>IFERROR(VLOOKUP(TableHandbook[[#This Row],[UDC]],TableSPUCFINCE[],7,FALSE),"")</f>
        <v/>
      </c>
      <c r="Q29" s="102" t="str">
        <f>IFERROR(VLOOKUP(TableHandbook[[#This Row],[UDC]],TableSPUCINARS[],7,FALSE),"")</f>
        <v/>
      </c>
      <c r="R29" s="103" t="str">
        <f>IFERROR(VLOOKUP(TableHandbook[[#This Row],[UDC]],TableSPUCINENT[],7,FALSE),"")</f>
        <v/>
      </c>
      <c r="S29" s="103" t="str">
        <f>IFERROR(VLOOKUP(TableHandbook[[#This Row],[UDC]],TableSPUCPROPT[],7,FALSE),"")</f>
        <v/>
      </c>
      <c r="T29" s="104" t="str">
        <f>IFERROR(VLOOKUP(TableHandbook[[#This Row],[UDC]],TableSPUCURDES[],7,FALSE),"")</f>
        <v/>
      </c>
    </row>
    <row r="30" spans="1:20" x14ac:dyDescent="0.25">
      <c r="A30" s="8" t="s">
        <v>138</v>
      </c>
      <c r="B30" s="63">
        <v>1</v>
      </c>
      <c r="C30" s="8"/>
      <c r="D30" s="6" t="s">
        <v>265</v>
      </c>
      <c r="E30" s="63">
        <v>50</v>
      </c>
      <c r="F30" s="96" t="s">
        <v>132</v>
      </c>
      <c r="G30" s="46" t="str">
        <f>IFERROR(IF(VLOOKUP(TableHandbook[[#This Row],[UDC]],TableAvailabilities[],2,FALSE)&gt;0,"Y",""),"")</f>
        <v/>
      </c>
      <c r="H30" s="124" t="str">
        <f>IFERROR(IF(VLOOKUP(TableHandbook[[#This Row],[UDC]],TableAvailabilities[],3,FALSE)&gt;0,"Y",""),"")</f>
        <v/>
      </c>
      <c r="I30" s="125" t="str">
        <f>IFERROR(IF(VLOOKUP(TableHandbook[[#This Row],[UDC]],TableAvailabilities[],4,FALSE)&gt;0,"Y",""),"")</f>
        <v>Y</v>
      </c>
      <c r="J30" s="47" t="str">
        <f>IFERROR(IF(VLOOKUP(TableHandbook[[#This Row],[UDC]],TableAvailabilities[],5,FALSE)&gt;0,"Y",""),"")</f>
        <v/>
      </c>
      <c r="K30" s="140"/>
      <c r="L30" s="101" t="str">
        <f>IFERROR(VLOOKUP(TableHandbook[[#This Row],[UDC]],TableBCONM[],7,FALSE),"")</f>
        <v/>
      </c>
      <c r="M30" s="102" t="str">
        <f>IFERROR(VLOOKUP(TableHandbook[[#This Row],[UDC]],TableSTRHCONMN[],7,FALSE),"")</f>
        <v>Core</v>
      </c>
      <c r="N30" s="102" t="str">
        <f>IFERROR(VLOOKUP(TableHandbook[[#This Row],[UDC]],TableSTRUCONMN[],7,FALSE),"")</f>
        <v/>
      </c>
      <c r="O30" s="102" t="str">
        <f>IFERROR(VLOOKUP(TableHandbook[[#This Row],[UDC]],TableSPUCANGAD[],7,FALSE),"")</f>
        <v/>
      </c>
      <c r="P30" s="102" t="str">
        <f>IFERROR(VLOOKUP(TableHandbook[[#This Row],[UDC]],TableSPUCFINCE[],7,FALSE),"")</f>
        <v/>
      </c>
      <c r="Q30" s="102" t="str">
        <f>IFERROR(VLOOKUP(TableHandbook[[#This Row],[UDC]],TableSPUCINARS[],7,FALSE),"")</f>
        <v/>
      </c>
      <c r="R30" s="103" t="str">
        <f>IFERROR(VLOOKUP(TableHandbook[[#This Row],[UDC]],TableSPUCINENT[],7,FALSE),"")</f>
        <v/>
      </c>
      <c r="S30" s="103" t="str">
        <f>IFERROR(VLOOKUP(TableHandbook[[#This Row],[UDC]],TableSPUCPROPT[],7,FALSE),"")</f>
        <v/>
      </c>
      <c r="T30" s="104" t="str">
        <f>IFERROR(VLOOKUP(TableHandbook[[#This Row],[UDC]],TableSPUCURDES[],7,FALSE),"")</f>
        <v/>
      </c>
    </row>
    <row r="31" spans="1:20" x14ac:dyDescent="0.25">
      <c r="A31" s="8" t="s">
        <v>134</v>
      </c>
      <c r="B31" s="63">
        <v>2</v>
      </c>
      <c r="C31" s="8"/>
      <c r="D31" s="6" t="s">
        <v>266</v>
      </c>
      <c r="E31" s="63">
        <v>25</v>
      </c>
      <c r="F31" s="96" t="s">
        <v>239</v>
      </c>
      <c r="G31" s="46" t="str">
        <f>IFERROR(IF(VLOOKUP(TableHandbook[[#This Row],[UDC]],TableAvailabilities[],2,FALSE)&gt;0,"Y",""),"")</f>
        <v/>
      </c>
      <c r="H31" s="124" t="str">
        <f>IFERROR(IF(VLOOKUP(TableHandbook[[#This Row],[UDC]],TableAvailabilities[],3,FALSE)&gt;0,"Y",""),"")</f>
        <v/>
      </c>
      <c r="I31" s="125" t="str">
        <f>IFERROR(IF(VLOOKUP(TableHandbook[[#This Row],[UDC]],TableAvailabilities[],4,FALSE)&gt;0,"Y",""),"")</f>
        <v>Y</v>
      </c>
      <c r="J31" s="47" t="str">
        <f>IFERROR(IF(VLOOKUP(TableHandbook[[#This Row],[UDC]],TableAvailabilities[],5,FALSE)&gt;0,"Y",""),"")</f>
        <v/>
      </c>
      <c r="K31" s="140"/>
      <c r="L31" s="101" t="str">
        <f>IFERROR(VLOOKUP(TableHandbook[[#This Row],[UDC]],TableBCONM[],7,FALSE),"")</f>
        <v/>
      </c>
      <c r="M31" s="102" t="str">
        <f>IFERROR(VLOOKUP(TableHandbook[[#This Row],[UDC]],TableSTRHCONMN[],7,FALSE),"")</f>
        <v>Core</v>
      </c>
      <c r="N31" s="102" t="str">
        <f>IFERROR(VLOOKUP(TableHandbook[[#This Row],[UDC]],TableSTRUCONMN[],7,FALSE),"")</f>
        <v>Core</v>
      </c>
      <c r="O31" s="102" t="str">
        <f>IFERROR(VLOOKUP(TableHandbook[[#This Row],[UDC]],TableSPUCANGAD[],7,FALSE),"")</f>
        <v/>
      </c>
      <c r="P31" s="102" t="str">
        <f>IFERROR(VLOOKUP(TableHandbook[[#This Row],[UDC]],TableSPUCFINCE[],7,FALSE),"")</f>
        <v/>
      </c>
      <c r="Q31" s="102" t="str">
        <f>IFERROR(VLOOKUP(TableHandbook[[#This Row],[UDC]],TableSPUCINARS[],7,FALSE),"")</f>
        <v/>
      </c>
      <c r="R31" s="103" t="str">
        <f>IFERROR(VLOOKUP(TableHandbook[[#This Row],[UDC]],TableSPUCINENT[],7,FALSE),"")</f>
        <v/>
      </c>
      <c r="S31" s="103" t="str">
        <f>IFERROR(VLOOKUP(TableHandbook[[#This Row],[UDC]],TableSPUCPROPT[],7,FALSE),"")</f>
        <v/>
      </c>
      <c r="T31" s="104" t="str">
        <f>IFERROR(VLOOKUP(TableHandbook[[#This Row],[UDC]],TableSPUCURDES[],7,FALSE),"")</f>
        <v/>
      </c>
    </row>
    <row r="32" spans="1:20" x14ac:dyDescent="0.25">
      <c r="A32" s="8" t="s">
        <v>132</v>
      </c>
      <c r="B32" s="63">
        <v>1</v>
      </c>
      <c r="C32" s="8"/>
      <c r="D32" s="6" t="s">
        <v>267</v>
      </c>
      <c r="E32" s="63">
        <v>25</v>
      </c>
      <c r="F32" s="96" t="s">
        <v>239</v>
      </c>
      <c r="G32" s="46" t="str">
        <f>IFERROR(IF(VLOOKUP(TableHandbook[[#This Row],[UDC]],TableAvailabilities[],2,FALSE)&gt;0,"Y",""),"")</f>
        <v>Y</v>
      </c>
      <c r="H32" s="124" t="str">
        <f>IFERROR(IF(VLOOKUP(TableHandbook[[#This Row],[UDC]],TableAvailabilities[],3,FALSE)&gt;0,"Y",""),"")</f>
        <v/>
      </c>
      <c r="I32" s="125" t="str">
        <f>IFERROR(IF(VLOOKUP(TableHandbook[[#This Row],[UDC]],TableAvailabilities[],4,FALSE)&gt;0,"Y",""),"")</f>
        <v/>
      </c>
      <c r="J32" s="47" t="str">
        <f>IFERROR(IF(VLOOKUP(TableHandbook[[#This Row],[UDC]],TableAvailabilities[],5,FALSE)&gt;0,"Y",""),"")</f>
        <v/>
      </c>
      <c r="K32" s="140"/>
      <c r="L32" s="101" t="str">
        <f>IFERROR(VLOOKUP(TableHandbook[[#This Row],[UDC]],TableBCONM[],7,FALSE),"")</f>
        <v/>
      </c>
      <c r="M32" s="102" t="str">
        <f>IFERROR(VLOOKUP(TableHandbook[[#This Row],[UDC]],TableSTRHCONMN[],7,FALSE),"")</f>
        <v>Core</v>
      </c>
      <c r="N32" s="102" t="str">
        <f>IFERROR(VLOOKUP(TableHandbook[[#This Row],[UDC]],TableSTRUCONMN[],7,FALSE),"")</f>
        <v/>
      </c>
      <c r="O32" s="102" t="str">
        <f>IFERROR(VLOOKUP(TableHandbook[[#This Row],[UDC]],TableSPUCANGAD[],7,FALSE),"")</f>
        <v/>
      </c>
      <c r="P32" s="102" t="str">
        <f>IFERROR(VLOOKUP(TableHandbook[[#This Row],[UDC]],TableSPUCFINCE[],7,FALSE),"")</f>
        <v/>
      </c>
      <c r="Q32" s="102" t="str">
        <f>IFERROR(VLOOKUP(TableHandbook[[#This Row],[UDC]],TableSPUCINARS[],7,FALSE),"")</f>
        <v/>
      </c>
      <c r="R32" s="103" t="str">
        <f>IFERROR(VLOOKUP(TableHandbook[[#This Row],[UDC]],TableSPUCINENT[],7,FALSE),"")</f>
        <v/>
      </c>
      <c r="S32" s="103" t="str">
        <f>IFERROR(VLOOKUP(TableHandbook[[#This Row],[UDC]],TableSPUCPROPT[],7,FALSE),"")</f>
        <v/>
      </c>
      <c r="T32" s="104" t="str">
        <f>IFERROR(VLOOKUP(TableHandbook[[#This Row],[UDC]],TableSPUCURDES[],7,FALSE),"")</f>
        <v/>
      </c>
    </row>
    <row r="33" spans="1:20" x14ac:dyDescent="0.25">
      <c r="A33" s="8" t="s">
        <v>131</v>
      </c>
      <c r="B33" s="63">
        <v>2</v>
      </c>
      <c r="C33" s="8"/>
      <c r="D33" s="6" t="s">
        <v>268</v>
      </c>
      <c r="E33" s="63">
        <v>25</v>
      </c>
      <c r="F33" s="96" t="s">
        <v>269</v>
      </c>
      <c r="G33" s="46" t="str">
        <f>IFERROR(IF(VLOOKUP(TableHandbook[[#This Row],[UDC]],TableAvailabilities[],2,FALSE)&gt;0,"Y",""),"")</f>
        <v>Y</v>
      </c>
      <c r="H33" s="124" t="str">
        <f>IFERROR(IF(VLOOKUP(TableHandbook[[#This Row],[UDC]],TableAvailabilities[],3,FALSE)&gt;0,"Y",""),"")</f>
        <v/>
      </c>
      <c r="I33" s="125" t="str">
        <f>IFERROR(IF(VLOOKUP(TableHandbook[[#This Row],[UDC]],TableAvailabilities[],4,FALSE)&gt;0,"Y",""),"")</f>
        <v/>
      </c>
      <c r="J33" s="47" t="str">
        <f>IFERROR(IF(VLOOKUP(TableHandbook[[#This Row],[UDC]],TableAvailabilities[],5,FALSE)&gt;0,"Y",""),"")</f>
        <v/>
      </c>
      <c r="K33" s="140"/>
      <c r="L33" s="101" t="str">
        <f>IFERROR(VLOOKUP(TableHandbook[[#This Row],[UDC]],TableBCONM[],7,FALSE),"")</f>
        <v/>
      </c>
      <c r="M33" s="102" t="str">
        <f>IFERROR(VLOOKUP(TableHandbook[[#This Row],[UDC]],TableSTRHCONMN[],7,FALSE),"")</f>
        <v>Core</v>
      </c>
      <c r="N33" s="102" t="str">
        <f>IFERROR(VLOOKUP(TableHandbook[[#This Row],[UDC]],TableSTRUCONMN[],7,FALSE),"")</f>
        <v>Core</v>
      </c>
      <c r="O33" s="102" t="str">
        <f>IFERROR(VLOOKUP(TableHandbook[[#This Row],[UDC]],TableSPUCANGAD[],7,FALSE),"")</f>
        <v/>
      </c>
      <c r="P33" s="102" t="str">
        <f>IFERROR(VLOOKUP(TableHandbook[[#This Row],[UDC]],TableSPUCFINCE[],7,FALSE),"")</f>
        <v/>
      </c>
      <c r="Q33" s="102" t="str">
        <f>IFERROR(VLOOKUP(TableHandbook[[#This Row],[UDC]],TableSPUCINARS[],7,FALSE),"")</f>
        <v/>
      </c>
      <c r="R33" s="103" t="str">
        <f>IFERROR(VLOOKUP(TableHandbook[[#This Row],[UDC]],TableSPUCINENT[],7,FALSE),"")</f>
        <v/>
      </c>
      <c r="S33" s="103" t="str">
        <f>IFERROR(VLOOKUP(TableHandbook[[#This Row],[UDC]],TableSPUCPROPT[],7,FALSE),"")</f>
        <v/>
      </c>
      <c r="T33" s="104" t="str">
        <f>IFERROR(VLOOKUP(TableHandbook[[#This Row],[UDC]],TableSPUCURDES[],7,FALSE),"")</f>
        <v/>
      </c>
    </row>
    <row r="34" spans="1:20" x14ac:dyDescent="0.25">
      <c r="A34" s="8" t="s">
        <v>136</v>
      </c>
      <c r="B34" s="22">
        <v>2</v>
      </c>
      <c r="C34" s="7"/>
      <c r="D34" s="7" t="s">
        <v>270</v>
      </c>
      <c r="E34" s="63">
        <v>25</v>
      </c>
      <c r="F34" s="96" t="s">
        <v>271</v>
      </c>
      <c r="G34" s="46" t="str">
        <f>IFERROR(IF(VLOOKUP(TableHandbook[[#This Row],[UDC]],TableAvailabilities[],2,FALSE)&gt;0,"Y",""),"")</f>
        <v/>
      </c>
      <c r="H34" s="124" t="str">
        <f>IFERROR(IF(VLOOKUP(TableHandbook[[#This Row],[UDC]],TableAvailabilities[],3,FALSE)&gt;0,"Y",""),"")</f>
        <v/>
      </c>
      <c r="I34" s="125" t="str">
        <f>IFERROR(IF(VLOOKUP(TableHandbook[[#This Row],[UDC]],TableAvailabilities[],4,FALSE)&gt;0,"Y",""),"")</f>
        <v>Y</v>
      </c>
      <c r="J34" s="47" t="str">
        <f>IFERROR(IF(VLOOKUP(TableHandbook[[#This Row],[UDC]],TableAvailabilities[],5,FALSE)&gt;0,"Y",""),"")</f>
        <v/>
      </c>
      <c r="K34" s="141" t="s">
        <v>272</v>
      </c>
      <c r="L34" s="101" t="str">
        <f>IFERROR(VLOOKUP(TableHandbook[[#This Row],[UDC]],TableBCONM[],7,FALSE),"")</f>
        <v/>
      </c>
      <c r="M34" s="102" t="str">
        <f>IFERROR(VLOOKUP(TableHandbook[[#This Row],[UDC]],TableSTRHCONMN[],7,FALSE),"")</f>
        <v>Core</v>
      </c>
      <c r="N34" s="102" t="str">
        <f>IFERROR(VLOOKUP(TableHandbook[[#This Row],[UDC]],TableSTRUCONMN[],7,FALSE),"")</f>
        <v>Core</v>
      </c>
      <c r="O34" s="102" t="str">
        <f>IFERROR(VLOOKUP(TableHandbook[[#This Row],[UDC]],TableSPUCANGAD[],7,FALSE),"")</f>
        <v/>
      </c>
      <c r="P34" s="102" t="str">
        <f>IFERROR(VLOOKUP(TableHandbook[[#This Row],[UDC]],TableSPUCFINCE[],7,FALSE),"")</f>
        <v/>
      </c>
      <c r="Q34" s="102" t="str">
        <f>IFERROR(VLOOKUP(TableHandbook[[#This Row],[UDC]],TableSPUCINARS[],7,FALSE),"")</f>
        <v/>
      </c>
      <c r="R34" s="103" t="str">
        <f>IFERROR(VLOOKUP(TableHandbook[[#This Row],[UDC]],TableSPUCINENT[],7,FALSE),"")</f>
        <v/>
      </c>
      <c r="S34" s="103" t="str">
        <f>IFERROR(VLOOKUP(TableHandbook[[#This Row],[UDC]],TableSPUCPROPT[],7,FALSE),"")</f>
        <v/>
      </c>
      <c r="T34" s="104" t="str">
        <f>IFERROR(VLOOKUP(TableHandbook[[#This Row],[UDC]],TableSPUCURDES[],7,FALSE),"")</f>
        <v/>
      </c>
    </row>
    <row r="35" spans="1:20" x14ac:dyDescent="0.25">
      <c r="A35" s="8" t="s">
        <v>130</v>
      </c>
      <c r="B35" s="22">
        <v>3</v>
      </c>
      <c r="C35" s="7"/>
      <c r="D35" s="7" t="s">
        <v>273</v>
      </c>
      <c r="E35" s="63">
        <v>25</v>
      </c>
      <c r="F35" s="96" t="s">
        <v>271</v>
      </c>
      <c r="G35" s="46" t="str">
        <f>IFERROR(IF(VLOOKUP(TableHandbook[[#This Row],[UDC]],TableAvailabilities[],2,FALSE)&gt;0,"Y",""),"")</f>
        <v>Y</v>
      </c>
      <c r="H35" s="124" t="str">
        <f>IFERROR(IF(VLOOKUP(TableHandbook[[#This Row],[UDC]],TableAvailabilities[],3,FALSE)&gt;0,"Y",""),"")</f>
        <v/>
      </c>
      <c r="I35" s="125" t="str">
        <f>IFERROR(IF(VLOOKUP(TableHandbook[[#This Row],[UDC]],TableAvailabilities[],4,FALSE)&gt;0,"Y",""),"")</f>
        <v/>
      </c>
      <c r="J35" s="47" t="str">
        <f>IFERROR(IF(VLOOKUP(TableHandbook[[#This Row],[UDC]],TableAvailabilities[],5,FALSE)&gt;0,"Y",""),"")</f>
        <v/>
      </c>
      <c r="K35" s="141" t="s">
        <v>272</v>
      </c>
      <c r="L35" s="101" t="str">
        <f>IFERROR(VLOOKUP(TableHandbook[[#This Row],[UDC]],TableBCONM[],7,FALSE),"")</f>
        <v/>
      </c>
      <c r="M35" s="102" t="str">
        <f>IFERROR(VLOOKUP(TableHandbook[[#This Row],[UDC]],TableSTRHCONMN[],7,FALSE),"")</f>
        <v/>
      </c>
      <c r="N35" s="102" t="str">
        <f>IFERROR(VLOOKUP(TableHandbook[[#This Row],[UDC]],TableSTRUCONMN[],7,FALSE),"")</f>
        <v>Core</v>
      </c>
      <c r="O35" s="102" t="str">
        <f>IFERROR(VLOOKUP(TableHandbook[[#This Row],[UDC]],TableSPUCANGAD[],7,FALSE),"")</f>
        <v/>
      </c>
      <c r="P35" s="102" t="str">
        <f>IFERROR(VLOOKUP(TableHandbook[[#This Row],[UDC]],TableSPUCFINCE[],7,FALSE),"")</f>
        <v/>
      </c>
      <c r="Q35" s="102" t="str">
        <f>IFERROR(VLOOKUP(TableHandbook[[#This Row],[UDC]],TableSPUCINARS[],7,FALSE),"")</f>
        <v/>
      </c>
      <c r="R35" s="103" t="str">
        <f>IFERROR(VLOOKUP(TableHandbook[[#This Row],[UDC]],TableSPUCINENT[],7,FALSE),"")</f>
        <v/>
      </c>
      <c r="S35" s="103" t="str">
        <f>IFERROR(VLOOKUP(TableHandbook[[#This Row],[UDC]],TableSPUCPROPT[],7,FALSE),"")</f>
        <v/>
      </c>
      <c r="T35" s="104" t="str">
        <f>IFERROR(VLOOKUP(TableHandbook[[#This Row],[UDC]],TableSPUCURDES[],7,FALSE),"")</f>
        <v/>
      </c>
    </row>
    <row r="36" spans="1:20" x14ac:dyDescent="0.25">
      <c r="A36" s="8" t="s">
        <v>128</v>
      </c>
      <c r="B36" s="63">
        <v>1</v>
      </c>
      <c r="C36" s="8"/>
      <c r="D36" s="6" t="s">
        <v>274</v>
      </c>
      <c r="E36" s="63">
        <v>25</v>
      </c>
      <c r="F36" s="96" t="s">
        <v>275</v>
      </c>
      <c r="G36" s="46" t="str">
        <f>IFERROR(IF(VLOOKUP(TableHandbook[[#This Row],[UDC]],TableAvailabilities[],2,FALSE)&gt;0,"Y",""),"")</f>
        <v>Y</v>
      </c>
      <c r="H36" s="124" t="str">
        <f>IFERROR(IF(VLOOKUP(TableHandbook[[#This Row],[UDC]],TableAvailabilities[],3,FALSE)&gt;0,"Y",""),"")</f>
        <v/>
      </c>
      <c r="I36" s="125" t="str">
        <f>IFERROR(IF(VLOOKUP(TableHandbook[[#This Row],[UDC]],TableAvailabilities[],4,FALSE)&gt;0,"Y",""),"")</f>
        <v/>
      </c>
      <c r="J36" s="47" t="str">
        <f>IFERROR(IF(VLOOKUP(TableHandbook[[#This Row],[UDC]],TableAvailabilities[],5,FALSE)&gt;0,"Y",""),"")</f>
        <v/>
      </c>
      <c r="K36" s="140"/>
      <c r="L36" s="101" t="str">
        <f>IFERROR(VLOOKUP(TableHandbook[[#This Row],[UDC]],TableBCONM[],7,FALSE),"")</f>
        <v/>
      </c>
      <c r="M36" s="102" t="str">
        <f>IFERROR(VLOOKUP(TableHandbook[[#This Row],[UDC]],TableSTRHCONMN[],7,FALSE),"")</f>
        <v>Core</v>
      </c>
      <c r="N36" s="102" t="str">
        <f>IFERROR(VLOOKUP(TableHandbook[[#This Row],[UDC]],TableSTRUCONMN[],7,FALSE),"")</f>
        <v>Core</v>
      </c>
      <c r="O36" s="102" t="str">
        <f>IFERROR(VLOOKUP(TableHandbook[[#This Row],[UDC]],TableSPUCANGAD[],7,FALSE),"")</f>
        <v/>
      </c>
      <c r="P36" s="102" t="str">
        <f>IFERROR(VLOOKUP(TableHandbook[[#This Row],[UDC]],TableSPUCFINCE[],7,FALSE),"")</f>
        <v/>
      </c>
      <c r="Q36" s="102" t="str">
        <f>IFERROR(VLOOKUP(TableHandbook[[#This Row],[UDC]],TableSPUCINARS[],7,FALSE),"")</f>
        <v/>
      </c>
      <c r="R36" s="103" t="str">
        <f>IFERROR(VLOOKUP(TableHandbook[[#This Row],[UDC]],TableSPUCINENT[],7,FALSE),"")</f>
        <v/>
      </c>
      <c r="S36" s="103" t="str">
        <f>IFERROR(VLOOKUP(TableHandbook[[#This Row],[UDC]],TableSPUCPROPT[],7,FALSE),"")</f>
        <v/>
      </c>
      <c r="T36" s="104" t="str">
        <f>IFERROR(VLOOKUP(TableHandbook[[#This Row],[UDC]],TableSPUCURDES[],7,FALSE),"")</f>
        <v/>
      </c>
    </row>
    <row r="37" spans="1:20" x14ac:dyDescent="0.25">
      <c r="A37" s="150" t="s">
        <v>276</v>
      </c>
      <c r="B37" s="151">
        <v>1</v>
      </c>
      <c r="C37" s="150"/>
      <c r="D37" s="150" t="s">
        <v>277</v>
      </c>
      <c r="E37" s="151">
        <v>25</v>
      </c>
      <c r="F37" s="152" t="s">
        <v>239</v>
      </c>
      <c r="G37" s="46" t="str">
        <f>IFERROR(IF(VLOOKUP(TableHandbook[[#This Row],[UDC]],TableAvailabilities[],2,FALSE)&gt;0,"Y",""),"")</f>
        <v/>
      </c>
      <c r="H37" s="124" t="str">
        <f>IFERROR(IF(VLOOKUP(TableHandbook[[#This Row],[UDC]],TableAvailabilities[],3,FALSE)&gt;0,"Y",""),"")</f>
        <v/>
      </c>
      <c r="I37" s="125" t="str">
        <f>IFERROR(IF(VLOOKUP(TableHandbook[[#This Row],[UDC]],TableAvailabilities[],4,FALSE)&gt;0,"Y",""),"")</f>
        <v/>
      </c>
      <c r="J37" s="47" t="str">
        <f>IFERROR(IF(VLOOKUP(TableHandbook[[#This Row],[UDC]],TableAvailabilities[],5,FALSE)&gt;0,"Y",""),"")</f>
        <v/>
      </c>
      <c r="K37" s="153" t="s">
        <v>278</v>
      </c>
      <c r="L37" s="101" t="str">
        <f>IFERROR(VLOOKUP(TableHandbook[[#This Row],[UDC]],TableBCONM[],7,FALSE),"")</f>
        <v/>
      </c>
      <c r="M37" s="102" t="str">
        <f>IFERROR(VLOOKUP(TableHandbook[[#This Row],[UDC]],TableSTRHCONMN[],7,FALSE),"")</f>
        <v/>
      </c>
      <c r="N37" s="102" t="str">
        <f>IFERROR(VLOOKUP(TableHandbook[[#This Row],[UDC]],TableSTRUCONMN[],7,FALSE),"")</f>
        <v/>
      </c>
      <c r="O37" s="102" t="str">
        <f>IFERROR(VLOOKUP(TableHandbook[[#This Row],[UDC]],TableSPUCANGAD[],7,FALSE),"")</f>
        <v/>
      </c>
      <c r="P37" s="102" t="str">
        <f>IFERROR(VLOOKUP(TableHandbook[[#This Row],[UDC]],TableSPUCFINCE[],7,FALSE),"")</f>
        <v/>
      </c>
      <c r="Q37" s="102" t="str">
        <f>IFERROR(VLOOKUP(TableHandbook[[#This Row],[UDC]],TableSPUCINARS[],7,FALSE),"")</f>
        <v/>
      </c>
      <c r="R37" s="103" t="str">
        <f>IFERROR(VLOOKUP(TableHandbook[[#This Row],[UDC]],TableSPUCINENT[],7,FALSE),"")</f>
        <v/>
      </c>
      <c r="S37" s="103" t="str">
        <f>IFERROR(VLOOKUP(TableHandbook[[#This Row],[UDC]],TableSPUCPROPT[],7,FALSE),"")</f>
        <v/>
      </c>
      <c r="T37" s="104" t="str">
        <f>IFERROR(VLOOKUP(TableHandbook[[#This Row],[UDC]],TableSPUCURDES[],7,FALSE),"")</f>
        <v/>
      </c>
    </row>
    <row r="38" spans="1:20" x14ac:dyDescent="0.25">
      <c r="A38" s="8" t="s">
        <v>137</v>
      </c>
      <c r="B38" s="63">
        <v>1</v>
      </c>
      <c r="C38" s="8"/>
      <c r="D38" s="6" t="s">
        <v>279</v>
      </c>
      <c r="E38" s="63">
        <v>50</v>
      </c>
      <c r="F38" s="96" t="s">
        <v>131</v>
      </c>
      <c r="G38" s="46" t="str">
        <f>IFERROR(IF(VLOOKUP(TableHandbook[[#This Row],[UDC]],TableAvailabilities[],2,FALSE)&gt;0,"Y",""),"")</f>
        <v/>
      </c>
      <c r="H38" s="124" t="str">
        <f>IFERROR(IF(VLOOKUP(TableHandbook[[#This Row],[UDC]],TableAvailabilities[],3,FALSE)&gt;0,"Y",""),"")</f>
        <v/>
      </c>
      <c r="I38" s="125" t="str">
        <f>IFERROR(IF(VLOOKUP(TableHandbook[[#This Row],[UDC]],TableAvailabilities[],4,FALSE)&gt;0,"Y",""),"")</f>
        <v>Y</v>
      </c>
      <c r="J38" s="47" t="str">
        <f>IFERROR(IF(VLOOKUP(TableHandbook[[#This Row],[UDC]],TableAvailabilities[],5,FALSE)&gt;0,"Y",""),"")</f>
        <v/>
      </c>
      <c r="K38" s="140"/>
      <c r="L38" s="101" t="str">
        <f>IFERROR(VLOOKUP(TableHandbook[[#This Row],[UDC]],TableBCONM[],7,FALSE),"")</f>
        <v/>
      </c>
      <c r="M38" s="102" t="str">
        <f>IFERROR(VLOOKUP(TableHandbook[[#This Row],[UDC]],TableSTRHCONMN[],7,FALSE),"")</f>
        <v/>
      </c>
      <c r="N38" s="102" t="str">
        <f>IFERROR(VLOOKUP(TableHandbook[[#This Row],[UDC]],TableSTRUCONMN[],7,FALSE),"")</f>
        <v>Core</v>
      </c>
      <c r="O38" s="102" t="str">
        <f>IFERROR(VLOOKUP(TableHandbook[[#This Row],[UDC]],TableSPUCANGAD[],7,FALSE),"")</f>
        <v/>
      </c>
      <c r="P38" s="102" t="str">
        <f>IFERROR(VLOOKUP(TableHandbook[[#This Row],[UDC]],TableSPUCFINCE[],7,FALSE),"")</f>
        <v/>
      </c>
      <c r="Q38" s="102" t="str">
        <f>IFERROR(VLOOKUP(TableHandbook[[#This Row],[UDC]],TableSPUCINARS[],7,FALSE),"")</f>
        <v/>
      </c>
      <c r="R38" s="103" t="str">
        <f>IFERROR(VLOOKUP(TableHandbook[[#This Row],[UDC]],TableSPUCINENT[],7,FALSE),"")</f>
        <v/>
      </c>
      <c r="S38" s="103" t="str">
        <f>IFERROR(VLOOKUP(TableHandbook[[#This Row],[UDC]],TableSPUCPROPT[],7,FALSE),"")</f>
        <v/>
      </c>
      <c r="T38" s="104" t="str">
        <f>IFERROR(VLOOKUP(TableHandbook[[#This Row],[UDC]],TableSPUCURDES[],7,FALSE),"")</f>
        <v/>
      </c>
    </row>
    <row r="39" spans="1:20" x14ac:dyDescent="0.25">
      <c r="A39" s="6" t="s">
        <v>129</v>
      </c>
      <c r="B39" s="123">
        <v>1</v>
      </c>
      <c r="C39" s="6"/>
      <c r="D39" s="6" t="s">
        <v>280</v>
      </c>
      <c r="E39" s="63">
        <v>25</v>
      </c>
      <c r="F39" s="96" t="s">
        <v>256</v>
      </c>
      <c r="G39" s="46" t="str">
        <f>IFERROR(IF(VLOOKUP(TableHandbook[[#This Row],[UDC]],TableAvailabilities[],2,FALSE)&gt;0,"Y",""),"")</f>
        <v>Y</v>
      </c>
      <c r="H39" s="124" t="str">
        <f>IFERROR(IF(VLOOKUP(TableHandbook[[#This Row],[UDC]],TableAvailabilities[],3,FALSE)&gt;0,"Y",""),"")</f>
        <v/>
      </c>
      <c r="I39" s="125" t="str">
        <f>IFERROR(IF(VLOOKUP(TableHandbook[[#This Row],[UDC]],TableAvailabilities[],4,FALSE)&gt;0,"Y",""),"")</f>
        <v/>
      </c>
      <c r="J39" s="47" t="str">
        <f>IFERROR(IF(VLOOKUP(TableHandbook[[#This Row],[UDC]],TableAvailabilities[],5,FALSE)&gt;0,"Y",""),"")</f>
        <v/>
      </c>
      <c r="K39" s="141" t="s">
        <v>281</v>
      </c>
      <c r="L39" s="101" t="str">
        <f>IFERROR(VLOOKUP(TableHandbook[[#This Row],[UDC]],TableBCONM[],7,FALSE),"")</f>
        <v/>
      </c>
      <c r="M39" s="102" t="str">
        <f>IFERROR(VLOOKUP(TableHandbook[[#This Row],[UDC]],TableSTRHCONMN[],7,FALSE),"")</f>
        <v>Core</v>
      </c>
      <c r="N39" s="102" t="str">
        <f>IFERROR(VLOOKUP(TableHandbook[[#This Row],[UDC]],TableSTRUCONMN[],7,FALSE),"")</f>
        <v>Core</v>
      </c>
      <c r="O39" s="102" t="str">
        <f>IFERROR(VLOOKUP(TableHandbook[[#This Row],[UDC]],TableSPUCANGAD[],7,FALSE),"")</f>
        <v/>
      </c>
      <c r="P39" s="102" t="str">
        <f>IFERROR(VLOOKUP(TableHandbook[[#This Row],[UDC]],TableSPUCFINCE[],7,FALSE),"")</f>
        <v/>
      </c>
      <c r="Q39" s="102" t="str">
        <f>IFERROR(VLOOKUP(TableHandbook[[#This Row],[UDC]],TableSPUCINARS[],7,FALSE),"")</f>
        <v/>
      </c>
      <c r="R39" s="103" t="str">
        <f>IFERROR(VLOOKUP(TableHandbook[[#This Row],[UDC]],TableSPUCINENT[],7,FALSE),"")</f>
        <v/>
      </c>
      <c r="S39" s="103" t="str">
        <f>IFERROR(VLOOKUP(TableHandbook[[#This Row],[UDC]],TableSPUCPROPT[],7,FALSE),"")</f>
        <v/>
      </c>
      <c r="T39" s="104" t="str">
        <f>IFERROR(VLOOKUP(TableHandbook[[#This Row],[UDC]],TableSPUCURDES[],7,FALSE),"")</f>
        <v/>
      </c>
    </row>
    <row r="40" spans="1:20" x14ac:dyDescent="0.25">
      <c r="A40" s="8" t="s">
        <v>57</v>
      </c>
      <c r="B40" s="63">
        <v>2</v>
      </c>
      <c r="C40" s="8"/>
      <c r="D40" s="8" t="s">
        <v>282</v>
      </c>
      <c r="E40" s="63">
        <v>25</v>
      </c>
      <c r="F40" s="96" t="s">
        <v>239</v>
      </c>
      <c r="G40" s="46" t="str">
        <f>IFERROR(IF(VLOOKUP(TableHandbook[[#This Row],[UDC]],TableAvailabilities[],2,FALSE)&gt;0,"Y",""),"")</f>
        <v>Y</v>
      </c>
      <c r="H40" s="124" t="str">
        <f>IFERROR(IF(VLOOKUP(TableHandbook[[#This Row],[UDC]],TableAvailabilities[],3,FALSE)&gt;0,"Y",""),"")</f>
        <v>Y</v>
      </c>
      <c r="I40" s="125" t="str">
        <f>IFERROR(IF(VLOOKUP(TableHandbook[[#This Row],[UDC]],TableAvailabilities[],4,FALSE)&gt;0,"Y",""),"")</f>
        <v>Y</v>
      </c>
      <c r="J40" s="47" t="str">
        <f>IFERROR(IF(VLOOKUP(TableHandbook[[#This Row],[UDC]],TableAvailabilities[],5,FALSE)&gt;0,"Y",""),"")</f>
        <v>Y</v>
      </c>
      <c r="K40" s="140"/>
      <c r="L40" s="101" t="str">
        <f>IFERROR(VLOOKUP(TableHandbook[[#This Row],[UDC]],TableBCONM[],7,FALSE),"")</f>
        <v>Core</v>
      </c>
      <c r="M40" s="102" t="str">
        <f>IFERROR(VLOOKUP(TableHandbook[[#This Row],[UDC]],TableSTRHCONMN[],7,FALSE),"")</f>
        <v/>
      </c>
      <c r="N40" s="102" t="str">
        <f>IFERROR(VLOOKUP(TableHandbook[[#This Row],[UDC]],TableSTRUCONMN[],7,FALSE),"")</f>
        <v/>
      </c>
      <c r="O40" s="102" t="str">
        <f>IFERROR(VLOOKUP(TableHandbook[[#This Row],[UDC]],TableSPUCANGAD[],7,FALSE),"")</f>
        <v/>
      </c>
      <c r="P40" s="102" t="str">
        <f>IFERROR(VLOOKUP(TableHandbook[[#This Row],[UDC]],TableSPUCFINCE[],7,FALSE),"")</f>
        <v/>
      </c>
      <c r="Q40" s="102" t="str">
        <f>IFERROR(VLOOKUP(TableHandbook[[#This Row],[UDC]],TableSPUCINARS[],7,FALSE),"")</f>
        <v/>
      </c>
      <c r="R40" s="103" t="str">
        <f>IFERROR(VLOOKUP(TableHandbook[[#This Row],[UDC]],TableSPUCINENT[],7,FALSE),"")</f>
        <v/>
      </c>
      <c r="S40" s="103" t="str">
        <f>IFERROR(VLOOKUP(TableHandbook[[#This Row],[UDC]],TableSPUCPROPT[],7,FALSE),"")</f>
        <v/>
      </c>
      <c r="T40" s="104" t="str">
        <f>IFERROR(VLOOKUP(TableHandbook[[#This Row],[UDC]],TableSPUCURDES[],7,FALSE),"")</f>
        <v/>
      </c>
    </row>
    <row r="41" spans="1:20" x14ac:dyDescent="0.25">
      <c r="A41" s="8" t="s">
        <v>151</v>
      </c>
      <c r="B41" s="63">
        <v>1</v>
      </c>
      <c r="C41" s="8"/>
      <c r="D41" s="8" t="s">
        <v>283</v>
      </c>
      <c r="E41" s="63">
        <v>25</v>
      </c>
      <c r="F41" s="96" t="s">
        <v>239</v>
      </c>
      <c r="G41" s="46" t="str">
        <f>IFERROR(IF(VLOOKUP(TableHandbook[[#This Row],[UDC]],TableAvailabilities[],2,FALSE)&gt;0,"Y",""),"")</f>
        <v>Y</v>
      </c>
      <c r="H41" s="124" t="str">
        <f>IFERROR(IF(VLOOKUP(TableHandbook[[#This Row],[UDC]],TableAvailabilities[],3,FALSE)&gt;0,"Y",""),"")</f>
        <v>Y</v>
      </c>
      <c r="I41" s="125" t="str">
        <f>IFERROR(IF(VLOOKUP(TableHandbook[[#This Row],[UDC]],TableAvailabilities[],4,FALSE)&gt;0,"Y",""),"")</f>
        <v>Y</v>
      </c>
      <c r="J41" s="47" t="str">
        <f>IFERROR(IF(VLOOKUP(TableHandbook[[#This Row],[UDC]],TableAvailabilities[],5,FALSE)&gt;0,"Y",""),"")</f>
        <v>Y</v>
      </c>
      <c r="K41" s="140"/>
      <c r="L41" s="101" t="str">
        <f>IFERROR(VLOOKUP(TableHandbook[[#This Row],[UDC]],TableBCONM[],7,FALSE),"")</f>
        <v/>
      </c>
      <c r="M41" s="102" t="str">
        <f>IFERROR(VLOOKUP(TableHandbook[[#This Row],[UDC]],TableSTRHCONMN[],7,FALSE),"")</f>
        <v/>
      </c>
      <c r="N41" s="102" t="str">
        <f>IFERROR(VLOOKUP(TableHandbook[[#This Row],[UDC]],TableSTRUCONMN[],7,FALSE),"")</f>
        <v/>
      </c>
      <c r="O41" s="102" t="str">
        <f>IFERROR(VLOOKUP(TableHandbook[[#This Row],[UDC]],TableSPUCANGAD[],7,FALSE),"")</f>
        <v/>
      </c>
      <c r="P41" s="102" t="str">
        <f>IFERROR(VLOOKUP(TableHandbook[[#This Row],[UDC]],TableSPUCFINCE[],7,FALSE),"")</f>
        <v>Core</v>
      </c>
      <c r="Q41" s="102" t="str">
        <f>IFERROR(VLOOKUP(TableHandbook[[#This Row],[UDC]],TableSPUCINARS[],7,FALSE),"")</f>
        <v/>
      </c>
      <c r="R41" s="103" t="str">
        <f>IFERROR(VLOOKUP(TableHandbook[[#This Row],[UDC]],TableSPUCINENT[],7,FALSE),"")</f>
        <v/>
      </c>
      <c r="S41" s="103" t="str">
        <f>IFERROR(VLOOKUP(TableHandbook[[#This Row],[UDC]],TableSPUCPROPT[],7,FALSE),"")</f>
        <v/>
      </c>
      <c r="T41" s="104" t="str">
        <f>IFERROR(VLOOKUP(TableHandbook[[#This Row],[UDC]],TableSPUCURDES[],7,FALSE),"")</f>
        <v/>
      </c>
    </row>
    <row r="42" spans="1:20" x14ac:dyDescent="0.25">
      <c r="A42" s="8" t="s">
        <v>170</v>
      </c>
      <c r="B42" s="63">
        <v>3</v>
      </c>
      <c r="C42" s="8"/>
      <c r="D42" s="8" t="s">
        <v>284</v>
      </c>
      <c r="E42" s="63">
        <v>25</v>
      </c>
      <c r="F42" s="96" t="s">
        <v>151</v>
      </c>
      <c r="G42" s="46" t="str">
        <f>IFERROR(IF(VLOOKUP(TableHandbook[[#This Row],[UDC]],TableAvailabilities[],2,FALSE)&gt;0,"Y",""),"")</f>
        <v/>
      </c>
      <c r="H42" s="124" t="str">
        <f>IFERROR(IF(VLOOKUP(TableHandbook[[#This Row],[UDC]],TableAvailabilities[],3,FALSE)&gt;0,"Y",""),"")</f>
        <v/>
      </c>
      <c r="I42" s="125" t="str">
        <f>IFERROR(IF(VLOOKUP(TableHandbook[[#This Row],[UDC]],TableAvailabilities[],4,FALSE)&gt;0,"Y",""),"")</f>
        <v>Y</v>
      </c>
      <c r="J42" s="47" t="str">
        <f>IFERROR(IF(VLOOKUP(TableHandbook[[#This Row],[UDC]],TableAvailabilities[],5,FALSE)&gt;0,"Y",""),"")</f>
        <v>Y</v>
      </c>
      <c r="K42" s="140"/>
      <c r="L42" s="101" t="str">
        <f>IFERROR(VLOOKUP(TableHandbook[[#This Row],[UDC]],TableBCONM[],7,FALSE),"")</f>
        <v/>
      </c>
      <c r="M42" s="102" t="str">
        <f>IFERROR(VLOOKUP(TableHandbook[[#This Row],[UDC]],TableSTRHCONMN[],7,FALSE),"")</f>
        <v/>
      </c>
      <c r="N42" s="102" t="str">
        <f>IFERROR(VLOOKUP(TableHandbook[[#This Row],[UDC]],TableSTRUCONMN[],7,FALSE),"")</f>
        <v/>
      </c>
      <c r="O42" s="102" t="str">
        <f>IFERROR(VLOOKUP(TableHandbook[[#This Row],[UDC]],TableSPUCANGAD[],7,FALSE),"")</f>
        <v/>
      </c>
      <c r="P42" s="102" t="str">
        <f>IFERROR(VLOOKUP(TableHandbook[[#This Row],[UDC]],TableSPUCFINCE[],7,FALSE),"")</f>
        <v>Option</v>
      </c>
      <c r="Q42" s="102" t="str">
        <f>IFERROR(VLOOKUP(TableHandbook[[#This Row],[UDC]],TableSPUCINARS[],7,FALSE),"")</f>
        <v/>
      </c>
      <c r="R42" s="103" t="str">
        <f>IFERROR(VLOOKUP(TableHandbook[[#This Row],[UDC]],TableSPUCINENT[],7,FALSE),"")</f>
        <v/>
      </c>
      <c r="S42" s="103" t="str">
        <f>IFERROR(VLOOKUP(TableHandbook[[#This Row],[UDC]],TableSPUCPROPT[],7,FALSE),"")</f>
        <v/>
      </c>
      <c r="T42" s="104" t="str">
        <f>IFERROR(VLOOKUP(TableHandbook[[#This Row],[UDC]],TableSPUCURDES[],7,FALSE),"")</f>
        <v/>
      </c>
    </row>
    <row r="43" spans="1:20" x14ac:dyDescent="0.25">
      <c r="A43" s="8" t="s">
        <v>177</v>
      </c>
      <c r="B43" s="63">
        <v>1</v>
      </c>
      <c r="C43" s="8"/>
      <c r="D43" s="8" t="s">
        <v>285</v>
      </c>
      <c r="E43" s="63">
        <v>25</v>
      </c>
      <c r="F43" s="96" t="s">
        <v>286</v>
      </c>
      <c r="G43" s="46" t="str">
        <f>IFERROR(IF(VLOOKUP(TableHandbook[[#This Row],[UDC]],TableAvailabilities[],2,FALSE)&gt;0,"Y",""),"")</f>
        <v>Y</v>
      </c>
      <c r="H43" s="124" t="str">
        <f>IFERROR(IF(VLOOKUP(TableHandbook[[#This Row],[UDC]],TableAvailabilities[],3,FALSE)&gt;0,"Y",""),"")</f>
        <v>Y</v>
      </c>
      <c r="I43" s="125" t="str">
        <f>IFERROR(IF(VLOOKUP(TableHandbook[[#This Row],[UDC]],TableAvailabilities[],4,FALSE)&gt;0,"Y",""),"")</f>
        <v>Y</v>
      </c>
      <c r="J43" s="47" t="str">
        <f>IFERROR(IF(VLOOKUP(TableHandbook[[#This Row],[UDC]],TableAvailabilities[],5,FALSE)&gt;0,"Y",""),"")</f>
        <v>Y</v>
      </c>
      <c r="K43" s="140"/>
      <c r="L43" s="101" t="str">
        <f>IFERROR(VLOOKUP(TableHandbook[[#This Row],[UDC]],TableBCONM[],7,FALSE),"")</f>
        <v/>
      </c>
      <c r="M43" s="102" t="str">
        <f>IFERROR(VLOOKUP(TableHandbook[[#This Row],[UDC]],TableSTRHCONMN[],7,FALSE),"")</f>
        <v/>
      </c>
      <c r="N43" s="102" t="str">
        <f>IFERROR(VLOOKUP(TableHandbook[[#This Row],[UDC]],TableSTRUCONMN[],7,FALSE),"")</f>
        <v/>
      </c>
      <c r="O43" s="102" t="str">
        <f>IFERROR(VLOOKUP(TableHandbook[[#This Row],[UDC]],TableSPUCANGAD[],7,FALSE),"")</f>
        <v/>
      </c>
      <c r="P43" s="102" t="str">
        <f>IFERROR(VLOOKUP(TableHandbook[[#This Row],[UDC]],TableSPUCFINCE[],7,FALSE),"")</f>
        <v>Option</v>
      </c>
      <c r="Q43" s="102" t="str">
        <f>IFERROR(VLOOKUP(TableHandbook[[#This Row],[UDC]],TableSPUCINARS[],7,FALSE),"")</f>
        <v/>
      </c>
      <c r="R43" s="103" t="str">
        <f>IFERROR(VLOOKUP(TableHandbook[[#This Row],[UDC]],TableSPUCINENT[],7,FALSE),"")</f>
        <v/>
      </c>
      <c r="S43" s="103" t="str">
        <f>IFERROR(VLOOKUP(TableHandbook[[#This Row],[UDC]],TableSPUCPROPT[],7,FALSE),"")</f>
        <v/>
      </c>
      <c r="T43" s="104" t="str">
        <f>IFERROR(VLOOKUP(TableHandbook[[#This Row],[UDC]],TableSPUCURDES[],7,FALSE),"")</f>
        <v/>
      </c>
    </row>
    <row r="44" spans="1:20" x14ac:dyDescent="0.25">
      <c r="A44" s="8" t="s">
        <v>182</v>
      </c>
      <c r="B44" s="63">
        <v>1</v>
      </c>
      <c r="C44" s="8"/>
      <c r="D44" s="8" t="s">
        <v>287</v>
      </c>
      <c r="E44" s="63">
        <v>25</v>
      </c>
      <c r="F44" s="96" t="s">
        <v>151</v>
      </c>
      <c r="G44" s="46" t="str">
        <f>IFERROR(IF(VLOOKUP(TableHandbook[[#This Row],[UDC]],TableAvailabilities[],2,FALSE)&gt;0,"Y",""),"")</f>
        <v>Y</v>
      </c>
      <c r="H44" s="124" t="str">
        <f>IFERROR(IF(VLOOKUP(TableHandbook[[#This Row],[UDC]],TableAvailabilities[],3,FALSE)&gt;0,"Y",""),"")</f>
        <v>Y</v>
      </c>
      <c r="I44" s="125" t="str">
        <f>IFERROR(IF(VLOOKUP(TableHandbook[[#This Row],[UDC]],TableAvailabilities[],4,FALSE)&gt;0,"Y",""),"")</f>
        <v>Y</v>
      </c>
      <c r="J44" s="47" t="str">
        <f>IFERROR(IF(VLOOKUP(TableHandbook[[#This Row],[UDC]],TableAvailabilities[],5,FALSE)&gt;0,"Y",""),"")</f>
        <v>Y</v>
      </c>
      <c r="K44" s="140"/>
      <c r="L44" s="101" t="str">
        <f>IFERROR(VLOOKUP(TableHandbook[[#This Row],[UDC]],TableBCONM[],7,FALSE),"")</f>
        <v/>
      </c>
      <c r="M44" s="102" t="str">
        <f>IFERROR(VLOOKUP(TableHandbook[[#This Row],[UDC]],TableSTRHCONMN[],7,FALSE),"")</f>
        <v/>
      </c>
      <c r="N44" s="102" t="str">
        <f>IFERROR(VLOOKUP(TableHandbook[[#This Row],[UDC]],TableSTRUCONMN[],7,FALSE),"")</f>
        <v/>
      </c>
      <c r="O44" s="102" t="str">
        <f>IFERROR(VLOOKUP(TableHandbook[[#This Row],[UDC]],TableSPUCANGAD[],7,FALSE),"")</f>
        <v/>
      </c>
      <c r="P44" s="102" t="str">
        <f>IFERROR(VLOOKUP(TableHandbook[[#This Row],[UDC]],TableSPUCFINCE[],7,FALSE),"")</f>
        <v>Option</v>
      </c>
      <c r="Q44" s="102" t="str">
        <f>IFERROR(VLOOKUP(TableHandbook[[#This Row],[UDC]],TableSPUCINARS[],7,FALSE),"")</f>
        <v/>
      </c>
      <c r="R44" s="103" t="str">
        <f>IFERROR(VLOOKUP(TableHandbook[[#This Row],[UDC]],TableSPUCINENT[],7,FALSE),"")</f>
        <v/>
      </c>
      <c r="S44" s="103" t="str">
        <f>IFERROR(VLOOKUP(TableHandbook[[#This Row],[UDC]],TableSPUCPROPT[],7,FALSE),"")</f>
        <v/>
      </c>
      <c r="T44" s="104" t="str">
        <f>IFERROR(VLOOKUP(TableHandbook[[#This Row],[UDC]],TableSPUCURDES[],7,FALSE),"")</f>
        <v/>
      </c>
    </row>
    <row r="45" spans="1:20" x14ac:dyDescent="0.25">
      <c r="A45" s="8" t="s">
        <v>187</v>
      </c>
      <c r="B45" s="63">
        <v>1</v>
      </c>
      <c r="C45" s="8"/>
      <c r="D45" s="8" t="s">
        <v>288</v>
      </c>
      <c r="E45" s="63">
        <v>25</v>
      </c>
      <c r="F45" s="96" t="s">
        <v>286</v>
      </c>
      <c r="G45" s="46" t="str">
        <f>IFERROR(IF(VLOOKUP(TableHandbook[[#This Row],[UDC]],TableAvailabilities[],2,FALSE)&gt;0,"Y",""),"")</f>
        <v>Y</v>
      </c>
      <c r="H45" s="124" t="str">
        <f>IFERROR(IF(VLOOKUP(TableHandbook[[#This Row],[UDC]],TableAvailabilities[],3,FALSE)&gt;0,"Y",""),"")</f>
        <v>Y</v>
      </c>
      <c r="I45" s="125" t="str">
        <f>IFERROR(IF(VLOOKUP(TableHandbook[[#This Row],[UDC]],TableAvailabilities[],4,FALSE)&gt;0,"Y",""),"")</f>
        <v>Y</v>
      </c>
      <c r="J45" s="47" t="str">
        <f>IFERROR(IF(VLOOKUP(TableHandbook[[#This Row],[UDC]],TableAvailabilities[],5,FALSE)&gt;0,"Y",""),"")</f>
        <v>Y</v>
      </c>
      <c r="K45" s="140"/>
      <c r="L45" s="101" t="str">
        <f>IFERROR(VLOOKUP(TableHandbook[[#This Row],[UDC]],TableBCONM[],7,FALSE),"")</f>
        <v/>
      </c>
      <c r="M45" s="102" t="str">
        <f>IFERROR(VLOOKUP(TableHandbook[[#This Row],[UDC]],TableSTRHCONMN[],7,FALSE),"")</f>
        <v/>
      </c>
      <c r="N45" s="102" t="str">
        <f>IFERROR(VLOOKUP(TableHandbook[[#This Row],[UDC]],TableSTRUCONMN[],7,FALSE),"")</f>
        <v/>
      </c>
      <c r="O45" s="102" t="str">
        <f>IFERROR(VLOOKUP(TableHandbook[[#This Row],[UDC]],TableSPUCANGAD[],7,FALSE),"")</f>
        <v/>
      </c>
      <c r="P45" s="102" t="str">
        <f>IFERROR(VLOOKUP(TableHandbook[[#This Row],[UDC]],TableSPUCFINCE[],7,FALSE),"")</f>
        <v>Option</v>
      </c>
      <c r="Q45" s="102" t="str">
        <f>IFERROR(VLOOKUP(TableHandbook[[#This Row],[UDC]],TableSPUCINARS[],7,FALSE),"")</f>
        <v/>
      </c>
      <c r="R45" s="103" t="str">
        <f>IFERROR(VLOOKUP(TableHandbook[[#This Row],[UDC]],TableSPUCINENT[],7,FALSE),"")</f>
        <v/>
      </c>
      <c r="S45" s="103" t="str">
        <f>IFERROR(VLOOKUP(TableHandbook[[#This Row],[UDC]],TableSPUCPROPT[],7,FALSE),"")</f>
        <v/>
      </c>
      <c r="T45" s="104" t="str">
        <f>IFERROR(VLOOKUP(TableHandbook[[#This Row],[UDC]],TableSPUCURDES[],7,FALSE),"")</f>
        <v/>
      </c>
    </row>
    <row r="46" spans="1:20" x14ac:dyDescent="0.25">
      <c r="A46" s="8" t="s">
        <v>150</v>
      </c>
      <c r="B46" s="63">
        <v>1</v>
      </c>
      <c r="C46" s="8"/>
      <c r="D46" s="8" t="s">
        <v>289</v>
      </c>
      <c r="E46" s="63">
        <v>25</v>
      </c>
      <c r="F46" s="96" t="s">
        <v>239</v>
      </c>
      <c r="G46" s="46" t="str">
        <f>IFERROR(IF(VLOOKUP(TableHandbook[[#This Row],[UDC]],TableAvailabilities[],2,FALSE)&gt;0,"Y",""),"")</f>
        <v>Y</v>
      </c>
      <c r="H46" s="124" t="str">
        <f>IFERROR(IF(VLOOKUP(TableHandbook[[#This Row],[UDC]],TableAvailabilities[],3,FALSE)&gt;0,"Y",""),"")</f>
        <v/>
      </c>
      <c r="I46" s="125" t="str">
        <f>IFERROR(IF(VLOOKUP(TableHandbook[[#This Row],[UDC]],TableAvailabilities[],4,FALSE)&gt;0,"Y",""),"")</f>
        <v>Y</v>
      </c>
      <c r="J46" s="47" t="str">
        <f>IFERROR(IF(VLOOKUP(TableHandbook[[#This Row],[UDC]],TableAvailabilities[],5,FALSE)&gt;0,"Y",""),"")</f>
        <v/>
      </c>
      <c r="K46" s="140"/>
      <c r="L46" s="101" t="str">
        <f>IFERROR(VLOOKUP(TableHandbook[[#This Row],[UDC]],TableBCONM[],7,FALSE),"")</f>
        <v/>
      </c>
      <c r="M46" s="102" t="str">
        <f>IFERROR(VLOOKUP(TableHandbook[[#This Row],[UDC]],TableSTRHCONMN[],7,FALSE),"")</f>
        <v/>
      </c>
      <c r="N46" s="102" t="str">
        <f>IFERROR(VLOOKUP(TableHandbook[[#This Row],[UDC]],TableSTRUCONMN[],7,FALSE),"")</f>
        <v/>
      </c>
      <c r="O46" s="102" t="str">
        <f>IFERROR(VLOOKUP(TableHandbook[[#This Row],[UDC]],TableSPUCANGAD[],7,FALSE),"")</f>
        <v>Core</v>
      </c>
      <c r="P46" s="102" t="str">
        <f>IFERROR(VLOOKUP(TableHandbook[[#This Row],[UDC]],TableSPUCFINCE[],7,FALSE),"")</f>
        <v/>
      </c>
      <c r="Q46" s="102" t="str">
        <f>IFERROR(VLOOKUP(TableHandbook[[#This Row],[UDC]],TableSPUCINARS[],7,FALSE),"")</f>
        <v/>
      </c>
      <c r="R46" s="103" t="str">
        <f>IFERROR(VLOOKUP(TableHandbook[[#This Row],[UDC]],TableSPUCINENT[],7,FALSE),"")</f>
        <v/>
      </c>
      <c r="S46" s="103" t="str">
        <f>IFERROR(VLOOKUP(TableHandbook[[#This Row],[UDC]],TableSPUCPROPT[],7,FALSE),"")</f>
        <v/>
      </c>
      <c r="T46" s="104" t="str">
        <f>IFERROR(VLOOKUP(TableHandbook[[#This Row],[UDC]],TableSPUCURDES[],7,FALSE),"")</f>
        <v/>
      </c>
    </row>
    <row r="47" spans="1:20" x14ac:dyDescent="0.25">
      <c r="A47" s="8" t="s">
        <v>157</v>
      </c>
      <c r="B47" s="63">
        <v>1</v>
      </c>
      <c r="C47" s="8"/>
      <c r="D47" s="8" t="s">
        <v>290</v>
      </c>
      <c r="E47" s="63">
        <v>25</v>
      </c>
      <c r="F47" s="96" t="s">
        <v>239</v>
      </c>
      <c r="G47" s="46" t="str">
        <f>IFERROR(IF(VLOOKUP(TableHandbook[[#This Row],[UDC]],TableAvailabilities[],2,FALSE)&gt;0,"Y",""),"")</f>
        <v/>
      </c>
      <c r="H47" s="124" t="str">
        <f>IFERROR(IF(VLOOKUP(TableHandbook[[#This Row],[UDC]],TableAvailabilities[],3,FALSE)&gt;0,"Y",""),"")</f>
        <v/>
      </c>
      <c r="I47" s="125" t="str">
        <f>IFERROR(IF(VLOOKUP(TableHandbook[[#This Row],[UDC]],TableAvailabilities[],4,FALSE)&gt;0,"Y",""),"")</f>
        <v>Y</v>
      </c>
      <c r="J47" s="47" t="str">
        <f>IFERROR(IF(VLOOKUP(TableHandbook[[#This Row],[UDC]],TableAvailabilities[],5,FALSE)&gt;0,"Y",""),"")</f>
        <v/>
      </c>
      <c r="K47" s="140"/>
      <c r="L47" s="101" t="str">
        <f>IFERROR(VLOOKUP(TableHandbook[[#This Row],[UDC]],TableBCONM[],7,FALSE),"")</f>
        <v/>
      </c>
      <c r="M47" s="102" t="str">
        <f>IFERROR(VLOOKUP(TableHandbook[[#This Row],[UDC]],TableSTRHCONMN[],7,FALSE),"")</f>
        <v/>
      </c>
      <c r="N47" s="102" t="str">
        <f>IFERROR(VLOOKUP(TableHandbook[[#This Row],[UDC]],TableSTRUCONMN[],7,FALSE),"")</f>
        <v/>
      </c>
      <c r="O47" s="102" t="str">
        <f>IFERROR(VLOOKUP(TableHandbook[[#This Row],[UDC]],TableSPUCANGAD[],7,FALSE),"")</f>
        <v>Core</v>
      </c>
      <c r="P47" s="102" t="str">
        <f>IFERROR(VLOOKUP(TableHandbook[[#This Row],[UDC]],TableSPUCFINCE[],7,FALSE),"")</f>
        <v/>
      </c>
      <c r="Q47" s="102" t="str">
        <f>IFERROR(VLOOKUP(TableHandbook[[#This Row],[UDC]],TableSPUCINARS[],7,FALSE),"")</f>
        <v/>
      </c>
      <c r="R47" s="103" t="str">
        <f>IFERROR(VLOOKUP(TableHandbook[[#This Row],[UDC]],TableSPUCINENT[],7,FALSE),"")</f>
        <v/>
      </c>
      <c r="S47" s="103" t="str">
        <f>IFERROR(VLOOKUP(TableHandbook[[#This Row],[UDC]],TableSPUCPROPT[],7,FALSE),"")</f>
        <v/>
      </c>
      <c r="T47" s="104" t="str">
        <f>IFERROR(VLOOKUP(TableHandbook[[#This Row],[UDC]],TableSPUCURDES[],7,FALSE),"")</f>
        <v/>
      </c>
    </row>
    <row r="48" spans="1:20" x14ac:dyDescent="0.25">
      <c r="A48" s="8" t="s">
        <v>179</v>
      </c>
      <c r="B48" s="63">
        <v>3</v>
      </c>
      <c r="C48" s="8"/>
      <c r="D48" s="8" t="s">
        <v>291</v>
      </c>
      <c r="E48" s="63">
        <v>25</v>
      </c>
      <c r="F48" s="96" t="s">
        <v>239</v>
      </c>
      <c r="G48" s="46" t="str">
        <f>IFERROR(IF(VLOOKUP(TableHandbook[[#This Row],[UDC]],TableAvailabilities[],2,FALSE)&gt;0,"Y",""),"")</f>
        <v/>
      </c>
      <c r="H48" s="124" t="str">
        <f>IFERROR(IF(VLOOKUP(TableHandbook[[#This Row],[UDC]],TableAvailabilities[],3,FALSE)&gt;0,"Y",""),"")</f>
        <v/>
      </c>
      <c r="I48" s="125" t="str">
        <f>IFERROR(IF(VLOOKUP(TableHandbook[[#This Row],[UDC]],TableAvailabilities[],4,FALSE)&gt;0,"Y",""),"")</f>
        <v>Y</v>
      </c>
      <c r="J48" s="47" t="str">
        <f>IFERROR(IF(VLOOKUP(TableHandbook[[#This Row],[UDC]],TableAvailabilities[],5,FALSE)&gt;0,"Y",""),"")</f>
        <v/>
      </c>
      <c r="K48" s="140"/>
      <c r="L48" s="101" t="str">
        <f>IFERROR(VLOOKUP(TableHandbook[[#This Row],[UDC]],TableBCONM[],7,FALSE),"")</f>
        <v/>
      </c>
      <c r="M48" s="102" t="str">
        <f>IFERROR(VLOOKUP(TableHandbook[[#This Row],[UDC]],TableSTRHCONMN[],7,FALSE),"")</f>
        <v/>
      </c>
      <c r="N48" s="102" t="str">
        <f>IFERROR(VLOOKUP(TableHandbook[[#This Row],[UDC]],TableSTRUCONMN[],7,FALSE),"")</f>
        <v/>
      </c>
      <c r="O48" s="102" t="str">
        <f>IFERROR(VLOOKUP(TableHandbook[[#This Row],[UDC]],TableSPUCANGAD[],7,FALSE),"")</f>
        <v/>
      </c>
      <c r="P48" s="102" t="str">
        <f>IFERROR(VLOOKUP(TableHandbook[[#This Row],[UDC]],TableSPUCFINCE[],7,FALSE),"")</f>
        <v/>
      </c>
      <c r="Q48" s="102" t="str">
        <f>IFERROR(VLOOKUP(TableHandbook[[#This Row],[UDC]],TableSPUCINARS[],7,FALSE),"")</f>
        <v/>
      </c>
      <c r="R48" s="103" t="str">
        <f>IFERROR(VLOOKUP(TableHandbook[[#This Row],[UDC]],TableSPUCINENT[],7,FALSE),"")</f>
        <v>Option</v>
      </c>
      <c r="S48" s="103" t="str">
        <f>IFERROR(VLOOKUP(TableHandbook[[#This Row],[UDC]],TableSPUCPROPT[],7,FALSE),"")</f>
        <v/>
      </c>
      <c r="T48" s="104" t="str">
        <f>IFERROR(VLOOKUP(TableHandbook[[#This Row],[UDC]],TableSPUCURDES[],7,FALSE),"")</f>
        <v/>
      </c>
    </row>
    <row r="49" spans="1:20" x14ac:dyDescent="0.25">
      <c r="A49" s="8" t="s">
        <v>164</v>
      </c>
      <c r="B49" s="63">
        <v>2</v>
      </c>
      <c r="C49" s="8"/>
      <c r="D49" s="8" t="s">
        <v>292</v>
      </c>
      <c r="E49" s="63">
        <v>25</v>
      </c>
      <c r="F49" s="96" t="s">
        <v>293</v>
      </c>
      <c r="G49" s="46" t="str">
        <f>IFERROR(IF(VLOOKUP(TableHandbook[[#This Row],[UDC]],TableAvailabilities[],2,FALSE)&gt;0,"Y",""),"")</f>
        <v>Y</v>
      </c>
      <c r="H49" s="124" t="str">
        <f>IFERROR(IF(VLOOKUP(TableHandbook[[#This Row],[UDC]],TableAvailabilities[],3,FALSE)&gt;0,"Y",""),"")</f>
        <v/>
      </c>
      <c r="I49" s="125" t="str">
        <f>IFERROR(IF(VLOOKUP(TableHandbook[[#This Row],[UDC]],TableAvailabilities[],4,FALSE)&gt;0,"Y",""),"")</f>
        <v/>
      </c>
      <c r="J49" s="47" t="str">
        <f>IFERROR(IF(VLOOKUP(TableHandbook[[#This Row],[UDC]],TableAvailabilities[],5,FALSE)&gt;0,"Y",""),"")</f>
        <v/>
      </c>
      <c r="K49" s="140"/>
      <c r="L49" s="101" t="str">
        <f>IFERROR(VLOOKUP(TableHandbook[[#This Row],[UDC]],TableBCONM[],7,FALSE),"")</f>
        <v/>
      </c>
      <c r="M49" s="102" t="str">
        <f>IFERROR(VLOOKUP(TableHandbook[[#This Row],[UDC]],TableSTRHCONMN[],7,FALSE),"")</f>
        <v/>
      </c>
      <c r="N49" s="102" t="str">
        <f>IFERROR(VLOOKUP(TableHandbook[[#This Row],[UDC]],TableSTRUCONMN[],7,FALSE),"")</f>
        <v/>
      </c>
      <c r="O49" s="102" t="str">
        <f>IFERROR(VLOOKUP(TableHandbook[[#This Row],[UDC]],TableSPUCANGAD[],7,FALSE),"")</f>
        <v>Core</v>
      </c>
      <c r="P49" s="102" t="str">
        <f>IFERROR(VLOOKUP(TableHandbook[[#This Row],[UDC]],TableSPUCFINCE[],7,FALSE),"")</f>
        <v/>
      </c>
      <c r="Q49" s="102" t="str">
        <f>IFERROR(VLOOKUP(TableHandbook[[#This Row],[UDC]],TableSPUCINARS[],7,FALSE),"")</f>
        <v/>
      </c>
      <c r="R49" s="103" t="str">
        <f>IFERROR(VLOOKUP(TableHandbook[[#This Row],[UDC]],TableSPUCINENT[],7,FALSE),"")</f>
        <v/>
      </c>
      <c r="S49" s="103" t="str">
        <f>IFERROR(VLOOKUP(TableHandbook[[#This Row],[UDC]],TableSPUCPROPT[],7,FALSE),"")</f>
        <v/>
      </c>
      <c r="T49" s="104" t="str">
        <f>IFERROR(VLOOKUP(TableHandbook[[#This Row],[UDC]],TableSPUCURDES[],7,FALSE),"")</f>
        <v/>
      </c>
    </row>
    <row r="50" spans="1:20" ht="26.25" x14ac:dyDescent="0.25">
      <c r="A50" s="6" t="s">
        <v>181</v>
      </c>
      <c r="B50" s="123">
        <v>2</v>
      </c>
      <c r="C50" s="6"/>
      <c r="D50" s="6" t="s">
        <v>294</v>
      </c>
      <c r="E50" s="123">
        <v>25</v>
      </c>
      <c r="F50" s="107" t="s">
        <v>295</v>
      </c>
      <c r="G50" s="46" t="str">
        <f>IFERROR(IF(VLOOKUP(TableHandbook[[#This Row],[UDC]],TableAvailabilities[],2,FALSE)&gt;0,"Y",""),"")</f>
        <v/>
      </c>
      <c r="H50" s="124" t="str">
        <f>IFERROR(IF(VLOOKUP(TableHandbook[[#This Row],[UDC]],TableAvailabilities[],3,FALSE)&gt;0,"Y",""),"")</f>
        <v/>
      </c>
      <c r="I50" s="125" t="str">
        <f>IFERROR(IF(VLOOKUP(TableHandbook[[#This Row],[UDC]],TableAvailabilities[],4,FALSE)&gt;0,"Y",""),"")</f>
        <v>Y</v>
      </c>
      <c r="J50" s="47" t="str">
        <f>IFERROR(IF(VLOOKUP(TableHandbook[[#This Row],[UDC]],TableAvailabilities[],5,FALSE)&gt;0,"Y",""),"")</f>
        <v/>
      </c>
      <c r="K50" s="141" t="s">
        <v>296</v>
      </c>
      <c r="L50" s="101" t="str">
        <f>IFERROR(VLOOKUP(TableHandbook[[#This Row],[UDC]],TableBCONM[],7,FALSE),"")</f>
        <v/>
      </c>
      <c r="M50" s="102" t="str">
        <f>IFERROR(VLOOKUP(TableHandbook[[#This Row],[UDC]],TableSTRHCONMN[],7,FALSE),"")</f>
        <v/>
      </c>
      <c r="N50" s="102" t="str">
        <f>IFERROR(VLOOKUP(TableHandbook[[#This Row],[UDC]],TableSTRUCONMN[],7,FALSE),"")</f>
        <v/>
      </c>
      <c r="O50" s="102" t="str">
        <f>IFERROR(VLOOKUP(TableHandbook[[#This Row],[UDC]],TableSPUCANGAD[],7,FALSE),"")</f>
        <v>AltCore</v>
      </c>
      <c r="P50" s="102" t="str">
        <f>IFERROR(VLOOKUP(TableHandbook[[#This Row],[UDC]],TableSPUCFINCE[],7,FALSE),"")</f>
        <v/>
      </c>
      <c r="Q50" s="102" t="str">
        <f>IFERROR(VLOOKUP(TableHandbook[[#This Row],[UDC]],TableSPUCINARS[],7,FALSE),"")</f>
        <v/>
      </c>
      <c r="R50" s="103" t="str">
        <f>IFERROR(VLOOKUP(TableHandbook[[#This Row],[UDC]],TableSPUCINENT[],7,FALSE),"")</f>
        <v/>
      </c>
      <c r="S50" s="103" t="str">
        <f>IFERROR(VLOOKUP(TableHandbook[[#This Row],[UDC]],TableSPUCPROPT[],7,FALSE),"")</f>
        <v/>
      </c>
      <c r="T50" s="104" t="str">
        <f>IFERROR(VLOOKUP(TableHandbook[[#This Row],[UDC]],TableSPUCURDES[],7,FALSE),"")</f>
        <v/>
      </c>
    </row>
    <row r="51" spans="1:20" x14ac:dyDescent="0.25">
      <c r="A51" s="150" t="s">
        <v>297</v>
      </c>
      <c r="B51" s="151">
        <v>3</v>
      </c>
      <c r="C51" s="150"/>
      <c r="D51" s="150" t="s">
        <v>298</v>
      </c>
      <c r="E51" s="151">
        <v>25</v>
      </c>
      <c r="F51" s="152" t="s">
        <v>239</v>
      </c>
      <c r="G51" s="46" t="str">
        <f>IFERROR(IF(VLOOKUP(TableHandbook[[#This Row],[UDC]],TableAvailabilities[],2,FALSE)&gt;0,"Y",""),"")</f>
        <v/>
      </c>
      <c r="H51" s="124" t="str">
        <f>IFERROR(IF(VLOOKUP(TableHandbook[[#This Row],[UDC]],TableAvailabilities[],3,FALSE)&gt;0,"Y",""),"")</f>
        <v/>
      </c>
      <c r="I51" s="125" t="str">
        <f>IFERROR(IF(VLOOKUP(TableHandbook[[#This Row],[UDC]],TableAvailabilities[],4,FALSE)&gt;0,"Y",""),"")</f>
        <v/>
      </c>
      <c r="J51" s="47" t="str">
        <f>IFERROR(IF(VLOOKUP(TableHandbook[[#This Row],[UDC]],TableAvailabilities[],5,FALSE)&gt;0,"Y",""),"")</f>
        <v/>
      </c>
      <c r="K51" s="153" t="s">
        <v>299</v>
      </c>
      <c r="L51" s="101" t="str">
        <f>IFERROR(VLOOKUP(TableHandbook[[#This Row],[UDC]],TableBCONM[],7,FALSE),"")</f>
        <v/>
      </c>
      <c r="M51" s="102" t="str">
        <f>IFERROR(VLOOKUP(TableHandbook[[#This Row],[UDC]],TableSTRHCONMN[],7,FALSE),"")</f>
        <v/>
      </c>
      <c r="N51" s="102" t="str">
        <f>IFERROR(VLOOKUP(TableHandbook[[#This Row],[UDC]],TableSTRUCONMN[],7,FALSE),"")</f>
        <v/>
      </c>
      <c r="O51" s="102" t="str">
        <f>IFERROR(VLOOKUP(TableHandbook[[#This Row],[UDC]],TableSPUCANGAD[],7,FALSE),"")</f>
        <v/>
      </c>
      <c r="P51" s="102" t="str">
        <f>IFERROR(VLOOKUP(TableHandbook[[#This Row],[UDC]],TableSPUCFINCE[],7,FALSE),"")</f>
        <v/>
      </c>
      <c r="Q51" s="102" t="str">
        <f>IFERROR(VLOOKUP(TableHandbook[[#This Row],[UDC]],TableSPUCINARS[],7,FALSE),"")</f>
        <v/>
      </c>
      <c r="R51" s="103" t="str">
        <f>IFERROR(VLOOKUP(TableHandbook[[#This Row],[UDC]],TableSPUCINENT[],7,FALSE),"")</f>
        <v/>
      </c>
      <c r="S51" s="103" t="str">
        <f>IFERROR(VLOOKUP(TableHandbook[[#This Row],[UDC]],TableSPUCPROPT[],7,FALSE),"")</f>
        <v/>
      </c>
      <c r="T51" s="104" t="str">
        <f>IFERROR(VLOOKUP(TableHandbook[[#This Row],[UDC]],TableSPUCURDES[],7,FALSE),"")</f>
        <v/>
      </c>
    </row>
    <row r="52" spans="1:20" x14ac:dyDescent="0.25">
      <c r="A52" s="8" t="s">
        <v>159</v>
      </c>
      <c r="B52" s="63">
        <v>4</v>
      </c>
      <c r="C52" s="8"/>
      <c r="D52" s="8" t="s">
        <v>300</v>
      </c>
      <c r="E52" s="63">
        <v>25</v>
      </c>
      <c r="F52" s="96" t="s">
        <v>239</v>
      </c>
      <c r="G52" s="46" t="str">
        <f>IFERROR(IF(VLOOKUP(TableHandbook[[#This Row],[UDC]],TableAvailabilities[],2,FALSE)&gt;0,"Y",""),"")</f>
        <v>Y</v>
      </c>
      <c r="H52" s="124" t="str">
        <f>IFERROR(IF(VLOOKUP(TableHandbook[[#This Row],[UDC]],TableAvailabilities[],3,FALSE)&gt;0,"Y",""),"")</f>
        <v/>
      </c>
      <c r="I52" s="125" t="str">
        <f>IFERROR(IF(VLOOKUP(TableHandbook[[#This Row],[UDC]],TableAvailabilities[],4,FALSE)&gt;0,"Y",""),"")</f>
        <v/>
      </c>
      <c r="J52" s="47" t="str">
        <f>IFERROR(IF(VLOOKUP(TableHandbook[[#This Row],[UDC]],TableAvailabilities[],5,FALSE)&gt;0,"Y",""),"")</f>
        <v/>
      </c>
      <c r="K52" s="140"/>
      <c r="L52" s="101" t="str">
        <f>IFERROR(VLOOKUP(TableHandbook[[#This Row],[UDC]],TableBCONM[],7,FALSE),"")</f>
        <v/>
      </c>
      <c r="M52" s="102" t="str">
        <f>IFERROR(VLOOKUP(TableHandbook[[#This Row],[UDC]],TableSTRHCONMN[],7,FALSE),"")</f>
        <v/>
      </c>
      <c r="N52" s="102" t="str">
        <f>IFERROR(VLOOKUP(TableHandbook[[#This Row],[UDC]],TableSTRUCONMN[],7,FALSE),"")</f>
        <v/>
      </c>
      <c r="O52" s="102" t="str">
        <f>IFERROR(VLOOKUP(TableHandbook[[#This Row],[UDC]],TableSPUCANGAD[],7,FALSE),"")</f>
        <v/>
      </c>
      <c r="P52" s="102" t="str">
        <f>IFERROR(VLOOKUP(TableHandbook[[#This Row],[UDC]],TableSPUCFINCE[],7,FALSE),"")</f>
        <v/>
      </c>
      <c r="Q52" s="102" t="str">
        <f>IFERROR(VLOOKUP(TableHandbook[[#This Row],[UDC]],TableSPUCINARS[],7,FALSE),"")</f>
        <v>AltCore</v>
      </c>
      <c r="R52" s="103" t="str">
        <f>IFERROR(VLOOKUP(TableHandbook[[#This Row],[UDC]],TableSPUCINENT[],7,FALSE),"")</f>
        <v/>
      </c>
      <c r="S52" s="103" t="str">
        <f>IFERROR(VLOOKUP(TableHandbook[[#This Row],[UDC]],TableSPUCPROPT[],7,FALSE),"")</f>
        <v/>
      </c>
      <c r="T52" s="104" t="str">
        <f>IFERROR(VLOOKUP(TableHandbook[[#This Row],[UDC]],TableSPUCURDES[],7,FALSE),"")</f>
        <v/>
      </c>
    </row>
    <row r="53" spans="1:20" x14ac:dyDescent="0.25">
      <c r="A53" s="8" t="s">
        <v>166</v>
      </c>
      <c r="B53" s="63">
        <v>1</v>
      </c>
      <c r="C53" s="8"/>
      <c r="D53" s="8" t="s">
        <v>301</v>
      </c>
      <c r="E53" s="63">
        <v>25</v>
      </c>
      <c r="F53" s="96" t="s">
        <v>239</v>
      </c>
      <c r="G53" s="46" t="str">
        <f>IFERROR(IF(VLOOKUP(TableHandbook[[#This Row],[UDC]],TableAvailabilities[],2,FALSE)&gt;0,"Y",""),"")</f>
        <v/>
      </c>
      <c r="H53" s="124" t="str">
        <f>IFERROR(IF(VLOOKUP(TableHandbook[[#This Row],[UDC]],TableAvailabilities[],3,FALSE)&gt;0,"Y",""),"")</f>
        <v/>
      </c>
      <c r="I53" s="125" t="str">
        <f>IFERROR(IF(VLOOKUP(TableHandbook[[#This Row],[UDC]],TableAvailabilities[],4,FALSE)&gt;0,"Y",""),"")</f>
        <v>Y</v>
      </c>
      <c r="J53" s="47" t="str">
        <f>IFERROR(IF(VLOOKUP(TableHandbook[[#This Row],[UDC]],TableAvailabilities[],5,FALSE)&gt;0,"Y",""),"")</f>
        <v/>
      </c>
      <c r="K53" s="140"/>
      <c r="L53" s="101" t="str">
        <f>IFERROR(VLOOKUP(TableHandbook[[#This Row],[UDC]],TableBCONM[],7,FALSE),"")</f>
        <v/>
      </c>
      <c r="M53" s="102" t="str">
        <f>IFERROR(VLOOKUP(TableHandbook[[#This Row],[UDC]],TableSTRHCONMN[],7,FALSE),"")</f>
        <v/>
      </c>
      <c r="N53" s="102" t="str">
        <f>IFERROR(VLOOKUP(TableHandbook[[#This Row],[UDC]],TableSTRUCONMN[],7,FALSE),"")</f>
        <v/>
      </c>
      <c r="O53" s="102" t="str">
        <f>IFERROR(VLOOKUP(TableHandbook[[#This Row],[UDC]],TableSPUCANGAD[],7,FALSE),"")</f>
        <v/>
      </c>
      <c r="P53" s="102" t="str">
        <f>IFERROR(VLOOKUP(TableHandbook[[#This Row],[UDC]],TableSPUCFINCE[],7,FALSE),"")</f>
        <v/>
      </c>
      <c r="Q53" s="102" t="str">
        <f>IFERROR(VLOOKUP(TableHandbook[[#This Row],[UDC]],TableSPUCINARS[],7,FALSE),"")</f>
        <v>AltCore</v>
      </c>
      <c r="R53" s="103" t="str">
        <f>IFERROR(VLOOKUP(TableHandbook[[#This Row],[UDC]],TableSPUCINENT[],7,FALSE),"")</f>
        <v/>
      </c>
      <c r="S53" s="103" t="str">
        <f>IFERROR(VLOOKUP(TableHandbook[[#This Row],[UDC]],TableSPUCPROPT[],7,FALSE),"")</f>
        <v/>
      </c>
      <c r="T53" s="104" t="str">
        <f>IFERROR(VLOOKUP(TableHandbook[[#This Row],[UDC]],TableSPUCURDES[],7,FALSE),"")</f>
        <v/>
      </c>
    </row>
    <row r="54" spans="1:20" x14ac:dyDescent="0.25">
      <c r="A54" s="8" t="s">
        <v>195</v>
      </c>
      <c r="B54" s="63">
        <v>4</v>
      </c>
      <c r="C54" s="8"/>
      <c r="D54" s="8" t="s">
        <v>302</v>
      </c>
      <c r="E54" s="63">
        <v>25</v>
      </c>
      <c r="F54" s="96" t="s">
        <v>159</v>
      </c>
      <c r="G54" s="46" t="str">
        <f>IFERROR(IF(VLOOKUP(TableHandbook[[#This Row],[UDC]],TableAvailabilities[],2,FALSE)&gt;0,"Y",""),"")</f>
        <v/>
      </c>
      <c r="H54" s="124" t="str">
        <f>IFERROR(IF(VLOOKUP(TableHandbook[[#This Row],[UDC]],TableAvailabilities[],3,FALSE)&gt;0,"Y",""),"")</f>
        <v/>
      </c>
      <c r="I54" s="125" t="str">
        <f>IFERROR(IF(VLOOKUP(TableHandbook[[#This Row],[UDC]],TableAvailabilities[],4,FALSE)&gt;0,"Y",""),"")</f>
        <v>Y</v>
      </c>
      <c r="J54" s="47" t="str">
        <f>IFERROR(IF(VLOOKUP(TableHandbook[[#This Row],[UDC]],TableAvailabilities[],5,FALSE)&gt;0,"Y",""),"")</f>
        <v/>
      </c>
      <c r="K54" s="140"/>
      <c r="L54" s="101" t="str">
        <f>IFERROR(VLOOKUP(TableHandbook[[#This Row],[UDC]],TableBCONM[],7,FALSE),"")</f>
        <v/>
      </c>
      <c r="M54" s="102" t="str">
        <f>IFERROR(VLOOKUP(TableHandbook[[#This Row],[UDC]],TableSTRHCONMN[],7,FALSE),"")</f>
        <v/>
      </c>
      <c r="N54" s="102" t="str">
        <f>IFERROR(VLOOKUP(TableHandbook[[#This Row],[UDC]],TableSTRUCONMN[],7,FALSE),"")</f>
        <v/>
      </c>
      <c r="O54" s="102" t="str">
        <f>IFERROR(VLOOKUP(TableHandbook[[#This Row],[UDC]],TableSPUCANGAD[],7,FALSE),"")</f>
        <v/>
      </c>
      <c r="P54" s="102" t="str">
        <f>IFERROR(VLOOKUP(TableHandbook[[#This Row],[UDC]],TableSPUCFINCE[],7,FALSE),"")</f>
        <v/>
      </c>
      <c r="Q54" s="102" t="str">
        <f>IFERROR(VLOOKUP(TableHandbook[[#This Row],[UDC]],TableSPUCINARS[],7,FALSE),"")</f>
        <v>Option</v>
      </c>
      <c r="R54" s="103" t="str">
        <f>IFERROR(VLOOKUP(TableHandbook[[#This Row],[UDC]],TableSPUCINENT[],7,FALSE),"")</f>
        <v/>
      </c>
      <c r="S54" s="103" t="str">
        <f>IFERROR(VLOOKUP(TableHandbook[[#This Row],[UDC]],TableSPUCPROPT[],7,FALSE),"")</f>
        <v/>
      </c>
      <c r="T54" s="104" t="str">
        <f>IFERROR(VLOOKUP(TableHandbook[[#This Row],[UDC]],TableSPUCURDES[],7,FALSE),"")</f>
        <v/>
      </c>
    </row>
    <row r="55" spans="1:20" x14ac:dyDescent="0.25">
      <c r="A55" s="150" t="s">
        <v>303</v>
      </c>
      <c r="B55" s="151">
        <v>3</v>
      </c>
      <c r="C55" s="150"/>
      <c r="D55" s="150" t="s">
        <v>304</v>
      </c>
      <c r="E55" s="151">
        <v>25</v>
      </c>
      <c r="F55" s="152" t="s">
        <v>305</v>
      </c>
      <c r="G55" s="46" t="str">
        <f>IFERROR(IF(VLOOKUP(TableHandbook[[#This Row],[UDC]],TableAvailabilities[],2,FALSE)&gt;0,"Y",""),"")</f>
        <v/>
      </c>
      <c r="H55" s="124" t="str">
        <f>IFERROR(IF(VLOOKUP(TableHandbook[[#This Row],[UDC]],TableAvailabilities[],3,FALSE)&gt;0,"Y",""),"")</f>
        <v/>
      </c>
      <c r="I55" s="125" t="str">
        <f>IFERROR(IF(VLOOKUP(TableHandbook[[#This Row],[UDC]],TableAvailabilities[],4,FALSE)&gt;0,"Y",""),"")</f>
        <v/>
      </c>
      <c r="J55" s="47" t="str">
        <f>IFERROR(IF(VLOOKUP(TableHandbook[[#This Row],[UDC]],TableAvailabilities[],5,FALSE)&gt;0,"Y",""),"")</f>
        <v/>
      </c>
      <c r="K55" s="153" t="s">
        <v>306</v>
      </c>
      <c r="L55" s="101" t="str">
        <f>IFERROR(VLOOKUP(TableHandbook[[#This Row],[UDC]],TableBCONM[],7,FALSE),"")</f>
        <v/>
      </c>
      <c r="M55" s="102" t="str">
        <f>IFERROR(VLOOKUP(TableHandbook[[#This Row],[UDC]],TableSTRHCONMN[],7,FALSE),"")</f>
        <v/>
      </c>
      <c r="N55" s="102" t="str">
        <f>IFERROR(VLOOKUP(TableHandbook[[#This Row],[UDC]],TableSTRUCONMN[],7,FALSE),"")</f>
        <v/>
      </c>
      <c r="O55" s="102" t="str">
        <f>IFERROR(VLOOKUP(TableHandbook[[#This Row],[UDC]],TableSPUCANGAD[],7,FALSE),"")</f>
        <v/>
      </c>
      <c r="P55" s="102" t="str">
        <f>IFERROR(VLOOKUP(TableHandbook[[#This Row],[UDC]],TableSPUCFINCE[],7,FALSE),"")</f>
        <v/>
      </c>
      <c r="Q55" s="102" t="str">
        <f>IFERROR(VLOOKUP(TableHandbook[[#This Row],[UDC]],TableSPUCINARS[],7,FALSE),"")</f>
        <v/>
      </c>
      <c r="R55" s="103" t="str">
        <f>IFERROR(VLOOKUP(TableHandbook[[#This Row],[UDC]],TableSPUCINENT[],7,FALSE),"")</f>
        <v/>
      </c>
      <c r="S55" s="103" t="str">
        <f>IFERROR(VLOOKUP(TableHandbook[[#This Row],[UDC]],TableSPUCPROPT[],7,FALSE),"")</f>
        <v/>
      </c>
      <c r="T55" s="104" t="str">
        <f>IFERROR(VLOOKUP(TableHandbook[[#This Row],[UDC]],TableSPUCURDES[],7,FALSE),"")</f>
        <v/>
      </c>
    </row>
    <row r="56" spans="1:20" x14ac:dyDescent="0.25">
      <c r="A56" s="8" t="s">
        <v>178</v>
      </c>
      <c r="B56" s="63">
        <v>1</v>
      </c>
      <c r="C56" s="8"/>
      <c r="D56" s="8" t="s">
        <v>307</v>
      </c>
      <c r="E56" s="63">
        <v>25</v>
      </c>
      <c r="F56" s="96" t="s">
        <v>239</v>
      </c>
      <c r="G56" s="46" t="str">
        <f>IFERROR(IF(VLOOKUP(TableHandbook[[#This Row],[UDC]],TableAvailabilities[],2,FALSE)&gt;0,"Y",""),"")</f>
        <v>Y</v>
      </c>
      <c r="H56" s="124" t="str">
        <f>IFERROR(IF(VLOOKUP(TableHandbook[[#This Row],[UDC]],TableAvailabilities[],3,FALSE)&gt;0,"Y",""),"")</f>
        <v/>
      </c>
      <c r="I56" s="125" t="str">
        <f>IFERROR(IF(VLOOKUP(TableHandbook[[#This Row],[UDC]],TableAvailabilities[],4,FALSE)&gt;0,"Y",""),"")</f>
        <v/>
      </c>
      <c r="J56" s="47" t="str">
        <f>IFERROR(IF(VLOOKUP(TableHandbook[[#This Row],[UDC]],TableAvailabilities[],5,FALSE)&gt;0,"Y",""),"")</f>
        <v/>
      </c>
      <c r="K56" s="140"/>
      <c r="L56" s="101" t="str">
        <f>IFERROR(VLOOKUP(TableHandbook[[#This Row],[UDC]],TableBCONM[],7,FALSE),"")</f>
        <v/>
      </c>
      <c r="M56" s="102" t="str">
        <f>IFERROR(VLOOKUP(TableHandbook[[#This Row],[UDC]],TableSTRHCONMN[],7,FALSE),"")</f>
        <v/>
      </c>
      <c r="N56" s="102" t="str">
        <f>IFERROR(VLOOKUP(TableHandbook[[#This Row],[UDC]],TableSTRUCONMN[],7,FALSE),"")</f>
        <v/>
      </c>
      <c r="O56" s="102" t="str">
        <f>IFERROR(VLOOKUP(TableHandbook[[#This Row],[UDC]],TableSPUCANGAD[],7,FALSE),"")</f>
        <v/>
      </c>
      <c r="P56" s="102" t="str">
        <f>IFERROR(VLOOKUP(TableHandbook[[#This Row],[UDC]],TableSPUCFINCE[],7,FALSE),"")</f>
        <v/>
      </c>
      <c r="Q56" s="102" t="str">
        <f>IFERROR(VLOOKUP(TableHandbook[[#This Row],[UDC]],TableSPUCINARS[],7,FALSE),"")</f>
        <v>Core</v>
      </c>
      <c r="R56" s="103" t="str">
        <f>IFERROR(VLOOKUP(TableHandbook[[#This Row],[UDC]],TableSPUCINENT[],7,FALSE),"")</f>
        <v/>
      </c>
      <c r="S56" s="103" t="str">
        <f>IFERROR(VLOOKUP(TableHandbook[[#This Row],[UDC]],TableSPUCPROPT[],7,FALSE),"")</f>
        <v/>
      </c>
      <c r="T56" s="104" t="str">
        <f>IFERROR(VLOOKUP(TableHandbook[[#This Row],[UDC]],TableSPUCURDES[],7,FALSE),"")</f>
        <v/>
      </c>
    </row>
    <row r="57" spans="1:20" x14ac:dyDescent="0.25">
      <c r="A57" s="8" t="s">
        <v>198</v>
      </c>
      <c r="B57" s="63">
        <v>1</v>
      </c>
      <c r="C57" s="8"/>
      <c r="D57" s="8" t="s">
        <v>308</v>
      </c>
      <c r="E57" s="63">
        <v>25</v>
      </c>
      <c r="F57" s="96" t="s">
        <v>239</v>
      </c>
      <c r="G57" s="46" t="str">
        <f>IFERROR(IF(VLOOKUP(TableHandbook[[#This Row],[UDC]],TableAvailabilities[],2,FALSE)&gt;0,"Y",""),"")</f>
        <v>Y</v>
      </c>
      <c r="H57" s="124" t="str">
        <f>IFERROR(IF(VLOOKUP(TableHandbook[[#This Row],[UDC]],TableAvailabilities[],3,FALSE)&gt;0,"Y",""),"")</f>
        <v/>
      </c>
      <c r="I57" s="125" t="str">
        <f>IFERROR(IF(VLOOKUP(TableHandbook[[#This Row],[UDC]],TableAvailabilities[],4,FALSE)&gt;0,"Y",""),"")</f>
        <v/>
      </c>
      <c r="J57" s="47" t="str">
        <f>IFERROR(IF(VLOOKUP(TableHandbook[[#This Row],[UDC]],TableAvailabilities[],5,FALSE)&gt;0,"Y",""),"")</f>
        <v/>
      </c>
      <c r="K57" s="140"/>
      <c r="L57" s="101" t="str">
        <f>IFERROR(VLOOKUP(TableHandbook[[#This Row],[UDC]],TableBCONM[],7,FALSE),"")</f>
        <v/>
      </c>
      <c r="M57" s="102" t="str">
        <f>IFERROR(VLOOKUP(TableHandbook[[#This Row],[UDC]],TableSTRHCONMN[],7,FALSE),"")</f>
        <v/>
      </c>
      <c r="N57" s="102" t="str">
        <f>IFERROR(VLOOKUP(TableHandbook[[#This Row],[UDC]],TableSTRUCONMN[],7,FALSE),"")</f>
        <v/>
      </c>
      <c r="O57" s="102" t="str">
        <f>IFERROR(VLOOKUP(TableHandbook[[#This Row],[UDC]],TableSPUCANGAD[],7,FALSE),"")</f>
        <v/>
      </c>
      <c r="P57" s="102" t="str">
        <f>IFERROR(VLOOKUP(TableHandbook[[#This Row],[UDC]],TableSPUCFINCE[],7,FALSE),"")</f>
        <v/>
      </c>
      <c r="Q57" s="102" t="str">
        <f>IFERROR(VLOOKUP(TableHandbook[[#This Row],[UDC]],TableSPUCINARS[],7,FALSE),"")</f>
        <v>Option</v>
      </c>
      <c r="R57" s="103" t="str">
        <f>IFERROR(VLOOKUP(TableHandbook[[#This Row],[UDC]],TableSPUCINENT[],7,FALSE),"")</f>
        <v/>
      </c>
      <c r="S57" s="103" t="str">
        <f>IFERROR(VLOOKUP(TableHandbook[[#This Row],[UDC]],TableSPUCPROPT[],7,FALSE),"")</f>
        <v/>
      </c>
      <c r="T57" s="104" t="str">
        <f>IFERROR(VLOOKUP(TableHandbook[[#This Row],[UDC]],TableSPUCURDES[],7,FALSE),"")</f>
        <v/>
      </c>
    </row>
    <row r="58" spans="1:20" x14ac:dyDescent="0.25">
      <c r="A58" s="8" t="s">
        <v>183</v>
      </c>
      <c r="B58" s="63">
        <v>1</v>
      </c>
      <c r="C58" s="8"/>
      <c r="D58" s="8" t="s">
        <v>309</v>
      </c>
      <c r="E58" s="63">
        <v>25</v>
      </c>
      <c r="F58" s="96" t="s">
        <v>239</v>
      </c>
      <c r="G58" s="46" t="str">
        <f>IFERROR(IF(VLOOKUP(TableHandbook[[#This Row],[UDC]],TableAvailabilities[],2,FALSE)&gt;0,"Y",""),"")</f>
        <v/>
      </c>
      <c r="H58" s="124" t="str">
        <f>IFERROR(IF(VLOOKUP(TableHandbook[[#This Row],[UDC]],TableAvailabilities[],3,FALSE)&gt;0,"Y",""),"")</f>
        <v/>
      </c>
      <c r="I58" s="125" t="str">
        <f>IFERROR(IF(VLOOKUP(TableHandbook[[#This Row],[UDC]],TableAvailabilities[],4,FALSE)&gt;0,"Y",""),"")</f>
        <v/>
      </c>
      <c r="J58" s="47" t="str">
        <f>IFERROR(IF(VLOOKUP(TableHandbook[[#This Row],[UDC]],TableAvailabilities[],5,FALSE)&gt;0,"Y",""),"")</f>
        <v/>
      </c>
      <c r="K58" s="141" t="s">
        <v>310</v>
      </c>
      <c r="L58" s="101" t="str">
        <f>IFERROR(VLOOKUP(TableHandbook[[#This Row],[UDC]],TableBCONM[],7,FALSE),"")</f>
        <v/>
      </c>
      <c r="M58" s="102" t="str">
        <f>IFERROR(VLOOKUP(TableHandbook[[#This Row],[UDC]],TableSTRHCONMN[],7,FALSE),"")</f>
        <v/>
      </c>
      <c r="N58" s="102" t="str">
        <f>IFERROR(VLOOKUP(TableHandbook[[#This Row],[UDC]],TableSTRUCONMN[],7,FALSE),"")</f>
        <v/>
      </c>
      <c r="O58" s="102" t="str">
        <f>IFERROR(VLOOKUP(TableHandbook[[#This Row],[UDC]],TableSPUCANGAD[],7,FALSE),"")</f>
        <v/>
      </c>
      <c r="P58" s="102" t="str">
        <f>IFERROR(VLOOKUP(TableHandbook[[#This Row],[UDC]],TableSPUCFINCE[],7,FALSE),"")</f>
        <v/>
      </c>
      <c r="Q58" s="102" t="str">
        <f>IFERROR(VLOOKUP(TableHandbook[[#This Row],[UDC]],TableSPUCINARS[],7,FALSE),"")</f>
        <v>Core</v>
      </c>
      <c r="R58" s="103" t="str">
        <f>IFERROR(VLOOKUP(TableHandbook[[#This Row],[UDC]],TableSPUCINENT[],7,FALSE),"")</f>
        <v/>
      </c>
      <c r="S58" s="103" t="str">
        <f>IFERROR(VLOOKUP(TableHandbook[[#This Row],[UDC]],TableSPUCPROPT[],7,FALSE),"")</f>
        <v/>
      </c>
      <c r="T58" s="104" t="str">
        <f>IFERROR(VLOOKUP(TableHandbook[[#This Row],[UDC]],TableSPUCURDES[],7,FALSE),"")</f>
        <v/>
      </c>
    </row>
    <row r="59" spans="1:20" ht="26.25" x14ac:dyDescent="0.25">
      <c r="A59" s="8" t="s">
        <v>190</v>
      </c>
      <c r="B59" s="63">
        <v>1</v>
      </c>
      <c r="C59" s="8"/>
      <c r="D59" s="8" t="s">
        <v>311</v>
      </c>
      <c r="E59" s="63">
        <v>25</v>
      </c>
      <c r="F59" s="96" t="s">
        <v>312</v>
      </c>
      <c r="G59" s="46" t="str">
        <f>IFERROR(IF(VLOOKUP(TableHandbook[[#This Row],[UDC]],TableAvailabilities[],2,FALSE)&gt;0,"Y",""),"")</f>
        <v>Y</v>
      </c>
      <c r="H59" s="124" t="str">
        <f>IFERROR(IF(VLOOKUP(TableHandbook[[#This Row],[UDC]],TableAvailabilities[],3,FALSE)&gt;0,"Y",""),"")</f>
        <v>Y</v>
      </c>
      <c r="I59" s="125" t="str">
        <f>IFERROR(IF(VLOOKUP(TableHandbook[[#This Row],[UDC]],TableAvailabilities[],4,FALSE)&gt;0,"Y",""),"")</f>
        <v>Y</v>
      </c>
      <c r="J59" s="47" t="str">
        <f>IFERROR(IF(VLOOKUP(TableHandbook[[#This Row],[UDC]],TableAvailabilities[],5,FALSE)&gt;0,"Y",""),"")</f>
        <v>Y</v>
      </c>
      <c r="K59" s="140"/>
      <c r="L59" s="101" t="str">
        <f>IFERROR(VLOOKUP(TableHandbook[[#This Row],[UDC]],TableBCONM[],7,FALSE),"")</f>
        <v/>
      </c>
      <c r="M59" s="102" t="str">
        <f>IFERROR(VLOOKUP(TableHandbook[[#This Row],[UDC]],TableSTRHCONMN[],7,FALSE),"")</f>
        <v/>
      </c>
      <c r="N59" s="102" t="str">
        <f>IFERROR(VLOOKUP(TableHandbook[[#This Row],[UDC]],TableSTRUCONMN[],7,FALSE),"")</f>
        <v/>
      </c>
      <c r="O59" s="102" t="str">
        <f>IFERROR(VLOOKUP(TableHandbook[[#This Row],[UDC]],TableSPUCANGAD[],7,FALSE),"")</f>
        <v/>
      </c>
      <c r="P59" s="102" t="str">
        <f>IFERROR(VLOOKUP(TableHandbook[[#This Row],[UDC]],TableSPUCFINCE[],7,FALSE),"")</f>
        <v>Option</v>
      </c>
      <c r="Q59" s="102" t="str">
        <f>IFERROR(VLOOKUP(TableHandbook[[#This Row],[UDC]],TableSPUCINARS[],7,FALSE),"")</f>
        <v/>
      </c>
      <c r="R59" s="103" t="str">
        <f>IFERROR(VLOOKUP(TableHandbook[[#This Row],[UDC]],TableSPUCINENT[],7,FALSE),"")</f>
        <v/>
      </c>
      <c r="S59" s="103" t="str">
        <f>IFERROR(VLOOKUP(TableHandbook[[#This Row],[UDC]],TableSPUCPROPT[],7,FALSE),"")</f>
        <v/>
      </c>
      <c r="T59" s="104" t="str">
        <f>IFERROR(VLOOKUP(TableHandbook[[#This Row],[UDC]],TableSPUCURDES[],7,FALSE),"")</f>
        <v/>
      </c>
    </row>
    <row r="60" spans="1:20" ht="26.25" x14ac:dyDescent="0.25">
      <c r="A60" s="8" t="s">
        <v>194</v>
      </c>
      <c r="B60" s="63">
        <v>2</v>
      </c>
      <c r="C60" s="8"/>
      <c r="D60" s="8" t="s">
        <v>313</v>
      </c>
      <c r="E60" s="63">
        <v>25</v>
      </c>
      <c r="F60" s="96" t="s">
        <v>312</v>
      </c>
      <c r="G60" s="46" t="str">
        <f>IFERROR(IF(VLOOKUP(TableHandbook[[#This Row],[UDC]],TableAvailabilities[],2,FALSE)&gt;0,"Y",""),"")</f>
        <v>Y</v>
      </c>
      <c r="H60" s="124" t="str">
        <f>IFERROR(IF(VLOOKUP(TableHandbook[[#This Row],[UDC]],TableAvailabilities[],3,FALSE)&gt;0,"Y",""),"")</f>
        <v>Y</v>
      </c>
      <c r="I60" s="125" t="str">
        <f>IFERROR(IF(VLOOKUP(TableHandbook[[#This Row],[UDC]],TableAvailabilities[],4,FALSE)&gt;0,"Y",""),"")</f>
        <v>Y</v>
      </c>
      <c r="J60" s="47" t="str">
        <f>IFERROR(IF(VLOOKUP(TableHandbook[[#This Row],[UDC]],TableAvailabilities[],5,FALSE)&gt;0,"Y",""),"")</f>
        <v>Y</v>
      </c>
      <c r="K60" s="140"/>
      <c r="L60" s="101" t="str">
        <f>IFERROR(VLOOKUP(TableHandbook[[#This Row],[UDC]],TableBCONM[],7,FALSE),"")</f>
        <v/>
      </c>
      <c r="M60" s="102" t="str">
        <f>IFERROR(VLOOKUP(TableHandbook[[#This Row],[UDC]],TableSTRHCONMN[],7,FALSE),"")</f>
        <v/>
      </c>
      <c r="N60" s="102" t="str">
        <f>IFERROR(VLOOKUP(TableHandbook[[#This Row],[UDC]],TableSTRUCONMN[],7,FALSE),"")</f>
        <v/>
      </c>
      <c r="O60" s="102" t="str">
        <f>IFERROR(VLOOKUP(TableHandbook[[#This Row],[UDC]],TableSPUCANGAD[],7,FALSE),"")</f>
        <v/>
      </c>
      <c r="P60" s="102" t="str">
        <f>IFERROR(VLOOKUP(TableHandbook[[#This Row],[UDC]],TableSPUCFINCE[],7,FALSE),"")</f>
        <v>Option</v>
      </c>
      <c r="Q60" s="102" t="str">
        <f>IFERROR(VLOOKUP(TableHandbook[[#This Row],[UDC]],TableSPUCINARS[],7,FALSE),"")</f>
        <v/>
      </c>
      <c r="R60" s="103" t="str">
        <f>IFERROR(VLOOKUP(TableHandbook[[#This Row],[UDC]],TableSPUCINENT[],7,FALSE),"")</f>
        <v/>
      </c>
      <c r="S60" s="103" t="str">
        <f>IFERROR(VLOOKUP(TableHandbook[[#This Row],[UDC]],TableSPUCPROPT[],7,FALSE),"")</f>
        <v/>
      </c>
      <c r="T60" s="104" t="str">
        <f>IFERROR(VLOOKUP(TableHandbook[[#This Row],[UDC]],TableSPUCURDES[],7,FALSE),"")</f>
        <v/>
      </c>
    </row>
    <row r="61" spans="1:20" ht="26.25" x14ac:dyDescent="0.25">
      <c r="A61" s="150" t="s">
        <v>314</v>
      </c>
      <c r="B61" s="151">
        <v>1</v>
      </c>
      <c r="C61" s="150"/>
      <c r="D61" s="150" t="s">
        <v>313</v>
      </c>
      <c r="E61" s="151">
        <v>25</v>
      </c>
      <c r="F61" s="152" t="s">
        <v>312</v>
      </c>
      <c r="G61" s="46" t="str">
        <f>IFERROR(IF(VLOOKUP(TableHandbook[[#This Row],[UDC]],TableAvailabilities[],2,FALSE)&gt;0,"Y",""),"")</f>
        <v/>
      </c>
      <c r="H61" s="124" t="str">
        <f>IFERROR(IF(VLOOKUP(TableHandbook[[#This Row],[UDC]],TableAvailabilities[],3,FALSE)&gt;0,"Y",""),"")</f>
        <v/>
      </c>
      <c r="I61" s="125" t="str">
        <f>IFERROR(IF(VLOOKUP(TableHandbook[[#This Row],[UDC]],TableAvailabilities[],4,FALSE)&gt;0,"Y",""),"")</f>
        <v/>
      </c>
      <c r="J61" s="47" t="str">
        <f>IFERROR(IF(VLOOKUP(TableHandbook[[#This Row],[UDC]],TableAvailabilities[],5,FALSE)&gt;0,"Y",""),"")</f>
        <v/>
      </c>
      <c r="K61" s="153" t="s">
        <v>315</v>
      </c>
      <c r="L61" s="101" t="str">
        <f>IFERROR(VLOOKUP(TableHandbook[[#This Row],[UDC]],TableBCONM[],7,FALSE),"")</f>
        <v/>
      </c>
      <c r="M61" s="102" t="str">
        <f>IFERROR(VLOOKUP(TableHandbook[[#This Row],[UDC]],TableSTRHCONMN[],7,FALSE),"")</f>
        <v/>
      </c>
      <c r="N61" s="102" t="str">
        <f>IFERROR(VLOOKUP(TableHandbook[[#This Row],[UDC]],TableSTRUCONMN[],7,FALSE),"")</f>
        <v/>
      </c>
      <c r="O61" s="102" t="str">
        <f>IFERROR(VLOOKUP(TableHandbook[[#This Row],[UDC]],TableSPUCANGAD[],7,FALSE),"")</f>
        <v/>
      </c>
      <c r="P61" s="102" t="str">
        <f>IFERROR(VLOOKUP(TableHandbook[[#This Row],[UDC]],TableSPUCFINCE[],7,FALSE),"")</f>
        <v/>
      </c>
      <c r="Q61" s="102" t="str">
        <f>IFERROR(VLOOKUP(TableHandbook[[#This Row],[UDC]],TableSPUCINARS[],7,FALSE),"")</f>
        <v/>
      </c>
      <c r="R61" s="103" t="str">
        <f>IFERROR(VLOOKUP(TableHandbook[[#This Row],[UDC]],TableSPUCINENT[],7,FALSE),"")</f>
        <v/>
      </c>
      <c r="S61" s="103" t="str">
        <f>IFERROR(VLOOKUP(TableHandbook[[#This Row],[UDC]],TableSPUCPROPT[],7,FALSE),"")</f>
        <v/>
      </c>
      <c r="T61" s="104" t="str">
        <f>IFERROR(VLOOKUP(TableHandbook[[#This Row],[UDC]],TableSPUCURDES[],7,FALSE),"")</f>
        <v/>
      </c>
    </row>
    <row r="62" spans="1:20" x14ac:dyDescent="0.25">
      <c r="A62" s="8" t="s">
        <v>184</v>
      </c>
      <c r="B62" s="63">
        <v>2</v>
      </c>
      <c r="C62" s="8"/>
      <c r="D62" s="8" t="s">
        <v>316</v>
      </c>
      <c r="E62" s="63">
        <v>25</v>
      </c>
      <c r="F62" s="96" t="s">
        <v>317</v>
      </c>
      <c r="G62" s="46" t="str">
        <f>IFERROR(IF(VLOOKUP(TableHandbook[[#This Row],[UDC]],TableAvailabilities[],2,FALSE)&gt;0,"Y",""),"")</f>
        <v>Y</v>
      </c>
      <c r="H62" s="124" t="str">
        <f>IFERROR(IF(VLOOKUP(TableHandbook[[#This Row],[UDC]],TableAvailabilities[],3,FALSE)&gt;0,"Y",""),"")</f>
        <v>Y</v>
      </c>
      <c r="I62" s="125" t="str">
        <f>IFERROR(IF(VLOOKUP(TableHandbook[[#This Row],[UDC]],TableAvailabilities[],4,FALSE)&gt;0,"Y",""),"")</f>
        <v/>
      </c>
      <c r="J62" s="47" t="str">
        <f>IFERROR(IF(VLOOKUP(TableHandbook[[#This Row],[UDC]],TableAvailabilities[],5,FALSE)&gt;0,"Y",""),"")</f>
        <v/>
      </c>
      <c r="K62" s="140"/>
      <c r="L62" s="101" t="str">
        <f>IFERROR(VLOOKUP(TableHandbook[[#This Row],[UDC]],TableBCONM[],7,FALSE),"")</f>
        <v/>
      </c>
      <c r="M62" s="102" t="str">
        <f>IFERROR(VLOOKUP(TableHandbook[[#This Row],[UDC]],TableSTRHCONMN[],7,FALSE),"")</f>
        <v/>
      </c>
      <c r="N62" s="102" t="str">
        <f>IFERROR(VLOOKUP(TableHandbook[[#This Row],[UDC]],TableSTRUCONMN[],7,FALSE),"")</f>
        <v/>
      </c>
      <c r="O62" s="102" t="str">
        <f>IFERROR(VLOOKUP(TableHandbook[[#This Row],[UDC]],TableSPUCANGAD[],7,FALSE),"")</f>
        <v/>
      </c>
      <c r="P62" s="102" t="str">
        <f>IFERROR(VLOOKUP(TableHandbook[[#This Row],[UDC]],TableSPUCFINCE[],7,FALSE),"")</f>
        <v/>
      </c>
      <c r="Q62" s="102" t="str">
        <f>IFERROR(VLOOKUP(TableHandbook[[#This Row],[UDC]],TableSPUCINARS[],7,FALSE),"")</f>
        <v/>
      </c>
      <c r="R62" s="103" t="str">
        <f>IFERROR(VLOOKUP(TableHandbook[[#This Row],[UDC]],TableSPUCINENT[],7,FALSE),"")</f>
        <v>Option</v>
      </c>
      <c r="S62" s="103" t="str">
        <f>IFERROR(VLOOKUP(TableHandbook[[#This Row],[UDC]],TableSPUCPROPT[],7,FALSE),"")</f>
        <v/>
      </c>
      <c r="T62" s="104" t="str">
        <f>IFERROR(VLOOKUP(TableHandbook[[#This Row],[UDC]],TableSPUCURDES[],7,FALSE),"")</f>
        <v/>
      </c>
    </row>
    <row r="63" spans="1:20" x14ac:dyDescent="0.25">
      <c r="A63" s="8" t="s">
        <v>192</v>
      </c>
      <c r="B63" s="63">
        <v>1</v>
      </c>
      <c r="C63" s="8"/>
      <c r="D63" s="8" t="s">
        <v>318</v>
      </c>
      <c r="E63" s="63">
        <v>25</v>
      </c>
      <c r="F63" s="96" t="s">
        <v>319</v>
      </c>
      <c r="G63" s="46" t="str">
        <f>IFERROR(IF(VLOOKUP(TableHandbook[[#This Row],[UDC]],TableAvailabilities[],2,FALSE)&gt;0,"Y",""),"")</f>
        <v>Y</v>
      </c>
      <c r="H63" s="124" t="str">
        <f>IFERROR(IF(VLOOKUP(TableHandbook[[#This Row],[UDC]],TableAvailabilities[],3,FALSE)&gt;0,"Y",""),"")</f>
        <v>Y</v>
      </c>
      <c r="I63" s="125" t="str">
        <f>IFERROR(IF(VLOOKUP(TableHandbook[[#This Row],[UDC]],TableAvailabilities[],4,FALSE)&gt;0,"Y",""),"")</f>
        <v>Y</v>
      </c>
      <c r="J63" s="47" t="str">
        <f>IFERROR(IF(VLOOKUP(TableHandbook[[#This Row],[UDC]],TableAvailabilities[],5,FALSE)&gt;0,"Y",""),"")</f>
        <v>Y</v>
      </c>
      <c r="K63" s="140"/>
      <c r="L63" s="101" t="str">
        <f>IFERROR(VLOOKUP(TableHandbook[[#This Row],[UDC]],TableBCONM[],7,FALSE),"")</f>
        <v/>
      </c>
      <c r="M63" s="102" t="str">
        <f>IFERROR(VLOOKUP(TableHandbook[[#This Row],[UDC]],TableSTRHCONMN[],7,FALSE),"")</f>
        <v/>
      </c>
      <c r="N63" s="102" t="str">
        <f>IFERROR(VLOOKUP(TableHandbook[[#This Row],[UDC]],TableSTRUCONMN[],7,FALSE),"")</f>
        <v/>
      </c>
      <c r="O63" s="102" t="str">
        <f>IFERROR(VLOOKUP(TableHandbook[[#This Row],[UDC]],TableSPUCANGAD[],7,FALSE),"")</f>
        <v/>
      </c>
      <c r="P63" s="102" t="str">
        <f>IFERROR(VLOOKUP(TableHandbook[[#This Row],[UDC]],TableSPUCFINCE[],7,FALSE),"")</f>
        <v/>
      </c>
      <c r="Q63" s="102" t="str">
        <f>IFERROR(VLOOKUP(TableHandbook[[#This Row],[UDC]],TableSPUCINARS[],7,FALSE),"")</f>
        <v/>
      </c>
      <c r="R63" s="103" t="str">
        <f>IFERROR(VLOOKUP(TableHandbook[[#This Row],[UDC]],TableSPUCINENT[],7,FALSE),"")</f>
        <v>Option</v>
      </c>
      <c r="S63" s="103" t="str">
        <f>IFERROR(VLOOKUP(TableHandbook[[#This Row],[UDC]],TableSPUCPROPT[],7,FALSE),"")</f>
        <v/>
      </c>
      <c r="T63" s="104" t="str">
        <f>IFERROR(VLOOKUP(TableHandbook[[#This Row],[UDC]],TableSPUCURDES[],7,FALSE),"")</f>
        <v/>
      </c>
    </row>
    <row r="64" spans="1:20" x14ac:dyDescent="0.25">
      <c r="A64" s="8" t="s">
        <v>153</v>
      </c>
      <c r="B64" s="63">
        <v>1</v>
      </c>
      <c r="C64" s="8"/>
      <c r="D64" s="8" t="s">
        <v>320</v>
      </c>
      <c r="E64" s="63">
        <v>25</v>
      </c>
      <c r="F64" s="96" t="s">
        <v>317</v>
      </c>
      <c r="G64" s="46" t="str">
        <f>IFERROR(IF(VLOOKUP(TableHandbook[[#This Row],[UDC]],TableAvailabilities[],2,FALSE)&gt;0,"Y",""),"")</f>
        <v>Y</v>
      </c>
      <c r="H64" s="124" t="str">
        <f>IFERROR(IF(VLOOKUP(TableHandbook[[#This Row],[UDC]],TableAvailabilities[],3,FALSE)&gt;0,"Y",""),"")</f>
        <v>Y</v>
      </c>
      <c r="I64" s="125" t="str">
        <f>IFERROR(IF(VLOOKUP(TableHandbook[[#This Row],[UDC]],TableAvailabilities[],4,FALSE)&gt;0,"Y",""),"")</f>
        <v>Y</v>
      </c>
      <c r="J64" s="47" t="str">
        <f>IFERROR(IF(VLOOKUP(TableHandbook[[#This Row],[UDC]],TableAvailabilities[],5,FALSE)&gt;0,"Y",""),"")</f>
        <v>Y</v>
      </c>
      <c r="K64" s="140"/>
      <c r="L64" s="101" t="str">
        <f>IFERROR(VLOOKUP(TableHandbook[[#This Row],[UDC]],TableBCONM[],7,FALSE),"")</f>
        <v/>
      </c>
      <c r="M64" s="102" t="str">
        <f>IFERROR(VLOOKUP(TableHandbook[[#This Row],[UDC]],TableSTRHCONMN[],7,FALSE),"")</f>
        <v/>
      </c>
      <c r="N64" s="102" t="str">
        <f>IFERROR(VLOOKUP(TableHandbook[[#This Row],[UDC]],TableSTRUCONMN[],7,FALSE),"")</f>
        <v/>
      </c>
      <c r="O64" s="102" t="str">
        <f>IFERROR(VLOOKUP(TableHandbook[[#This Row],[UDC]],TableSPUCANGAD[],7,FALSE),"")</f>
        <v/>
      </c>
      <c r="P64" s="102" t="str">
        <f>IFERROR(VLOOKUP(TableHandbook[[#This Row],[UDC]],TableSPUCFINCE[],7,FALSE),"")</f>
        <v/>
      </c>
      <c r="Q64" s="102" t="str">
        <f>IFERROR(VLOOKUP(TableHandbook[[#This Row],[UDC]],TableSPUCINARS[],7,FALSE),"")</f>
        <v/>
      </c>
      <c r="R64" s="103" t="str">
        <f>IFERROR(VLOOKUP(TableHandbook[[#This Row],[UDC]],TableSPUCINENT[],7,FALSE),"")</f>
        <v>Core</v>
      </c>
      <c r="S64" s="103" t="str">
        <f>IFERROR(VLOOKUP(TableHandbook[[#This Row],[UDC]],TableSPUCPROPT[],7,FALSE),"")</f>
        <v/>
      </c>
      <c r="T64" s="104" t="str">
        <f>IFERROR(VLOOKUP(TableHandbook[[#This Row],[UDC]],TableSPUCURDES[],7,FALSE),"")</f>
        <v/>
      </c>
    </row>
    <row r="65" spans="1:20" x14ac:dyDescent="0.25">
      <c r="A65" s="8" t="s">
        <v>160</v>
      </c>
      <c r="B65" s="63">
        <v>1</v>
      </c>
      <c r="C65" s="8"/>
      <c r="D65" s="8" t="s">
        <v>321</v>
      </c>
      <c r="E65" s="63">
        <v>25</v>
      </c>
      <c r="F65" s="96" t="s">
        <v>239</v>
      </c>
      <c r="G65" s="46" t="str">
        <f>IFERROR(IF(VLOOKUP(TableHandbook[[#This Row],[UDC]],TableAvailabilities[],2,FALSE)&gt;0,"Y",""),"")</f>
        <v/>
      </c>
      <c r="H65" s="124" t="str">
        <f>IFERROR(IF(VLOOKUP(TableHandbook[[#This Row],[UDC]],TableAvailabilities[],3,FALSE)&gt;0,"Y",""),"")</f>
        <v/>
      </c>
      <c r="I65" s="125" t="str">
        <f>IFERROR(IF(VLOOKUP(TableHandbook[[#This Row],[UDC]],TableAvailabilities[],4,FALSE)&gt;0,"Y",""),"")</f>
        <v>Y</v>
      </c>
      <c r="J65" s="47" t="str">
        <f>IFERROR(IF(VLOOKUP(TableHandbook[[#This Row],[UDC]],TableAvailabilities[],5,FALSE)&gt;0,"Y",""),"")</f>
        <v/>
      </c>
      <c r="K65" s="140"/>
      <c r="L65" s="101" t="str">
        <f>IFERROR(VLOOKUP(TableHandbook[[#This Row],[UDC]],TableBCONM[],7,FALSE),"")</f>
        <v/>
      </c>
      <c r="M65" s="102" t="str">
        <f>IFERROR(VLOOKUP(TableHandbook[[#This Row],[UDC]],TableSTRHCONMN[],7,FALSE),"")</f>
        <v/>
      </c>
      <c r="N65" s="102" t="str">
        <f>IFERROR(VLOOKUP(TableHandbook[[#This Row],[UDC]],TableSTRUCONMN[],7,FALSE),"")</f>
        <v/>
      </c>
      <c r="O65" s="102" t="str">
        <f>IFERROR(VLOOKUP(TableHandbook[[#This Row],[UDC]],TableSPUCANGAD[],7,FALSE),"")</f>
        <v/>
      </c>
      <c r="P65" s="102" t="str">
        <f>IFERROR(VLOOKUP(TableHandbook[[#This Row],[UDC]],TableSPUCFINCE[],7,FALSE),"")</f>
        <v/>
      </c>
      <c r="Q65" s="102" t="str">
        <f>IFERROR(VLOOKUP(TableHandbook[[#This Row],[UDC]],TableSPUCINARS[],7,FALSE),"")</f>
        <v/>
      </c>
      <c r="R65" s="103" t="str">
        <f>IFERROR(VLOOKUP(TableHandbook[[#This Row],[UDC]],TableSPUCINENT[],7,FALSE),"")</f>
        <v>Core</v>
      </c>
      <c r="S65" s="103" t="str">
        <f>IFERROR(VLOOKUP(TableHandbook[[#This Row],[UDC]],TableSPUCPROPT[],7,FALSE),"")</f>
        <v/>
      </c>
      <c r="T65" s="104" t="str">
        <f>IFERROR(VLOOKUP(TableHandbook[[#This Row],[UDC]],TableSPUCURDES[],7,FALSE),"")</f>
        <v/>
      </c>
    </row>
    <row r="66" spans="1:20" x14ac:dyDescent="0.25">
      <c r="A66" s="8" t="s">
        <v>196</v>
      </c>
      <c r="B66" s="63">
        <v>1</v>
      </c>
      <c r="C66" s="8"/>
      <c r="D66" s="8" t="s">
        <v>322</v>
      </c>
      <c r="E66" s="63">
        <v>25</v>
      </c>
      <c r="F66" s="96" t="s">
        <v>239</v>
      </c>
      <c r="G66" s="46" t="str">
        <f>IFERROR(IF(VLOOKUP(TableHandbook[[#This Row],[UDC]],TableAvailabilities[],2,FALSE)&gt;0,"Y",""),"")</f>
        <v/>
      </c>
      <c r="H66" s="124" t="str">
        <f>IFERROR(IF(VLOOKUP(TableHandbook[[#This Row],[UDC]],TableAvailabilities[],3,FALSE)&gt;0,"Y",""),"")</f>
        <v/>
      </c>
      <c r="I66" s="125" t="str">
        <f>IFERROR(IF(VLOOKUP(TableHandbook[[#This Row],[UDC]],TableAvailabilities[],4,FALSE)&gt;0,"Y",""),"")</f>
        <v>Y</v>
      </c>
      <c r="J66" s="47" t="str">
        <f>IFERROR(IF(VLOOKUP(TableHandbook[[#This Row],[UDC]],TableAvailabilities[],5,FALSE)&gt;0,"Y",""),"")</f>
        <v/>
      </c>
      <c r="K66" s="140"/>
      <c r="L66" s="101" t="str">
        <f>IFERROR(VLOOKUP(TableHandbook[[#This Row],[UDC]],TableBCONM[],7,FALSE),"")</f>
        <v/>
      </c>
      <c r="M66" s="102" t="str">
        <f>IFERROR(VLOOKUP(TableHandbook[[#This Row],[UDC]],TableSTRHCONMN[],7,FALSE),"")</f>
        <v/>
      </c>
      <c r="N66" s="102" t="str">
        <f>IFERROR(VLOOKUP(TableHandbook[[#This Row],[UDC]],TableSTRUCONMN[],7,FALSE),"")</f>
        <v/>
      </c>
      <c r="O66" s="102" t="str">
        <f>IFERROR(VLOOKUP(TableHandbook[[#This Row],[UDC]],TableSPUCANGAD[],7,FALSE),"")</f>
        <v/>
      </c>
      <c r="P66" s="102" t="str">
        <f>IFERROR(VLOOKUP(TableHandbook[[#This Row],[UDC]],TableSPUCFINCE[],7,FALSE),"")</f>
        <v/>
      </c>
      <c r="Q66" s="102" t="str">
        <f>IFERROR(VLOOKUP(TableHandbook[[#This Row],[UDC]],TableSPUCINARS[],7,FALSE),"")</f>
        <v/>
      </c>
      <c r="R66" s="103" t="str">
        <f>IFERROR(VLOOKUP(TableHandbook[[#This Row],[UDC]],TableSPUCINENT[],7,FALSE),"")</f>
        <v>Option</v>
      </c>
      <c r="S66" s="103" t="str">
        <f>IFERROR(VLOOKUP(TableHandbook[[#This Row],[UDC]],TableSPUCPROPT[],7,FALSE),"")</f>
        <v/>
      </c>
      <c r="T66" s="104" t="str">
        <f>IFERROR(VLOOKUP(TableHandbook[[#This Row],[UDC]],TableSPUCURDES[],7,FALSE),"")</f>
        <v/>
      </c>
    </row>
    <row r="67" spans="1:20" ht="26.25" x14ac:dyDescent="0.25">
      <c r="A67" s="145" t="s">
        <v>188</v>
      </c>
      <c r="B67" s="144">
        <v>2</v>
      </c>
      <c r="C67" s="8"/>
      <c r="D67" s="8" t="s">
        <v>323</v>
      </c>
      <c r="E67" s="63">
        <v>25</v>
      </c>
      <c r="F67" s="107" t="s">
        <v>324</v>
      </c>
      <c r="G67" s="46" t="str">
        <f>IFERROR(IF(VLOOKUP(TableHandbook[[#This Row],[UDC]],TableAvailabilities[],2,FALSE)&gt;0,"Y",""),"")</f>
        <v/>
      </c>
      <c r="H67" s="124" t="str">
        <f>IFERROR(IF(VLOOKUP(TableHandbook[[#This Row],[UDC]],TableAvailabilities[],3,FALSE)&gt;0,"Y",""),"")</f>
        <v/>
      </c>
      <c r="I67" s="125" t="str">
        <f>IFERROR(IF(VLOOKUP(TableHandbook[[#This Row],[UDC]],TableAvailabilities[],4,FALSE)&gt;0,"Y",""),"")</f>
        <v>Y</v>
      </c>
      <c r="J67" s="47" t="str">
        <f>IFERROR(IF(VLOOKUP(TableHandbook[[#This Row],[UDC]],TableAvailabilities[],5,FALSE)&gt;0,"Y",""),"")</f>
        <v/>
      </c>
      <c r="K67" s="141" t="s">
        <v>325</v>
      </c>
      <c r="L67" s="101" t="str">
        <f>IFERROR(VLOOKUP(TableHandbook[[#This Row],[UDC]],TableBCONM[],7,FALSE),"")</f>
        <v/>
      </c>
      <c r="M67" s="102" t="str">
        <f>IFERROR(VLOOKUP(TableHandbook[[#This Row],[UDC]],TableSTRHCONMN[],7,FALSE),"")</f>
        <v/>
      </c>
      <c r="N67" s="102" t="str">
        <f>IFERROR(VLOOKUP(TableHandbook[[#This Row],[UDC]],TableSTRUCONMN[],7,FALSE),"")</f>
        <v/>
      </c>
      <c r="O67" s="102" t="str">
        <f>IFERROR(VLOOKUP(TableHandbook[[#This Row],[UDC]],TableSPUCANGAD[],7,FALSE),"")</f>
        <v/>
      </c>
      <c r="P67" s="102" t="str">
        <f>IFERROR(VLOOKUP(TableHandbook[[#This Row],[UDC]],TableSPUCFINCE[],7,FALSE),"")</f>
        <v/>
      </c>
      <c r="Q67" s="102" t="str">
        <f>IFERROR(VLOOKUP(TableHandbook[[#This Row],[UDC]],TableSPUCINARS[],7,FALSE),"")</f>
        <v/>
      </c>
      <c r="R67" s="103" t="str">
        <f>IFERROR(VLOOKUP(TableHandbook[[#This Row],[UDC]],TableSPUCINENT[],7,FALSE),"")</f>
        <v>Option</v>
      </c>
      <c r="S67" s="103" t="str">
        <f>IFERROR(VLOOKUP(TableHandbook[[#This Row],[UDC]],TableSPUCPROPT[],7,FALSE),"")</f>
        <v/>
      </c>
      <c r="T67" s="104" t="str">
        <f>IFERROR(VLOOKUP(TableHandbook[[#This Row],[UDC]],TableSPUCURDES[],7,FALSE),"")</f>
        <v/>
      </c>
    </row>
    <row r="68" spans="1:20" x14ac:dyDescent="0.25">
      <c r="A68" s="150" t="s">
        <v>327</v>
      </c>
      <c r="B68" s="151">
        <v>1</v>
      </c>
      <c r="C68" s="150"/>
      <c r="D68" s="150" t="s">
        <v>326</v>
      </c>
      <c r="E68" s="151">
        <v>25</v>
      </c>
      <c r="F68" s="152" t="s">
        <v>324</v>
      </c>
      <c r="G68" s="46" t="str">
        <f>IFERROR(IF(VLOOKUP(TableHandbook[[#This Row],[UDC]],TableAvailabilities[],2,FALSE)&gt;0,"Y",""),"")</f>
        <v/>
      </c>
      <c r="H68" s="124" t="str">
        <f>IFERROR(IF(VLOOKUP(TableHandbook[[#This Row],[UDC]],TableAvailabilities[],3,FALSE)&gt;0,"Y",""),"")</f>
        <v/>
      </c>
      <c r="I68" s="125" t="str">
        <f>IFERROR(IF(VLOOKUP(TableHandbook[[#This Row],[UDC]],TableAvailabilities[],4,FALSE)&gt;0,"Y",""),"")</f>
        <v/>
      </c>
      <c r="J68" s="47" t="str">
        <f>IFERROR(IF(VLOOKUP(TableHandbook[[#This Row],[UDC]],TableAvailabilities[],5,FALSE)&gt;0,"Y",""),"")</f>
        <v/>
      </c>
      <c r="K68" s="153" t="s">
        <v>315</v>
      </c>
      <c r="L68" s="101" t="str">
        <f>IFERROR(VLOOKUP(TableHandbook[[#This Row],[UDC]],TableBCONM[],7,FALSE),"")</f>
        <v/>
      </c>
      <c r="M68" s="102" t="str">
        <f>IFERROR(VLOOKUP(TableHandbook[[#This Row],[UDC]],TableSTRHCONMN[],7,FALSE),"")</f>
        <v/>
      </c>
      <c r="N68" s="102" t="str">
        <f>IFERROR(VLOOKUP(TableHandbook[[#This Row],[UDC]],TableSTRUCONMN[],7,FALSE),"")</f>
        <v/>
      </c>
      <c r="O68" s="102" t="str">
        <f>IFERROR(VLOOKUP(TableHandbook[[#This Row],[UDC]],TableSPUCANGAD[],7,FALSE),"")</f>
        <v/>
      </c>
      <c r="P68" s="102" t="str">
        <f>IFERROR(VLOOKUP(TableHandbook[[#This Row],[UDC]],TableSPUCFINCE[],7,FALSE),"")</f>
        <v/>
      </c>
      <c r="Q68" s="102" t="str">
        <f>IFERROR(VLOOKUP(TableHandbook[[#This Row],[UDC]],TableSPUCINARS[],7,FALSE),"")</f>
        <v/>
      </c>
      <c r="R68" s="103" t="str">
        <f>IFERROR(VLOOKUP(TableHandbook[[#This Row],[UDC]],TableSPUCINENT[],7,FALSE),"")</f>
        <v/>
      </c>
      <c r="S68" s="103" t="str">
        <f>IFERROR(VLOOKUP(TableHandbook[[#This Row],[UDC]],TableSPUCPROPT[],7,FALSE),"")</f>
        <v/>
      </c>
      <c r="T68" s="104" t="str">
        <f>IFERROR(VLOOKUP(TableHandbook[[#This Row],[UDC]],TableSPUCURDES[],7,FALSE),"")</f>
        <v/>
      </c>
    </row>
    <row r="69" spans="1:20" x14ac:dyDescent="0.25">
      <c r="A69" s="8" t="s">
        <v>165</v>
      </c>
      <c r="B69" s="63">
        <v>0</v>
      </c>
      <c r="C69" s="8"/>
      <c r="D69" s="8" t="s">
        <v>328</v>
      </c>
      <c r="E69" s="63"/>
      <c r="F69" s="96"/>
      <c r="G69" s="46" t="str">
        <f>IFERROR(IF(VLOOKUP(TableHandbook[[#This Row],[UDC]],TableAvailabilities[],2,FALSE)&gt;0,"Y",""),"")</f>
        <v/>
      </c>
      <c r="H69" s="124" t="str">
        <f>IFERROR(IF(VLOOKUP(TableHandbook[[#This Row],[UDC]],TableAvailabilities[],3,FALSE)&gt;0,"Y",""),"")</f>
        <v/>
      </c>
      <c r="I69" s="125" t="str">
        <f>IFERROR(IF(VLOOKUP(TableHandbook[[#This Row],[UDC]],TableAvailabilities[],4,FALSE)&gt;0,"Y",""),"")</f>
        <v/>
      </c>
      <c r="J69" s="47" t="str">
        <f>IFERROR(IF(VLOOKUP(TableHandbook[[#This Row],[UDC]],TableAvailabilities[],5,FALSE)&gt;0,"Y",""),"")</f>
        <v/>
      </c>
      <c r="K69" s="140"/>
      <c r="L69" s="101" t="str">
        <f>IFERROR(VLOOKUP(TableHandbook[[#This Row],[UDC]],TableBCONM[],7,FALSE),"")</f>
        <v/>
      </c>
      <c r="M69" s="102" t="str">
        <f>IFERROR(VLOOKUP(TableHandbook[[#This Row],[UDC]],TableSTRHCONMN[],7,FALSE),"")</f>
        <v/>
      </c>
      <c r="N69" s="102" t="str">
        <f>IFERROR(VLOOKUP(TableHandbook[[#This Row],[UDC]],TableSTRUCONMN[],7,FALSE),"")</f>
        <v/>
      </c>
      <c r="O69" s="102" t="str">
        <f>IFERROR(VLOOKUP(TableHandbook[[#This Row],[UDC]],TableSPUCANGAD[],7,FALSE),"")</f>
        <v/>
      </c>
      <c r="P69" s="102" t="str">
        <f>IFERROR(VLOOKUP(TableHandbook[[#This Row],[UDC]],TableSPUCFINCE[],7,FALSE),"")</f>
        <v>Option</v>
      </c>
      <c r="Q69" s="102" t="str">
        <f>IFERROR(VLOOKUP(TableHandbook[[#This Row],[UDC]],TableSPUCINARS[],7,FALSE),"")</f>
        <v/>
      </c>
      <c r="R69" s="103" t="str">
        <f>IFERROR(VLOOKUP(TableHandbook[[#This Row],[UDC]],TableSPUCINENT[],7,FALSE),"")</f>
        <v/>
      </c>
      <c r="S69" s="103" t="str">
        <f>IFERROR(VLOOKUP(TableHandbook[[#This Row],[UDC]],TableSPUCPROPT[],7,FALSE),"")</f>
        <v/>
      </c>
      <c r="T69" s="104" t="str">
        <f>IFERROR(VLOOKUP(TableHandbook[[#This Row],[UDC]],TableSPUCURDES[],7,FALSE),"")</f>
        <v/>
      </c>
    </row>
    <row r="70" spans="1:20" x14ac:dyDescent="0.25">
      <c r="A70" s="8" t="s">
        <v>191</v>
      </c>
      <c r="B70" s="63">
        <v>0</v>
      </c>
      <c r="C70" s="8"/>
      <c r="D70" s="8" t="s">
        <v>329</v>
      </c>
      <c r="E70" s="63"/>
      <c r="F70" s="96"/>
      <c r="G70" s="46" t="str">
        <f>IFERROR(IF(VLOOKUP(TableHandbook[[#This Row],[UDC]],TableAvailabilities[],2,FALSE)&gt;0,"Y",""),"")</f>
        <v/>
      </c>
      <c r="H70" s="124" t="str">
        <f>IFERROR(IF(VLOOKUP(TableHandbook[[#This Row],[UDC]],TableAvailabilities[],3,FALSE)&gt;0,"Y",""),"")</f>
        <v/>
      </c>
      <c r="I70" s="125" t="str">
        <f>IFERROR(IF(VLOOKUP(TableHandbook[[#This Row],[UDC]],TableAvailabilities[],4,FALSE)&gt;0,"Y",""),"")</f>
        <v/>
      </c>
      <c r="J70" s="47" t="str">
        <f>IFERROR(IF(VLOOKUP(TableHandbook[[#This Row],[UDC]],TableAvailabilities[],5,FALSE)&gt;0,"Y",""),"")</f>
        <v/>
      </c>
      <c r="K70" s="140"/>
      <c r="L70" s="101" t="str">
        <f>IFERROR(VLOOKUP(TableHandbook[[#This Row],[UDC]],TableBCONM[],7,FALSE),"")</f>
        <v/>
      </c>
      <c r="M70" s="102" t="str">
        <f>IFERROR(VLOOKUP(TableHandbook[[#This Row],[UDC]],TableSTRHCONMN[],7,FALSE),"")</f>
        <v/>
      </c>
      <c r="N70" s="102" t="str">
        <f>IFERROR(VLOOKUP(TableHandbook[[#This Row],[UDC]],TableSTRUCONMN[],7,FALSE),"")</f>
        <v/>
      </c>
      <c r="O70" s="102" t="str">
        <f>IFERROR(VLOOKUP(TableHandbook[[#This Row],[UDC]],TableSPUCANGAD[],7,FALSE),"")</f>
        <v/>
      </c>
      <c r="P70" s="102" t="str">
        <f>IFERROR(VLOOKUP(TableHandbook[[#This Row],[UDC]],TableSPUCFINCE[],7,FALSE),"")</f>
        <v/>
      </c>
      <c r="Q70" s="102" t="str">
        <f>IFERROR(VLOOKUP(TableHandbook[[#This Row],[UDC]],TableSPUCINARS[],7,FALSE),"")</f>
        <v>Option</v>
      </c>
      <c r="R70" s="103" t="str">
        <f>IFERROR(VLOOKUP(TableHandbook[[#This Row],[UDC]],TableSPUCINENT[],7,FALSE),"")</f>
        <v/>
      </c>
      <c r="S70" s="103" t="str">
        <f>IFERROR(VLOOKUP(TableHandbook[[#This Row],[UDC]],TableSPUCPROPT[],7,FALSE),"")</f>
        <v/>
      </c>
      <c r="T70" s="104" t="str">
        <f>IFERROR(VLOOKUP(TableHandbook[[#This Row],[UDC]],TableSPUCURDES[],7,FALSE),"")</f>
        <v/>
      </c>
    </row>
    <row r="71" spans="1:20" x14ac:dyDescent="0.25">
      <c r="A71" s="8" t="s">
        <v>172</v>
      </c>
      <c r="B71" s="63">
        <v>0</v>
      </c>
      <c r="C71" s="8"/>
      <c r="D71" s="8" t="s">
        <v>330</v>
      </c>
      <c r="E71" s="63"/>
      <c r="F71" s="96"/>
      <c r="G71" s="46" t="str">
        <f>IFERROR(IF(VLOOKUP(TableHandbook[[#This Row],[UDC]],TableAvailabilities[],2,FALSE)&gt;0,"Y",""),"")</f>
        <v/>
      </c>
      <c r="H71" s="124" t="str">
        <f>IFERROR(IF(VLOOKUP(TableHandbook[[#This Row],[UDC]],TableAvailabilities[],3,FALSE)&gt;0,"Y",""),"")</f>
        <v/>
      </c>
      <c r="I71" s="125" t="str">
        <f>IFERROR(IF(VLOOKUP(TableHandbook[[#This Row],[UDC]],TableAvailabilities[],4,FALSE)&gt;0,"Y",""),"")</f>
        <v/>
      </c>
      <c r="J71" s="47" t="str">
        <f>IFERROR(IF(VLOOKUP(TableHandbook[[#This Row],[UDC]],TableAvailabilities[],5,FALSE)&gt;0,"Y",""),"")</f>
        <v/>
      </c>
      <c r="K71" s="140"/>
      <c r="L71" s="101" t="str">
        <f>IFERROR(VLOOKUP(TableHandbook[[#This Row],[UDC]],TableBCONM[],7,FALSE),"")</f>
        <v/>
      </c>
      <c r="M71" s="102" t="str">
        <f>IFERROR(VLOOKUP(TableHandbook[[#This Row],[UDC]],TableSTRHCONMN[],7,FALSE),"")</f>
        <v/>
      </c>
      <c r="N71" s="102" t="str">
        <f>IFERROR(VLOOKUP(TableHandbook[[#This Row],[UDC]],TableSTRUCONMN[],7,FALSE),"")</f>
        <v/>
      </c>
      <c r="O71" s="102" t="str">
        <f>IFERROR(VLOOKUP(TableHandbook[[#This Row],[UDC]],TableSPUCANGAD[],7,FALSE),"")</f>
        <v/>
      </c>
      <c r="P71" s="102" t="str">
        <f>IFERROR(VLOOKUP(TableHandbook[[#This Row],[UDC]],TableSPUCFINCE[],7,FALSE),"")</f>
        <v/>
      </c>
      <c r="Q71" s="102" t="str">
        <f>IFERROR(VLOOKUP(TableHandbook[[#This Row],[UDC]],TableSPUCINARS[],7,FALSE),"")</f>
        <v/>
      </c>
      <c r="R71" s="103" t="str">
        <f>IFERROR(VLOOKUP(TableHandbook[[#This Row],[UDC]],TableSPUCINENT[],7,FALSE),"")</f>
        <v>Option</v>
      </c>
      <c r="S71" s="103" t="str">
        <f>IFERROR(VLOOKUP(TableHandbook[[#This Row],[UDC]],TableSPUCPROPT[],7,FALSE),"")</f>
        <v/>
      </c>
      <c r="T71" s="104" t="str">
        <f>IFERROR(VLOOKUP(TableHandbook[[#This Row],[UDC]],TableSPUCURDES[],7,FALSE),"")</f>
        <v/>
      </c>
    </row>
    <row r="72" spans="1:20" x14ac:dyDescent="0.25">
      <c r="A72" s="8" t="s">
        <v>331</v>
      </c>
      <c r="B72" s="63">
        <v>0</v>
      </c>
      <c r="C72" s="8"/>
      <c r="D72" s="8" t="s">
        <v>330</v>
      </c>
      <c r="E72" s="63"/>
      <c r="F72" s="96"/>
      <c r="G72" s="46" t="str">
        <f>IFERROR(IF(VLOOKUP(TableHandbook[[#This Row],[UDC]],TableAvailabilities[],2,FALSE)&gt;0,"Y",""),"")</f>
        <v/>
      </c>
      <c r="H72" s="124" t="str">
        <f>IFERROR(IF(VLOOKUP(TableHandbook[[#This Row],[UDC]],TableAvailabilities[],3,FALSE)&gt;0,"Y",""),"")</f>
        <v/>
      </c>
      <c r="I72" s="125" t="str">
        <f>IFERROR(IF(VLOOKUP(TableHandbook[[#This Row],[UDC]],TableAvailabilities[],4,FALSE)&gt;0,"Y",""),"")</f>
        <v/>
      </c>
      <c r="J72" s="47" t="str">
        <f>IFERROR(IF(VLOOKUP(TableHandbook[[#This Row],[UDC]],TableAvailabilities[],5,FALSE)&gt;0,"Y",""),"")</f>
        <v/>
      </c>
      <c r="K72" s="140"/>
      <c r="L72" s="101" t="str">
        <f>IFERROR(VLOOKUP(TableHandbook[[#This Row],[UDC]],TableBCONM[],7,FALSE),"")</f>
        <v/>
      </c>
      <c r="M72" s="102" t="str">
        <f>IFERROR(VLOOKUP(TableHandbook[[#This Row],[UDC]],TableSTRHCONMN[],7,FALSE),"")</f>
        <v/>
      </c>
      <c r="N72" s="102" t="str">
        <f>IFERROR(VLOOKUP(TableHandbook[[#This Row],[UDC]],TableSTRUCONMN[],7,FALSE),"")</f>
        <v/>
      </c>
      <c r="O72" s="102" t="str">
        <f>IFERROR(VLOOKUP(TableHandbook[[#This Row],[UDC]],TableSPUCANGAD[],7,FALSE),"")</f>
        <v/>
      </c>
      <c r="P72" s="102" t="str">
        <f>IFERROR(VLOOKUP(TableHandbook[[#This Row],[UDC]],TableSPUCFINCE[],7,FALSE),"")</f>
        <v/>
      </c>
      <c r="Q72" s="102" t="str">
        <f>IFERROR(VLOOKUP(TableHandbook[[#This Row],[UDC]],TableSPUCINARS[],7,FALSE),"")</f>
        <v/>
      </c>
      <c r="R72" s="103" t="str">
        <f>IFERROR(VLOOKUP(TableHandbook[[#This Row],[UDC]],TableSPUCINENT[],7,FALSE),"")</f>
        <v/>
      </c>
      <c r="S72" s="103" t="str">
        <f>IFERROR(VLOOKUP(TableHandbook[[#This Row],[UDC]],TableSPUCPROPT[],7,FALSE),"")</f>
        <v/>
      </c>
      <c r="T72" s="104" t="str">
        <f>IFERROR(VLOOKUP(TableHandbook[[#This Row],[UDC]],TableSPUCURDES[],7,FALSE),"")</f>
        <v/>
      </c>
    </row>
    <row r="73" spans="1:20" x14ac:dyDescent="0.25">
      <c r="A73" s="8" t="s">
        <v>154</v>
      </c>
      <c r="B73" s="63">
        <v>2</v>
      </c>
      <c r="C73" s="8"/>
      <c r="D73" s="8" t="s">
        <v>332</v>
      </c>
      <c r="E73" s="63">
        <v>25</v>
      </c>
      <c r="F73" s="96" t="s">
        <v>239</v>
      </c>
      <c r="G73" s="46" t="str">
        <f>IFERROR(IF(VLOOKUP(TableHandbook[[#This Row],[UDC]],TableAvailabilities[],2,FALSE)&gt;0,"Y",""),"")</f>
        <v>Y</v>
      </c>
      <c r="H73" s="124" t="str">
        <f>IFERROR(IF(VLOOKUP(TableHandbook[[#This Row],[UDC]],TableAvailabilities[],3,FALSE)&gt;0,"Y",""),"")</f>
        <v/>
      </c>
      <c r="I73" s="125" t="str">
        <f>IFERROR(IF(VLOOKUP(TableHandbook[[#This Row],[UDC]],TableAvailabilities[],4,FALSE)&gt;0,"Y",""),"")</f>
        <v/>
      </c>
      <c r="J73" s="47" t="str">
        <f>IFERROR(IF(VLOOKUP(TableHandbook[[#This Row],[UDC]],TableAvailabilities[],5,FALSE)&gt;0,"Y",""),"")</f>
        <v/>
      </c>
      <c r="K73" s="140"/>
      <c r="L73" s="101" t="str">
        <f>IFERROR(VLOOKUP(TableHandbook[[#This Row],[UDC]],TableBCONM[],7,FALSE),"")</f>
        <v/>
      </c>
      <c r="M73" s="102" t="str">
        <f>IFERROR(VLOOKUP(TableHandbook[[#This Row],[UDC]],TableSTRHCONMN[],7,FALSE),"")</f>
        <v/>
      </c>
      <c r="N73" s="102" t="str">
        <f>IFERROR(VLOOKUP(TableHandbook[[#This Row],[UDC]],TableSTRUCONMN[],7,FALSE),"")</f>
        <v/>
      </c>
      <c r="O73" s="102" t="str">
        <f>IFERROR(VLOOKUP(TableHandbook[[#This Row],[UDC]],TableSPUCANGAD[],7,FALSE),"")</f>
        <v/>
      </c>
      <c r="P73" s="102" t="str">
        <f>IFERROR(VLOOKUP(TableHandbook[[#This Row],[UDC]],TableSPUCFINCE[],7,FALSE),"")</f>
        <v/>
      </c>
      <c r="Q73" s="102" t="str">
        <f>IFERROR(VLOOKUP(TableHandbook[[#This Row],[UDC]],TableSPUCINARS[],7,FALSE),"")</f>
        <v/>
      </c>
      <c r="R73" s="103" t="str">
        <f>IFERROR(VLOOKUP(TableHandbook[[#This Row],[UDC]],TableSPUCINENT[],7,FALSE),"")</f>
        <v/>
      </c>
      <c r="S73" s="103" t="str">
        <f>IFERROR(VLOOKUP(TableHandbook[[#This Row],[UDC]],TableSPUCPROPT[],7,FALSE),"")</f>
        <v>Core</v>
      </c>
      <c r="T73" s="104" t="str">
        <f>IFERROR(VLOOKUP(TableHandbook[[#This Row],[UDC]],TableSPUCURDES[],7,FALSE),"")</f>
        <v/>
      </c>
    </row>
    <row r="74" spans="1:20" x14ac:dyDescent="0.25">
      <c r="A74" s="8" t="s">
        <v>161</v>
      </c>
      <c r="B74" s="63">
        <v>2</v>
      </c>
      <c r="C74" s="8"/>
      <c r="D74" s="8" t="s">
        <v>333</v>
      </c>
      <c r="E74" s="63">
        <v>25</v>
      </c>
      <c r="F74" s="96" t="s">
        <v>239</v>
      </c>
      <c r="G74" s="46" t="str">
        <f>IFERROR(IF(VLOOKUP(TableHandbook[[#This Row],[UDC]],TableAvailabilities[],2,FALSE)&gt;0,"Y",""),"")</f>
        <v>Y</v>
      </c>
      <c r="H74" s="124" t="str">
        <f>IFERROR(IF(VLOOKUP(TableHandbook[[#This Row],[UDC]],TableAvailabilities[],3,FALSE)&gt;0,"Y",""),"")</f>
        <v/>
      </c>
      <c r="I74" s="125" t="str">
        <f>IFERROR(IF(VLOOKUP(TableHandbook[[#This Row],[UDC]],TableAvailabilities[],4,FALSE)&gt;0,"Y",""),"")</f>
        <v>Y</v>
      </c>
      <c r="J74" s="47" t="str">
        <f>IFERROR(IF(VLOOKUP(TableHandbook[[#This Row],[UDC]],TableAvailabilities[],5,FALSE)&gt;0,"Y",""),"")</f>
        <v/>
      </c>
      <c r="K74" s="140"/>
      <c r="L74" s="101" t="str">
        <f>IFERROR(VLOOKUP(TableHandbook[[#This Row],[UDC]],TableBCONM[],7,FALSE),"")</f>
        <v/>
      </c>
      <c r="M74" s="102" t="str">
        <f>IFERROR(VLOOKUP(TableHandbook[[#This Row],[UDC]],TableSTRHCONMN[],7,FALSE),"")</f>
        <v/>
      </c>
      <c r="N74" s="102" t="str">
        <f>IFERROR(VLOOKUP(TableHandbook[[#This Row],[UDC]],TableSTRUCONMN[],7,FALSE),"")</f>
        <v/>
      </c>
      <c r="O74" s="102" t="str">
        <f>IFERROR(VLOOKUP(TableHandbook[[#This Row],[UDC]],TableSPUCANGAD[],7,FALSE),"")</f>
        <v/>
      </c>
      <c r="P74" s="102" t="str">
        <f>IFERROR(VLOOKUP(TableHandbook[[#This Row],[UDC]],TableSPUCFINCE[],7,FALSE),"")</f>
        <v/>
      </c>
      <c r="Q74" s="102" t="str">
        <f>IFERROR(VLOOKUP(TableHandbook[[#This Row],[UDC]],TableSPUCINARS[],7,FALSE),"")</f>
        <v/>
      </c>
      <c r="R74" s="103" t="str">
        <f>IFERROR(VLOOKUP(TableHandbook[[#This Row],[UDC]],TableSPUCINENT[],7,FALSE),"")</f>
        <v/>
      </c>
      <c r="S74" s="103" t="str">
        <f>IFERROR(VLOOKUP(TableHandbook[[#This Row],[UDC]],TableSPUCPROPT[],7,FALSE),"")</f>
        <v>Core</v>
      </c>
      <c r="T74" s="104" t="str">
        <f>IFERROR(VLOOKUP(TableHandbook[[#This Row],[UDC]],TableSPUCURDES[],7,FALSE),"")</f>
        <v/>
      </c>
    </row>
    <row r="75" spans="1:20" x14ac:dyDescent="0.25">
      <c r="A75" s="8" t="s">
        <v>167</v>
      </c>
      <c r="B75" s="63">
        <v>1</v>
      </c>
      <c r="C75" s="8"/>
      <c r="D75" s="8" t="s">
        <v>334</v>
      </c>
      <c r="E75" s="63">
        <v>25</v>
      </c>
      <c r="F75" s="96" t="s">
        <v>161</v>
      </c>
      <c r="G75" s="46" t="str">
        <f>IFERROR(IF(VLOOKUP(TableHandbook[[#This Row],[UDC]],TableAvailabilities[],2,FALSE)&gt;0,"Y",""),"")</f>
        <v/>
      </c>
      <c r="H75" s="124" t="str">
        <f>IFERROR(IF(VLOOKUP(TableHandbook[[#This Row],[UDC]],TableAvailabilities[],3,FALSE)&gt;0,"Y",""),"")</f>
        <v/>
      </c>
      <c r="I75" s="125" t="str">
        <f>IFERROR(IF(VLOOKUP(TableHandbook[[#This Row],[UDC]],TableAvailabilities[],4,FALSE)&gt;0,"Y",""),"")</f>
        <v>Y</v>
      </c>
      <c r="J75" s="47" t="str">
        <f>IFERROR(IF(VLOOKUP(TableHandbook[[#This Row],[UDC]],TableAvailabilities[],5,FALSE)&gt;0,"Y",""),"")</f>
        <v/>
      </c>
      <c r="K75" s="140"/>
      <c r="L75" s="101" t="str">
        <f>IFERROR(VLOOKUP(TableHandbook[[#This Row],[UDC]],TableBCONM[],7,FALSE),"")</f>
        <v/>
      </c>
      <c r="M75" s="102" t="str">
        <f>IFERROR(VLOOKUP(TableHandbook[[#This Row],[UDC]],TableSTRHCONMN[],7,FALSE),"")</f>
        <v/>
      </c>
      <c r="N75" s="102" t="str">
        <f>IFERROR(VLOOKUP(TableHandbook[[#This Row],[UDC]],TableSTRUCONMN[],7,FALSE),"")</f>
        <v/>
      </c>
      <c r="O75" s="102" t="str">
        <f>IFERROR(VLOOKUP(TableHandbook[[#This Row],[UDC]],TableSPUCANGAD[],7,FALSE),"")</f>
        <v/>
      </c>
      <c r="P75" s="102" t="str">
        <f>IFERROR(VLOOKUP(TableHandbook[[#This Row],[UDC]],TableSPUCFINCE[],7,FALSE),"")</f>
        <v/>
      </c>
      <c r="Q75" s="102" t="str">
        <f>IFERROR(VLOOKUP(TableHandbook[[#This Row],[UDC]],TableSPUCINARS[],7,FALSE),"")</f>
        <v/>
      </c>
      <c r="R75" s="103" t="str">
        <f>IFERROR(VLOOKUP(TableHandbook[[#This Row],[UDC]],TableSPUCINENT[],7,FALSE),"")</f>
        <v/>
      </c>
      <c r="S75" s="103" t="str">
        <f>IFERROR(VLOOKUP(TableHandbook[[#This Row],[UDC]],TableSPUCPROPT[],7,FALSE),"")</f>
        <v>Core</v>
      </c>
      <c r="T75" s="104" t="str">
        <f>IFERROR(VLOOKUP(TableHandbook[[#This Row],[UDC]],TableSPUCURDES[],7,FALSE),"")</f>
        <v/>
      </c>
    </row>
    <row r="76" spans="1:20" x14ac:dyDescent="0.25">
      <c r="A76" s="8" t="s">
        <v>173</v>
      </c>
      <c r="B76" s="63">
        <v>2</v>
      </c>
      <c r="C76" s="8"/>
      <c r="D76" s="8" t="s">
        <v>335</v>
      </c>
      <c r="E76" s="63">
        <v>25</v>
      </c>
      <c r="F76" s="96" t="s">
        <v>336</v>
      </c>
      <c r="G76" s="46" t="str">
        <f>IFERROR(IF(VLOOKUP(TableHandbook[[#This Row],[UDC]],TableAvailabilities[],2,FALSE)&gt;0,"Y",""),"")</f>
        <v>Y</v>
      </c>
      <c r="H76" s="124" t="str">
        <f>IFERROR(IF(VLOOKUP(TableHandbook[[#This Row],[UDC]],TableAvailabilities[],3,FALSE)&gt;0,"Y",""),"")</f>
        <v/>
      </c>
      <c r="I76" s="125" t="str">
        <f>IFERROR(IF(VLOOKUP(TableHandbook[[#This Row],[UDC]],TableAvailabilities[],4,FALSE)&gt;0,"Y",""),"")</f>
        <v/>
      </c>
      <c r="J76" s="47" t="str">
        <f>IFERROR(IF(VLOOKUP(TableHandbook[[#This Row],[UDC]],TableAvailabilities[],5,FALSE)&gt;0,"Y",""),"")</f>
        <v/>
      </c>
      <c r="K76" s="140"/>
      <c r="L76" s="101" t="str">
        <f>IFERROR(VLOOKUP(TableHandbook[[#This Row],[UDC]],TableBCONM[],7,FALSE),"")</f>
        <v/>
      </c>
      <c r="M76" s="102" t="str">
        <f>IFERROR(VLOOKUP(TableHandbook[[#This Row],[UDC]],TableSTRHCONMN[],7,FALSE),"")</f>
        <v/>
      </c>
      <c r="N76" s="102" t="str">
        <f>IFERROR(VLOOKUP(TableHandbook[[#This Row],[UDC]],TableSTRUCONMN[],7,FALSE),"")</f>
        <v/>
      </c>
      <c r="O76" s="102" t="str">
        <f>IFERROR(VLOOKUP(TableHandbook[[#This Row],[UDC]],TableSPUCANGAD[],7,FALSE),"")</f>
        <v/>
      </c>
      <c r="P76" s="102" t="str">
        <f>IFERROR(VLOOKUP(TableHandbook[[#This Row],[UDC]],TableSPUCFINCE[],7,FALSE),"")</f>
        <v/>
      </c>
      <c r="Q76" s="102" t="str">
        <f>IFERROR(VLOOKUP(TableHandbook[[#This Row],[UDC]],TableSPUCINARS[],7,FALSE),"")</f>
        <v/>
      </c>
      <c r="R76" s="103" t="str">
        <f>IFERROR(VLOOKUP(TableHandbook[[#This Row],[UDC]],TableSPUCINENT[],7,FALSE),"")</f>
        <v/>
      </c>
      <c r="S76" s="103" t="str">
        <f>IFERROR(VLOOKUP(TableHandbook[[#This Row],[UDC]],TableSPUCPROPT[],7,FALSE),"")</f>
        <v>Core</v>
      </c>
      <c r="T76" s="104" t="str">
        <f>IFERROR(VLOOKUP(TableHandbook[[#This Row],[UDC]],TableSPUCURDES[],7,FALSE),"")</f>
        <v/>
      </c>
    </row>
    <row r="77" spans="1:20" x14ac:dyDescent="0.25">
      <c r="A77" s="8" t="s">
        <v>91</v>
      </c>
      <c r="B77" s="63"/>
      <c r="C77" s="8"/>
      <c r="D77" s="8" t="s">
        <v>337</v>
      </c>
      <c r="E77" s="63">
        <v>25</v>
      </c>
      <c r="F77" s="96" t="s">
        <v>338</v>
      </c>
      <c r="G77" s="46" t="str">
        <f>IFERROR(IF(VLOOKUP(TableHandbook[[#This Row],[UDC]],TableAvailabilities[],2,FALSE)&gt;0,"Y",""),"")</f>
        <v/>
      </c>
      <c r="H77" s="124" t="str">
        <f>IFERROR(IF(VLOOKUP(TableHandbook[[#This Row],[UDC]],TableAvailabilities[],3,FALSE)&gt;0,"Y",""),"")</f>
        <v/>
      </c>
      <c r="I77" s="125" t="str">
        <f>IFERROR(IF(VLOOKUP(TableHandbook[[#This Row],[UDC]],TableAvailabilities[],4,FALSE)&gt;0,"Y",""),"")</f>
        <v/>
      </c>
      <c r="J77" s="47" t="str">
        <f>IFERROR(IF(VLOOKUP(TableHandbook[[#This Row],[UDC]],TableAvailabilities[],5,FALSE)&gt;0,"Y",""),"")</f>
        <v/>
      </c>
      <c r="K77" s="140"/>
      <c r="L77" s="101" t="str">
        <f>IFERROR(VLOOKUP(TableHandbook[[#This Row],[UDC]],TableBCONM[],7,FALSE),"")</f>
        <v/>
      </c>
      <c r="M77" s="102" t="str">
        <f>IFERROR(VLOOKUP(TableHandbook[[#This Row],[UDC]],TableSTRHCONMN[],7,FALSE),"")</f>
        <v/>
      </c>
      <c r="N77" s="102" t="str">
        <f>IFERROR(VLOOKUP(TableHandbook[[#This Row],[UDC]],TableSTRUCONMN[],7,FALSE),"")</f>
        <v/>
      </c>
      <c r="O77" s="102" t="str">
        <f>IFERROR(VLOOKUP(TableHandbook[[#This Row],[UDC]],TableSPUCANGAD[],7,FALSE),"")</f>
        <v/>
      </c>
      <c r="P77" s="102" t="str">
        <f>IFERROR(VLOOKUP(TableHandbook[[#This Row],[UDC]],TableSPUCFINCE[],7,FALSE),"")</f>
        <v/>
      </c>
      <c r="Q77" s="102" t="str">
        <f>IFERROR(VLOOKUP(TableHandbook[[#This Row],[UDC]],TableSPUCINARS[],7,FALSE),"")</f>
        <v/>
      </c>
      <c r="R77" s="103" t="str">
        <f>IFERROR(VLOOKUP(TableHandbook[[#This Row],[UDC]],TableSPUCINENT[],7,FALSE),"")</f>
        <v/>
      </c>
      <c r="S77" s="103" t="str">
        <f>IFERROR(VLOOKUP(TableHandbook[[#This Row],[UDC]],TableSPUCPROPT[],7,FALSE),"")</f>
        <v/>
      </c>
      <c r="T77" s="104" t="str">
        <f>IFERROR(VLOOKUP(TableHandbook[[#This Row],[UDC]],TableSPUCURDES[],7,FALSE),"")</f>
        <v/>
      </c>
    </row>
    <row r="78" spans="1:20" x14ac:dyDescent="0.25">
      <c r="A78" s="7" t="s">
        <v>108</v>
      </c>
      <c r="B78" s="22">
        <v>1</v>
      </c>
      <c r="C78" s="7"/>
      <c r="D78" s="7" t="s">
        <v>107</v>
      </c>
      <c r="E78" s="63">
        <v>100</v>
      </c>
      <c r="F78" s="96"/>
      <c r="G78" s="46" t="str">
        <f>IFERROR(IF(VLOOKUP(TableHandbook[[#This Row],[UDC]],TableAvailabilities[],2,FALSE)&gt;0,"Y",""),"")</f>
        <v/>
      </c>
      <c r="H78" s="124" t="str">
        <f>IFERROR(IF(VLOOKUP(TableHandbook[[#This Row],[UDC]],TableAvailabilities[],3,FALSE)&gt;0,"Y",""),"")</f>
        <v/>
      </c>
      <c r="I78" s="125" t="str">
        <f>IFERROR(IF(VLOOKUP(TableHandbook[[#This Row],[UDC]],TableAvailabilities[],4,FALSE)&gt;0,"Y",""),"")</f>
        <v/>
      </c>
      <c r="J78" s="47" t="str">
        <f>IFERROR(IF(VLOOKUP(TableHandbook[[#This Row],[UDC]],TableAvailabilities[],5,FALSE)&gt;0,"Y",""),"")</f>
        <v/>
      </c>
      <c r="K78" s="141" t="s">
        <v>339</v>
      </c>
      <c r="L78" s="101" t="str">
        <f>IFERROR(VLOOKUP(TableHandbook[[#This Row],[UDC]],TableBCONM[],7,FALSE),"")</f>
        <v>Option</v>
      </c>
      <c r="M78" s="102" t="str">
        <f>IFERROR(VLOOKUP(TableHandbook[[#This Row],[UDC]],TableSTRHCONMN[],7,FALSE),"")</f>
        <v/>
      </c>
      <c r="N78" s="102" t="str">
        <f>IFERROR(VLOOKUP(TableHandbook[[#This Row],[UDC]],TableSTRUCONMN[],7,FALSE),"")</f>
        <v/>
      </c>
      <c r="O78" s="102" t="str">
        <f>IFERROR(VLOOKUP(TableHandbook[[#This Row],[UDC]],TableSPUCANGAD[],7,FALSE),"")</f>
        <v/>
      </c>
      <c r="P78" s="102" t="str">
        <f>IFERROR(VLOOKUP(TableHandbook[[#This Row],[UDC]],TableSPUCFINCE[],7,FALSE),"")</f>
        <v/>
      </c>
      <c r="Q78" s="102" t="str">
        <f>IFERROR(VLOOKUP(TableHandbook[[#This Row],[UDC]],TableSPUCINARS[],7,FALSE),"")</f>
        <v/>
      </c>
      <c r="R78" s="103" t="str">
        <f>IFERROR(VLOOKUP(TableHandbook[[#This Row],[UDC]],TableSPUCINENT[],7,FALSE),"")</f>
        <v/>
      </c>
      <c r="S78" s="103" t="str">
        <f>IFERROR(VLOOKUP(TableHandbook[[#This Row],[UDC]],TableSPUCPROPT[],7,FALSE),"")</f>
        <v/>
      </c>
      <c r="T78" s="104" t="str">
        <f>IFERROR(VLOOKUP(TableHandbook[[#This Row],[UDC]],TableSPUCURDES[],7,FALSE),"")</f>
        <v/>
      </c>
    </row>
    <row r="79" spans="1:20" x14ac:dyDescent="0.25">
      <c r="A79" s="8" t="s">
        <v>113</v>
      </c>
      <c r="B79" s="63">
        <v>1</v>
      </c>
      <c r="C79" s="8"/>
      <c r="D79" s="8" t="s">
        <v>112</v>
      </c>
      <c r="E79" s="63">
        <v>100</v>
      </c>
      <c r="F79" s="96"/>
      <c r="G79" s="46" t="str">
        <f>IFERROR(IF(VLOOKUP(TableHandbook[[#This Row],[UDC]],TableAvailabilities[],2,FALSE)&gt;0,"Y",""),"")</f>
        <v/>
      </c>
      <c r="H79" s="124" t="str">
        <f>IFERROR(IF(VLOOKUP(TableHandbook[[#This Row],[UDC]],TableAvailabilities[],3,FALSE)&gt;0,"Y",""),"")</f>
        <v/>
      </c>
      <c r="I79" s="125" t="str">
        <f>IFERROR(IF(VLOOKUP(TableHandbook[[#This Row],[UDC]],TableAvailabilities[],4,FALSE)&gt;0,"Y",""),"")</f>
        <v/>
      </c>
      <c r="J79" s="47" t="str">
        <f>IFERROR(IF(VLOOKUP(TableHandbook[[#This Row],[UDC]],TableAvailabilities[],5,FALSE)&gt;0,"Y",""),"")</f>
        <v/>
      </c>
      <c r="K79" s="140"/>
      <c r="L79" s="101" t="str">
        <f>IFERROR(VLOOKUP(TableHandbook[[#This Row],[UDC]],TableBCONM[],7,FALSE),"")</f>
        <v>Option</v>
      </c>
      <c r="M79" s="102" t="str">
        <f>IFERROR(VLOOKUP(TableHandbook[[#This Row],[UDC]],TableSTRHCONMN[],7,FALSE),"")</f>
        <v/>
      </c>
      <c r="N79" s="102" t="str">
        <f>IFERROR(VLOOKUP(TableHandbook[[#This Row],[UDC]],TableSTRUCONMN[],7,FALSE),"")</f>
        <v/>
      </c>
      <c r="O79" s="102" t="str">
        <f>IFERROR(VLOOKUP(TableHandbook[[#This Row],[UDC]],TableSPUCANGAD[],7,FALSE),"")</f>
        <v/>
      </c>
      <c r="P79" s="102" t="str">
        <f>IFERROR(VLOOKUP(TableHandbook[[#This Row],[UDC]],TableSPUCFINCE[],7,FALSE),"")</f>
        <v/>
      </c>
      <c r="Q79" s="102" t="str">
        <f>IFERROR(VLOOKUP(TableHandbook[[#This Row],[UDC]],TableSPUCINARS[],7,FALSE),"")</f>
        <v/>
      </c>
      <c r="R79" s="103" t="str">
        <f>IFERROR(VLOOKUP(TableHandbook[[#This Row],[UDC]],TableSPUCINENT[],7,FALSE),"")</f>
        <v/>
      </c>
      <c r="S79" s="103" t="str">
        <f>IFERROR(VLOOKUP(TableHandbook[[#This Row],[UDC]],TableSPUCPROPT[],7,FALSE),"")</f>
        <v/>
      </c>
      <c r="T79" s="104" t="str">
        <f>IFERROR(VLOOKUP(TableHandbook[[#This Row],[UDC]],TableSPUCURDES[],7,FALSE),"")</f>
        <v/>
      </c>
    </row>
    <row r="80" spans="1:20" x14ac:dyDescent="0.25">
      <c r="A80" s="8" t="s">
        <v>115</v>
      </c>
      <c r="B80" s="63">
        <v>3</v>
      </c>
      <c r="C80" s="8"/>
      <c r="D80" s="8" t="s">
        <v>114</v>
      </c>
      <c r="E80" s="63">
        <v>100</v>
      </c>
      <c r="F80" s="96"/>
      <c r="G80" s="46" t="str">
        <f>IFERROR(IF(VLOOKUP(TableHandbook[[#This Row],[UDC]],TableAvailabilities[],2,FALSE)&gt;0,"Y",""),"")</f>
        <v/>
      </c>
      <c r="H80" s="124" t="str">
        <f>IFERROR(IF(VLOOKUP(TableHandbook[[#This Row],[UDC]],TableAvailabilities[],3,FALSE)&gt;0,"Y",""),"")</f>
        <v/>
      </c>
      <c r="I80" s="125" t="str">
        <f>IFERROR(IF(VLOOKUP(TableHandbook[[#This Row],[UDC]],TableAvailabilities[],4,FALSE)&gt;0,"Y",""),"")</f>
        <v/>
      </c>
      <c r="J80" s="47" t="str">
        <f>IFERROR(IF(VLOOKUP(TableHandbook[[#This Row],[UDC]],TableAvailabilities[],5,FALSE)&gt;0,"Y",""),"")</f>
        <v/>
      </c>
      <c r="K80" s="140"/>
      <c r="L80" s="101" t="str">
        <f>IFERROR(VLOOKUP(TableHandbook[[#This Row],[UDC]],TableBCONM[],7,FALSE),"")</f>
        <v>Option</v>
      </c>
      <c r="M80" s="102" t="str">
        <f>IFERROR(VLOOKUP(TableHandbook[[#This Row],[UDC]],TableSTRHCONMN[],7,FALSE),"")</f>
        <v/>
      </c>
      <c r="N80" s="102" t="str">
        <f>IFERROR(VLOOKUP(TableHandbook[[#This Row],[UDC]],TableSTRUCONMN[],7,FALSE),"")</f>
        <v/>
      </c>
      <c r="O80" s="102" t="str">
        <f>IFERROR(VLOOKUP(TableHandbook[[#This Row],[UDC]],TableSPUCANGAD[],7,FALSE),"")</f>
        <v/>
      </c>
      <c r="P80" s="102" t="str">
        <f>IFERROR(VLOOKUP(TableHandbook[[#This Row],[UDC]],TableSPUCFINCE[],7,FALSE),"")</f>
        <v/>
      </c>
      <c r="Q80" s="102" t="str">
        <f>IFERROR(VLOOKUP(TableHandbook[[#This Row],[UDC]],TableSPUCINARS[],7,FALSE),"")</f>
        <v/>
      </c>
      <c r="R80" s="103" t="str">
        <f>IFERROR(VLOOKUP(TableHandbook[[#This Row],[UDC]],TableSPUCINENT[],7,FALSE),"")</f>
        <v/>
      </c>
      <c r="S80" s="103" t="str">
        <f>IFERROR(VLOOKUP(TableHandbook[[#This Row],[UDC]],TableSPUCPROPT[],7,FALSE),"")</f>
        <v/>
      </c>
      <c r="T80" s="104" t="str">
        <f>IFERROR(VLOOKUP(TableHandbook[[#This Row],[UDC]],TableSPUCURDES[],7,FALSE),"")</f>
        <v/>
      </c>
    </row>
    <row r="81" spans="1:20" ht="26.25" x14ac:dyDescent="0.25">
      <c r="A81" s="150" t="s">
        <v>340</v>
      </c>
      <c r="B81" s="151">
        <v>2</v>
      </c>
      <c r="C81" s="150"/>
      <c r="D81" s="150" t="s">
        <v>114</v>
      </c>
      <c r="E81" s="151">
        <v>100</v>
      </c>
      <c r="F81" s="152"/>
      <c r="G81" s="46" t="str">
        <f>IFERROR(IF(VLOOKUP(TableHandbook[[#This Row],[UDC]],TableAvailabilities[],2,FALSE)&gt;0,"Y",""),"")</f>
        <v/>
      </c>
      <c r="H81" s="124" t="str">
        <f>IFERROR(IF(VLOOKUP(TableHandbook[[#This Row],[UDC]],TableAvailabilities[],3,FALSE)&gt;0,"Y",""),"")</f>
        <v/>
      </c>
      <c r="I81" s="125" t="str">
        <f>IFERROR(IF(VLOOKUP(TableHandbook[[#This Row],[UDC]],TableAvailabilities[],4,FALSE)&gt;0,"Y",""),"")</f>
        <v/>
      </c>
      <c r="J81" s="47" t="str">
        <f>IFERROR(IF(VLOOKUP(TableHandbook[[#This Row],[UDC]],TableAvailabilities[],5,FALSE)&gt;0,"Y",""),"")</f>
        <v/>
      </c>
      <c r="K81" s="153" t="s">
        <v>341</v>
      </c>
      <c r="L81" s="101" t="str">
        <f>IFERROR(VLOOKUP(TableHandbook[[#This Row],[UDC]],TableBCONM[],7,FALSE),"")</f>
        <v/>
      </c>
      <c r="M81" s="102" t="str">
        <f>IFERROR(VLOOKUP(TableHandbook[[#This Row],[UDC]],TableSTRHCONMN[],7,FALSE),"")</f>
        <v/>
      </c>
      <c r="N81" s="102" t="str">
        <f>IFERROR(VLOOKUP(TableHandbook[[#This Row],[UDC]],TableSTRUCONMN[],7,FALSE),"")</f>
        <v/>
      </c>
      <c r="O81" s="102" t="str">
        <f>IFERROR(VLOOKUP(TableHandbook[[#This Row],[UDC]],TableSPUCANGAD[],7,FALSE),"")</f>
        <v/>
      </c>
      <c r="P81" s="102" t="str">
        <f>IFERROR(VLOOKUP(TableHandbook[[#This Row],[UDC]],TableSPUCFINCE[],7,FALSE),"")</f>
        <v/>
      </c>
      <c r="Q81" s="102" t="str">
        <f>IFERROR(VLOOKUP(TableHandbook[[#This Row],[UDC]],TableSPUCINARS[],7,FALSE),"")</f>
        <v/>
      </c>
      <c r="R81" s="103" t="str">
        <f>IFERROR(VLOOKUP(TableHandbook[[#This Row],[UDC]],TableSPUCINENT[],7,FALSE),"")</f>
        <v/>
      </c>
      <c r="S81" s="103" t="str">
        <f>IFERROR(VLOOKUP(TableHandbook[[#This Row],[UDC]],TableSPUCPROPT[],7,FALSE),"")</f>
        <v/>
      </c>
      <c r="T81" s="104" t="str">
        <f>IFERROR(VLOOKUP(TableHandbook[[#This Row],[UDC]],TableSPUCURDES[],7,FALSE),"")</f>
        <v/>
      </c>
    </row>
    <row r="82" spans="1:20" x14ac:dyDescent="0.25">
      <c r="A82" s="6" t="s">
        <v>118</v>
      </c>
      <c r="B82" s="123">
        <v>1</v>
      </c>
      <c r="C82" s="6"/>
      <c r="D82" s="6" t="s">
        <v>117</v>
      </c>
      <c r="E82" s="63">
        <v>100</v>
      </c>
      <c r="F82" s="96"/>
      <c r="G82" s="46" t="str">
        <f>IFERROR(IF(VLOOKUP(TableHandbook[[#This Row],[UDC]],TableAvailabilities[],2,FALSE)&gt;0,"Y",""),"")</f>
        <v/>
      </c>
      <c r="H82" s="124" t="str">
        <f>IFERROR(IF(VLOOKUP(TableHandbook[[#This Row],[UDC]],TableAvailabilities[],3,FALSE)&gt;0,"Y",""),"")</f>
        <v/>
      </c>
      <c r="I82" s="125" t="str">
        <f>IFERROR(IF(VLOOKUP(TableHandbook[[#This Row],[UDC]],TableAvailabilities[],4,FALSE)&gt;0,"Y",""),"")</f>
        <v/>
      </c>
      <c r="J82" s="47" t="str">
        <f>IFERROR(IF(VLOOKUP(TableHandbook[[#This Row],[UDC]],TableAvailabilities[],5,FALSE)&gt;0,"Y",""),"")</f>
        <v/>
      </c>
      <c r="K82" s="141" t="s">
        <v>342</v>
      </c>
      <c r="L82" s="101" t="str">
        <f>IFERROR(VLOOKUP(TableHandbook[[#This Row],[UDC]],TableBCONM[],7,FALSE),"")</f>
        <v>Option</v>
      </c>
      <c r="M82" s="102" t="str">
        <f>IFERROR(VLOOKUP(TableHandbook[[#This Row],[UDC]],TableSTRHCONMN[],7,FALSE),"")</f>
        <v/>
      </c>
      <c r="N82" s="102" t="str">
        <f>IFERROR(VLOOKUP(TableHandbook[[#This Row],[UDC]],TableSTRUCONMN[],7,FALSE),"")</f>
        <v/>
      </c>
      <c r="O82" s="102" t="str">
        <f>IFERROR(VLOOKUP(TableHandbook[[#This Row],[UDC]],TableSPUCANGAD[],7,FALSE),"")</f>
        <v/>
      </c>
      <c r="P82" s="102" t="str">
        <f>IFERROR(VLOOKUP(TableHandbook[[#This Row],[UDC]],TableSPUCFINCE[],7,FALSE),"")</f>
        <v/>
      </c>
      <c r="Q82" s="102" t="str">
        <f>IFERROR(VLOOKUP(TableHandbook[[#This Row],[UDC]],TableSPUCINARS[],7,FALSE),"")</f>
        <v/>
      </c>
      <c r="R82" s="103" t="str">
        <f>IFERROR(VLOOKUP(TableHandbook[[#This Row],[UDC]],TableSPUCINENT[],7,FALSE),"")</f>
        <v/>
      </c>
      <c r="S82" s="103" t="str">
        <f>IFERROR(VLOOKUP(TableHandbook[[#This Row],[UDC]],TableSPUCPROPT[],7,FALSE),"")</f>
        <v/>
      </c>
      <c r="T82" s="104" t="str">
        <f>IFERROR(VLOOKUP(TableHandbook[[#This Row],[UDC]],TableSPUCURDES[],7,FALSE),"")</f>
        <v/>
      </c>
    </row>
    <row r="83" spans="1:20" x14ac:dyDescent="0.25">
      <c r="A83" s="6" t="s">
        <v>343</v>
      </c>
      <c r="B83" s="123">
        <v>1</v>
      </c>
      <c r="C83" s="6"/>
      <c r="D83" s="6" t="s">
        <v>120</v>
      </c>
      <c r="E83" s="123">
        <v>100</v>
      </c>
      <c r="F83" s="142"/>
      <c r="G83" s="163" t="str">
        <f>IFERROR(IF(VLOOKUP(TableHandbook[[#This Row],[UDC]],TableAvailabilities[],2,FALSE)&gt;0,"Y",""),"")</f>
        <v/>
      </c>
      <c r="H83" s="164" t="str">
        <f>IFERROR(IF(VLOOKUP(TableHandbook[[#This Row],[UDC]],TableAvailabilities[],3,FALSE)&gt;0,"Y",""),"")</f>
        <v/>
      </c>
      <c r="I83" s="164" t="str">
        <f>IFERROR(IF(VLOOKUP(TableHandbook[[#This Row],[UDC]],TableAvailabilities[],4,FALSE)&gt;0,"Y",""),"")</f>
        <v/>
      </c>
      <c r="J83" s="165" t="str">
        <f>IFERROR(IF(VLOOKUP(TableHandbook[[#This Row],[UDC]],TableAvailabilities[],5,FALSE)&gt;0,"Y",""),"")</f>
        <v/>
      </c>
      <c r="K83" s="143"/>
      <c r="L83" s="166" t="str">
        <f>IFERROR(VLOOKUP(TableHandbook[[#This Row],[UDC]],TableBCONM[],7,FALSE),"")</f>
        <v/>
      </c>
      <c r="M83" s="167" t="str">
        <f>IFERROR(VLOOKUP(TableHandbook[[#This Row],[UDC]],TableSTRHCONMN[],7,FALSE),"")</f>
        <v/>
      </c>
      <c r="N83" s="167" t="str">
        <f>IFERROR(VLOOKUP(TableHandbook[[#This Row],[UDC]],TableSTRUCONMN[],7,FALSE),"")</f>
        <v/>
      </c>
      <c r="O83" s="167" t="str">
        <f>IFERROR(VLOOKUP(TableHandbook[[#This Row],[UDC]],TableSPUCANGAD[],7,FALSE),"")</f>
        <v/>
      </c>
      <c r="P83" s="167" t="str">
        <f>IFERROR(VLOOKUP(TableHandbook[[#This Row],[UDC]],TableSPUCFINCE[],7,FALSE),"")</f>
        <v/>
      </c>
      <c r="Q83" s="167" t="str">
        <f>IFERROR(VLOOKUP(TableHandbook[[#This Row],[UDC]],TableSPUCINARS[],7,FALSE),"")</f>
        <v/>
      </c>
      <c r="R83" s="168" t="str">
        <f>IFERROR(VLOOKUP(TableHandbook[[#This Row],[UDC]],TableSPUCINENT[],7,FALSE),"")</f>
        <v/>
      </c>
      <c r="S83" s="168" t="str">
        <f>IFERROR(VLOOKUP(TableHandbook[[#This Row],[UDC]],TableSPUCPROPT[],7,FALSE),"")</f>
        <v/>
      </c>
      <c r="T83" s="169" t="str">
        <f>IFERROR(VLOOKUP(TableHandbook[[#This Row],[UDC]],TableSPUCURDES[],7,FALSE),"")</f>
        <v/>
      </c>
    </row>
    <row r="84" spans="1:20" x14ac:dyDescent="0.25">
      <c r="A84" s="7" t="s">
        <v>121</v>
      </c>
      <c r="B84" s="22">
        <v>2</v>
      </c>
      <c r="C84" s="7"/>
      <c r="D84" s="7" t="s">
        <v>120</v>
      </c>
      <c r="E84" s="63">
        <v>100</v>
      </c>
      <c r="F84" s="96"/>
      <c r="G84" s="46" t="str">
        <f>IFERROR(IF(VLOOKUP(TableHandbook[[#This Row],[UDC]],TableAvailabilities[],2,FALSE)&gt;0,"Y",""),"")</f>
        <v/>
      </c>
      <c r="H84" s="124" t="str">
        <f>IFERROR(IF(VLOOKUP(TableHandbook[[#This Row],[UDC]],TableAvailabilities[],3,FALSE)&gt;0,"Y",""),"")</f>
        <v/>
      </c>
      <c r="I84" s="125" t="str">
        <f>IFERROR(IF(VLOOKUP(TableHandbook[[#This Row],[UDC]],TableAvailabilities[],4,FALSE)&gt;0,"Y",""),"")</f>
        <v/>
      </c>
      <c r="J84" s="47" t="str">
        <f>IFERROR(IF(VLOOKUP(TableHandbook[[#This Row],[UDC]],TableAvailabilities[],5,FALSE)&gt;0,"Y",""),"")</f>
        <v/>
      </c>
      <c r="K84" s="141" t="s">
        <v>344</v>
      </c>
      <c r="L84" s="101" t="str">
        <f>IFERROR(VLOOKUP(TableHandbook[[#This Row],[UDC]],TableBCONM[],7,FALSE),"")</f>
        <v>Option</v>
      </c>
      <c r="M84" s="102" t="str">
        <f>IFERROR(VLOOKUP(TableHandbook[[#This Row],[UDC]],TableSTRHCONMN[],7,FALSE),"")</f>
        <v/>
      </c>
      <c r="N84" s="102" t="str">
        <f>IFERROR(VLOOKUP(TableHandbook[[#This Row],[UDC]],TableSTRUCONMN[],7,FALSE),"")</f>
        <v/>
      </c>
      <c r="O84" s="102" t="str">
        <f>IFERROR(VLOOKUP(TableHandbook[[#This Row],[UDC]],TableSPUCANGAD[],7,FALSE),"")</f>
        <v/>
      </c>
      <c r="P84" s="102" t="str">
        <f>IFERROR(VLOOKUP(TableHandbook[[#This Row],[UDC]],TableSPUCFINCE[],7,FALSE),"")</f>
        <v/>
      </c>
      <c r="Q84" s="102" t="str">
        <f>IFERROR(VLOOKUP(TableHandbook[[#This Row],[UDC]],TableSPUCINARS[],7,FALSE),"")</f>
        <v/>
      </c>
      <c r="R84" s="103" t="str">
        <f>IFERROR(VLOOKUP(TableHandbook[[#This Row],[UDC]],TableSPUCINENT[],7,FALSE),"")</f>
        <v/>
      </c>
      <c r="S84" s="103" t="str">
        <f>IFERROR(VLOOKUP(TableHandbook[[#This Row],[UDC]],TableSPUCPROPT[],7,FALSE),"")</f>
        <v/>
      </c>
      <c r="T84" s="104" t="str">
        <f>IFERROR(VLOOKUP(TableHandbook[[#This Row],[UDC]],TableSPUCURDES[],7,FALSE),"")</f>
        <v/>
      </c>
    </row>
    <row r="85" spans="1:20" x14ac:dyDescent="0.25">
      <c r="A85" s="8" t="s">
        <v>125</v>
      </c>
      <c r="B85" s="63">
        <v>1</v>
      </c>
      <c r="C85" s="8"/>
      <c r="D85" s="8" t="s">
        <v>124</v>
      </c>
      <c r="E85" s="63">
        <v>100</v>
      </c>
      <c r="F85" s="96"/>
      <c r="G85" s="46" t="str">
        <f>IFERROR(IF(VLOOKUP(TableHandbook[[#This Row],[UDC]],TableAvailabilities[],2,FALSE)&gt;0,"Y",""),"")</f>
        <v/>
      </c>
      <c r="H85" s="124" t="str">
        <f>IFERROR(IF(VLOOKUP(TableHandbook[[#This Row],[UDC]],TableAvailabilities[],3,FALSE)&gt;0,"Y",""),"")</f>
        <v/>
      </c>
      <c r="I85" s="125" t="str">
        <f>IFERROR(IF(VLOOKUP(TableHandbook[[#This Row],[UDC]],TableAvailabilities[],4,FALSE)&gt;0,"Y",""),"")</f>
        <v/>
      </c>
      <c r="J85" s="47" t="str">
        <f>IFERROR(IF(VLOOKUP(TableHandbook[[#This Row],[UDC]],TableAvailabilities[],5,FALSE)&gt;0,"Y",""),"")</f>
        <v/>
      </c>
      <c r="K85" s="140"/>
      <c r="L85" s="101" t="str">
        <f>IFERROR(VLOOKUP(TableHandbook[[#This Row],[UDC]],TableBCONM[],7,FALSE),"")</f>
        <v>Option</v>
      </c>
      <c r="M85" s="102" t="str">
        <f>IFERROR(VLOOKUP(TableHandbook[[#This Row],[UDC]],TableSTRHCONMN[],7,FALSE),"")</f>
        <v/>
      </c>
      <c r="N85" s="102" t="str">
        <f>IFERROR(VLOOKUP(TableHandbook[[#This Row],[UDC]],TableSTRUCONMN[],7,FALSE),"")</f>
        <v/>
      </c>
      <c r="O85" s="102" t="str">
        <f>IFERROR(VLOOKUP(TableHandbook[[#This Row],[UDC]],TableSPUCANGAD[],7,FALSE),"")</f>
        <v/>
      </c>
      <c r="P85" s="102" t="str">
        <f>IFERROR(VLOOKUP(TableHandbook[[#This Row],[UDC]],TableSPUCFINCE[],7,FALSE),"")</f>
        <v/>
      </c>
      <c r="Q85" s="102" t="str">
        <f>IFERROR(VLOOKUP(TableHandbook[[#This Row],[UDC]],TableSPUCINARS[],7,FALSE),"")</f>
        <v/>
      </c>
      <c r="R85" s="103" t="str">
        <f>IFERROR(VLOOKUP(TableHandbook[[#This Row],[UDC]],TableSPUCINENT[],7,FALSE),"")</f>
        <v/>
      </c>
      <c r="S85" s="103" t="str">
        <f>IFERROR(VLOOKUP(TableHandbook[[#This Row],[UDC]],TableSPUCPROPT[],7,FALSE),"")</f>
        <v/>
      </c>
      <c r="T85" s="104" t="str">
        <f>IFERROR(VLOOKUP(TableHandbook[[#This Row],[UDC]],TableSPUCURDES[],7,FALSE),"")</f>
        <v/>
      </c>
    </row>
    <row r="86" spans="1:20" x14ac:dyDescent="0.25">
      <c r="A86" s="8" t="s">
        <v>100</v>
      </c>
      <c r="B86" s="63">
        <v>3</v>
      </c>
      <c r="C86" s="8"/>
      <c r="D86" s="8" t="s">
        <v>99</v>
      </c>
      <c r="E86" s="63">
        <v>200</v>
      </c>
      <c r="F86" s="96"/>
      <c r="G86" s="46" t="str">
        <f>IFERROR(IF(VLOOKUP(TableHandbook[[#This Row],[UDC]],TableAvailabilities[],2,FALSE)&gt;0,"Y",""),"")</f>
        <v/>
      </c>
      <c r="H86" s="124" t="str">
        <f>IFERROR(IF(VLOOKUP(TableHandbook[[#This Row],[UDC]],TableAvailabilities[],3,FALSE)&gt;0,"Y",""),"")</f>
        <v/>
      </c>
      <c r="I86" s="125" t="str">
        <f>IFERROR(IF(VLOOKUP(TableHandbook[[#This Row],[UDC]],TableAvailabilities[],4,FALSE)&gt;0,"Y",""),"")</f>
        <v/>
      </c>
      <c r="J86" s="47" t="str">
        <f>IFERROR(IF(VLOOKUP(TableHandbook[[#This Row],[UDC]],TableAvailabilities[],5,FALSE)&gt;0,"Y",""),"")</f>
        <v/>
      </c>
      <c r="K86" s="140"/>
      <c r="L86" s="101" t="str">
        <f>IFERROR(VLOOKUP(TableHandbook[[#This Row],[UDC]],TableBCONM[],7,FALSE),"")</f>
        <v>AltCore</v>
      </c>
      <c r="M86" s="102" t="str">
        <f>IFERROR(VLOOKUP(TableHandbook[[#This Row],[UDC]],TableSTRHCONMN[],7,FALSE),"")</f>
        <v/>
      </c>
      <c r="N86" s="102" t="str">
        <f>IFERROR(VLOOKUP(TableHandbook[[#This Row],[UDC]],TableSTRUCONMN[],7,FALSE),"")</f>
        <v/>
      </c>
      <c r="O86" s="102" t="str">
        <f>IFERROR(VLOOKUP(TableHandbook[[#This Row],[UDC]],TableSPUCANGAD[],7,FALSE),"")</f>
        <v/>
      </c>
      <c r="P86" s="102" t="str">
        <f>IFERROR(VLOOKUP(TableHandbook[[#This Row],[UDC]],TableSPUCFINCE[],7,FALSE),"")</f>
        <v/>
      </c>
      <c r="Q86" s="102" t="str">
        <f>IFERROR(VLOOKUP(TableHandbook[[#This Row],[UDC]],TableSPUCINARS[],7,FALSE),"")</f>
        <v/>
      </c>
      <c r="R86" s="103" t="str">
        <f>IFERROR(VLOOKUP(TableHandbook[[#This Row],[UDC]],TableSPUCINENT[],7,FALSE),"")</f>
        <v/>
      </c>
      <c r="S86" s="103" t="str">
        <f>IFERROR(VLOOKUP(TableHandbook[[#This Row],[UDC]],TableSPUCPROPT[],7,FALSE),"")</f>
        <v/>
      </c>
      <c r="T86" s="104" t="str">
        <f>IFERROR(VLOOKUP(TableHandbook[[#This Row],[UDC]],TableSPUCURDES[],7,FALSE),"")</f>
        <v/>
      </c>
    </row>
    <row r="87" spans="1:20" x14ac:dyDescent="0.25">
      <c r="A87" s="150" t="s">
        <v>345</v>
      </c>
      <c r="B87" s="151">
        <v>2</v>
      </c>
      <c r="C87" s="150"/>
      <c r="D87" s="150" t="s">
        <v>99</v>
      </c>
      <c r="E87" s="151">
        <v>200</v>
      </c>
      <c r="F87" s="152"/>
      <c r="G87" s="46" t="str">
        <f>IFERROR(IF(VLOOKUP(TableHandbook[[#This Row],[UDC]],TableAvailabilities[],2,FALSE)&gt;0,"Y",""),"")</f>
        <v/>
      </c>
      <c r="H87" s="124" t="str">
        <f>IFERROR(IF(VLOOKUP(TableHandbook[[#This Row],[UDC]],TableAvailabilities[],3,FALSE)&gt;0,"Y",""),"")</f>
        <v/>
      </c>
      <c r="I87" s="125" t="str">
        <f>IFERROR(IF(VLOOKUP(TableHandbook[[#This Row],[UDC]],TableAvailabilities[],4,FALSE)&gt;0,"Y",""),"")</f>
        <v/>
      </c>
      <c r="J87" s="47" t="str">
        <f>IFERROR(IF(VLOOKUP(TableHandbook[[#This Row],[UDC]],TableAvailabilities[],5,FALSE)&gt;0,"Y",""),"")</f>
        <v/>
      </c>
      <c r="K87" s="153" t="s">
        <v>315</v>
      </c>
      <c r="L87" s="101" t="str">
        <f>IFERROR(VLOOKUP(TableHandbook[[#This Row],[UDC]],TableBCONM[],7,FALSE),"")</f>
        <v/>
      </c>
      <c r="M87" s="102" t="str">
        <f>IFERROR(VLOOKUP(TableHandbook[[#This Row],[UDC]],TableSTRHCONMN[],7,FALSE),"")</f>
        <v/>
      </c>
      <c r="N87" s="102" t="str">
        <f>IFERROR(VLOOKUP(TableHandbook[[#This Row],[UDC]],TableSTRUCONMN[],7,FALSE),"")</f>
        <v/>
      </c>
      <c r="O87" s="102" t="str">
        <f>IFERROR(VLOOKUP(TableHandbook[[#This Row],[UDC]],TableSPUCANGAD[],7,FALSE),"")</f>
        <v/>
      </c>
      <c r="P87" s="102" t="str">
        <f>IFERROR(VLOOKUP(TableHandbook[[#This Row],[UDC]],TableSPUCFINCE[],7,FALSE),"")</f>
        <v/>
      </c>
      <c r="Q87" s="102" t="str">
        <f>IFERROR(VLOOKUP(TableHandbook[[#This Row],[UDC]],TableSPUCINARS[],7,FALSE),"")</f>
        <v/>
      </c>
      <c r="R87" s="103" t="str">
        <f>IFERROR(VLOOKUP(TableHandbook[[#This Row],[UDC]],TableSPUCINENT[],7,FALSE),"")</f>
        <v/>
      </c>
      <c r="S87" s="103" t="str">
        <f>IFERROR(VLOOKUP(TableHandbook[[#This Row],[UDC]],TableSPUCPROPT[],7,FALSE),"")</f>
        <v/>
      </c>
      <c r="T87" s="104" t="str">
        <f>IFERROR(VLOOKUP(TableHandbook[[#This Row],[UDC]],TableSPUCURDES[],7,FALSE),"")</f>
        <v/>
      </c>
    </row>
    <row r="88" spans="1:20" x14ac:dyDescent="0.25">
      <c r="A88" s="8" t="s">
        <v>95</v>
      </c>
      <c r="B88" s="63">
        <v>3</v>
      </c>
      <c r="C88" s="8"/>
      <c r="D88" s="8" t="s">
        <v>94</v>
      </c>
      <c r="E88" s="63">
        <v>200</v>
      </c>
      <c r="F88" s="96"/>
      <c r="G88" s="46" t="str">
        <f>IFERROR(IF(VLOOKUP(TableHandbook[[#This Row],[UDC]],TableAvailabilities[],2,FALSE)&gt;0,"Y",""),"")</f>
        <v/>
      </c>
      <c r="H88" s="124" t="str">
        <f>IFERROR(IF(VLOOKUP(TableHandbook[[#This Row],[UDC]],TableAvailabilities[],3,FALSE)&gt;0,"Y",""),"")</f>
        <v/>
      </c>
      <c r="I88" s="125" t="str">
        <f>IFERROR(IF(VLOOKUP(TableHandbook[[#This Row],[UDC]],TableAvailabilities[],4,FALSE)&gt;0,"Y",""),"")</f>
        <v/>
      </c>
      <c r="J88" s="47" t="str">
        <f>IFERROR(IF(VLOOKUP(TableHandbook[[#This Row],[UDC]],TableAvailabilities[],5,FALSE)&gt;0,"Y",""),"")</f>
        <v/>
      </c>
      <c r="K88" s="140"/>
      <c r="L88" s="101" t="str">
        <f>IFERROR(VLOOKUP(TableHandbook[[#This Row],[UDC]],TableBCONM[],7,FALSE),"")</f>
        <v>AltCore</v>
      </c>
      <c r="M88" s="102" t="str">
        <f>IFERROR(VLOOKUP(TableHandbook[[#This Row],[UDC]],TableSTRHCONMN[],7,FALSE),"")</f>
        <v/>
      </c>
      <c r="N88" s="102" t="str">
        <f>IFERROR(VLOOKUP(TableHandbook[[#This Row],[UDC]],TableSTRUCONMN[],7,FALSE),"")</f>
        <v/>
      </c>
      <c r="O88" s="102" t="str">
        <f>IFERROR(VLOOKUP(TableHandbook[[#This Row],[UDC]],TableSPUCANGAD[],7,FALSE),"")</f>
        <v/>
      </c>
      <c r="P88" s="102" t="str">
        <f>IFERROR(VLOOKUP(TableHandbook[[#This Row],[UDC]],TableSPUCFINCE[],7,FALSE),"")</f>
        <v/>
      </c>
      <c r="Q88" s="102" t="str">
        <f>IFERROR(VLOOKUP(TableHandbook[[#This Row],[UDC]],TableSPUCINARS[],7,FALSE),"")</f>
        <v/>
      </c>
      <c r="R88" s="103" t="str">
        <f>IFERROR(VLOOKUP(TableHandbook[[#This Row],[UDC]],TableSPUCINENT[],7,FALSE),"")</f>
        <v/>
      </c>
      <c r="S88" s="103" t="str">
        <f>IFERROR(VLOOKUP(TableHandbook[[#This Row],[UDC]],TableSPUCPROPT[],7,FALSE),"")</f>
        <v/>
      </c>
      <c r="T88" s="104" t="str">
        <f>IFERROR(VLOOKUP(TableHandbook[[#This Row],[UDC]],TableSPUCURDES[],7,FALSE),"")</f>
        <v/>
      </c>
    </row>
    <row r="89" spans="1:20" x14ac:dyDescent="0.25">
      <c r="A89" s="150" t="s">
        <v>346</v>
      </c>
      <c r="B89" s="151">
        <v>2</v>
      </c>
      <c r="C89" s="150"/>
      <c r="D89" s="150" t="s">
        <v>94</v>
      </c>
      <c r="E89" s="151">
        <v>200</v>
      </c>
      <c r="F89" s="152"/>
      <c r="G89" s="46" t="str">
        <f>IFERROR(IF(VLOOKUP(TableHandbook[[#This Row],[UDC]],TableAvailabilities[],2,FALSE)&gt;0,"Y",""),"")</f>
        <v/>
      </c>
      <c r="H89" s="124" t="str">
        <f>IFERROR(IF(VLOOKUP(TableHandbook[[#This Row],[UDC]],TableAvailabilities[],3,FALSE)&gt;0,"Y",""),"")</f>
        <v/>
      </c>
      <c r="I89" s="125" t="str">
        <f>IFERROR(IF(VLOOKUP(TableHandbook[[#This Row],[UDC]],TableAvailabilities[],4,FALSE)&gt;0,"Y",""),"")</f>
        <v/>
      </c>
      <c r="J89" s="47" t="str">
        <f>IFERROR(IF(VLOOKUP(TableHandbook[[#This Row],[UDC]],TableAvailabilities[],5,FALSE)&gt;0,"Y",""),"")</f>
        <v/>
      </c>
      <c r="K89" s="153" t="s">
        <v>315</v>
      </c>
      <c r="L89" s="101" t="str">
        <f>IFERROR(VLOOKUP(TableHandbook[[#This Row],[UDC]],TableBCONM[],7,FALSE),"")</f>
        <v/>
      </c>
      <c r="M89" s="102" t="str">
        <f>IFERROR(VLOOKUP(TableHandbook[[#This Row],[UDC]],TableSTRHCONMN[],7,FALSE),"")</f>
        <v/>
      </c>
      <c r="N89" s="102" t="str">
        <f>IFERROR(VLOOKUP(TableHandbook[[#This Row],[UDC]],TableSTRUCONMN[],7,FALSE),"")</f>
        <v/>
      </c>
      <c r="O89" s="102" t="str">
        <f>IFERROR(VLOOKUP(TableHandbook[[#This Row],[UDC]],TableSPUCANGAD[],7,FALSE),"")</f>
        <v/>
      </c>
      <c r="P89" s="102" t="str">
        <f>IFERROR(VLOOKUP(TableHandbook[[#This Row],[UDC]],TableSPUCFINCE[],7,FALSE),"")</f>
        <v/>
      </c>
      <c r="Q89" s="102" t="str">
        <f>IFERROR(VLOOKUP(TableHandbook[[#This Row],[UDC]],TableSPUCINARS[],7,FALSE),"")</f>
        <v/>
      </c>
      <c r="R89" s="103" t="str">
        <f>IFERROR(VLOOKUP(TableHandbook[[#This Row],[UDC]],TableSPUCINENT[],7,FALSE),"")</f>
        <v/>
      </c>
      <c r="S89" s="103" t="str">
        <f>IFERROR(VLOOKUP(TableHandbook[[#This Row],[UDC]],TableSPUCPROPT[],7,FALSE),"")</f>
        <v/>
      </c>
      <c r="T89" s="104" t="str">
        <f>IFERROR(VLOOKUP(TableHandbook[[#This Row],[UDC]],TableSPUCURDES[],7,FALSE),"")</f>
        <v/>
      </c>
    </row>
    <row r="90" spans="1:20" x14ac:dyDescent="0.25">
      <c r="A90" s="8" t="s">
        <v>155</v>
      </c>
      <c r="B90" s="63">
        <v>1</v>
      </c>
      <c r="C90" s="8"/>
      <c r="D90" s="8" t="s">
        <v>347</v>
      </c>
      <c r="E90" s="63">
        <v>25</v>
      </c>
      <c r="F90" s="96" t="s">
        <v>239</v>
      </c>
      <c r="G90" s="46" t="str">
        <f>IFERROR(IF(VLOOKUP(TableHandbook[[#This Row],[UDC]],TableAvailabilities[],2,FALSE)&gt;0,"Y",""),"")</f>
        <v>Y</v>
      </c>
      <c r="H90" s="124" t="str">
        <f>IFERROR(IF(VLOOKUP(TableHandbook[[#This Row],[UDC]],TableAvailabilities[],3,FALSE)&gt;0,"Y",""),"")</f>
        <v/>
      </c>
      <c r="I90" s="125" t="str">
        <f>IFERROR(IF(VLOOKUP(TableHandbook[[#This Row],[UDC]],TableAvailabilities[],4,FALSE)&gt;0,"Y",""),"")</f>
        <v/>
      </c>
      <c r="J90" s="47" t="str">
        <f>IFERROR(IF(VLOOKUP(TableHandbook[[#This Row],[UDC]],TableAvailabilities[],5,FALSE)&gt;0,"Y",""),"")</f>
        <v/>
      </c>
      <c r="K90" s="140"/>
      <c r="L90" s="101" t="str">
        <f>IFERROR(VLOOKUP(TableHandbook[[#This Row],[UDC]],TableBCONM[],7,FALSE),"")</f>
        <v/>
      </c>
      <c r="M90" s="102" t="str">
        <f>IFERROR(VLOOKUP(TableHandbook[[#This Row],[UDC]],TableSTRHCONMN[],7,FALSE),"")</f>
        <v/>
      </c>
      <c r="N90" s="102" t="str">
        <f>IFERROR(VLOOKUP(TableHandbook[[#This Row],[UDC]],TableSTRUCONMN[],7,FALSE),"")</f>
        <v/>
      </c>
      <c r="O90" s="102" t="str">
        <f>IFERROR(VLOOKUP(TableHandbook[[#This Row],[UDC]],TableSPUCANGAD[],7,FALSE),"")</f>
        <v/>
      </c>
      <c r="P90" s="102" t="str">
        <f>IFERROR(VLOOKUP(TableHandbook[[#This Row],[UDC]],TableSPUCFINCE[],7,FALSE),"")</f>
        <v/>
      </c>
      <c r="Q90" s="102" t="str">
        <f>IFERROR(VLOOKUP(TableHandbook[[#This Row],[UDC]],TableSPUCINARS[],7,FALSE),"")</f>
        <v/>
      </c>
      <c r="R90" s="103" t="str">
        <f>IFERROR(VLOOKUP(TableHandbook[[#This Row],[UDC]],TableSPUCINENT[],7,FALSE),"")</f>
        <v/>
      </c>
      <c r="S90" s="103" t="str">
        <f>IFERROR(VLOOKUP(TableHandbook[[#This Row],[UDC]],TableSPUCPROPT[],7,FALSE),"")</f>
        <v/>
      </c>
      <c r="T90" s="104" t="str">
        <f>IFERROR(VLOOKUP(TableHandbook[[#This Row],[UDC]],TableSPUCURDES[],7,FALSE),"")</f>
        <v>Core</v>
      </c>
    </row>
    <row r="91" spans="1:20" x14ac:dyDescent="0.25">
      <c r="A91" s="8" t="s">
        <v>162</v>
      </c>
      <c r="B91" s="63">
        <v>1</v>
      </c>
      <c r="C91" s="8"/>
      <c r="D91" s="8" t="s">
        <v>348</v>
      </c>
      <c r="E91" s="63">
        <v>25</v>
      </c>
      <c r="F91" s="96" t="s">
        <v>239</v>
      </c>
      <c r="G91" s="46" t="str">
        <f>IFERROR(IF(VLOOKUP(TableHandbook[[#This Row],[UDC]],TableAvailabilities[],2,FALSE)&gt;0,"Y",""),"")</f>
        <v/>
      </c>
      <c r="H91" s="124" t="str">
        <f>IFERROR(IF(VLOOKUP(TableHandbook[[#This Row],[UDC]],TableAvailabilities[],3,FALSE)&gt;0,"Y",""),"")</f>
        <v/>
      </c>
      <c r="I91" s="125" t="str">
        <f>IFERROR(IF(VLOOKUP(TableHandbook[[#This Row],[UDC]],TableAvailabilities[],4,FALSE)&gt;0,"Y",""),"")</f>
        <v>Y</v>
      </c>
      <c r="J91" s="47" t="str">
        <f>IFERROR(IF(VLOOKUP(TableHandbook[[#This Row],[UDC]],TableAvailabilities[],5,FALSE)&gt;0,"Y",""),"")</f>
        <v/>
      </c>
      <c r="K91" s="140"/>
      <c r="L91" s="101" t="str">
        <f>IFERROR(VLOOKUP(TableHandbook[[#This Row],[UDC]],TableBCONM[],7,FALSE),"")</f>
        <v/>
      </c>
      <c r="M91" s="102" t="str">
        <f>IFERROR(VLOOKUP(TableHandbook[[#This Row],[UDC]],TableSTRHCONMN[],7,FALSE),"")</f>
        <v/>
      </c>
      <c r="N91" s="102" t="str">
        <f>IFERROR(VLOOKUP(TableHandbook[[#This Row],[UDC]],TableSTRUCONMN[],7,FALSE),"")</f>
        <v/>
      </c>
      <c r="O91" s="102" t="str">
        <f>IFERROR(VLOOKUP(TableHandbook[[#This Row],[UDC]],TableSPUCANGAD[],7,FALSE),"")</f>
        <v/>
      </c>
      <c r="P91" s="102" t="str">
        <f>IFERROR(VLOOKUP(TableHandbook[[#This Row],[UDC]],TableSPUCFINCE[],7,FALSE),"")</f>
        <v/>
      </c>
      <c r="Q91" s="102" t="str">
        <f>IFERROR(VLOOKUP(TableHandbook[[#This Row],[UDC]],TableSPUCINARS[],7,FALSE),"")</f>
        <v/>
      </c>
      <c r="R91" s="103" t="str">
        <f>IFERROR(VLOOKUP(TableHandbook[[#This Row],[UDC]],TableSPUCINENT[],7,FALSE),"")</f>
        <v/>
      </c>
      <c r="S91" s="103" t="str">
        <f>IFERROR(VLOOKUP(TableHandbook[[#This Row],[UDC]],TableSPUCPROPT[],7,FALSE),"")</f>
        <v/>
      </c>
      <c r="T91" s="104" t="str">
        <f>IFERROR(VLOOKUP(TableHandbook[[#This Row],[UDC]],TableSPUCURDES[],7,FALSE),"")</f>
        <v>Core</v>
      </c>
    </row>
    <row r="92" spans="1:20" x14ac:dyDescent="0.25">
      <c r="A92" s="8" t="s">
        <v>174</v>
      </c>
      <c r="B92" s="63">
        <v>1</v>
      </c>
      <c r="C92" s="8"/>
      <c r="D92" s="8" t="s">
        <v>349</v>
      </c>
      <c r="E92" s="63">
        <v>25</v>
      </c>
      <c r="F92" s="96" t="s">
        <v>155</v>
      </c>
      <c r="G92" s="46" t="str">
        <f>IFERROR(IF(VLOOKUP(TableHandbook[[#This Row],[UDC]],TableAvailabilities[],2,FALSE)&gt;0,"Y",""),"")</f>
        <v/>
      </c>
      <c r="H92" s="124" t="str">
        <f>IFERROR(IF(VLOOKUP(TableHandbook[[#This Row],[UDC]],TableAvailabilities[],3,FALSE)&gt;0,"Y",""),"")</f>
        <v/>
      </c>
      <c r="I92" s="125" t="str">
        <f>IFERROR(IF(VLOOKUP(TableHandbook[[#This Row],[UDC]],TableAvailabilities[],4,FALSE)&gt;0,"Y",""),"")</f>
        <v>Y</v>
      </c>
      <c r="J92" s="47" t="str">
        <f>IFERROR(IF(VLOOKUP(TableHandbook[[#This Row],[UDC]],TableAvailabilities[],5,FALSE)&gt;0,"Y",""),"")</f>
        <v/>
      </c>
      <c r="K92" s="140"/>
      <c r="L92" s="101" t="str">
        <f>IFERROR(VLOOKUP(TableHandbook[[#This Row],[UDC]],TableBCONM[],7,FALSE),"")</f>
        <v/>
      </c>
      <c r="M92" s="102" t="str">
        <f>IFERROR(VLOOKUP(TableHandbook[[#This Row],[UDC]],TableSTRHCONMN[],7,FALSE),"")</f>
        <v/>
      </c>
      <c r="N92" s="102" t="str">
        <f>IFERROR(VLOOKUP(TableHandbook[[#This Row],[UDC]],TableSTRUCONMN[],7,FALSE),"")</f>
        <v/>
      </c>
      <c r="O92" s="102" t="str">
        <f>IFERROR(VLOOKUP(TableHandbook[[#This Row],[UDC]],TableSPUCANGAD[],7,FALSE),"")</f>
        <v/>
      </c>
      <c r="P92" s="102" t="str">
        <f>IFERROR(VLOOKUP(TableHandbook[[#This Row],[UDC]],TableSPUCFINCE[],7,FALSE),"")</f>
        <v/>
      </c>
      <c r="Q92" s="102" t="str">
        <f>IFERROR(VLOOKUP(TableHandbook[[#This Row],[UDC]],TableSPUCINARS[],7,FALSE),"")</f>
        <v/>
      </c>
      <c r="R92" s="103" t="str">
        <f>IFERROR(VLOOKUP(TableHandbook[[#This Row],[UDC]],TableSPUCINENT[],7,FALSE),"")</f>
        <v/>
      </c>
      <c r="S92" s="103" t="str">
        <f>IFERROR(VLOOKUP(TableHandbook[[#This Row],[UDC]],TableSPUCPROPT[],7,FALSE),"")</f>
        <v/>
      </c>
      <c r="T92" s="104" t="str">
        <f>IFERROR(VLOOKUP(TableHandbook[[#This Row],[UDC]],TableSPUCURDES[],7,FALSE),"")</f>
        <v>Core</v>
      </c>
    </row>
    <row r="93" spans="1:20" x14ac:dyDescent="0.25">
      <c r="A93" s="8" t="s">
        <v>168</v>
      </c>
      <c r="B93" s="63">
        <v>1</v>
      </c>
      <c r="C93" s="8"/>
      <c r="D93" s="8" t="s">
        <v>350</v>
      </c>
      <c r="E93" s="63">
        <v>25</v>
      </c>
      <c r="F93" s="96" t="s">
        <v>239</v>
      </c>
      <c r="G93" s="46" t="str">
        <f>IFERROR(IF(VLOOKUP(TableHandbook[[#This Row],[UDC]],TableAvailabilities[],2,FALSE)&gt;0,"Y",""),"")</f>
        <v>Y</v>
      </c>
      <c r="H93" s="124" t="str">
        <f>IFERROR(IF(VLOOKUP(TableHandbook[[#This Row],[UDC]],TableAvailabilities[],3,FALSE)&gt;0,"Y",""),"")</f>
        <v/>
      </c>
      <c r="I93" s="125" t="str">
        <f>IFERROR(IF(VLOOKUP(TableHandbook[[#This Row],[UDC]],TableAvailabilities[],4,FALSE)&gt;0,"Y",""),"")</f>
        <v/>
      </c>
      <c r="J93" s="47" t="str">
        <f>IFERROR(IF(VLOOKUP(TableHandbook[[#This Row],[UDC]],TableAvailabilities[],5,FALSE)&gt;0,"Y",""),"")</f>
        <v/>
      </c>
      <c r="K93" s="140"/>
      <c r="L93" s="101" t="str">
        <f>IFERROR(VLOOKUP(TableHandbook[[#This Row],[UDC]],TableBCONM[],7,FALSE),"")</f>
        <v/>
      </c>
      <c r="M93" s="102" t="str">
        <f>IFERROR(VLOOKUP(TableHandbook[[#This Row],[UDC]],TableSTRHCONMN[],7,FALSE),"")</f>
        <v/>
      </c>
      <c r="N93" s="102" t="str">
        <f>IFERROR(VLOOKUP(TableHandbook[[#This Row],[UDC]],TableSTRUCONMN[],7,FALSE),"")</f>
        <v/>
      </c>
      <c r="O93" s="102" t="str">
        <f>IFERROR(VLOOKUP(TableHandbook[[#This Row],[UDC]],TableSPUCANGAD[],7,FALSE),"")</f>
        <v/>
      </c>
      <c r="P93" s="102" t="str">
        <f>IFERROR(VLOOKUP(TableHandbook[[#This Row],[UDC]],TableSPUCFINCE[],7,FALSE),"")</f>
        <v/>
      </c>
      <c r="Q93" s="102" t="str">
        <f>IFERROR(VLOOKUP(TableHandbook[[#This Row],[UDC]],TableSPUCINARS[],7,FALSE),"")</f>
        <v/>
      </c>
      <c r="R93" s="103" t="str">
        <f>IFERROR(VLOOKUP(TableHandbook[[#This Row],[UDC]],TableSPUCINENT[],7,FALSE),"")</f>
        <v/>
      </c>
      <c r="S93" s="103" t="str">
        <f>IFERROR(VLOOKUP(TableHandbook[[#This Row],[UDC]],TableSPUCPROPT[],7,FALSE),"")</f>
        <v/>
      </c>
      <c r="T93" s="104" t="str">
        <f>IFERROR(VLOOKUP(TableHandbook[[#This Row],[UDC]],TableSPUCURDES[],7,FALSE),"")</f>
        <v>Core</v>
      </c>
    </row>
    <row r="94" spans="1:20" x14ac:dyDescent="0.25">
      <c r="A94" s="8" t="s">
        <v>204</v>
      </c>
      <c r="B94" s="63">
        <v>1</v>
      </c>
      <c r="C94" s="8"/>
      <c r="D94" s="8" t="s">
        <v>351</v>
      </c>
      <c r="E94" s="63">
        <v>25</v>
      </c>
      <c r="F94" s="96" t="s">
        <v>241</v>
      </c>
      <c r="G94" s="46" t="str">
        <f>IFERROR(IF(VLOOKUP(TableHandbook[[#This Row],[UDC]],TableAvailabilities[],2,FALSE)&gt;0,"Y",""),"")</f>
        <v>Y</v>
      </c>
      <c r="H94" s="124" t="str">
        <f>IFERROR(IF(VLOOKUP(TableHandbook[[#This Row],[UDC]],TableAvailabilities[],3,FALSE)&gt;0,"Y",""),"")</f>
        <v/>
      </c>
      <c r="I94" s="125" t="str">
        <f>IFERROR(IF(VLOOKUP(TableHandbook[[#This Row],[UDC]],TableAvailabilities[],4,FALSE)&gt;0,"Y",""),"")</f>
        <v/>
      </c>
      <c r="J94" s="47" t="str">
        <f>IFERROR(IF(VLOOKUP(TableHandbook[[#This Row],[UDC]],TableAvailabilities[],5,FALSE)&gt;0,"Y",""),"")</f>
        <v/>
      </c>
      <c r="K94" s="140" t="s">
        <v>242</v>
      </c>
      <c r="L94" s="101" t="str">
        <f>IFERROR(VLOOKUP(TableHandbook[[#This Row],[UDC]],TableBCONM[],7,FALSE),"")</f>
        <v/>
      </c>
      <c r="M94" s="102" t="str">
        <f>IFERROR(VLOOKUP(TableHandbook[[#This Row],[UDC]],TableSTRHCONMN[],7,FALSE),"")</f>
        <v/>
      </c>
      <c r="N94" s="102" t="str">
        <f>IFERROR(VLOOKUP(TableHandbook[[#This Row],[UDC]],TableSTRUCONMN[],7,FALSE),"")</f>
        <v/>
      </c>
      <c r="O94" s="102" t="str">
        <f>IFERROR(VLOOKUP(TableHandbook[[#This Row],[UDC]],TableSPUCANGAD[],7,FALSE),"")</f>
        <v/>
      </c>
      <c r="P94" s="102" t="str">
        <f>IFERROR(VLOOKUP(TableHandbook[[#This Row],[UDC]],TableSPUCFINCE[],7,FALSE),"")</f>
        <v/>
      </c>
      <c r="Q94" s="102" t="str">
        <f>IFERROR(VLOOKUP(TableHandbook[[#This Row],[UDC]],TableSPUCINARS[],7,FALSE),"")</f>
        <v>Option</v>
      </c>
      <c r="R94" s="103" t="str">
        <f>IFERROR(VLOOKUP(TableHandbook[[#This Row],[UDC]],TableSPUCINENT[],7,FALSE),"")</f>
        <v/>
      </c>
      <c r="S94" s="103" t="str">
        <f>IFERROR(VLOOKUP(TableHandbook[[#This Row],[UDC]],TableSPUCPROPT[],7,FALSE),"")</f>
        <v/>
      </c>
      <c r="T94" s="104" t="str">
        <f>IFERROR(VLOOKUP(TableHandbook[[#This Row],[UDC]],TableSPUCURDES[],7,FALSE),"")</f>
        <v/>
      </c>
    </row>
    <row r="95" spans="1:20" x14ac:dyDescent="0.25">
      <c r="A95" s="8" t="s">
        <v>123</v>
      </c>
      <c r="B95" s="63">
        <v>2</v>
      </c>
      <c r="C95" s="8"/>
      <c r="D95" s="8" t="s">
        <v>352</v>
      </c>
      <c r="E95" s="63">
        <v>25</v>
      </c>
      <c r="F95" s="96" t="s">
        <v>239</v>
      </c>
      <c r="G95" s="46" t="str">
        <f>IFERROR(IF(VLOOKUP(TableHandbook[[#This Row],[UDC]],TableAvailabilities[],2,FALSE)&gt;0,"Y",""),"")</f>
        <v>Y</v>
      </c>
      <c r="H95" s="124" t="str">
        <f>IFERROR(IF(VLOOKUP(TableHandbook[[#This Row],[UDC]],TableAvailabilities[],3,FALSE)&gt;0,"Y",""),"")</f>
        <v/>
      </c>
      <c r="I95" s="125" t="str">
        <f>IFERROR(IF(VLOOKUP(TableHandbook[[#This Row],[UDC]],TableAvailabilities[],4,FALSE)&gt;0,"Y",""),"")</f>
        <v>Y</v>
      </c>
      <c r="J95" s="47" t="str">
        <f>IFERROR(IF(VLOOKUP(TableHandbook[[#This Row],[UDC]],TableAvailabilities[],5,FALSE)&gt;0,"Y",""),"")</f>
        <v/>
      </c>
      <c r="K95" s="140"/>
      <c r="L95" s="101" t="str">
        <f>IFERROR(VLOOKUP(TableHandbook[[#This Row],[UDC]],TableBCONM[],7,FALSE),"")</f>
        <v>Core</v>
      </c>
      <c r="M95" s="102" t="str">
        <f>IFERROR(VLOOKUP(TableHandbook[[#This Row],[UDC]],TableSTRHCONMN[],7,FALSE),"")</f>
        <v/>
      </c>
      <c r="N95" s="102" t="str">
        <f>IFERROR(VLOOKUP(TableHandbook[[#This Row],[UDC]],TableSTRUCONMN[],7,FALSE),"")</f>
        <v/>
      </c>
      <c r="O95" s="102" t="str">
        <f>IFERROR(VLOOKUP(TableHandbook[[#This Row],[UDC]],TableSPUCANGAD[],7,FALSE),"")</f>
        <v/>
      </c>
      <c r="P95" s="102" t="str">
        <f>IFERROR(VLOOKUP(TableHandbook[[#This Row],[UDC]],TableSPUCFINCE[],7,FALSE),"")</f>
        <v/>
      </c>
      <c r="Q95" s="102" t="str">
        <f>IFERROR(VLOOKUP(TableHandbook[[#This Row],[UDC]],TableSPUCINARS[],7,FALSE),"")</f>
        <v/>
      </c>
      <c r="R95" s="103" t="str">
        <f>IFERROR(VLOOKUP(TableHandbook[[#This Row],[UDC]],TableSPUCINENT[],7,FALSE),"")</f>
        <v/>
      </c>
      <c r="S95" s="103" t="str">
        <f>IFERROR(VLOOKUP(TableHandbook[[#This Row],[UDC]],TableSPUCPROPT[],7,FALSE),"")</f>
        <v/>
      </c>
      <c r="T95" s="104" t="str">
        <f>IFERROR(VLOOKUP(TableHandbook[[#This Row],[UDC]],TableSPUCURDES[],7,FALSE),"")</f>
        <v/>
      </c>
    </row>
    <row r="96" spans="1:20" x14ac:dyDescent="0.25">
      <c r="A96" s="8" t="s">
        <v>206</v>
      </c>
      <c r="B96" s="63">
        <v>1</v>
      </c>
      <c r="C96" s="8"/>
      <c r="D96" s="8" t="s">
        <v>353</v>
      </c>
      <c r="E96" s="63">
        <v>25</v>
      </c>
      <c r="F96" s="96" t="s">
        <v>241</v>
      </c>
      <c r="G96" s="46" t="str">
        <f>IFERROR(IF(VLOOKUP(TableHandbook[[#This Row],[UDC]],TableAvailabilities[],2,FALSE)&gt;0,"Y",""),"")</f>
        <v/>
      </c>
      <c r="H96" s="124" t="str">
        <f>IFERROR(IF(VLOOKUP(TableHandbook[[#This Row],[UDC]],TableAvailabilities[],3,FALSE)&gt;0,"Y",""),"")</f>
        <v/>
      </c>
      <c r="I96" s="125" t="str">
        <f>IFERROR(IF(VLOOKUP(TableHandbook[[#This Row],[UDC]],TableAvailabilities[],4,FALSE)&gt;0,"Y",""),"")</f>
        <v>Y</v>
      </c>
      <c r="J96" s="47" t="str">
        <f>IFERROR(IF(VLOOKUP(TableHandbook[[#This Row],[UDC]],TableAvailabilities[],5,FALSE)&gt;0,"Y",""),"")</f>
        <v/>
      </c>
      <c r="K96" s="140" t="s">
        <v>242</v>
      </c>
      <c r="L96" s="101" t="str">
        <f>IFERROR(VLOOKUP(TableHandbook[[#This Row],[UDC]],TableBCONM[],7,FALSE),"")</f>
        <v/>
      </c>
      <c r="M96" s="102" t="str">
        <f>IFERROR(VLOOKUP(TableHandbook[[#This Row],[UDC]],TableSTRHCONMN[],7,FALSE),"")</f>
        <v/>
      </c>
      <c r="N96" s="102" t="str">
        <f>IFERROR(VLOOKUP(TableHandbook[[#This Row],[UDC]],TableSTRUCONMN[],7,FALSE),"")</f>
        <v/>
      </c>
      <c r="O96" s="102" t="str">
        <f>IFERROR(VLOOKUP(TableHandbook[[#This Row],[UDC]],TableSPUCANGAD[],7,FALSE),"")</f>
        <v/>
      </c>
      <c r="P96" s="102" t="str">
        <f>IFERROR(VLOOKUP(TableHandbook[[#This Row],[UDC]],TableSPUCFINCE[],7,FALSE),"")</f>
        <v/>
      </c>
      <c r="Q96" s="102" t="str">
        <f>IFERROR(VLOOKUP(TableHandbook[[#This Row],[UDC]],TableSPUCINARS[],7,FALSE),"")</f>
        <v>Option</v>
      </c>
      <c r="R96" s="103" t="str">
        <f>IFERROR(VLOOKUP(TableHandbook[[#This Row],[UDC]],TableSPUCINENT[],7,FALSE),"")</f>
        <v/>
      </c>
      <c r="S96" s="103" t="str">
        <f>IFERROR(VLOOKUP(TableHandbook[[#This Row],[UDC]],TableSPUCPROPT[],7,FALSE),"")</f>
        <v/>
      </c>
      <c r="T96" s="104" t="str">
        <f>IFERROR(VLOOKUP(TableHandbook[[#This Row],[UDC]],TableSPUCURDES[],7,FALSE),"")</f>
        <v/>
      </c>
    </row>
    <row r="97" spans="1:20" x14ac:dyDescent="0.25">
      <c r="A97" s="8" t="s">
        <v>208</v>
      </c>
      <c r="B97" s="63">
        <v>1</v>
      </c>
      <c r="C97" s="8"/>
      <c r="D97" s="8" t="s">
        <v>354</v>
      </c>
      <c r="E97" s="63">
        <v>25</v>
      </c>
      <c r="F97" s="96" t="s">
        <v>241</v>
      </c>
      <c r="G97" s="46" t="str">
        <f>IFERROR(IF(VLOOKUP(TableHandbook[[#This Row],[UDC]],TableAvailabilities[],2,FALSE)&gt;0,"Y",""),"")</f>
        <v>Y</v>
      </c>
      <c r="H97" s="124" t="str">
        <f>IFERROR(IF(VLOOKUP(TableHandbook[[#This Row],[UDC]],TableAvailabilities[],3,FALSE)&gt;0,"Y",""),"")</f>
        <v>Y</v>
      </c>
      <c r="I97" s="125" t="str">
        <f>IFERROR(IF(VLOOKUP(TableHandbook[[#This Row],[UDC]],TableAvailabilities[],4,FALSE)&gt;0,"Y",""),"")</f>
        <v>Y</v>
      </c>
      <c r="J97" s="47" t="str">
        <f>IFERROR(IF(VLOOKUP(TableHandbook[[#This Row],[UDC]],TableAvailabilities[],5,FALSE)&gt;0,"Y",""),"")</f>
        <v>Y</v>
      </c>
      <c r="K97" s="140" t="s">
        <v>242</v>
      </c>
      <c r="L97" s="101" t="str">
        <f>IFERROR(VLOOKUP(TableHandbook[[#This Row],[UDC]],TableBCONM[],7,FALSE),"")</f>
        <v/>
      </c>
      <c r="M97" s="102" t="str">
        <f>IFERROR(VLOOKUP(TableHandbook[[#This Row],[UDC]],TableSTRHCONMN[],7,FALSE),"")</f>
        <v/>
      </c>
      <c r="N97" s="102" t="str">
        <f>IFERROR(VLOOKUP(TableHandbook[[#This Row],[UDC]],TableSTRUCONMN[],7,FALSE),"")</f>
        <v/>
      </c>
      <c r="O97" s="102" t="str">
        <f>IFERROR(VLOOKUP(TableHandbook[[#This Row],[UDC]],TableSPUCANGAD[],7,FALSE),"")</f>
        <v/>
      </c>
      <c r="P97" s="102" t="str">
        <f>IFERROR(VLOOKUP(TableHandbook[[#This Row],[UDC]],TableSPUCFINCE[],7,FALSE),"")</f>
        <v/>
      </c>
      <c r="Q97" s="102" t="str">
        <f>IFERROR(VLOOKUP(TableHandbook[[#This Row],[UDC]],TableSPUCINARS[],7,FALSE),"")</f>
        <v>Option</v>
      </c>
      <c r="R97" s="103" t="str">
        <f>IFERROR(VLOOKUP(TableHandbook[[#This Row],[UDC]],TableSPUCINENT[],7,FALSE),"")</f>
        <v/>
      </c>
      <c r="S97" s="103" t="str">
        <f>IFERROR(VLOOKUP(TableHandbook[[#This Row],[UDC]],TableSPUCPROPT[],7,FALSE),"")</f>
        <v/>
      </c>
      <c r="T97" s="104" t="str">
        <f>IFERROR(VLOOKUP(TableHandbook[[#This Row],[UDC]],TableSPUCURDES[],7,FALSE),"")</f>
        <v/>
      </c>
    </row>
    <row r="98" spans="1:20" x14ac:dyDescent="0.25">
      <c r="A98" s="8" t="s">
        <v>210</v>
      </c>
      <c r="B98" s="63">
        <v>1</v>
      </c>
      <c r="C98" s="8"/>
      <c r="D98" s="8" t="s">
        <v>355</v>
      </c>
      <c r="E98" s="63">
        <v>25</v>
      </c>
      <c r="F98" s="96" t="s">
        <v>241</v>
      </c>
      <c r="G98" s="46" t="str">
        <f>IFERROR(IF(VLOOKUP(TableHandbook[[#This Row],[UDC]],TableAvailabilities[],2,FALSE)&gt;0,"Y",""),"")</f>
        <v>Y</v>
      </c>
      <c r="H98" s="124" t="str">
        <f>IFERROR(IF(VLOOKUP(TableHandbook[[#This Row],[UDC]],TableAvailabilities[],3,FALSE)&gt;0,"Y",""),"")</f>
        <v/>
      </c>
      <c r="I98" s="125" t="str">
        <f>IFERROR(IF(VLOOKUP(TableHandbook[[#This Row],[UDC]],TableAvailabilities[],4,FALSE)&gt;0,"Y",""),"")</f>
        <v>Y</v>
      </c>
      <c r="J98" s="47" t="str">
        <f>IFERROR(IF(VLOOKUP(TableHandbook[[#This Row],[UDC]],TableAvailabilities[],5,FALSE)&gt;0,"Y",""),"")</f>
        <v/>
      </c>
      <c r="K98" s="140" t="s">
        <v>242</v>
      </c>
      <c r="L98" s="101" t="str">
        <f>IFERROR(VLOOKUP(TableHandbook[[#This Row],[UDC]],TableBCONM[],7,FALSE),"")</f>
        <v/>
      </c>
      <c r="M98" s="102" t="str">
        <f>IFERROR(VLOOKUP(TableHandbook[[#This Row],[UDC]],TableSTRHCONMN[],7,FALSE),"")</f>
        <v/>
      </c>
      <c r="N98" s="102" t="str">
        <f>IFERROR(VLOOKUP(TableHandbook[[#This Row],[UDC]],TableSTRUCONMN[],7,FALSE),"")</f>
        <v/>
      </c>
      <c r="O98" s="102" t="str">
        <f>IFERROR(VLOOKUP(TableHandbook[[#This Row],[UDC]],TableSPUCANGAD[],7,FALSE),"")</f>
        <v/>
      </c>
      <c r="P98" s="102" t="str">
        <f>IFERROR(VLOOKUP(TableHandbook[[#This Row],[UDC]],TableSPUCFINCE[],7,FALSE),"")</f>
        <v/>
      </c>
      <c r="Q98" s="102" t="str">
        <f>IFERROR(VLOOKUP(TableHandbook[[#This Row],[UDC]],TableSPUCINARS[],7,FALSE),"")</f>
        <v>Option</v>
      </c>
      <c r="R98" s="103" t="str">
        <f>IFERROR(VLOOKUP(TableHandbook[[#This Row],[UDC]],TableSPUCINENT[],7,FALSE),"")</f>
        <v/>
      </c>
      <c r="S98" s="103" t="str">
        <f>IFERROR(VLOOKUP(TableHandbook[[#This Row],[UDC]],TableSPUCPROPT[],7,FALSE),"")</f>
        <v/>
      </c>
      <c r="T98" s="104" t="str">
        <f>IFERROR(VLOOKUP(TableHandbook[[#This Row],[UDC]],TableSPUCURDES[],7,FALSE),"")</f>
        <v/>
      </c>
    </row>
    <row r="99" spans="1:20" x14ac:dyDescent="0.25">
      <c r="A99" s="8" t="s">
        <v>212</v>
      </c>
      <c r="B99" s="63">
        <v>1</v>
      </c>
      <c r="C99" s="8"/>
      <c r="D99" s="8" t="s">
        <v>356</v>
      </c>
      <c r="E99" s="63">
        <v>25</v>
      </c>
      <c r="F99" s="96" t="s">
        <v>241</v>
      </c>
      <c r="G99" s="46" t="str">
        <f>IFERROR(IF(VLOOKUP(TableHandbook[[#This Row],[UDC]],TableAvailabilities[],2,FALSE)&gt;0,"Y",""),"")</f>
        <v/>
      </c>
      <c r="H99" s="124" t="str">
        <f>IFERROR(IF(VLOOKUP(TableHandbook[[#This Row],[UDC]],TableAvailabilities[],3,FALSE)&gt;0,"Y",""),"")</f>
        <v/>
      </c>
      <c r="I99" s="125" t="str">
        <f>IFERROR(IF(VLOOKUP(TableHandbook[[#This Row],[UDC]],TableAvailabilities[],4,FALSE)&gt;0,"Y",""),"")</f>
        <v/>
      </c>
      <c r="J99" s="47" t="str">
        <f>IFERROR(IF(VLOOKUP(TableHandbook[[#This Row],[UDC]],TableAvailabilities[],5,FALSE)&gt;0,"Y",""),"")</f>
        <v/>
      </c>
      <c r="K99" s="140" t="s">
        <v>242</v>
      </c>
      <c r="L99" s="101" t="str">
        <f>IFERROR(VLOOKUP(TableHandbook[[#This Row],[UDC]],TableBCONM[],7,FALSE),"")</f>
        <v/>
      </c>
      <c r="M99" s="102" t="str">
        <f>IFERROR(VLOOKUP(TableHandbook[[#This Row],[UDC]],TableSTRHCONMN[],7,FALSE),"")</f>
        <v/>
      </c>
      <c r="N99" s="102" t="str">
        <f>IFERROR(VLOOKUP(TableHandbook[[#This Row],[UDC]],TableSTRUCONMN[],7,FALSE),"")</f>
        <v/>
      </c>
      <c r="O99" s="102" t="str">
        <f>IFERROR(VLOOKUP(TableHandbook[[#This Row],[UDC]],TableSPUCANGAD[],7,FALSE),"")</f>
        <v/>
      </c>
      <c r="P99" s="102" t="str">
        <f>IFERROR(VLOOKUP(TableHandbook[[#This Row],[UDC]],TableSPUCFINCE[],7,FALSE),"")</f>
        <v/>
      </c>
      <c r="Q99" s="102" t="str">
        <f>IFERROR(VLOOKUP(TableHandbook[[#This Row],[UDC]],TableSPUCINARS[],7,FALSE),"")</f>
        <v>Option</v>
      </c>
      <c r="R99" s="103" t="str">
        <f>IFERROR(VLOOKUP(TableHandbook[[#This Row],[UDC]],TableSPUCINENT[],7,FALSE),"")</f>
        <v/>
      </c>
      <c r="S99" s="103" t="str">
        <f>IFERROR(VLOOKUP(TableHandbook[[#This Row],[UDC]],TableSPUCPROPT[],7,FALSE),"")</f>
        <v/>
      </c>
      <c r="T99" s="104" t="str">
        <f>IFERROR(VLOOKUP(TableHandbook[[#This Row],[UDC]],TableSPUCURDES[],7,FALSE),"")</f>
        <v/>
      </c>
    </row>
    <row r="100" spans="1:20" x14ac:dyDescent="0.25">
      <c r="A100" s="8" t="s">
        <v>186</v>
      </c>
      <c r="B100" s="63">
        <v>2</v>
      </c>
      <c r="C100" s="8"/>
      <c r="D100" s="8" t="s">
        <v>357</v>
      </c>
      <c r="E100" s="63">
        <v>25</v>
      </c>
      <c r="F100" s="96" t="s">
        <v>241</v>
      </c>
      <c r="G100" s="46" t="str">
        <f>IFERROR(IF(VLOOKUP(TableHandbook[[#This Row],[UDC]],TableAvailabilities[],2,FALSE)&gt;0,"Y",""),"")</f>
        <v>Y</v>
      </c>
      <c r="H100" s="124" t="str">
        <f>IFERROR(IF(VLOOKUP(TableHandbook[[#This Row],[UDC]],TableAvailabilities[],3,FALSE)&gt;0,"Y",""),"")</f>
        <v/>
      </c>
      <c r="I100" s="125" t="str">
        <f>IFERROR(IF(VLOOKUP(TableHandbook[[#This Row],[UDC]],TableAvailabilities[],4,FALSE)&gt;0,"Y",""),"")</f>
        <v/>
      </c>
      <c r="J100" s="47" t="str">
        <f>IFERROR(IF(VLOOKUP(TableHandbook[[#This Row],[UDC]],TableAvailabilities[],5,FALSE)&gt;0,"Y",""),"")</f>
        <v/>
      </c>
      <c r="K100" s="140" t="s">
        <v>242</v>
      </c>
      <c r="L100" s="101" t="str">
        <f>IFERROR(VLOOKUP(TableHandbook[[#This Row],[UDC]],TableBCONM[],7,FALSE),"")</f>
        <v/>
      </c>
      <c r="M100" s="102" t="str">
        <f>IFERROR(VLOOKUP(TableHandbook[[#This Row],[UDC]],TableSTRHCONMN[],7,FALSE),"")</f>
        <v/>
      </c>
      <c r="N100" s="102" t="str">
        <f>IFERROR(VLOOKUP(TableHandbook[[#This Row],[UDC]],TableSTRUCONMN[],7,FALSE),"")</f>
        <v/>
      </c>
      <c r="O100" s="102" t="str">
        <f>IFERROR(VLOOKUP(TableHandbook[[#This Row],[UDC]],TableSPUCANGAD[],7,FALSE),"")</f>
        <v>AltCore</v>
      </c>
      <c r="P100" s="102" t="str">
        <f>IFERROR(VLOOKUP(TableHandbook[[#This Row],[UDC]],TableSPUCFINCE[],7,FALSE),"")</f>
        <v/>
      </c>
      <c r="Q100" s="102" t="str">
        <f>IFERROR(VLOOKUP(TableHandbook[[#This Row],[UDC]],TableSPUCINARS[],7,FALSE),"")</f>
        <v>Option</v>
      </c>
      <c r="R100" s="103" t="str">
        <f>IFERROR(VLOOKUP(TableHandbook[[#This Row],[UDC]],TableSPUCINENT[],7,FALSE),"")</f>
        <v/>
      </c>
      <c r="S100" s="103" t="str">
        <f>IFERROR(VLOOKUP(TableHandbook[[#This Row],[UDC]],TableSPUCPROPT[],7,FALSE),"")</f>
        <v/>
      </c>
      <c r="T100" s="104" t="str">
        <f>IFERROR(VLOOKUP(TableHandbook[[#This Row],[UDC]],TableSPUCURDES[],7,FALSE),"")</f>
        <v/>
      </c>
    </row>
    <row r="101" spans="1:20" x14ac:dyDescent="0.25">
      <c r="A101" s="8" t="s">
        <v>215</v>
      </c>
      <c r="B101" s="63">
        <v>1</v>
      </c>
      <c r="C101" s="8"/>
      <c r="D101" s="8" t="s">
        <v>358</v>
      </c>
      <c r="E101" s="63">
        <v>25</v>
      </c>
      <c r="F101" s="96" t="s">
        <v>241</v>
      </c>
      <c r="G101" s="46" t="str">
        <f>IFERROR(IF(VLOOKUP(TableHandbook[[#This Row],[UDC]],TableAvailabilities[],2,FALSE)&gt;0,"Y",""),"")</f>
        <v>Y</v>
      </c>
      <c r="H101" s="124" t="str">
        <f>IFERROR(IF(VLOOKUP(TableHandbook[[#This Row],[UDC]],TableAvailabilities[],3,FALSE)&gt;0,"Y",""),"")</f>
        <v/>
      </c>
      <c r="I101" s="125" t="str">
        <f>IFERROR(IF(VLOOKUP(TableHandbook[[#This Row],[UDC]],TableAvailabilities[],4,FALSE)&gt;0,"Y",""),"")</f>
        <v>Y</v>
      </c>
      <c r="J101" s="47" t="str">
        <f>IFERROR(IF(VLOOKUP(TableHandbook[[#This Row],[UDC]],TableAvailabilities[],5,FALSE)&gt;0,"Y",""),"")</f>
        <v/>
      </c>
      <c r="K101" s="140" t="s">
        <v>242</v>
      </c>
      <c r="L101" s="101" t="str">
        <f>IFERROR(VLOOKUP(TableHandbook[[#This Row],[UDC]],TableBCONM[],7,FALSE),"")</f>
        <v/>
      </c>
      <c r="M101" s="102" t="str">
        <f>IFERROR(VLOOKUP(TableHandbook[[#This Row],[UDC]],TableSTRHCONMN[],7,FALSE),"")</f>
        <v/>
      </c>
      <c r="N101" s="102" t="str">
        <f>IFERROR(VLOOKUP(TableHandbook[[#This Row],[UDC]],TableSTRUCONMN[],7,FALSE),"")</f>
        <v/>
      </c>
      <c r="O101" s="102" t="str">
        <f>IFERROR(VLOOKUP(TableHandbook[[#This Row],[UDC]],TableSPUCANGAD[],7,FALSE),"")</f>
        <v/>
      </c>
      <c r="P101" s="102" t="str">
        <f>IFERROR(VLOOKUP(TableHandbook[[#This Row],[UDC]],TableSPUCFINCE[],7,FALSE),"")</f>
        <v/>
      </c>
      <c r="Q101" s="102" t="str">
        <f>IFERROR(VLOOKUP(TableHandbook[[#This Row],[UDC]],TableSPUCINARS[],7,FALSE),"")</f>
        <v>Option</v>
      </c>
      <c r="R101" s="103" t="str">
        <f>IFERROR(VLOOKUP(TableHandbook[[#This Row],[UDC]],TableSPUCINENT[],7,FALSE),"")</f>
        <v/>
      </c>
      <c r="S101" s="103" t="str">
        <f>IFERROR(VLOOKUP(TableHandbook[[#This Row],[UDC]],TableSPUCPROPT[],7,FALSE),"")</f>
        <v/>
      </c>
      <c r="T101" s="104" t="str">
        <f>IFERROR(VLOOKUP(TableHandbook[[#This Row],[UDC]],TableSPUCURDES[],7,FALSE),"")</f>
        <v/>
      </c>
    </row>
    <row r="102" spans="1:20" x14ac:dyDescent="0.25">
      <c r="A102" s="8" t="s">
        <v>217</v>
      </c>
      <c r="B102" s="63">
        <v>1</v>
      </c>
      <c r="C102" s="8"/>
      <c r="D102" s="8" t="s">
        <v>359</v>
      </c>
      <c r="E102" s="63">
        <v>25</v>
      </c>
      <c r="F102" s="96" t="s">
        <v>241</v>
      </c>
      <c r="G102" s="46" t="str">
        <f>IFERROR(IF(VLOOKUP(TableHandbook[[#This Row],[UDC]],TableAvailabilities[],2,FALSE)&gt;0,"Y",""),"")</f>
        <v/>
      </c>
      <c r="H102" s="124" t="str">
        <f>IFERROR(IF(VLOOKUP(TableHandbook[[#This Row],[UDC]],TableAvailabilities[],3,FALSE)&gt;0,"Y",""),"")</f>
        <v/>
      </c>
      <c r="I102" s="125" t="str">
        <f>IFERROR(IF(VLOOKUP(TableHandbook[[#This Row],[UDC]],TableAvailabilities[],4,FALSE)&gt;0,"Y",""),"")</f>
        <v/>
      </c>
      <c r="J102" s="47" t="str">
        <f>IFERROR(IF(VLOOKUP(TableHandbook[[#This Row],[UDC]],TableAvailabilities[],5,FALSE)&gt;0,"Y",""),"")</f>
        <v/>
      </c>
      <c r="K102" s="140" t="s">
        <v>242</v>
      </c>
      <c r="L102" s="101" t="str">
        <f>IFERROR(VLOOKUP(TableHandbook[[#This Row],[UDC]],TableBCONM[],7,FALSE),"")</f>
        <v/>
      </c>
      <c r="M102" s="102" t="str">
        <f>IFERROR(VLOOKUP(TableHandbook[[#This Row],[UDC]],TableSTRHCONMN[],7,FALSE),"")</f>
        <v/>
      </c>
      <c r="N102" s="102" t="str">
        <f>IFERROR(VLOOKUP(TableHandbook[[#This Row],[UDC]],TableSTRUCONMN[],7,FALSE),"")</f>
        <v/>
      </c>
      <c r="O102" s="102" t="str">
        <f>IFERROR(VLOOKUP(TableHandbook[[#This Row],[UDC]],TableSPUCANGAD[],7,FALSE),"")</f>
        <v/>
      </c>
      <c r="P102" s="102" t="str">
        <f>IFERROR(VLOOKUP(TableHandbook[[#This Row],[UDC]],TableSPUCFINCE[],7,FALSE),"")</f>
        <v/>
      </c>
      <c r="Q102" s="102" t="str">
        <f>IFERROR(VLOOKUP(TableHandbook[[#This Row],[UDC]],TableSPUCINARS[],7,FALSE),"")</f>
        <v>Option</v>
      </c>
      <c r="R102" s="103" t="str">
        <f>IFERROR(VLOOKUP(TableHandbook[[#This Row],[UDC]],TableSPUCINENT[],7,FALSE),"")</f>
        <v/>
      </c>
      <c r="S102" s="103" t="str">
        <f>IFERROR(VLOOKUP(TableHandbook[[#This Row],[UDC]],TableSPUCPROPT[],7,FALSE),"")</f>
        <v/>
      </c>
      <c r="T102" s="104" t="str">
        <f>IFERROR(VLOOKUP(TableHandbook[[#This Row],[UDC]],TableSPUCURDES[],7,FALSE),"")</f>
        <v/>
      </c>
    </row>
  </sheetData>
  <sortState ref="A24:D37">
    <sortCondition ref="A24"/>
  </sortState>
  <conditionalFormatting sqref="A49">
    <cfRule type="duplicateValues" dxfId="107" priority="8"/>
  </conditionalFormatting>
  <conditionalFormatting sqref="A53">
    <cfRule type="duplicateValues" dxfId="106" priority="7"/>
  </conditionalFormatting>
  <conditionalFormatting sqref="A59">
    <cfRule type="duplicateValues" dxfId="105" priority="6"/>
  </conditionalFormatting>
  <conditionalFormatting sqref="A65">
    <cfRule type="duplicateValues" dxfId="104" priority="5"/>
  </conditionalFormatting>
  <conditionalFormatting sqref="A78">
    <cfRule type="duplicateValues" dxfId="103" priority="3"/>
  </conditionalFormatting>
  <conditionalFormatting sqref="A80">
    <cfRule type="duplicateValues" dxfId="102" priority="2"/>
  </conditionalFormatting>
  <conditionalFormatting sqref="A79 A66:A77 A50:A52 A4:A48 A54:A58 A60:A64 A81:A88">
    <cfRule type="duplicateValues" dxfId="101" priority="202"/>
  </conditionalFormatting>
  <conditionalFormatting sqref="A4:A102">
    <cfRule type="duplicateValues" dxfId="100" priority="218"/>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zoomScale="70" zoomScaleNormal="70" workbookViewId="0">
      <selection activeCell="A34" sqref="A34"/>
    </sheetView>
  </sheetViews>
  <sheetFormatPr defaultRowHeight="15.75" x14ac:dyDescent="0.25"/>
  <cols>
    <col min="1" max="1" width="14.625" bestFit="1" customWidth="1"/>
    <col min="2" max="2" width="6.875" style="2" bestFit="1" customWidth="1"/>
    <col min="3" max="3" width="12" bestFit="1" customWidth="1"/>
    <col min="4" max="4" width="57.625"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bestFit="1" customWidth="1"/>
    <col min="12" max="12" width="42.375" bestFit="1" customWidth="1"/>
    <col min="13" max="13" width="14.375" bestFit="1" customWidth="1"/>
    <col min="14" max="14" width="10.75" bestFit="1" customWidth="1"/>
    <col min="15" max="15" width="11.625" bestFit="1" customWidth="1"/>
    <col min="17" max="17" width="15.375" bestFit="1" customWidth="1"/>
    <col min="18" max="18" width="11" bestFit="1" customWidth="1"/>
  </cols>
  <sheetData>
    <row r="1" spans="1:18" x14ac:dyDescent="0.25">
      <c r="B1"/>
      <c r="E1"/>
      <c r="F1" s="57"/>
      <c r="G1" s="58" t="s">
        <v>360</v>
      </c>
      <c r="H1" s="59">
        <v>44927</v>
      </c>
      <c r="I1" s="135"/>
      <c r="J1" s="156" t="s">
        <v>229</v>
      </c>
      <c r="K1" s="60" t="s">
        <v>122</v>
      </c>
      <c r="L1" s="135" t="s">
        <v>15</v>
      </c>
      <c r="M1" s="135"/>
      <c r="N1" s="160" t="s">
        <v>361</v>
      </c>
      <c r="O1" s="161">
        <v>45303</v>
      </c>
    </row>
    <row r="2" spans="1:18" x14ac:dyDescent="0.25">
      <c r="A2" t="s">
        <v>0</v>
      </c>
      <c r="B2" s="2" t="s">
        <v>362</v>
      </c>
      <c r="C2" t="s">
        <v>363</v>
      </c>
      <c r="D2" t="s">
        <v>3</v>
      </c>
      <c r="E2" s="61" t="s">
        <v>364</v>
      </c>
      <c r="F2" t="s">
        <v>365</v>
      </c>
      <c r="G2" t="s">
        <v>366</v>
      </c>
      <c r="H2" t="s">
        <v>367</v>
      </c>
      <c r="I2" t="s">
        <v>25</v>
      </c>
      <c r="J2" t="s">
        <v>368</v>
      </c>
      <c r="K2" t="s">
        <v>1</v>
      </c>
      <c r="L2" t="s">
        <v>50</v>
      </c>
      <c r="M2" t="s">
        <v>64</v>
      </c>
      <c r="N2" t="s">
        <v>369</v>
      </c>
      <c r="O2" t="s">
        <v>370</v>
      </c>
      <c r="Q2" t="s">
        <v>371</v>
      </c>
      <c r="R2" t="s">
        <v>372</v>
      </c>
    </row>
    <row r="3" spans="1:18" x14ac:dyDescent="0.25">
      <c r="A3" t="str">
        <f>TableBCONM[[#This Row],[Study Package Code]]</f>
        <v>COMS1010</v>
      </c>
      <c r="B3" s="2">
        <f>TableBCONM[[#This Row],[Ver]]</f>
        <v>2</v>
      </c>
      <c r="D3" t="str">
        <f>TableBCONM[[#This Row],[Structure Line]]</f>
        <v>Academic and Professional Communications</v>
      </c>
      <c r="E3" s="61">
        <f>TableBCONM[[#This Row],[Credit Points]]</f>
        <v>25</v>
      </c>
      <c r="F3">
        <v>1</v>
      </c>
      <c r="G3" t="s">
        <v>373</v>
      </c>
      <c r="H3">
        <v>1</v>
      </c>
      <c r="I3" t="s">
        <v>374</v>
      </c>
      <c r="J3" t="s">
        <v>57</v>
      </c>
      <c r="K3" s="98">
        <v>2</v>
      </c>
      <c r="L3" s="98" t="s">
        <v>282</v>
      </c>
      <c r="M3" s="98">
        <v>25</v>
      </c>
      <c r="N3" s="173">
        <v>42917</v>
      </c>
      <c r="O3" s="173"/>
      <c r="Q3" t="s">
        <v>57</v>
      </c>
      <c r="R3">
        <v>2</v>
      </c>
    </row>
    <row r="4" spans="1:18" x14ac:dyDescent="0.25">
      <c r="A4" t="str">
        <f>TableBCONM[[#This Row],[Study Package Code]]</f>
        <v>ARCH1016</v>
      </c>
      <c r="B4" s="2">
        <f>TableBCONM[[#This Row],[Ver]]</f>
        <v>3</v>
      </c>
      <c r="D4" t="str">
        <f>TableBCONM[[#This Row],[Structure Line]]</f>
        <v>Architecture and Interior Architecture Methods 1B - Digital Literacy</v>
      </c>
      <c r="E4" s="61">
        <f>TableBCONM[[#This Row],[Credit Points]]</f>
        <v>25</v>
      </c>
      <c r="F4">
        <v>2</v>
      </c>
      <c r="G4" t="s">
        <v>373</v>
      </c>
      <c r="H4">
        <v>1</v>
      </c>
      <c r="I4" t="s">
        <v>374</v>
      </c>
      <c r="J4" t="s">
        <v>77</v>
      </c>
      <c r="K4" s="98">
        <v>3</v>
      </c>
      <c r="L4" s="98" t="s">
        <v>238</v>
      </c>
      <c r="M4" s="98">
        <v>25</v>
      </c>
      <c r="N4" s="173">
        <v>44562</v>
      </c>
      <c r="O4" s="173"/>
      <c r="Q4" t="s">
        <v>77</v>
      </c>
      <c r="R4">
        <v>3</v>
      </c>
    </row>
    <row r="5" spans="1:18" x14ac:dyDescent="0.25">
      <c r="A5" t="str">
        <f>TableBCONM[[#This Row],[Study Package Code]]</f>
        <v>BLDG1016</v>
      </c>
      <c r="B5" s="2">
        <f>TableBCONM[[#This Row],[Ver]]</f>
        <v>1</v>
      </c>
      <c r="D5" t="str">
        <f>TableBCONM[[#This Row],[Structure Line]]</f>
        <v>Building Construction Measurement</v>
      </c>
      <c r="E5" s="61">
        <f>TableBCONM[[#This Row],[Credit Points]]</f>
        <v>25</v>
      </c>
      <c r="F5">
        <v>3</v>
      </c>
      <c r="G5" t="s">
        <v>373</v>
      </c>
      <c r="H5">
        <v>1</v>
      </c>
      <c r="I5" t="s">
        <v>374</v>
      </c>
      <c r="J5" t="s">
        <v>74</v>
      </c>
      <c r="K5" s="98">
        <v>1</v>
      </c>
      <c r="L5" s="98" t="s">
        <v>248</v>
      </c>
      <c r="M5" s="98">
        <v>25</v>
      </c>
      <c r="N5" s="173">
        <v>44927</v>
      </c>
      <c r="O5" s="173"/>
      <c r="Q5" t="s">
        <v>74</v>
      </c>
      <c r="R5">
        <v>1</v>
      </c>
    </row>
    <row r="6" spans="1:18" x14ac:dyDescent="0.25">
      <c r="A6" t="str">
        <f>TableBCONM[[#This Row],[Study Package Code]]</f>
        <v>BLDG1018</v>
      </c>
      <c r="B6" s="2">
        <f>TableBCONM[[#This Row],[Ver]]</f>
        <v>1</v>
      </c>
      <c r="D6" t="str">
        <f>TableBCONM[[#This Row],[Structure Line]]</f>
        <v>Health, Safety and Quality in the Built Environment</v>
      </c>
      <c r="E6" s="61">
        <f>TableBCONM[[#This Row],[Credit Points]]</f>
        <v>25</v>
      </c>
      <c r="F6">
        <v>4</v>
      </c>
      <c r="G6" t="s">
        <v>373</v>
      </c>
      <c r="H6">
        <v>1</v>
      </c>
      <c r="I6" t="s">
        <v>374</v>
      </c>
      <c r="J6" t="s">
        <v>80</v>
      </c>
      <c r="K6" s="98">
        <v>1</v>
      </c>
      <c r="L6" s="98" t="s">
        <v>249</v>
      </c>
      <c r="M6" s="98">
        <v>25</v>
      </c>
      <c r="N6" s="173">
        <v>44927</v>
      </c>
      <c r="O6" s="173"/>
      <c r="Q6" t="s">
        <v>80</v>
      </c>
      <c r="R6">
        <v>1</v>
      </c>
    </row>
    <row r="7" spans="1:18" x14ac:dyDescent="0.25">
      <c r="A7" t="str">
        <f>TableBCONM[[#This Row],[Study Package Code]]</f>
        <v>BLDG1001</v>
      </c>
      <c r="B7" s="2">
        <f>TableBCONM[[#This Row],[Ver]]</f>
        <v>3</v>
      </c>
      <c r="D7" t="str">
        <f>TableBCONM[[#This Row],[Structure Line]]</f>
        <v>High-rise Construction</v>
      </c>
      <c r="E7" s="61">
        <f>TableBCONM[[#This Row],[Credit Points]]</f>
        <v>25</v>
      </c>
      <c r="F7">
        <v>5</v>
      </c>
      <c r="G7" t="s">
        <v>373</v>
      </c>
      <c r="H7">
        <v>1</v>
      </c>
      <c r="I7" t="s">
        <v>374</v>
      </c>
      <c r="J7" t="s">
        <v>75</v>
      </c>
      <c r="K7" s="98">
        <v>3</v>
      </c>
      <c r="L7" s="98" t="s">
        <v>245</v>
      </c>
      <c r="M7" s="98">
        <v>25</v>
      </c>
      <c r="N7" s="173">
        <v>44927</v>
      </c>
      <c r="O7" s="173"/>
      <c r="Q7" t="s">
        <v>75</v>
      </c>
      <c r="R7">
        <v>3</v>
      </c>
    </row>
    <row r="8" spans="1:18" x14ac:dyDescent="0.25">
      <c r="A8" t="str">
        <f>TableBCONM[[#This Row],[Study Package Code]]</f>
        <v>BLDG1004</v>
      </c>
      <c r="B8" s="2">
        <f>TableBCONM[[#This Row],[Ver]]</f>
        <v>3</v>
      </c>
      <c r="D8" t="str">
        <f>TableBCONM[[#This Row],[Structure Line]]</f>
        <v>Introduction to Management in Construction</v>
      </c>
      <c r="E8" s="61">
        <f>TableBCONM[[#This Row],[Credit Points]]</f>
        <v>25</v>
      </c>
      <c r="F8">
        <v>6</v>
      </c>
      <c r="G8" t="s">
        <v>373</v>
      </c>
      <c r="H8">
        <v>1</v>
      </c>
      <c r="I8" t="s">
        <v>374</v>
      </c>
      <c r="J8" t="s">
        <v>71</v>
      </c>
      <c r="K8" s="98">
        <v>3</v>
      </c>
      <c r="L8" s="98" t="s">
        <v>247</v>
      </c>
      <c r="M8" s="98">
        <v>25</v>
      </c>
      <c r="N8" s="173">
        <v>44927</v>
      </c>
      <c r="O8" s="173"/>
      <c r="Q8" t="s">
        <v>71</v>
      </c>
      <c r="R8">
        <v>3</v>
      </c>
    </row>
    <row r="9" spans="1:18" x14ac:dyDescent="0.25">
      <c r="A9" t="str">
        <f>TableBCONM[[#This Row],[Study Package Code]]</f>
        <v>BLDG1000</v>
      </c>
      <c r="B9" s="2">
        <f>TableBCONM[[#This Row],[Ver]]</f>
        <v>2</v>
      </c>
      <c r="D9" t="str">
        <f>TableBCONM[[#This Row],[Structure Line]]</f>
        <v>Low Rise Construction</v>
      </c>
      <c r="E9" s="61">
        <f>TableBCONM[[#This Row],[Credit Points]]</f>
        <v>25</v>
      </c>
      <c r="F9">
        <v>7</v>
      </c>
      <c r="G9" t="s">
        <v>373</v>
      </c>
      <c r="H9">
        <v>1</v>
      </c>
      <c r="I9" t="s">
        <v>374</v>
      </c>
      <c r="J9" t="s">
        <v>61</v>
      </c>
      <c r="K9" s="98">
        <v>2</v>
      </c>
      <c r="L9" s="98" t="s">
        <v>244</v>
      </c>
      <c r="M9" s="98">
        <v>25</v>
      </c>
      <c r="N9" s="173">
        <v>43466</v>
      </c>
      <c r="O9" s="173"/>
      <c r="Q9" t="s">
        <v>61</v>
      </c>
      <c r="R9">
        <v>2</v>
      </c>
    </row>
    <row r="10" spans="1:18" x14ac:dyDescent="0.25">
      <c r="A10" t="str">
        <f>TableBCONM[[#This Row],[Study Package Code]]</f>
        <v>BLDG1003</v>
      </c>
      <c r="B10" s="2">
        <f>TableBCONM[[#This Row],[Ver]]</f>
        <v>1</v>
      </c>
      <c r="D10" t="str">
        <f>TableBCONM[[#This Row],[Structure Line]]</f>
        <v>Structures</v>
      </c>
      <c r="E10" s="61">
        <f>TableBCONM[[#This Row],[Credit Points]]</f>
        <v>25</v>
      </c>
      <c r="F10">
        <v>8</v>
      </c>
      <c r="G10" t="s">
        <v>373</v>
      </c>
      <c r="H10">
        <v>1</v>
      </c>
      <c r="I10" t="s">
        <v>374</v>
      </c>
      <c r="J10" t="s">
        <v>67</v>
      </c>
      <c r="K10" s="98">
        <v>1</v>
      </c>
      <c r="L10" s="98" t="s">
        <v>246</v>
      </c>
      <c r="M10" s="98">
        <v>25</v>
      </c>
      <c r="N10" s="173">
        <v>42005</v>
      </c>
      <c r="O10" s="173"/>
      <c r="Q10" t="s">
        <v>67</v>
      </c>
      <c r="R10">
        <v>1</v>
      </c>
    </row>
    <row r="11" spans="1:18" x14ac:dyDescent="0.25">
      <c r="A11" t="str">
        <f>TableBCONM[[#This Row],[Study Package Code]]</f>
        <v>BLDG2015</v>
      </c>
      <c r="B11" s="2">
        <f>TableBCONM[[#This Row],[Ver]]</f>
        <v>3</v>
      </c>
      <c r="D11" t="str">
        <f>TableBCONM[[#This Row],[Structure Line]]</f>
        <v>Building Information Management and Modelling</v>
      </c>
      <c r="E11" s="61">
        <f>TableBCONM[[#This Row],[Credit Points]]</f>
        <v>25</v>
      </c>
      <c r="F11">
        <v>9</v>
      </c>
      <c r="G11" t="s">
        <v>373</v>
      </c>
      <c r="H11">
        <v>2</v>
      </c>
      <c r="I11" t="s">
        <v>374</v>
      </c>
      <c r="J11" t="s">
        <v>93</v>
      </c>
      <c r="K11" s="98">
        <v>3</v>
      </c>
      <c r="L11" s="98" t="s">
        <v>252</v>
      </c>
      <c r="M11" s="98">
        <v>25</v>
      </c>
      <c r="N11" s="173">
        <v>44927</v>
      </c>
      <c r="O11" s="173"/>
      <c r="Q11" t="s">
        <v>93</v>
      </c>
      <c r="R11">
        <v>3</v>
      </c>
    </row>
    <row r="12" spans="1:18" x14ac:dyDescent="0.25">
      <c r="A12" t="str">
        <f>TableBCONM[[#This Row],[Study Package Code]]</f>
        <v>BLDG2012</v>
      </c>
      <c r="B12" s="2">
        <f>TableBCONM[[#This Row],[Ver]]</f>
        <v>1</v>
      </c>
      <c r="D12" t="str">
        <f>TableBCONM[[#This Row],[Structure Line]]</f>
        <v>Building Services</v>
      </c>
      <c r="E12" s="61">
        <f>TableBCONM[[#This Row],[Credit Points]]</f>
        <v>25</v>
      </c>
      <c r="F12">
        <v>10</v>
      </c>
      <c r="G12" t="s">
        <v>373</v>
      </c>
      <c r="H12">
        <v>2</v>
      </c>
      <c r="I12" t="s">
        <v>374</v>
      </c>
      <c r="J12" t="s">
        <v>98</v>
      </c>
      <c r="K12" s="98">
        <v>1</v>
      </c>
      <c r="L12" s="98" t="s">
        <v>250</v>
      </c>
      <c r="M12" s="98">
        <v>25</v>
      </c>
      <c r="N12" s="173">
        <v>42005</v>
      </c>
      <c r="O12" s="173"/>
      <c r="Q12" t="s">
        <v>98</v>
      </c>
      <c r="R12">
        <v>1</v>
      </c>
    </row>
    <row r="13" spans="1:18" x14ac:dyDescent="0.25">
      <c r="A13" t="str">
        <f>TableBCONM[[#This Row],[Study Package Code]]</f>
        <v>BLDG2024</v>
      </c>
      <c r="B13" s="2">
        <f>TableBCONM[[#This Row],[Ver]]</f>
        <v>2</v>
      </c>
      <c r="D13" t="str">
        <f>TableBCONM[[#This Row],[Structure Line]]</f>
        <v>Building Surveying</v>
      </c>
      <c r="E13" s="61">
        <f>TableBCONM[[#This Row],[Credit Points]]</f>
        <v>25</v>
      </c>
      <c r="F13">
        <v>11</v>
      </c>
      <c r="G13" t="s">
        <v>373</v>
      </c>
      <c r="H13">
        <v>2</v>
      </c>
      <c r="I13" t="s">
        <v>374</v>
      </c>
      <c r="J13" t="s">
        <v>89</v>
      </c>
      <c r="K13" s="98">
        <v>2</v>
      </c>
      <c r="L13" s="98" t="s">
        <v>254</v>
      </c>
      <c r="M13" s="98">
        <v>25</v>
      </c>
      <c r="N13" s="173">
        <v>43466</v>
      </c>
      <c r="O13" s="173"/>
      <c r="Q13" t="s">
        <v>89</v>
      </c>
      <c r="R13">
        <v>2</v>
      </c>
    </row>
    <row r="14" spans="1:18" x14ac:dyDescent="0.25">
      <c r="A14" t="str">
        <f>TableBCONM[[#This Row],[Study Package Code]]</f>
        <v>BLDG2033</v>
      </c>
      <c r="B14" s="2">
        <f>TableBCONM[[#This Row],[Ver]]</f>
        <v>1</v>
      </c>
      <c r="D14" t="str">
        <f>TableBCONM[[#This Row],[Structure Line]]</f>
        <v>Construction Estimating and Cost Planning</v>
      </c>
      <c r="E14" s="61">
        <f>TableBCONM[[#This Row],[Credit Points]]</f>
        <v>25</v>
      </c>
      <c r="F14">
        <v>12</v>
      </c>
      <c r="G14" t="s">
        <v>373</v>
      </c>
      <c r="H14">
        <v>2</v>
      </c>
      <c r="I14" t="s">
        <v>374</v>
      </c>
      <c r="J14" t="s">
        <v>101</v>
      </c>
      <c r="K14" s="98">
        <v>1</v>
      </c>
      <c r="L14" s="98" t="s">
        <v>255</v>
      </c>
      <c r="M14" s="98">
        <v>25</v>
      </c>
      <c r="N14" s="173">
        <v>44927</v>
      </c>
      <c r="O14" s="173"/>
      <c r="Q14" t="s">
        <v>101</v>
      </c>
      <c r="R14">
        <v>1</v>
      </c>
    </row>
    <row r="15" spans="1:18" x14ac:dyDescent="0.25">
      <c r="A15" t="str">
        <f>TableBCONM[[#This Row],[Study Package Code]]</f>
        <v>BLDG2013</v>
      </c>
      <c r="B15" s="2">
        <f>TableBCONM[[#This Row],[Ver]]</f>
        <v>1</v>
      </c>
      <c r="D15" t="str">
        <f>TableBCONM[[#This Row],[Structure Line]]</f>
        <v>Construction Plant and Equipment</v>
      </c>
      <c r="E15" s="61">
        <f>TableBCONM[[#This Row],[Credit Points]]</f>
        <v>25</v>
      </c>
      <c r="F15">
        <v>13</v>
      </c>
      <c r="G15" t="s">
        <v>373</v>
      </c>
      <c r="H15">
        <v>2</v>
      </c>
      <c r="I15" t="s">
        <v>374</v>
      </c>
      <c r="J15" t="s">
        <v>85</v>
      </c>
      <c r="K15" s="98">
        <v>1</v>
      </c>
      <c r="L15" s="98" t="s">
        <v>251</v>
      </c>
      <c r="M15" s="98">
        <v>25</v>
      </c>
      <c r="N15" s="173">
        <v>42005</v>
      </c>
      <c r="O15" s="173"/>
      <c r="Q15" t="s">
        <v>85</v>
      </c>
      <c r="R15">
        <v>1</v>
      </c>
    </row>
    <row r="16" spans="1:18" x14ac:dyDescent="0.25">
      <c r="A16" t="str">
        <f>TableBCONM[[#This Row],[Study Package Code]]</f>
        <v>BLDG2023</v>
      </c>
      <c r="B16" s="2">
        <f>TableBCONM[[#This Row],[Ver]]</f>
        <v>1</v>
      </c>
      <c r="D16" t="str">
        <f>TableBCONM[[#This Row],[Structure Line]]</f>
        <v>Specialised Construction</v>
      </c>
      <c r="E16" s="61">
        <f>TableBCONM[[#This Row],[Credit Points]]</f>
        <v>25</v>
      </c>
      <c r="F16">
        <v>14</v>
      </c>
      <c r="G16" t="s">
        <v>373</v>
      </c>
      <c r="H16">
        <v>2</v>
      </c>
      <c r="I16" t="s">
        <v>374</v>
      </c>
      <c r="J16" t="s">
        <v>88</v>
      </c>
      <c r="K16" s="98">
        <v>1</v>
      </c>
      <c r="L16" s="98" t="s">
        <v>253</v>
      </c>
      <c r="M16" s="98">
        <v>25</v>
      </c>
      <c r="N16" s="173">
        <v>42005</v>
      </c>
      <c r="O16" s="173"/>
      <c r="Q16" t="s">
        <v>88</v>
      </c>
      <c r="R16">
        <v>1</v>
      </c>
    </row>
    <row r="17" spans="1:18" x14ac:dyDescent="0.25">
      <c r="A17" t="str">
        <f>TableBCONM[[#This Row],[Study Package Code]]</f>
        <v>Specialisation</v>
      </c>
      <c r="B17" s="2">
        <f>TableBCONM[[#This Row],[Ver]]</f>
        <v>0</v>
      </c>
      <c r="D17" t="str">
        <f>TableBCONM[[#This Row],[Structure Line]]</f>
        <v>Choose a Specialisation. Students at Miri Sarawak can only choose SPUC-FINCE or SPUC-INENT.  You should enrol into two units in Year 2 and two units in Year 3 for your selected specialisation.</v>
      </c>
      <c r="E17" s="61">
        <f>TableBCONM[[#This Row],[Credit Points]]</f>
        <v>100</v>
      </c>
      <c r="F17">
        <v>15</v>
      </c>
      <c r="G17" t="s">
        <v>375</v>
      </c>
      <c r="H17">
        <v>2</v>
      </c>
      <c r="I17" t="s">
        <v>374</v>
      </c>
      <c r="J17" t="s">
        <v>376</v>
      </c>
      <c r="K17" s="98">
        <v>0</v>
      </c>
      <c r="L17" s="98" t="s">
        <v>377</v>
      </c>
      <c r="M17" s="98">
        <v>100</v>
      </c>
      <c r="N17" s="173"/>
      <c r="O17" s="173"/>
      <c r="Q17" t="s">
        <v>376</v>
      </c>
      <c r="R17">
        <v>0</v>
      </c>
    </row>
    <row r="18" spans="1:18" x14ac:dyDescent="0.25">
      <c r="A18" t="str">
        <f>TableBCONM[[#This Row],[Study Package Code]]</f>
        <v>BLDG3030</v>
      </c>
      <c r="B18" s="2">
        <f>TableBCONM[[#This Row],[Ver]]</f>
        <v>1</v>
      </c>
      <c r="D18" t="str">
        <f>TableBCONM[[#This Row],[Structure Line]]</f>
        <v>Construction Contracts and Procurement</v>
      </c>
      <c r="E18" s="61">
        <f>TableBCONM[[#This Row],[Credit Points]]</f>
        <v>25</v>
      </c>
      <c r="F18">
        <v>16</v>
      </c>
      <c r="G18" t="s">
        <v>373</v>
      </c>
      <c r="H18">
        <v>3</v>
      </c>
      <c r="I18" t="s">
        <v>374</v>
      </c>
      <c r="J18" t="s">
        <v>119</v>
      </c>
      <c r="K18" s="98">
        <v>1</v>
      </c>
      <c r="L18" s="98" t="s">
        <v>260</v>
      </c>
      <c r="M18" s="98">
        <v>25</v>
      </c>
      <c r="N18" s="173">
        <v>44927</v>
      </c>
      <c r="O18" s="173"/>
      <c r="Q18" t="s">
        <v>119</v>
      </c>
      <c r="R18">
        <v>1</v>
      </c>
    </row>
    <row r="19" spans="1:18" x14ac:dyDescent="0.25">
      <c r="A19" t="str">
        <f>TableBCONM[[#This Row],[Study Package Code]]</f>
        <v>BLDG3016</v>
      </c>
      <c r="B19" s="2">
        <f>TableBCONM[[#This Row],[Ver]]</f>
        <v>2</v>
      </c>
      <c r="D19" t="str">
        <f>TableBCONM[[#This Row],[Structure Line]]</f>
        <v>Construction Planning and Scheduling</v>
      </c>
      <c r="E19" s="61">
        <f>TableBCONM[[#This Row],[Credit Points]]</f>
        <v>25</v>
      </c>
      <c r="F19">
        <v>17</v>
      </c>
      <c r="G19" t="s">
        <v>373</v>
      </c>
      <c r="H19">
        <v>3</v>
      </c>
      <c r="I19" t="s">
        <v>374</v>
      </c>
      <c r="J19" t="s">
        <v>106</v>
      </c>
      <c r="K19" s="98">
        <v>2</v>
      </c>
      <c r="L19" s="98" t="s">
        <v>259</v>
      </c>
      <c r="M19" s="98">
        <v>25</v>
      </c>
      <c r="N19" s="173">
        <v>44927</v>
      </c>
      <c r="O19" s="173"/>
      <c r="Q19" t="s">
        <v>106</v>
      </c>
      <c r="R19">
        <v>2</v>
      </c>
    </row>
    <row r="20" spans="1:18" x14ac:dyDescent="0.25">
      <c r="A20" t="str">
        <f>TableBCONM[[#This Row],[Study Package Code]]</f>
        <v>BLDG3012</v>
      </c>
      <c r="B20" s="2">
        <f>TableBCONM[[#This Row],[Ver]]</f>
        <v>3</v>
      </c>
      <c r="D20" t="str">
        <f>TableBCONM[[#This Row],[Structure Line]]</f>
        <v>Cost Management</v>
      </c>
      <c r="E20" s="61">
        <f>TableBCONM[[#This Row],[Credit Points]]</f>
        <v>25</v>
      </c>
      <c r="F20">
        <v>18</v>
      </c>
      <c r="G20" t="s">
        <v>373</v>
      </c>
      <c r="H20">
        <v>3</v>
      </c>
      <c r="I20" t="s">
        <v>374</v>
      </c>
      <c r="J20" t="s">
        <v>111</v>
      </c>
      <c r="K20" s="98">
        <v>3</v>
      </c>
      <c r="L20" s="98" t="s">
        <v>257</v>
      </c>
      <c r="M20" s="98">
        <v>25</v>
      </c>
      <c r="N20" s="173">
        <v>44927</v>
      </c>
      <c r="O20" s="173"/>
      <c r="Q20" t="s">
        <v>111</v>
      </c>
      <c r="R20">
        <v>3</v>
      </c>
    </row>
    <row r="21" spans="1:18" x14ac:dyDescent="0.25">
      <c r="A21" t="str">
        <f>TableBCONM[[#This Row],[Study Package Code]]</f>
        <v>URDE3007</v>
      </c>
      <c r="B21" s="2">
        <f>TableBCONM[[#This Row],[Ver]]</f>
        <v>2</v>
      </c>
      <c r="D21" t="str">
        <f>TableBCONM[[#This Row],[Structure Line]]</f>
        <v>Design and Built Environment Research Methods</v>
      </c>
      <c r="E21" s="61">
        <f>TableBCONM[[#This Row],[Credit Points]]</f>
        <v>25</v>
      </c>
      <c r="F21">
        <v>19</v>
      </c>
      <c r="G21" t="s">
        <v>373</v>
      </c>
      <c r="H21">
        <v>3</v>
      </c>
      <c r="I21" t="s">
        <v>374</v>
      </c>
      <c r="J21" t="s">
        <v>123</v>
      </c>
      <c r="K21" s="98">
        <v>2</v>
      </c>
      <c r="L21" s="98" t="s">
        <v>352</v>
      </c>
      <c r="M21" s="98">
        <v>25</v>
      </c>
      <c r="N21" s="173">
        <v>44197</v>
      </c>
      <c r="O21" s="173"/>
      <c r="Q21" t="s">
        <v>123</v>
      </c>
      <c r="R21">
        <v>2</v>
      </c>
    </row>
    <row r="22" spans="1:18" x14ac:dyDescent="0.25">
      <c r="A22" t="str">
        <f>TableBCONM[[#This Row],[Study Package Code]]</f>
        <v>BLDG3034</v>
      </c>
      <c r="B22" s="2">
        <f>TableBCONM[[#This Row],[Ver]]</f>
        <v>1</v>
      </c>
      <c r="D22" t="str">
        <f>TableBCONM[[#This Row],[Structure Line]]</f>
        <v>Sustainable Construction Practices in Building and Infrastructure</v>
      </c>
      <c r="E22" s="61">
        <f>TableBCONM[[#This Row],[Credit Points]]</f>
        <v>25</v>
      </c>
      <c r="F22">
        <v>20</v>
      </c>
      <c r="G22" t="s">
        <v>373</v>
      </c>
      <c r="H22">
        <v>3</v>
      </c>
      <c r="I22" t="s">
        <v>374</v>
      </c>
      <c r="J22" t="s">
        <v>104</v>
      </c>
      <c r="K22" s="98">
        <v>1</v>
      </c>
      <c r="L22" s="98" t="s">
        <v>264</v>
      </c>
      <c r="M22" s="98">
        <v>25</v>
      </c>
      <c r="N22" s="173">
        <v>44927</v>
      </c>
      <c r="O22" s="173"/>
      <c r="Q22" t="s">
        <v>104</v>
      </c>
      <c r="R22">
        <v>1</v>
      </c>
    </row>
    <row r="23" spans="1:18" x14ac:dyDescent="0.25">
      <c r="A23" t="str">
        <f>TableBCONM[[#This Row],[Study Package Code]]</f>
        <v>BLDG3032</v>
      </c>
      <c r="B23" s="2">
        <f>TableBCONM[[#This Row],[Ver]]</f>
        <v>1</v>
      </c>
      <c r="D23" t="str">
        <f>TableBCONM[[#This Row],[Structure Line]]</f>
        <v>Virtual Design and Construction</v>
      </c>
      <c r="E23" s="61">
        <f>TableBCONM[[#This Row],[Credit Points]]</f>
        <v>25</v>
      </c>
      <c r="F23">
        <v>21</v>
      </c>
      <c r="G23" t="s">
        <v>373</v>
      </c>
      <c r="H23">
        <v>3</v>
      </c>
      <c r="I23" t="s">
        <v>374</v>
      </c>
      <c r="J23" t="s">
        <v>116</v>
      </c>
      <c r="K23" s="98">
        <v>1</v>
      </c>
      <c r="L23" s="98" t="s">
        <v>262</v>
      </c>
      <c r="M23" s="98">
        <v>25</v>
      </c>
      <c r="N23" s="173">
        <v>44927</v>
      </c>
      <c r="O23" s="173"/>
      <c r="Q23" t="s">
        <v>116</v>
      </c>
      <c r="R23">
        <v>1</v>
      </c>
    </row>
    <row r="24" spans="1:18" x14ac:dyDescent="0.25">
      <c r="A24" t="str">
        <f>TableBCONM[[#This Row],[Study Package Code]]</f>
        <v>4th Year Stream</v>
      </c>
      <c r="B24" s="2">
        <f>TableBCONM[[#This Row],[Ver]]</f>
        <v>0</v>
      </c>
      <c r="D24" t="str">
        <f>TableBCONM[[#This Row],[Structure Line]]</f>
        <v>Choose Your Fourth Year Stream.  Eligible students may be invited by the School to complete the Honours stream.</v>
      </c>
      <c r="E24" s="61">
        <f>TableBCONM[[#This Row],[Credit Points]]</f>
        <v>200</v>
      </c>
      <c r="F24">
        <v>22</v>
      </c>
      <c r="G24" t="s">
        <v>378</v>
      </c>
      <c r="H24">
        <v>4</v>
      </c>
      <c r="I24" t="s">
        <v>374</v>
      </c>
      <c r="J24" t="s">
        <v>232</v>
      </c>
      <c r="K24" s="98">
        <v>0</v>
      </c>
      <c r="L24" s="98" t="s">
        <v>233</v>
      </c>
      <c r="M24" s="98">
        <v>200</v>
      </c>
      <c r="N24" s="173"/>
      <c r="O24" s="173"/>
      <c r="Q24" t="s">
        <v>232</v>
      </c>
      <c r="R24">
        <v>0</v>
      </c>
    </row>
    <row r="25" spans="1:18" x14ac:dyDescent="0.25">
      <c r="A25" t="str">
        <f>TableBCONM[[#This Row],[Study Package Code]]</f>
        <v>SPUC-ANGAD</v>
      </c>
      <c r="B25" s="2">
        <f>TableBCONM[[#This Row],[Ver]]</f>
        <v>1</v>
      </c>
      <c r="D25" t="str">
        <f>TableBCONM[[#This Row],[Structure Line]]</f>
        <v>Animation and Game Architecture Design Specialisation</v>
      </c>
      <c r="E25" s="61">
        <f>TableBCONM[[#This Row],[Credit Points]]</f>
        <v>100</v>
      </c>
      <c r="F25">
        <v>15</v>
      </c>
      <c r="G25" t="s">
        <v>375</v>
      </c>
      <c r="H25">
        <v>2</v>
      </c>
      <c r="I25" t="s">
        <v>374</v>
      </c>
      <c r="J25" t="s">
        <v>108</v>
      </c>
      <c r="K25" s="98">
        <v>1</v>
      </c>
      <c r="L25" s="98" t="s">
        <v>107</v>
      </c>
      <c r="M25" s="98">
        <v>100</v>
      </c>
      <c r="N25" s="173">
        <v>44562</v>
      </c>
      <c r="O25" s="173"/>
      <c r="Q25" t="s">
        <v>108</v>
      </c>
      <c r="R25">
        <v>1</v>
      </c>
    </row>
    <row r="26" spans="1:18" x14ac:dyDescent="0.25">
      <c r="A26" t="str">
        <f>TableBCONM[[#This Row],[Study Package Code]]</f>
        <v>SPUC-FINCE</v>
      </c>
      <c r="B26" s="2">
        <f>TableBCONM[[#This Row],[Ver]]</f>
        <v>1</v>
      </c>
      <c r="D26" t="str">
        <f>TableBCONM[[#This Row],[Structure Line]]</f>
        <v>Applied Finance Specialisation</v>
      </c>
      <c r="E26" s="61">
        <f>TableBCONM[[#This Row],[Credit Points]]</f>
        <v>100</v>
      </c>
      <c r="F26">
        <v>15</v>
      </c>
      <c r="G26" t="s">
        <v>375</v>
      </c>
      <c r="H26">
        <v>2</v>
      </c>
      <c r="I26" t="s">
        <v>374</v>
      </c>
      <c r="J26" t="s">
        <v>113</v>
      </c>
      <c r="K26" s="98">
        <v>1</v>
      </c>
      <c r="L26" s="98" t="s">
        <v>112</v>
      </c>
      <c r="M26" s="98">
        <v>100</v>
      </c>
      <c r="N26" s="173">
        <v>44562</v>
      </c>
      <c r="O26" s="173"/>
      <c r="Q26" t="s">
        <v>113</v>
      </c>
      <c r="R26">
        <v>1</v>
      </c>
    </row>
    <row r="27" spans="1:18" x14ac:dyDescent="0.25">
      <c r="A27" t="str">
        <f>TableBCONM[[#This Row],[Study Package Code]]</f>
        <v>SPUC-INARS</v>
      </c>
      <c r="B27" s="2">
        <f>TableBCONM[[#This Row],[Ver]]</f>
        <v>3</v>
      </c>
      <c r="D27" t="str">
        <f>TableBCONM[[#This Row],[Structure Line]]</f>
        <v>Interior Architecture Specialisation</v>
      </c>
      <c r="E27" s="61">
        <f>TableBCONM[[#This Row],[Credit Points]]</f>
        <v>100</v>
      </c>
      <c r="F27">
        <v>15</v>
      </c>
      <c r="G27" t="s">
        <v>375</v>
      </c>
      <c r="H27">
        <v>2</v>
      </c>
      <c r="I27" t="s">
        <v>374</v>
      </c>
      <c r="J27" t="s">
        <v>115</v>
      </c>
      <c r="K27" s="98">
        <v>3</v>
      </c>
      <c r="L27" s="98" t="s">
        <v>114</v>
      </c>
      <c r="M27" s="98">
        <v>100</v>
      </c>
      <c r="N27" s="173">
        <v>45292</v>
      </c>
      <c r="O27" s="173"/>
      <c r="Q27" t="s">
        <v>115</v>
      </c>
      <c r="R27">
        <v>2</v>
      </c>
    </row>
    <row r="28" spans="1:18" x14ac:dyDescent="0.25">
      <c r="A28" t="str">
        <f>TableBCONM[[#This Row],[Study Package Code]]</f>
        <v>SPUC-INENT</v>
      </c>
      <c r="B28" s="2">
        <f>TableBCONM[[#This Row],[Ver]]</f>
        <v>1</v>
      </c>
      <c r="D28" t="str">
        <f>TableBCONM[[#This Row],[Structure Line]]</f>
        <v>Innovation and Entrepreneurship Specialisation</v>
      </c>
      <c r="E28" s="61">
        <f>TableBCONM[[#This Row],[Credit Points]]</f>
        <v>100</v>
      </c>
      <c r="F28">
        <v>15</v>
      </c>
      <c r="G28" t="s">
        <v>375</v>
      </c>
      <c r="H28">
        <v>2</v>
      </c>
      <c r="I28" t="s">
        <v>374</v>
      </c>
      <c r="J28" t="s">
        <v>118</v>
      </c>
      <c r="K28" s="98">
        <v>1</v>
      </c>
      <c r="L28" s="98" t="s">
        <v>117</v>
      </c>
      <c r="M28" s="98">
        <v>100</v>
      </c>
      <c r="N28" s="173">
        <v>44197</v>
      </c>
      <c r="O28" s="173"/>
      <c r="Q28" t="s">
        <v>118</v>
      </c>
      <c r="R28">
        <v>1</v>
      </c>
    </row>
    <row r="29" spans="1:18" x14ac:dyDescent="0.25">
      <c r="A29" t="str">
        <f>TableBCONM[[#This Row],[Study Package Code]]</f>
        <v>SPUC-PROPT</v>
      </c>
      <c r="B29" s="2">
        <f>TableBCONM[[#This Row],[Ver]]</f>
        <v>2</v>
      </c>
      <c r="D29" t="str">
        <f>TableBCONM[[#This Row],[Structure Line]]</f>
        <v>Property Investment Specialisation</v>
      </c>
      <c r="E29" s="61">
        <f>TableBCONM[[#This Row],[Credit Points]]</f>
        <v>100</v>
      </c>
      <c r="F29">
        <v>15</v>
      </c>
      <c r="G29" t="s">
        <v>375</v>
      </c>
      <c r="H29">
        <v>2</v>
      </c>
      <c r="I29" t="s">
        <v>374</v>
      </c>
      <c r="J29" t="s">
        <v>121</v>
      </c>
      <c r="K29" s="98">
        <v>2</v>
      </c>
      <c r="L29" s="98" t="s">
        <v>120</v>
      </c>
      <c r="M29" s="98">
        <v>100</v>
      </c>
      <c r="N29" s="173">
        <v>45292</v>
      </c>
      <c r="O29" s="173"/>
      <c r="Q29" t="s">
        <v>121</v>
      </c>
      <c r="R29">
        <v>1</v>
      </c>
    </row>
    <row r="30" spans="1:18" x14ac:dyDescent="0.25">
      <c r="A30" t="str">
        <f>TableBCONM[[#This Row],[Study Package Code]]</f>
        <v>SPUC-URDES</v>
      </c>
      <c r="B30" s="2">
        <f>TableBCONM[[#This Row],[Ver]]</f>
        <v>1</v>
      </c>
      <c r="D30" t="str">
        <f>TableBCONM[[#This Row],[Structure Line]]</f>
        <v>Urban Design and Planning Specialisation</v>
      </c>
      <c r="E30" s="61">
        <f>TableBCONM[[#This Row],[Credit Points]]</f>
        <v>100</v>
      </c>
      <c r="F30">
        <v>15</v>
      </c>
      <c r="G30" t="s">
        <v>375</v>
      </c>
      <c r="H30">
        <v>2</v>
      </c>
      <c r="I30" t="s">
        <v>374</v>
      </c>
      <c r="J30" t="s">
        <v>125</v>
      </c>
      <c r="K30" s="98">
        <v>1</v>
      </c>
      <c r="L30" s="98" t="s">
        <v>124</v>
      </c>
      <c r="M30" s="98">
        <v>100</v>
      </c>
      <c r="N30" s="173">
        <v>44197</v>
      </c>
      <c r="O30" s="173"/>
      <c r="Q30" t="s">
        <v>125</v>
      </c>
      <c r="R30">
        <v>1</v>
      </c>
    </row>
    <row r="31" spans="1:18" x14ac:dyDescent="0.25">
      <c r="A31" t="str">
        <f>TableBCONM[[#This Row],[Study Package Code]]</f>
        <v>STRH-CONMN</v>
      </c>
      <c r="B31" s="2">
        <f>TableBCONM[[#This Row],[Ver]]</f>
        <v>3</v>
      </c>
      <c r="D31" t="str">
        <f>TableBCONM[[#This Row],[Structure Line]]</f>
        <v>Honours Construction Management Stream</v>
      </c>
      <c r="E31" s="61">
        <f>TableBCONM[[#This Row],[Credit Points]]</f>
        <v>200</v>
      </c>
      <c r="F31">
        <v>22</v>
      </c>
      <c r="G31" t="s">
        <v>378</v>
      </c>
      <c r="H31">
        <v>4</v>
      </c>
      <c r="I31" t="s">
        <v>374</v>
      </c>
      <c r="J31" t="s">
        <v>100</v>
      </c>
      <c r="K31" s="98">
        <v>3</v>
      </c>
      <c r="L31" s="98" t="s">
        <v>99</v>
      </c>
      <c r="M31" s="98">
        <v>200</v>
      </c>
      <c r="N31" s="173">
        <v>45292</v>
      </c>
      <c r="O31" s="173"/>
      <c r="Q31" t="s">
        <v>100</v>
      </c>
      <c r="R31">
        <v>2</v>
      </c>
    </row>
    <row r="32" spans="1:18" x14ac:dyDescent="0.25">
      <c r="A32" t="str">
        <f>TableBCONM[[#This Row],[Study Package Code]]</f>
        <v>STRU-CONMN</v>
      </c>
      <c r="B32" s="2">
        <f>TableBCONM[[#This Row],[Ver]]</f>
        <v>3</v>
      </c>
      <c r="D32" t="str">
        <f>TableBCONM[[#This Row],[Structure Line]]</f>
        <v>Construction Management Fourth Year Stream</v>
      </c>
      <c r="E32" s="61">
        <f>TableBCONM[[#This Row],[Credit Points]]</f>
        <v>200</v>
      </c>
      <c r="F32">
        <v>22</v>
      </c>
      <c r="G32" t="s">
        <v>378</v>
      </c>
      <c r="H32">
        <v>4</v>
      </c>
      <c r="I32" t="s">
        <v>374</v>
      </c>
      <c r="J32" t="s">
        <v>95</v>
      </c>
      <c r="K32" s="98">
        <v>3</v>
      </c>
      <c r="L32" s="98" t="s">
        <v>94</v>
      </c>
      <c r="M32" s="98">
        <v>200</v>
      </c>
      <c r="N32" s="173">
        <v>45292</v>
      </c>
      <c r="O32" s="173"/>
      <c r="Q32" t="s">
        <v>95</v>
      </c>
      <c r="R32">
        <v>2</v>
      </c>
    </row>
    <row r="33" spans="1:18" x14ac:dyDescent="0.25">
      <c r="B33"/>
      <c r="E33"/>
      <c r="F33" s="57"/>
      <c r="G33" s="58" t="s">
        <v>360</v>
      </c>
      <c r="H33" s="138">
        <v>45292</v>
      </c>
      <c r="I33" s="135"/>
      <c r="J33" s="156" t="s">
        <v>95</v>
      </c>
      <c r="K33" s="139" t="s">
        <v>96</v>
      </c>
      <c r="L33" s="135" t="s">
        <v>94</v>
      </c>
      <c r="M33" s="135"/>
      <c r="N33" s="160" t="s">
        <v>361</v>
      </c>
      <c r="O33" s="161">
        <v>45303</v>
      </c>
    </row>
    <row r="34" spans="1:18" x14ac:dyDescent="0.25">
      <c r="A34" t="s">
        <v>0</v>
      </c>
      <c r="B34" s="2" t="s">
        <v>362</v>
      </c>
      <c r="C34" t="s">
        <v>363</v>
      </c>
      <c r="D34" t="s">
        <v>3</v>
      </c>
      <c r="E34" s="61" t="s">
        <v>364</v>
      </c>
      <c r="F34" t="s">
        <v>365</v>
      </c>
      <c r="G34" t="s">
        <v>366</v>
      </c>
      <c r="H34" t="s">
        <v>367</v>
      </c>
      <c r="I34" t="s">
        <v>25</v>
      </c>
      <c r="J34" t="s">
        <v>368</v>
      </c>
      <c r="K34" t="s">
        <v>1</v>
      </c>
      <c r="L34" t="s">
        <v>50</v>
      </c>
      <c r="M34" t="s">
        <v>64</v>
      </c>
      <c r="N34" t="s">
        <v>369</v>
      </c>
      <c r="O34" t="s">
        <v>370</v>
      </c>
      <c r="Q34" t="s">
        <v>371</v>
      </c>
      <c r="R34" t="s">
        <v>372</v>
      </c>
    </row>
    <row r="35" spans="1:18" x14ac:dyDescent="0.25">
      <c r="A35" t="str">
        <f>TableSTRUCONMN[[#This Row],[Study Package Code]]</f>
        <v>BLDG4028</v>
      </c>
      <c r="B35" s="2">
        <f>TableSTRUCONMN[[#This Row],[Ver]]</f>
        <v>1</v>
      </c>
      <c r="D35" t="str">
        <f>TableSTRUCONMN[[#This Row],[Structure Line]]</f>
        <v>Contract Administration</v>
      </c>
      <c r="E35" s="61">
        <f>TableSTRUCONMN[[#This Row],[Credit Points]]</f>
        <v>25</v>
      </c>
      <c r="F35">
        <v>1</v>
      </c>
      <c r="G35" t="s">
        <v>373</v>
      </c>
      <c r="H35">
        <v>4</v>
      </c>
      <c r="I35" t="s">
        <v>374</v>
      </c>
      <c r="J35" t="s">
        <v>128</v>
      </c>
      <c r="K35">
        <v>1</v>
      </c>
      <c r="L35" t="s">
        <v>379</v>
      </c>
      <c r="M35">
        <v>25</v>
      </c>
      <c r="N35" s="173">
        <v>43466</v>
      </c>
      <c r="O35" s="173"/>
      <c r="Q35" t="s">
        <v>128</v>
      </c>
      <c r="R35">
        <v>1</v>
      </c>
    </row>
    <row r="36" spans="1:18" x14ac:dyDescent="0.25">
      <c r="A36" t="str">
        <f>TableSTRUCONMN[[#This Row],[Study Package Code]]</f>
        <v>BLDG4034</v>
      </c>
      <c r="B36" s="2">
        <f>TableSTRUCONMN[[#This Row],[Ver]]</f>
        <v>1</v>
      </c>
      <c r="D36" t="str">
        <f>TableSTRUCONMN[[#This Row],[Structure Line]]</f>
        <v>Engineering Measurement</v>
      </c>
      <c r="E36" s="61">
        <f>TableSTRUCONMN[[#This Row],[Credit Points]]</f>
        <v>25</v>
      </c>
      <c r="F36">
        <v>2</v>
      </c>
      <c r="G36" t="s">
        <v>373</v>
      </c>
      <c r="H36">
        <v>4</v>
      </c>
      <c r="I36" t="s">
        <v>374</v>
      </c>
      <c r="J36" t="s">
        <v>129</v>
      </c>
      <c r="K36">
        <v>1</v>
      </c>
      <c r="L36" t="s">
        <v>380</v>
      </c>
      <c r="M36">
        <v>25</v>
      </c>
      <c r="N36" s="173">
        <v>44927</v>
      </c>
      <c r="O36" s="173"/>
      <c r="Q36" t="s">
        <v>129</v>
      </c>
      <c r="R36">
        <v>1</v>
      </c>
    </row>
    <row r="37" spans="1:18" x14ac:dyDescent="0.25">
      <c r="A37" t="str">
        <f>TableSTRUCONMN[[#This Row],[Study Package Code]]</f>
        <v>BLDG4001</v>
      </c>
      <c r="B37" s="2">
        <f>TableSTRUCONMN[[#This Row],[Ver]]</f>
        <v>2</v>
      </c>
      <c r="D37" t="str">
        <f>TableSTRUCONMN[[#This Row],[Structure Line]]</f>
        <v>Facilities and Asset Management</v>
      </c>
      <c r="E37" s="61">
        <f>TableSTRUCONMN[[#This Row],[Credit Points]]</f>
        <v>25</v>
      </c>
      <c r="F37">
        <v>3</v>
      </c>
      <c r="G37" t="s">
        <v>373</v>
      </c>
      <c r="H37">
        <v>4</v>
      </c>
      <c r="I37" t="s">
        <v>374</v>
      </c>
      <c r="J37" t="s">
        <v>134</v>
      </c>
      <c r="K37">
        <v>2</v>
      </c>
      <c r="L37" t="s">
        <v>381</v>
      </c>
      <c r="M37">
        <v>25</v>
      </c>
      <c r="N37" s="173">
        <v>45108</v>
      </c>
      <c r="O37" s="173"/>
      <c r="Q37" t="s">
        <v>134</v>
      </c>
      <c r="R37">
        <v>1</v>
      </c>
    </row>
    <row r="38" spans="1:18" x14ac:dyDescent="0.25">
      <c r="A38" t="str">
        <f>TableSTRUCONMN[[#This Row],[Study Package Code]]</f>
        <v>BLDG4010</v>
      </c>
      <c r="B38" s="2">
        <f>TableSTRUCONMN[[#This Row],[Ver]]</f>
        <v>2</v>
      </c>
      <c r="D38" t="str">
        <f>TableSTRUCONMN[[#This Row],[Structure Line]]</f>
        <v>Integrated Construction Project 1</v>
      </c>
      <c r="E38" s="61">
        <f>TableSTRUCONMN[[#This Row],[Credit Points]]</f>
        <v>25</v>
      </c>
      <c r="F38">
        <v>4</v>
      </c>
      <c r="G38" t="s">
        <v>373</v>
      </c>
      <c r="H38">
        <v>4</v>
      </c>
      <c r="I38" t="s">
        <v>374</v>
      </c>
      <c r="J38" t="s">
        <v>131</v>
      </c>
      <c r="K38">
        <v>2</v>
      </c>
      <c r="L38" t="s">
        <v>382</v>
      </c>
      <c r="M38">
        <v>25</v>
      </c>
      <c r="N38" s="173">
        <v>44927</v>
      </c>
      <c r="O38" s="173"/>
      <c r="Q38" t="s">
        <v>131</v>
      </c>
      <c r="R38">
        <v>1</v>
      </c>
    </row>
    <row r="39" spans="1:18" x14ac:dyDescent="0.25">
      <c r="A39" t="str">
        <f>TableSTRUCONMN[[#This Row],[Study Package Code]]</f>
        <v>BLDG4032</v>
      </c>
      <c r="B39" s="2">
        <f>TableSTRUCONMN[[#This Row],[Ver]]</f>
        <v>1</v>
      </c>
      <c r="D39" t="str">
        <f>TableSTRUCONMN[[#This Row],[Structure Line]]</f>
        <v>Integrated Construction Project 2</v>
      </c>
      <c r="E39" s="61">
        <f>TableSTRUCONMN[[#This Row],[Credit Points]]</f>
        <v>50</v>
      </c>
      <c r="F39">
        <v>5</v>
      </c>
      <c r="G39" t="s">
        <v>373</v>
      </c>
      <c r="H39">
        <v>4</v>
      </c>
      <c r="I39" t="s">
        <v>374</v>
      </c>
      <c r="J39" t="s">
        <v>137</v>
      </c>
      <c r="K39">
        <v>1</v>
      </c>
      <c r="L39" t="s">
        <v>383</v>
      </c>
      <c r="M39">
        <v>50</v>
      </c>
      <c r="N39" s="173">
        <v>43466</v>
      </c>
      <c r="O39" s="173"/>
      <c r="Q39" t="s">
        <v>137</v>
      </c>
      <c r="R39">
        <v>1</v>
      </c>
    </row>
    <row r="40" spans="1:18" x14ac:dyDescent="0.25">
      <c r="A40" t="str">
        <f>TableSTRUCONMN[[#This Row],[Study Package Code]]</f>
        <v>BLDG4011</v>
      </c>
      <c r="B40" s="2">
        <f>TableSTRUCONMN[[#This Row],[Ver]]</f>
        <v>1</v>
      </c>
      <c r="D40" t="str">
        <f>TableSTRUCONMN[[#This Row],[Structure Line]]</f>
        <v>Project Development and Appraisal</v>
      </c>
      <c r="E40" s="61">
        <f>TableSTRUCONMN[[#This Row],[Credit Points]]</f>
        <v>25</v>
      </c>
      <c r="F40">
        <v>6</v>
      </c>
      <c r="G40" t="s">
        <v>373</v>
      </c>
      <c r="H40">
        <v>4</v>
      </c>
      <c r="I40" t="s">
        <v>374</v>
      </c>
      <c r="J40" t="s">
        <v>136</v>
      </c>
      <c r="K40">
        <v>1</v>
      </c>
      <c r="L40" t="s">
        <v>384</v>
      </c>
      <c r="M40">
        <v>25</v>
      </c>
      <c r="N40" s="173">
        <v>42736</v>
      </c>
      <c r="O40" s="173"/>
      <c r="Q40" t="s">
        <v>136</v>
      </c>
      <c r="R40">
        <v>1</v>
      </c>
    </row>
    <row r="41" spans="1:18" x14ac:dyDescent="0.25">
      <c r="A41" t="str">
        <f>TableSTRUCONMN[[#This Row],[Study Package Code]]</f>
        <v>BLDG4027</v>
      </c>
      <c r="B41" s="2">
        <f>TableSTRUCONMN[[#This Row],[Ver]]</f>
        <v>2</v>
      </c>
      <c r="D41" t="str">
        <f>TableSTRUCONMN[[#This Row],[Structure Line]]</f>
        <v>Research in Professional Practice in Construction</v>
      </c>
      <c r="E41" s="61">
        <f>TableSTRUCONMN[[#This Row],[Credit Points]]</f>
        <v>25</v>
      </c>
      <c r="F41">
        <v>7</v>
      </c>
      <c r="G41" t="s">
        <v>373</v>
      </c>
      <c r="H41">
        <v>4</v>
      </c>
      <c r="I41" t="s">
        <v>374</v>
      </c>
      <c r="J41" t="s">
        <v>130</v>
      </c>
      <c r="K41" s="98">
        <v>2</v>
      </c>
      <c r="L41" s="98" t="s">
        <v>385</v>
      </c>
      <c r="M41" s="98">
        <v>25</v>
      </c>
      <c r="N41" s="173">
        <v>43466</v>
      </c>
      <c r="O41" s="173"/>
      <c r="Q41" t="s">
        <v>130</v>
      </c>
      <c r="R41">
        <v>2</v>
      </c>
    </row>
    <row r="42" spans="1:18" x14ac:dyDescent="0.25">
      <c r="B42"/>
      <c r="E42"/>
      <c r="F42" s="57"/>
      <c r="G42" s="58" t="s">
        <v>360</v>
      </c>
      <c r="H42" s="138">
        <v>45292</v>
      </c>
      <c r="I42" s="135"/>
      <c r="J42" s="156" t="s">
        <v>100</v>
      </c>
      <c r="K42" s="139" t="s">
        <v>96</v>
      </c>
      <c r="L42" s="135" t="s">
        <v>99</v>
      </c>
      <c r="M42" s="135"/>
      <c r="N42" s="160" t="s">
        <v>361</v>
      </c>
      <c r="O42" s="161">
        <v>45303</v>
      </c>
    </row>
    <row r="43" spans="1:18" x14ac:dyDescent="0.25">
      <c r="A43" t="s">
        <v>0</v>
      </c>
      <c r="B43" s="2" t="s">
        <v>362</v>
      </c>
      <c r="C43" t="s">
        <v>363</v>
      </c>
      <c r="D43" t="s">
        <v>3</v>
      </c>
      <c r="E43" s="61" t="s">
        <v>364</v>
      </c>
      <c r="F43" t="s">
        <v>365</v>
      </c>
      <c r="G43" t="s">
        <v>366</v>
      </c>
      <c r="H43" t="s">
        <v>367</v>
      </c>
      <c r="I43" t="s">
        <v>25</v>
      </c>
      <c r="J43" t="s">
        <v>368</v>
      </c>
      <c r="K43" t="s">
        <v>1</v>
      </c>
      <c r="L43" t="s">
        <v>50</v>
      </c>
      <c r="M43" t="s">
        <v>64</v>
      </c>
      <c r="N43" t="s">
        <v>369</v>
      </c>
      <c r="O43" t="s">
        <v>370</v>
      </c>
      <c r="Q43" t="s">
        <v>371</v>
      </c>
      <c r="R43" t="s">
        <v>372</v>
      </c>
    </row>
    <row r="44" spans="1:18" x14ac:dyDescent="0.25">
      <c r="A44" t="str">
        <f>TableSTRHCONMN[[#This Row],[Study Package Code]]</f>
        <v>BLDG4007</v>
      </c>
      <c r="B44" s="2">
        <f>TableSTRHCONMN[[#This Row],[Ver]]</f>
        <v>1</v>
      </c>
      <c r="D44" t="str">
        <f>TableSTRHCONMN[[#This Row],[Structure Line]]</f>
        <v>Building Dissertation 1</v>
      </c>
      <c r="E44" s="61">
        <f>TableSTRHCONMN[[#This Row],[Credit Points]]</f>
        <v>25</v>
      </c>
      <c r="F44">
        <v>1</v>
      </c>
      <c r="G44" t="s">
        <v>373</v>
      </c>
      <c r="H44">
        <v>4</v>
      </c>
      <c r="I44" t="s">
        <v>374</v>
      </c>
      <c r="J44" t="s">
        <v>132</v>
      </c>
      <c r="K44">
        <v>1</v>
      </c>
      <c r="L44" t="s">
        <v>386</v>
      </c>
      <c r="M44">
        <v>25</v>
      </c>
      <c r="N44" s="173">
        <v>42005</v>
      </c>
      <c r="O44" s="173"/>
      <c r="Q44" t="s">
        <v>132</v>
      </c>
      <c r="R44">
        <v>1</v>
      </c>
    </row>
    <row r="45" spans="1:18" x14ac:dyDescent="0.25">
      <c r="A45" t="str">
        <f>TableSTRHCONMN[[#This Row],[Study Package Code]]</f>
        <v>BLDG4000</v>
      </c>
      <c r="B45" s="2">
        <f>TableSTRHCONMN[[#This Row],[Ver]]</f>
        <v>1</v>
      </c>
      <c r="D45" t="str">
        <f>TableSTRHCONMN[[#This Row],[Structure Line]]</f>
        <v>Building Dissertation 2</v>
      </c>
      <c r="E45" s="61">
        <f>TableSTRHCONMN[[#This Row],[Credit Points]]</f>
        <v>50</v>
      </c>
      <c r="F45">
        <v>2</v>
      </c>
      <c r="G45" t="s">
        <v>373</v>
      </c>
      <c r="H45">
        <v>4</v>
      </c>
      <c r="I45" t="s">
        <v>374</v>
      </c>
      <c r="J45" t="s">
        <v>138</v>
      </c>
      <c r="K45">
        <v>1</v>
      </c>
      <c r="L45" t="s">
        <v>387</v>
      </c>
      <c r="M45">
        <v>50</v>
      </c>
      <c r="N45" s="173">
        <v>42005</v>
      </c>
      <c r="O45" s="173"/>
      <c r="Q45" t="s">
        <v>138</v>
      </c>
      <c r="R45">
        <v>1</v>
      </c>
    </row>
    <row r="46" spans="1:18" x14ac:dyDescent="0.25">
      <c r="A46" t="str">
        <f>TableSTRHCONMN[[#This Row],[Study Package Code]]</f>
        <v>BLDG4028</v>
      </c>
      <c r="B46" s="2">
        <f>TableSTRHCONMN[[#This Row],[Ver]]</f>
        <v>1</v>
      </c>
      <c r="D46" t="str">
        <f>TableSTRHCONMN[[#This Row],[Structure Line]]</f>
        <v>Contract Administration</v>
      </c>
      <c r="E46" s="61">
        <f>TableSTRHCONMN[[#This Row],[Credit Points]]</f>
        <v>25</v>
      </c>
      <c r="F46">
        <v>3</v>
      </c>
      <c r="G46" t="s">
        <v>373</v>
      </c>
      <c r="H46">
        <v>4</v>
      </c>
      <c r="I46" t="s">
        <v>374</v>
      </c>
      <c r="J46" t="s">
        <v>128</v>
      </c>
      <c r="K46">
        <v>1</v>
      </c>
      <c r="L46" t="s">
        <v>379</v>
      </c>
      <c r="M46">
        <v>25</v>
      </c>
      <c r="N46" s="173">
        <v>43466</v>
      </c>
      <c r="O46" s="173"/>
      <c r="Q46" t="s">
        <v>128</v>
      </c>
      <c r="R46">
        <v>1</v>
      </c>
    </row>
    <row r="47" spans="1:18" x14ac:dyDescent="0.25">
      <c r="A47" t="str">
        <f>TableSTRHCONMN[[#This Row],[Study Package Code]]</f>
        <v>BLDG4034</v>
      </c>
      <c r="B47" s="2">
        <f>TableSTRHCONMN[[#This Row],[Ver]]</f>
        <v>1</v>
      </c>
      <c r="D47" t="str">
        <f>TableSTRHCONMN[[#This Row],[Structure Line]]</f>
        <v>Engineering Measurement</v>
      </c>
      <c r="E47" s="61">
        <f>TableSTRHCONMN[[#This Row],[Credit Points]]</f>
        <v>25</v>
      </c>
      <c r="F47">
        <v>4</v>
      </c>
      <c r="G47" t="s">
        <v>373</v>
      </c>
      <c r="H47">
        <v>4</v>
      </c>
      <c r="I47" t="s">
        <v>374</v>
      </c>
      <c r="J47" t="s">
        <v>129</v>
      </c>
      <c r="K47">
        <v>1</v>
      </c>
      <c r="L47" t="s">
        <v>380</v>
      </c>
      <c r="M47">
        <v>25</v>
      </c>
      <c r="N47" s="173">
        <v>44927</v>
      </c>
      <c r="O47" s="173"/>
      <c r="Q47" t="s">
        <v>129</v>
      </c>
      <c r="R47">
        <v>1</v>
      </c>
    </row>
    <row r="48" spans="1:18" x14ac:dyDescent="0.25">
      <c r="A48" t="str">
        <f>TableSTRHCONMN[[#This Row],[Study Package Code]]</f>
        <v>BLDG4001</v>
      </c>
      <c r="B48" s="2">
        <f>TableSTRHCONMN[[#This Row],[Ver]]</f>
        <v>2</v>
      </c>
      <c r="D48" t="str">
        <f>TableSTRHCONMN[[#This Row],[Structure Line]]</f>
        <v>Facilities and Asset Management</v>
      </c>
      <c r="E48" s="61">
        <f>TableSTRHCONMN[[#This Row],[Credit Points]]</f>
        <v>25</v>
      </c>
      <c r="F48">
        <v>5</v>
      </c>
      <c r="G48" t="s">
        <v>373</v>
      </c>
      <c r="H48">
        <v>4</v>
      </c>
      <c r="I48" t="s">
        <v>374</v>
      </c>
      <c r="J48" t="s">
        <v>134</v>
      </c>
      <c r="K48">
        <v>2</v>
      </c>
      <c r="L48" t="s">
        <v>381</v>
      </c>
      <c r="M48">
        <v>25</v>
      </c>
      <c r="N48" s="173">
        <v>45108</v>
      </c>
      <c r="O48" s="173"/>
      <c r="Q48" t="s">
        <v>134</v>
      </c>
      <c r="R48">
        <v>1</v>
      </c>
    </row>
    <row r="49" spans="1:18" x14ac:dyDescent="0.25">
      <c r="A49" t="str">
        <f>TableSTRHCONMN[[#This Row],[Study Package Code]]</f>
        <v>BLDG4010</v>
      </c>
      <c r="B49" s="2">
        <f>TableSTRHCONMN[[#This Row],[Ver]]</f>
        <v>2</v>
      </c>
      <c r="D49" t="str">
        <f>TableSTRHCONMN[[#This Row],[Structure Line]]</f>
        <v>Integrated Construction Project 1</v>
      </c>
      <c r="E49" s="61">
        <f>TableSTRHCONMN[[#This Row],[Credit Points]]</f>
        <v>25</v>
      </c>
      <c r="F49">
        <v>6</v>
      </c>
      <c r="G49" t="s">
        <v>373</v>
      </c>
      <c r="H49">
        <v>4</v>
      </c>
      <c r="I49" t="s">
        <v>374</v>
      </c>
      <c r="J49" t="s">
        <v>131</v>
      </c>
      <c r="K49">
        <v>2</v>
      </c>
      <c r="L49" t="s">
        <v>382</v>
      </c>
      <c r="M49">
        <v>25</v>
      </c>
      <c r="N49" s="173">
        <v>44927</v>
      </c>
      <c r="O49" s="173"/>
      <c r="Q49" t="s">
        <v>131</v>
      </c>
      <c r="R49">
        <v>1</v>
      </c>
    </row>
    <row r="50" spans="1:18" x14ac:dyDescent="0.25">
      <c r="A50" t="str">
        <f>TableSTRHCONMN[[#This Row],[Study Package Code]]</f>
        <v>BLDG4011</v>
      </c>
      <c r="B50" s="2">
        <f>TableSTRHCONMN[[#This Row],[Ver]]</f>
        <v>1</v>
      </c>
      <c r="D50" t="str">
        <f>TableSTRHCONMN[[#This Row],[Structure Line]]</f>
        <v>Project Development and Appraisal</v>
      </c>
      <c r="E50" s="61">
        <f>TableSTRHCONMN[[#This Row],[Credit Points]]</f>
        <v>25</v>
      </c>
      <c r="F50">
        <v>7</v>
      </c>
      <c r="G50" t="s">
        <v>373</v>
      </c>
      <c r="H50">
        <v>4</v>
      </c>
      <c r="I50" t="s">
        <v>374</v>
      </c>
      <c r="J50" t="s">
        <v>136</v>
      </c>
      <c r="K50" s="98">
        <v>1</v>
      </c>
      <c r="L50" s="98" t="s">
        <v>384</v>
      </c>
      <c r="M50" s="98">
        <v>25</v>
      </c>
      <c r="N50" s="173">
        <v>42736</v>
      </c>
      <c r="O50" s="173"/>
      <c r="Q50" t="s">
        <v>136</v>
      </c>
      <c r="R50">
        <v>1</v>
      </c>
    </row>
    <row r="51" spans="1:18" x14ac:dyDescent="0.25">
      <c r="B51"/>
      <c r="E51"/>
      <c r="F51" s="57"/>
      <c r="G51" s="58" t="s">
        <v>360</v>
      </c>
      <c r="H51" s="59">
        <v>44562</v>
      </c>
      <c r="I51" s="135"/>
      <c r="J51" s="156" t="s">
        <v>108</v>
      </c>
      <c r="K51" s="60" t="s">
        <v>109</v>
      </c>
      <c r="L51" s="135" t="s">
        <v>107</v>
      </c>
      <c r="M51" s="135"/>
      <c r="N51" s="160" t="s">
        <v>361</v>
      </c>
      <c r="O51" s="161">
        <v>45303</v>
      </c>
    </row>
    <row r="52" spans="1:18" x14ac:dyDescent="0.25">
      <c r="A52" t="s">
        <v>0</v>
      </c>
      <c r="B52" s="2" t="s">
        <v>362</v>
      </c>
      <c r="C52" t="s">
        <v>363</v>
      </c>
      <c r="D52" t="s">
        <v>3</v>
      </c>
      <c r="E52" s="61" t="s">
        <v>364</v>
      </c>
      <c r="F52" t="s">
        <v>365</v>
      </c>
      <c r="G52" t="s">
        <v>366</v>
      </c>
      <c r="H52" t="s">
        <v>367</v>
      </c>
      <c r="I52" t="s">
        <v>25</v>
      </c>
      <c r="J52" t="s">
        <v>368</v>
      </c>
      <c r="K52" t="s">
        <v>1</v>
      </c>
      <c r="L52" t="s">
        <v>50</v>
      </c>
      <c r="M52" t="s">
        <v>64</v>
      </c>
      <c r="N52" t="s">
        <v>369</v>
      </c>
      <c r="O52" t="s">
        <v>370</v>
      </c>
      <c r="Q52" t="s">
        <v>371</v>
      </c>
      <c r="R52" t="s">
        <v>372</v>
      </c>
    </row>
    <row r="53" spans="1:18" x14ac:dyDescent="0.25">
      <c r="A53" t="str">
        <f>TableSPUCANGAD[[#This Row],[Study Package Code]]</f>
        <v>GRDE1001</v>
      </c>
      <c r="B53" s="2">
        <f>TableSPUCANGAD[[#This Row],[Ver]]</f>
        <v>1</v>
      </c>
      <c r="D53" t="str">
        <f>TableSPUCANGAD[[#This Row],[Structure Line]]</f>
        <v>Animation Design Introduction</v>
      </c>
      <c r="E53" s="61">
        <f>TableSPUCANGAD[[#This Row],[Credit Points]]</f>
        <v>25</v>
      </c>
      <c r="F53">
        <v>1</v>
      </c>
      <c r="G53" t="s">
        <v>373</v>
      </c>
      <c r="H53">
        <v>1</v>
      </c>
      <c r="I53" t="s">
        <v>374</v>
      </c>
      <c r="J53" t="s">
        <v>150</v>
      </c>
      <c r="K53">
        <v>1</v>
      </c>
      <c r="L53" t="s">
        <v>289</v>
      </c>
      <c r="M53">
        <v>25</v>
      </c>
      <c r="N53" s="173">
        <v>42005</v>
      </c>
      <c r="O53" s="173"/>
      <c r="Q53" t="s">
        <v>150</v>
      </c>
      <c r="R53">
        <v>1</v>
      </c>
    </row>
    <row r="54" spans="1:18" x14ac:dyDescent="0.25">
      <c r="A54" t="str">
        <f>TableSPUCANGAD[[#This Row],[Study Package Code]]</f>
        <v>GRDE1020</v>
      </c>
      <c r="B54" s="2">
        <f>TableSPUCANGAD[[#This Row],[Ver]]</f>
        <v>1</v>
      </c>
      <c r="D54" t="str">
        <f>TableSPUCANGAD[[#This Row],[Structure Line]]</f>
        <v>Game Design Introduction</v>
      </c>
      <c r="E54" s="61">
        <f>TableSPUCANGAD[[#This Row],[Credit Points]]</f>
        <v>25</v>
      </c>
      <c r="F54">
        <v>2</v>
      </c>
      <c r="G54" t="s">
        <v>373</v>
      </c>
      <c r="H54">
        <v>1</v>
      </c>
      <c r="I54" t="s">
        <v>374</v>
      </c>
      <c r="J54" t="s">
        <v>157</v>
      </c>
      <c r="K54">
        <v>1</v>
      </c>
      <c r="L54" t="s">
        <v>290</v>
      </c>
      <c r="M54">
        <v>25</v>
      </c>
      <c r="N54" s="173">
        <v>42736</v>
      </c>
      <c r="O54" s="173"/>
      <c r="Q54" t="s">
        <v>157</v>
      </c>
      <c r="R54">
        <v>1</v>
      </c>
    </row>
    <row r="55" spans="1:18" x14ac:dyDescent="0.25">
      <c r="A55" t="str">
        <f>TableSPUCANGAD[[#This Row],[Study Package Code]]</f>
        <v>GRDE2037</v>
      </c>
      <c r="B55" s="2">
        <f>TableSPUCANGAD[[#This Row],[Ver]]</f>
        <v>2</v>
      </c>
      <c r="D55" t="str">
        <f>TableSPUCANGAD[[#This Row],[Structure Line]]</f>
        <v>3D Level Design</v>
      </c>
      <c r="E55" s="61">
        <f>TableSPUCANGAD[[#This Row],[Credit Points]]</f>
        <v>25</v>
      </c>
      <c r="F55">
        <v>3</v>
      </c>
      <c r="G55" t="s">
        <v>373</v>
      </c>
      <c r="H55">
        <v>2</v>
      </c>
      <c r="I55" t="s">
        <v>374</v>
      </c>
      <c r="J55" t="s">
        <v>164</v>
      </c>
      <c r="K55">
        <v>2</v>
      </c>
      <c r="L55" t="s">
        <v>292</v>
      </c>
      <c r="M55">
        <v>25</v>
      </c>
      <c r="N55" s="173">
        <v>43466</v>
      </c>
      <c r="O55" s="173"/>
      <c r="Q55" t="s">
        <v>164</v>
      </c>
      <c r="R55">
        <v>2</v>
      </c>
    </row>
    <row r="56" spans="1:18" x14ac:dyDescent="0.25">
      <c r="A56" t="str">
        <f>TableSPUCANGAD[[#This Row],[Study Package Code]]</f>
        <v>AltCoreANGAD</v>
      </c>
      <c r="B56" s="2">
        <f>TableSPUCANGAD[[#This Row],[Ver]]</f>
        <v>0</v>
      </c>
      <c r="D56" t="str">
        <f>TableSPUCANGAD[[#This Row],[Structure Line]]</f>
        <v>Choose GRDE3030 or WORK3000</v>
      </c>
      <c r="E56" s="61" t="str">
        <f>TableSPUCANGAD[[#This Row],[Credit Points]]</f>
        <v/>
      </c>
      <c r="F56">
        <v>4</v>
      </c>
      <c r="G56" t="s">
        <v>378</v>
      </c>
      <c r="H56">
        <v>3</v>
      </c>
      <c r="I56" t="s">
        <v>374</v>
      </c>
      <c r="J56" t="s">
        <v>176</v>
      </c>
      <c r="L56" t="s">
        <v>388</v>
      </c>
      <c r="M56" t="s">
        <v>389</v>
      </c>
      <c r="N56" s="173"/>
      <c r="O56" s="173"/>
      <c r="Q56" t="s">
        <v>176</v>
      </c>
    </row>
    <row r="57" spans="1:18" x14ac:dyDescent="0.25">
      <c r="A57" t="str">
        <f>TableSPUCANGAD[[#This Row],[Study Package Code]]</f>
        <v>GRDE3030</v>
      </c>
      <c r="B57" s="2">
        <f>TableSPUCANGAD[[#This Row],[Ver]]</f>
        <v>2</v>
      </c>
      <c r="D57" t="str">
        <f>TableSPUCANGAD[[#This Row],[Structure Line]]</f>
        <v>Industry Project Development</v>
      </c>
      <c r="E57" s="61">
        <f>TableSPUCANGAD[[#This Row],[Credit Points]]</f>
        <v>25</v>
      </c>
      <c r="F57">
        <v>4</v>
      </c>
      <c r="G57" t="s">
        <v>378</v>
      </c>
      <c r="H57">
        <v>3</v>
      </c>
      <c r="I57" t="s">
        <v>374</v>
      </c>
      <c r="J57" t="s">
        <v>181</v>
      </c>
      <c r="K57">
        <v>2</v>
      </c>
      <c r="L57" t="s">
        <v>294</v>
      </c>
      <c r="M57">
        <v>25</v>
      </c>
      <c r="N57" s="173">
        <v>43831</v>
      </c>
      <c r="O57" s="173"/>
      <c r="Q57" t="s">
        <v>181</v>
      </c>
      <c r="R57">
        <v>2</v>
      </c>
    </row>
    <row r="58" spans="1:18" x14ac:dyDescent="0.25">
      <c r="A58" t="str">
        <f>TableSPUCANGAD[[#This Row],[Study Package Code]]</f>
        <v>WORK3000</v>
      </c>
      <c r="B58" s="2">
        <f>TableSPUCANGAD[[#This Row],[Ver]]</f>
        <v>2</v>
      </c>
      <c r="D58" t="str">
        <f>TableSPUCANGAD[[#This Row],[Structure Line]]</f>
        <v>Work Based Project</v>
      </c>
      <c r="E58" s="61">
        <f>TableSPUCANGAD[[#This Row],[Credit Points]]</f>
        <v>25</v>
      </c>
      <c r="F58">
        <v>4</v>
      </c>
      <c r="G58" t="s">
        <v>378</v>
      </c>
      <c r="H58">
        <v>3</v>
      </c>
      <c r="I58" t="s">
        <v>374</v>
      </c>
      <c r="J58" t="s">
        <v>186</v>
      </c>
      <c r="K58">
        <v>2</v>
      </c>
      <c r="L58" t="s">
        <v>390</v>
      </c>
      <c r="M58">
        <v>25</v>
      </c>
      <c r="N58" s="173">
        <v>42736</v>
      </c>
      <c r="O58" s="173"/>
      <c r="Q58" t="s">
        <v>186</v>
      </c>
      <c r="R58">
        <v>2</v>
      </c>
    </row>
    <row r="59" spans="1:18" x14ac:dyDescent="0.25">
      <c r="B59"/>
      <c r="E59"/>
      <c r="F59" s="57"/>
      <c r="G59" s="58" t="s">
        <v>360</v>
      </c>
      <c r="H59" s="59">
        <v>44562</v>
      </c>
      <c r="I59" s="135"/>
      <c r="J59" s="156" t="s">
        <v>113</v>
      </c>
      <c r="K59" s="60" t="s">
        <v>109</v>
      </c>
      <c r="L59" s="135" t="s">
        <v>112</v>
      </c>
      <c r="M59" s="135"/>
      <c r="N59" s="160" t="s">
        <v>361</v>
      </c>
      <c r="O59" s="161">
        <v>45303</v>
      </c>
    </row>
    <row r="60" spans="1:18" x14ac:dyDescent="0.25">
      <c r="A60" t="s">
        <v>0</v>
      </c>
      <c r="B60" s="2" t="s">
        <v>362</v>
      </c>
      <c r="C60" t="s">
        <v>363</v>
      </c>
      <c r="D60" t="s">
        <v>3</v>
      </c>
      <c r="E60" s="61" t="s">
        <v>364</v>
      </c>
      <c r="F60" t="s">
        <v>365</v>
      </c>
      <c r="G60" t="s">
        <v>366</v>
      </c>
      <c r="H60" t="s">
        <v>367</v>
      </c>
      <c r="I60" t="s">
        <v>25</v>
      </c>
      <c r="J60" t="s">
        <v>368</v>
      </c>
      <c r="K60" t="s">
        <v>1</v>
      </c>
      <c r="L60" t="s">
        <v>50</v>
      </c>
      <c r="M60" t="s">
        <v>64</v>
      </c>
      <c r="N60" t="s">
        <v>369</v>
      </c>
      <c r="O60" t="s">
        <v>370</v>
      </c>
      <c r="Q60" t="s">
        <v>371</v>
      </c>
      <c r="R60" t="s">
        <v>372</v>
      </c>
    </row>
    <row r="61" spans="1:18" x14ac:dyDescent="0.25">
      <c r="A61" t="str">
        <f>TableSPUCFINCE[[#This Row],[Study Package Code]]</f>
        <v>FNCE2000</v>
      </c>
      <c r="B61" s="2">
        <f>TableSPUCFINCE[[#This Row],[Ver]]</f>
        <v>1</v>
      </c>
      <c r="D61" t="str">
        <f>TableSPUCFINCE[[#This Row],[Structure Line]]</f>
        <v>Introduction to Finance Principles</v>
      </c>
      <c r="E61" s="61">
        <f>TableSPUCFINCE[[#This Row],[Credit Points]]</f>
        <v>25</v>
      </c>
      <c r="F61">
        <v>1</v>
      </c>
      <c r="G61" t="s">
        <v>373</v>
      </c>
      <c r="H61">
        <v>0</v>
      </c>
      <c r="I61" t="s">
        <v>374</v>
      </c>
      <c r="J61" t="s">
        <v>151</v>
      </c>
      <c r="K61">
        <v>1</v>
      </c>
      <c r="L61" t="s">
        <v>283</v>
      </c>
      <c r="M61">
        <v>25</v>
      </c>
      <c r="N61" s="173">
        <v>42005</v>
      </c>
      <c r="O61" s="173"/>
      <c r="Q61" t="s">
        <v>151</v>
      </c>
      <c r="R61">
        <v>1</v>
      </c>
    </row>
    <row r="62" spans="1:18" x14ac:dyDescent="0.25">
      <c r="A62" t="str">
        <f>TableSPUCFINCE[[#This Row],[Study Package Code]]</f>
        <v>OptionFINCE</v>
      </c>
      <c r="B62" s="2">
        <f>TableSPUCFINCE[[#This Row],[Ver]]</f>
        <v>0</v>
      </c>
      <c r="D62" t="str">
        <f>TableSPUCFINCE[[#This Row],[Structure Line]]</f>
        <v>Choose Applied Finance Specialisation Option</v>
      </c>
      <c r="E62" s="61">
        <f>TableSPUCFINCE[[#This Row],[Credit Points]]</f>
        <v>75</v>
      </c>
      <c r="F62">
        <v>2</v>
      </c>
      <c r="G62" t="s">
        <v>375</v>
      </c>
      <c r="H62">
        <v>0</v>
      </c>
      <c r="I62" t="s">
        <v>374</v>
      </c>
      <c r="J62" t="s">
        <v>165</v>
      </c>
      <c r="K62">
        <v>0</v>
      </c>
      <c r="L62" t="s">
        <v>391</v>
      </c>
      <c r="M62">
        <v>75</v>
      </c>
      <c r="N62" s="173"/>
      <c r="O62" s="173"/>
      <c r="Q62" t="s">
        <v>165</v>
      </c>
      <c r="R62">
        <v>0</v>
      </c>
    </row>
    <row r="63" spans="1:18" x14ac:dyDescent="0.25">
      <c r="A63" t="str">
        <f>TableSPUCFINCE[[#This Row],[Study Package Code]]</f>
        <v>FNCE2003</v>
      </c>
      <c r="B63" s="2">
        <f>TableSPUCFINCE[[#This Row],[Ver]]</f>
        <v>3</v>
      </c>
      <c r="D63" t="str">
        <f>TableSPUCFINCE[[#This Row],[Structure Line]]</f>
        <v>Business Analysis for Investment</v>
      </c>
      <c r="E63" s="61" t="str">
        <f>TableSPUCFINCE[[#This Row],[Credit Points]]</f>
        <v/>
      </c>
      <c r="F63">
        <v>2</v>
      </c>
      <c r="G63" t="s">
        <v>375</v>
      </c>
      <c r="H63">
        <v>0</v>
      </c>
      <c r="I63" t="s">
        <v>374</v>
      </c>
      <c r="J63" t="s">
        <v>170</v>
      </c>
      <c r="K63">
        <v>3</v>
      </c>
      <c r="L63" t="s">
        <v>284</v>
      </c>
      <c r="M63" t="s">
        <v>389</v>
      </c>
      <c r="N63" s="173">
        <v>43282</v>
      </c>
      <c r="O63" s="173"/>
      <c r="Q63" t="s">
        <v>170</v>
      </c>
      <c r="R63">
        <v>3</v>
      </c>
    </row>
    <row r="64" spans="1:18" x14ac:dyDescent="0.25">
      <c r="A64" t="str">
        <f>TableSPUCFINCE[[#This Row],[Study Package Code]]</f>
        <v>FNCE3000</v>
      </c>
      <c r="B64" s="2">
        <f>TableSPUCFINCE[[#This Row],[Ver]]</f>
        <v>1</v>
      </c>
      <c r="D64" t="str">
        <f>TableSPUCFINCE[[#This Row],[Structure Line]]</f>
        <v>Corporate Finance</v>
      </c>
      <c r="E64" s="61">
        <f>TableSPUCFINCE[[#This Row],[Credit Points]]</f>
        <v>25</v>
      </c>
      <c r="F64">
        <v>2</v>
      </c>
      <c r="G64" t="s">
        <v>375</v>
      </c>
      <c r="H64">
        <v>0</v>
      </c>
      <c r="I64" t="s">
        <v>374</v>
      </c>
      <c r="J64" t="s">
        <v>177</v>
      </c>
      <c r="K64">
        <v>1</v>
      </c>
      <c r="L64" t="s">
        <v>285</v>
      </c>
      <c r="M64">
        <v>25</v>
      </c>
      <c r="N64" s="173">
        <v>42005</v>
      </c>
      <c r="O64" s="173"/>
      <c r="Q64" t="s">
        <v>177</v>
      </c>
      <c r="R64">
        <v>1</v>
      </c>
    </row>
    <row r="65" spans="1:18" x14ac:dyDescent="0.25">
      <c r="A65" t="str">
        <f>TableSPUCFINCE[[#This Row],[Study Package Code]]</f>
        <v>FNCE3001</v>
      </c>
      <c r="B65" s="2">
        <f>TableSPUCFINCE[[#This Row],[Ver]]</f>
        <v>1</v>
      </c>
      <c r="D65" t="str">
        <f>TableSPUCFINCE[[#This Row],[Structure Line]]</f>
        <v>Introduction to Financial Instruments and Markets</v>
      </c>
      <c r="E65" s="61">
        <f>TableSPUCFINCE[[#This Row],[Credit Points]]</f>
        <v>25</v>
      </c>
      <c r="F65">
        <v>2</v>
      </c>
      <c r="G65" t="s">
        <v>375</v>
      </c>
      <c r="H65">
        <v>0</v>
      </c>
      <c r="I65" t="s">
        <v>374</v>
      </c>
      <c r="J65" t="s">
        <v>182</v>
      </c>
      <c r="K65">
        <v>1</v>
      </c>
      <c r="L65" t="s">
        <v>287</v>
      </c>
      <c r="M65">
        <v>25</v>
      </c>
      <c r="N65" s="173">
        <v>42005</v>
      </c>
      <c r="O65" s="173"/>
      <c r="Q65" t="s">
        <v>182</v>
      </c>
      <c r="R65">
        <v>1</v>
      </c>
    </row>
    <row r="66" spans="1:18" x14ac:dyDescent="0.25">
      <c r="A66" t="str">
        <f>TableSPUCFINCE[[#This Row],[Study Package Code]]</f>
        <v>FNCE3004</v>
      </c>
      <c r="B66" s="2">
        <f>TableSPUCFINCE[[#This Row],[Ver]]</f>
        <v>1</v>
      </c>
      <c r="D66" t="str">
        <f>TableSPUCFINCE[[#This Row],[Structure Line]]</f>
        <v>International Finance</v>
      </c>
      <c r="E66" s="61">
        <f>TableSPUCFINCE[[#This Row],[Credit Points]]</f>
        <v>25</v>
      </c>
      <c r="F66">
        <v>2</v>
      </c>
      <c r="G66" t="s">
        <v>375</v>
      </c>
      <c r="H66">
        <v>0</v>
      </c>
      <c r="I66" t="s">
        <v>374</v>
      </c>
      <c r="J66" t="s">
        <v>187</v>
      </c>
      <c r="K66">
        <v>1</v>
      </c>
      <c r="L66" t="s">
        <v>288</v>
      </c>
      <c r="M66">
        <v>25</v>
      </c>
      <c r="N66" s="173">
        <v>42005</v>
      </c>
      <c r="O66" s="173"/>
      <c r="Q66" t="s">
        <v>187</v>
      </c>
      <c r="R66">
        <v>1</v>
      </c>
    </row>
    <row r="67" spans="1:18" x14ac:dyDescent="0.25">
      <c r="A67" t="str">
        <f>TableSPUCFINCE[[#This Row],[Study Package Code]]</f>
        <v>INVE3000</v>
      </c>
      <c r="B67" s="2">
        <f>TableSPUCFINCE[[#This Row],[Ver]]</f>
        <v>1</v>
      </c>
      <c r="D67" t="str">
        <f>TableSPUCFINCE[[#This Row],[Structure Line]]</f>
        <v>Introduction to Derivative Securities</v>
      </c>
      <c r="E67" s="61">
        <f>TableSPUCFINCE[[#This Row],[Credit Points]]</f>
        <v>25</v>
      </c>
      <c r="F67">
        <v>2</v>
      </c>
      <c r="G67" t="s">
        <v>375</v>
      </c>
      <c r="H67">
        <v>0</v>
      </c>
      <c r="I67" t="s">
        <v>374</v>
      </c>
      <c r="J67" t="s">
        <v>190</v>
      </c>
      <c r="K67">
        <v>1</v>
      </c>
      <c r="L67" t="s">
        <v>311</v>
      </c>
      <c r="M67">
        <v>25</v>
      </c>
      <c r="N67" s="173">
        <v>42005</v>
      </c>
      <c r="O67" s="173"/>
      <c r="Q67" t="s">
        <v>190</v>
      </c>
      <c r="R67">
        <v>1</v>
      </c>
    </row>
    <row r="68" spans="1:18" x14ac:dyDescent="0.25">
      <c r="A68" t="str">
        <f>TableSPUCFINCE[[#This Row],[Study Package Code]]</f>
        <v>INVE3001</v>
      </c>
      <c r="B68" s="2">
        <f>TableSPUCFINCE[[#This Row],[Ver]]</f>
        <v>2</v>
      </c>
      <c r="D68" t="str">
        <f>TableSPUCFINCE[[#This Row],[Structure Line]]</f>
        <v>Portfolio Management</v>
      </c>
      <c r="E68" s="61">
        <f>TableSPUCFINCE[[#This Row],[Credit Points]]</f>
        <v>25</v>
      </c>
      <c r="F68">
        <v>2</v>
      </c>
      <c r="G68" t="s">
        <v>375</v>
      </c>
      <c r="H68">
        <v>0</v>
      </c>
      <c r="I68" t="s">
        <v>374</v>
      </c>
      <c r="J68" t="s">
        <v>194</v>
      </c>
      <c r="K68">
        <v>2</v>
      </c>
      <c r="L68" t="s">
        <v>313</v>
      </c>
      <c r="M68">
        <v>25</v>
      </c>
      <c r="N68" s="173">
        <v>45108</v>
      </c>
      <c r="O68" s="173"/>
      <c r="Q68" t="s">
        <v>194</v>
      </c>
      <c r="R68">
        <v>1</v>
      </c>
    </row>
    <row r="69" spans="1:18" x14ac:dyDescent="0.25">
      <c r="B69"/>
      <c r="E69"/>
      <c r="F69" s="57"/>
      <c r="G69" s="58" t="s">
        <v>360</v>
      </c>
      <c r="H69" s="138">
        <v>45292</v>
      </c>
      <c r="I69" s="135"/>
      <c r="J69" s="156" t="s">
        <v>115</v>
      </c>
      <c r="K69" s="139" t="s">
        <v>96</v>
      </c>
      <c r="L69" s="135" t="s">
        <v>114</v>
      </c>
      <c r="M69" s="135"/>
      <c r="N69" s="160" t="s">
        <v>361</v>
      </c>
      <c r="O69" s="161">
        <v>45303</v>
      </c>
    </row>
    <row r="70" spans="1:18" x14ac:dyDescent="0.25">
      <c r="A70" t="s">
        <v>0</v>
      </c>
      <c r="B70" s="2" t="s">
        <v>362</v>
      </c>
      <c r="C70" t="s">
        <v>363</v>
      </c>
      <c r="D70" t="s">
        <v>3</v>
      </c>
      <c r="E70" s="61" t="s">
        <v>364</v>
      </c>
      <c r="F70" t="s">
        <v>365</v>
      </c>
      <c r="G70" t="s">
        <v>366</v>
      </c>
      <c r="H70" t="s">
        <v>367</v>
      </c>
      <c r="I70" t="s">
        <v>25</v>
      </c>
      <c r="J70" t="s">
        <v>368</v>
      </c>
      <c r="K70" t="s">
        <v>1</v>
      </c>
      <c r="L70" t="s">
        <v>50</v>
      </c>
      <c r="M70" t="s">
        <v>64</v>
      </c>
      <c r="N70" t="s">
        <v>369</v>
      </c>
      <c r="O70" t="s">
        <v>370</v>
      </c>
      <c r="Q70" t="s">
        <v>371</v>
      </c>
      <c r="R70" t="s">
        <v>372</v>
      </c>
    </row>
    <row r="71" spans="1:18" x14ac:dyDescent="0.25">
      <c r="A71" t="str">
        <f>TableSPUCINARS[[#This Row],[Study Package Code]]</f>
        <v>INAR3020</v>
      </c>
      <c r="B71" s="2">
        <f>TableSPUCINARS[[#This Row],[Ver]]</f>
        <v>1</v>
      </c>
      <c r="D71" t="str">
        <f>TableSPUCINARS[[#This Row],[Structure Line]]</f>
        <v>Furniture Design</v>
      </c>
      <c r="E71" s="61">
        <f>TableSPUCINARS[[#This Row],[Credit Points]]</f>
        <v>25</v>
      </c>
      <c r="F71">
        <v>1</v>
      </c>
      <c r="G71" t="s">
        <v>373</v>
      </c>
      <c r="H71">
        <v>0</v>
      </c>
      <c r="I71" t="s">
        <v>374</v>
      </c>
      <c r="J71" t="s">
        <v>183</v>
      </c>
      <c r="K71">
        <v>1</v>
      </c>
      <c r="L71" t="s">
        <v>392</v>
      </c>
      <c r="M71">
        <v>25</v>
      </c>
      <c r="N71" s="173">
        <v>45292</v>
      </c>
      <c r="O71" s="173"/>
      <c r="Q71" t="s">
        <v>183</v>
      </c>
      <c r="R71">
        <v>1</v>
      </c>
    </row>
    <row r="72" spans="1:18" x14ac:dyDescent="0.25">
      <c r="A72" t="str">
        <f>TableSPUCINARS[[#This Row],[Study Package Code]]</f>
        <v>INAR2022</v>
      </c>
      <c r="B72" s="2">
        <f>TableSPUCINARS[[#This Row],[Ver]]</f>
        <v>1</v>
      </c>
      <c r="D72" t="str">
        <f>TableSPUCINARS[[#This Row],[Structure Line]]</f>
        <v>Philosophy and Practice</v>
      </c>
      <c r="E72" s="61">
        <f>TableSPUCINARS[[#This Row],[Credit Points]]</f>
        <v>25</v>
      </c>
      <c r="F72">
        <v>2</v>
      </c>
      <c r="G72" t="s">
        <v>373</v>
      </c>
      <c r="H72">
        <v>0</v>
      </c>
      <c r="I72" t="s">
        <v>374</v>
      </c>
      <c r="J72" t="s">
        <v>178</v>
      </c>
      <c r="K72">
        <v>1</v>
      </c>
      <c r="L72" t="s">
        <v>307</v>
      </c>
      <c r="M72">
        <v>25</v>
      </c>
      <c r="N72" s="173">
        <v>44562</v>
      </c>
      <c r="O72" s="173"/>
      <c r="Q72" t="s">
        <v>178</v>
      </c>
      <c r="R72">
        <v>1</v>
      </c>
    </row>
    <row r="73" spans="1:18" x14ac:dyDescent="0.25">
      <c r="A73" t="str">
        <f>TableSPUCINARS[[#This Row],[Study Package Code]]</f>
        <v>AltCoreINARS</v>
      </c>
      <c r="B73" s="2">
        <f>TableSPUCINARS[[#This Row],[Ver]]</f>
        <v>0</v>
      </c>
      <c r="D73" t="str">
        <f>TableSPUCINARS[[#This Row],[Structure Line]]</f>
        <v>Choose INAR1012 and INAR1010</v>
      </c>
      <c r="E73" s="61">
        <f>TableSPUCINARS[[#This Row],[Credit Points]]</f>
        <v>25</v>
      </c>
      <c r="F73">
        <v>3</v>
      </c>
      <c r="G73" t="s">
        <v>378</v>
      </c>
      <c r="H73">
        <v>0</v>
      </c>
      <c r="I73" t="s">
        <v>374</v>
      </c>
      <c r="J73" t="s">
        <v>152</v>
      </c>
      <c r="K73">
        <v>0</v>
      </c>
      <c r="L73" t="s">
        <v>393</v>
      </c>
      <c r="M73">
        <v>25</v>
      </c>
      <c r="N73" s="173"/>
      <c r="O73" s="173"/>
      <c r="Q73" t="s">
        <v>152</v>
      </c>
      <c r="R73">
        <v>0</v>
      </c>
    </row>
    <row r="74" spans="1:18" x14ac:dyDescent="0.25">
      <c r="A74" t="str">
        <f>TableSPUCINARS[[#This Row],[Study Package Code]]</f>
        <v>OptionINARS</v>
      </c>
      <c r="B74" s="2">
        <f>TableSPUCINARS[[#This Row],[Ver]]</f>
        <v>0</v>
      </c>
      <c r="D74" t="str">
        <f>TableSPUCINARS[[#This Row],[Structure Line]]</f>
        <v>Choose an Option</v>
      </c>
      <c r="E74" s="61">
        <f>TableSPUCINARS[[#This Row],[Credit Points]]</f>
        <v>25</v>
      </c>
      <c r="F74">
        <v>4</v>
      </c>
      <c r="G74" t="s">
        <v>375</v>
      </c>
      <c r="H74">
        <v>0</v>
      </c>
      <c r="I74" t="s">
        <v>374</v>
      </c>
      <c r="J74" t="s">
        <v>191</v>
      </c>
      <c r="K74">
        <v>0</v>
      </c>
      <c r="L74" t="s">
        <v>394</v>
      </c>
      <c r="M74">
        <v>25</v>
      </c>
      <c r="N74" s="173"/>
      <c r="O74" s="173"/>
      <c r="Q74" t="s">
        <v>191</v>
      </c>
      <c r="R74">
        <v>0</v>
      </c>
    </row>
    <row r="75" spans="1:18" x14ac:dyDescent="0.25">
      <c r="A75" t="str">
        <f>TableSPUCINARS[[#This Row],[Study Package Code]]</f>
        <v>INAR1010</v>
      </c>
      <c r="B75" s="2">
        <f>TableSPUCINARS[[#This Row],[Ver]]</f>
        <v>4</v>
      </c>
      <c r="D75" t="str">
        <f>TableSPUCINARS[[#This Row],[Structure Line]]</f>
        <v>Interior Architecture Studio - Foundation</v>
      </c>
      <c r="E75" s="61">
        <f>TableSPUCINARS[[#This Row],[Credit Points]]</f>
        <v>25</v>
      </c>
      <c r="F75">
        <v>3</v>
      </c>
      <c r="G75" t="s">
        <v>378</v>
      </c>
      <c r="H75">
        <v>0</v>
      </c>
      <c r="I75" t="s">
        <v>374</v>
      </c>
      <c r="J75" t="s">
        <v>159</v>
      </c>
      <c r="K75">
        <v>4</v>
      </c>
      <c r="L75" t="s">
        <v>300</v>
      </c>
      <c r="M75">
        <v>25</v>
      </c>
      <c r="N75" s="173">
        <v>45292</v>
      </c>
      <c r="O75" s="173"/>
      <c r="Q75" t="s">
        <v>159</v>
      </c>
      <c r="R75">
        <v>4</v>
      </c>
    </row>
    <row r="76" spans="1:18" x14ac:dyDescent="0.25">
      <c r="A76" t="str">
        <f>TableSPUCINARS[[#This Row],[Study Package Code]]</f>
        <v>INAR1012</v>
      </c>
      <c r="B76" s="2">
        <f>TableSPUCINARS[[#This Row],[Ver]]</f>
        <v>1</v>
      </c>
      <c r="D76" t="str">
        <f>TableSPUCINARS[[#This Row],[Structure Line]]</f>
        <v>History of the Interior</v>
      </c>
      <c r="E76" s="61">
        <f>TableSPUCINARS[[#This Row],[Credit Points]]</f>
        <v>25</v>
      </c>
      <c r="F76">
        <v>3</v>
      </c>
      <c r="G76" t="s">
        <v>378</v>
      </c>
      <c r="H76">
        <v>0</v>
      </c>
      <c r="I76" t="s">
        <v>374</v>
      </c>
      <c r="J76" t="s">
        <v>166</v>
      </c>
      <c r="K76">
        <v>1</v>
      </c>
      <c r="L76" t="s">
        <v>301</v>
      </c>
      <c r="M76">
        <v>25</v>
      </c>
      <c r="N76" s="173">
        <v>43101</v>
      </c>
      <c r="O76" s="173"/>
      <c r="Q76" t="s">
        <v>166</v>
      </c>
      <c r="R76">
        <v>1</v>
      </c>
    </row>
    <row r="77" spans="1:18" x14ac:dyDescent="0.25">
      <c r="A77" t="str">
        <f>TableSPUCINARS[[#This Row],[Study Package Code]]</f>
        <v>ARCH2012</v>
      </c>
      <c r="B77" s="2">
        <f>TableSPUCINARS[[#This Row],[Ver]]</f>
        <v>1</v>
      </c>
      <c r="D77" t="str">
        <f>TableSPUCINARS[[#This Row],[Structure Line]]</f>
        <v>Built Environment Special Topic</v>
      </c>
      <c r="E77" s="61">
        <f>TableSPUCINARS[[#This Row],[Credit Points]]</f>
        <v>25</v>
      </c>
      <c r="F77">
        <v>4</v>
      </c>
      <c r="G77" t="s">
        <v>375</v>
      </c>
      <c r="H77">
        <v>0</v>
      </c>
      <c r="I77" t="s">
        <v>374</v>
      </c>
      <c r="J77" t="s">
        <v>200</v>
      </c>
      <c r="K77">
        <v>1</v>
      </c>
      <c r="L77" t="s">
        <v>395</v>
      </c>
      <c r="M77">
        <v>25</v>
      </c>
      <c r="N77" s="173">
        <v>42005</v>
      </c>
      <c r="O77" s="173"/>
      <c r="Q77" t="s">
        <v>200</v>
      </c>
      <c r="R77">
        <v>1</v>
      </c>
    </row>
    <row r="78" spans="1:18" x14ac:dyDescent="0.25">
      <c r="A78" t="str">
        <f>TableSPUCINARS[[#This Row],[Study Package Code]]</f>
        <v>ARCH3001</v>
      </c>
      <c r="B78" s="2">
        <f>TableSPUCINARS[[#This Row],[Ver]]</f>
        <v>1</v>
      </c>
      <c r="D78" t="str">
        <f>TableSPUCINARS[[#This Row],[Structure Line]]</f>
        <v>Special Topics in Architecture Construction and Planning</v>
      </c>
      <c r="E78" s="61">
        <f>TableSPUCINARS[[#This Row],[Credit Points]]</f>
        <v>25</v>
      </c>
      <c r="F78">
        <v>4</v>
      </c>
      <c r="G78" t="s">
        <v>375</v>
      </c>
      <c r="H78">
        <v>0</v>
      </c>
      <c r="I78" t="s">
        <v>374</v>
      </c>
      <c r="J78" t="s">
        <v>202</v>
      </c>
      <c r="K78">
        <v>1</v>
      </c>
      <c r="L78" t="s">
        <v>396</v>
      </c>
      <c r="M78">
        <v>25</v>
      </c>
      <c r="N78" s="173">
        <v>42005</v>
      </c>
      <c r="O78" s="173"/>
      <c r="Q78" t="s">
        <v>202</v>
      </c>
      <c r="R78">
        <v>1</v>
      </c>
    </row>
    <row r="79" spans="1:18" x14ac:dyDescent="0.25">
      <c r="A79" t="str">
        <f>TableSPUCINARS[[#This Row],[Study Package Code]]</f>
        <v>INAR2012</v>
      </c>
      <c r="B79" s="2">
        <f>TableSPUCINARS[[#This Row],[Ver]]</f>
        <v>4</v>
      </c>
      <c r="D79" t="str">
        <f>TableSPUCINARS[[#This Row],[Structure Line]]</f>
        <v>Interior Architecture Studio – Community</v>
      </c>
      <c r="E79" s="61">
        <f>TableSPUCINARS[[#This Row],[Credit Points]]</f>
        <v>25</v>
      </c>
      <c r="F79">
        <v>4</v>
      </c>
      <c r="G79" t="s">
        <v>375</v>
      </c>
      <c r="H79">
        <v>0</v>
      </c>
      <c r="I79" t="s">
        <v>374</v>
      </c>
      <c r="J79" t="s">
        <v>195</v>
      </c>
      <c r="K79">
        <v>4</v>
      </c>
      <c r="L79" t="s">
        <v>302</v>
      </c>
      <c r="M79">
        <v>25</v>
      </c>
      <c r="N79" s="173">
        <v>45292</v>
      </c>
      <c r="O79" s="173"/>
      <c r="Q79" t="s">
        <v>195</v>
      </c>
      <c r="R79">
        <v>4</v>
      </c>
    </row>
    <row r="80" spans="1:18" x14ac:dyDescent="0.25">
      <c r="A80" t="str">
        <f>TableSPUCINARS[[#This Row],[Study Package Code]]</f>
        <v>INAR2024</v>
      </c>
      <c r="B80" s="2">
        <f>TableSPUCINARS[[#This Row],[Ver]]</f>
        <v>1</v>
      </c>
      <c r="D80" t="str">
        <f>TableSPUCINARS[[#This Row],[Structure Line]]</f>
        <v>Design Fabrication</v>
      </c>
      <c r="E80" s="61">
        <f>TableSPUCINARS[[#This Row],[Credit Points]]</f>
        <v>25</v>
      </c>
      <c r="F80">
        <v>4</v>
      </c>
      <c r="G80" t="s">
        <v>375</v>
      </c>
      <c r="H80">
        <v>0</v>
      </c>
      <c r="I80" t="s">
        <v>374</v>
      </c>
      <c r="J80" t="s">
        <v>198</v>
      </c>
      <c r="K80">
        <v>1</v>
      </c>
      <c r="L80" t="s">
        <v>308</v>
      </c>
      <c r="M80">
        <v>25</v>
      </c>
      <c r="N80" s="173">
        <v>45292</v>
      </c>
      <c r="O80" s="173"/>
      <c r="Q80" t="s">
        <v>198</v>
      </c>
      <c r="R80">
        <v>1</v>
      </c>
    </row>
    <row r="81" spans="1:18" x14ac:dyDescent="0.25">
      <c r="A81" t="str">
        <f>TableSPUCINARS[[#This Row],[Study Package Code]]</f>
        <v>URDE3005</v>
      </c>
      <c r="B81" s="2">
        <f>TableSPUCINARS[[#This Row],[Ver]]</f>
        <v>1</v>
      </c>
      <c r="D81" t="str">
        <f>TableSPUCINARS[[#This Row],[Structure Line]]</f>
        <v>Special Topics in Urban &amp; Regional Planning</v>
      </c>
      <c r="E81" s="61">
        <f>TableSPUCINARS[[#This Row],[Credit Points]]</f>
        <v>25</v>
      </c>
      <c r="F81">
        <v>4</v>
      </c>
      <c r="G81" t="s">
        <v>375</v>
      </c>
      <c r="H81">
        <v>0</v>
      </c>
      <c r="I81" t="s">
        <v>374</v>
      </c>
      <c r="J81" t="s">
        <v>204</v>
      </c>
      <c r="K81">
        <v>1</v>
      </c>
      <c r="L81" t="s">
        <v>397</v>
      </c>
      <c r="M81">
        <v>25</v>
      </c>
      <c r="N81" s="173">
        <v>42005</v>
      </c>
      <c r="O81" s="173"/>
      <c r="Q81" t="s">
        <v>204</v>
      </c>
      <c r="R81">
        <v>1</v>
      </c>
    </row>
    <row r="82" spans="1:18" x14ac:dyDescent="0.25">
      <c r="A82" t="str">
        <f>TableSPUCINARS[[#This Row],[Study Package Code]]</f>
        <v>WORK2001</v>
      </c>
      <c r="B82" s="2">
        <f>TableSPUCINARS[[#This Row],[Ver]]</f>
        <v>1</v>
      </c>
      <c r="D82" t="str">
        <f>TableSPUCINARS[[#This Row],[Structure Line]]</f>
        <v>Balance of the Planet</v>
      </c>
      <c r="E82" s="61">
        <f>TableSPUCINARS[[#This Row],[Credit Points]]</f>
        <v>25</v>
      </c>
      <c r="F82">
        <v>4</v>
      </c>
      <c r="G82" t="s">
        <v>375</v>
      </c>
      <c r="H82">
        <v>0</v>
      </c>
      <c r="I82" t="s">
        <v>374</v>
      </c>
      <c r="J82" t="s">
        <v>206</v>
      </c>
      <c r="K82">
        <v>1</v>
      </c>
      <c r="L82" t="s">
        <v>398</v>
      </c>
      <c r="M82">
        <v>25</v>
      </c>
      <c r="N82" s="173">
        <v>44743</v>
      </c>
      <c r="O82" s="173"/>
      <c r="Q82" t="s">
        <v>206</v>
      </c>
      <c r="R82">
        <v>1</v>
      </c>
    </row>
    <row r="83" spans="1:18" x14ac:dyDescent="0.25">
      <c r="A83" t="str">
        <f>TableSPUCINARS[[#This Row],[Study Package Code]]</f>
        <v>WORK2002</v>
      </c>
      <c r="B83" s="2">
        <f>TableSPUCINARS[[#This Row],[Ver]]</f>
        <v>1</v>
      </c>
      <c r="D83" t="str">
        <f>TableSPUCINARS[[#This Row],[Structure Line]]</f>
        <v>Sustainability and Innovation Foundations</v>
      </c>
      <c r="E83" s="61">
        <f>TableSPUCINARS[[#This Row],[Credit Points]]</f>
        <v>25</v>
      </c>
      <c r="F83">
        <v>4</v>
      </c>
      <c r="G83" t="s">
        <v>375</v>
      </c>
      <c r="H83">
        <v>0</v>
      </c>
      <c r="I83" t="s">
        <v>374</v>
      </c>
      <c r="J83" t="s">
        <v>208</v>
      </c>
      <c r="K83">
        <v>1</v>
      </c>
      <c r="L83" t="s">
        <v>399</v>
      </c>
      <c r="M83">
        <v>25</v>
      </c>
      <c r="N83" s="173">
        <v>44562</v>
      </c>
      <c r="O83" s="173"/>
      <c r="Q83" t="s">
        <v>208</v>
      </c>
      <c r="R83">
        <v>1</v>
      </c>
    </row>
    <row r="84" spans="1:18" x14ac:dyDescent="0.25">
      <c r="A84" t="str">
        <f>TableSPUCINARS[[#This Row],[Study Package Code]]</f>
        <v>WORK2003</v>
      </c>
      <c r="B84" s="2">
        <f>TableSPUCINARS[[#This Row],[Ver]]</f>
        <v>1</v>
      </c>
      <c r="D84" t="str">
        <f>TableSPUCINARS[[#This Row],[Structure Line]]</f>
        <v>Regional Industry Placement 2</v>
      </c>
      <c r="E84" s="61">
        <f>TableSPUCINARS[[#This Row],[Credit Points]]</f>
        <v>25</v>
      </c>
      <c r="F84">
        <v>4</v>
      </c>
      <c r="G84" t="s">
        <v>375</v>
      </c>
      <c r="H84">
        <v>0</v>
      </c>
      <c r="I84" t="s">
        <v>374</v>
      </c>
      <c r="J84" t="s">
        <v>210</v>
      </c>
      <c r="K84">
        <v>1</v>
      </c>
      <c r="L84" t="s">
        <v>400</v>
      </c>
      <c r="M84">
        <v>25</v>
      </c>
      <c r="N84" s="173">
        <v>44562</v>
      </c>
      <c r="O84" s="173"/>
      <c r="Q84" t="s">
        <v>210</v>
      </c>
      <c r="R84">
        <v>1</v>
      </c>
    </row>
    <row r="85" spans="1:18" x14ac:dyDescent="0.25">
      <c r="A85" t="str">
        <f>TableSPUCINARS[[#This Row],[Study Package Code]]</f>
        <v>WORK2005</v>
      </c>
      <c r="B85" s="2">
        <f>TableSPUCINARS[[#This Row],[Ver]]</f>
        <v>1</v>
      </c>
      <c r="D85" t="str">
        <f>TableSPUCINARS[[#This Row],[Structure Line]]</f>
        <v>Go Global - Internship 2</v>
      </c>
      <c r="E85" s="61">
        <f>TableSPUCINARS[[#This Row],[Credit Points]]</f>
        <v>25</v>
      </c>
      <c r="F85">
        <v>4</v>
      </c>
      <c r="G85" t="s">
        <v>375</v>
      </c>
      <c r="H85">
        <v>0</v>
      </c>
      <c r="I85" t="s">
        <v>374</v>
      </c>
      <c r="J85" t="s">
        <v>212</v>
      </c>
      <c r="K85">
        <v>1</v>
      </c>
      <c r="L85" t="s">
        <v>401</v>
      </c>
      <c r="M85">
        <v>25</v>
      </c>
      <c r="N85" s="173">
        <v>44743</v>
      </c>
      <c r="O85" s="173"/>
      <c r="Q85" t="s">
        <v>212</v>
      </c>
      <c r="R85">
        <v>1</v>
      </c>
    </row>
    <row r="86" spans="1:18" x14ac:dyDescent="0.25">
      <c r="A86" t="str">
        <f>TableSPUCINARS[[#This Row],[Study Package Code]]</f>
        <v>WORK3000</v>
      </c>
      <c r="B86" s="2">
        <f>TableSPUCINARS[[#This Row],[Ver]]</f>
        <v>2</v>
      </c>
      <c r="D86" t="str">
        <f>TableSPUCINARS[[#This Row],[Structure Line]]</f>
        <v>Work Based Project</v>
      </c>
      <c r="E86" s="61">
        <f>TableSPUCINARS[[#This Row],[Credit Points]]</f>
        <v>25</v>
      </c>
      <c r="F86">
        <v>4</v>
      </c>
      <c r="G86" t="s">
        <v>375</v>
      </c>
      <c r="H86">
        <v>0</v>
      </c>
      <c r="I86" t="s">
        <v>374</v>
      </c>
      <c r="J86" t="s">
        <v>186</v>
      </c>
      <c r="K86">
        <v>2</v>
      </c>
      <c r="L86" t="s">
        <v>390</v>
      </c>
      <c r="M86">
        <v>25</v>
      </c>
      <c r="N86" s="173">
        <v>42736</v>
      </c>
      <c r="O86" s="173"/>
      <c r="Q86" t="s">
        <v>186</v>
      </c>
      <c r="R86">
        <v>2</v>
      </c>
    </row>
    <row r="87" spans="1:18" x14ac:dyDescent="0.25">
      <c r="A87" t="str">
        <f>TableSPUCINARS[[#This Row],[Study Package Code]]</f>
        <v>WORK3004</v>
      </c>
      <c r="B87" s="2">
        <f>TableSPUCINARS[[#This Row],[Ver]]</f>
        <v>1</v>
      </c>
      <c r="D87" t="str">
        <f>TableSPUCINARS[[#This Row],[Structure Line]]</f>
        <v>Go Practice - Internship</v>
      </c>
      <c r="E87" s="61">
        <f>TableSPUCINARS[[#This Row],[Credit Points]]</f>
        <v>25</v>
      </c>
      <c r="F87">
        <v>4</v>
      </c>
      <c r="G87" t="s">
        <v>375</v>
      </c>
      <c r="H87">
        <v>0</v>
      </c>
      <c r="I87" t="s">
        <v>374</v>
      </c>
      <c r="J87" t="s">
        <v>215</v>
      </c>
      <c r="K87">
        <v>1</v>
      </c>
      <c r="L87" t="s">
        <v>402</v>
      </c>
      <c r="M87">
        <v>25</v>
      </c>
      <c r="N87" s="173">
        <v>44562</v>
      </c>
      <c r="O87" s="173"/>
      <c r="Q87" t="s">
        <v>215</v>
      </c>
      <c r="R87">
        <v>1</v>
      </c>
    </row>
    <row r="88" spans="1:18" x14ac:dyDescent="0.25">
      <c r="A88" t="str">
        <f>TableSPUCINARS[[#This Row],[Study Package Code]]</f>
        <v>WORK3006</v>
      </c>
      <c r="B88" s="2">
        <f>TableSPUCINARS[[#This Row],[Ver]]</f>
        <v>1</v>
      </c>
      <c r="D88" t="str">
        <f>TableSPUCINARS[[#This Row],[Structure Line]]</f>
        <v>Go Global - Internship 4</v>
      </c>
      <c r="E88" s="61">
        <f>TableSPUCINARS[[#This Row],[Credit Points]]</f>
        <v>25</v>
      </c>
      <c r="F88">
        <v>4</v>
      </c>
      <c r="G88" t="s">
        <v>375</v>
      </c>
      <c r="H88">
        <v>0</v>
      </c>
      <c r="I88" t="s">
        <v>374</v>
      </c>
      <c r="J88" t="s">
        <v>217</v>
      </c>
      <c r="K88">
        <v>1</v>
      </c>
      <c r="L88" t="s">
        <v>403</v>
      </c>
      <c r="M88">
        <v>25</v>
      </c>
      <c r="N88" s="173">
        <v>44743</v>
      </c>
      <c r="O88" s="173"/>
      <c r="Q88" t="s">
        <v>217</v>
      </c>
      <c r="R88">
        <v>1</v>
      </c>
    </row>
    <row r="89" spans="1:18" x14ac:dyDescent="0.25">
      <c r="B89"/>
      <c r="E89"/>
      <c r="F89" s="57"/>
      <c r="G89" s="58" t="s">
        <v>360</v>
      </c>
      <c r="H89" s="59">
        <v>44197</v>
      </c>
      <c r="I89" s="135"/>
      <c r="J89" s="156" t="s">
        <v>118</v>
      </c>
      <c r="K89" s="60" t="s">
        <v>109</v>
      </c>
      <c r="L89" s="135" t="s">
        <v>117</v>
      </c>
      <c r="M89" s="135"/>
      <c r="N89" s="160" t="s">
        <v>361</v>
      </c>
      <c r="O89" s="161">
        <v>45303</v>
      </c>
    </row>
    <row r="90" spans="1:18" x14ac:dyDescent="0.25">
      <c r="A90" t="s">
        <v>0</v>
      </c>
      <c r="B90" s="2" t="s">
        <v>362</v>
      </c>
      <c r="C90" t="s">
        <v>363</v>
      </c>
      <c r="D90" t="s">
        <v>3</v>
      </c>
      <c r="E90" s="61" t="s">
        <v>364</v>
      </c>
      <c r="F90" t="s">
        <v>365</v>
      </c>
      <c r="G90" t="s">
        <v>366</v>
      </c>
      <c r="H90" t="s">
        <v>367</v>
      </c>
      <c r="I90" t="s">
        <v>25</v>
      </c>
      <c r="J90" t="s">
        <v>368</v>
      </c>
      <c r="K90" t="s">
        <v>1</v>
      </c>
      <c r="L90" t="s">
        <v>50</v>
      </c>
      <c r="M90" t="s">
        <v>64</v>
      </c>
      <c r="N90" t="s">
        <v>369</v>
      </c>
      <c r="O90" t="s">
        <v>370</v>
      </c>
      <c r="Q90" t="s">
        <v>371</v>
      </c>
      <c r="R90" t="s">
        <v>372</v>
      </c>
    </row>
    <row r="91" spans="1:18" x14ac:dyDescent="0.25">
      <c r="A91" t="str">
        <f>TableSPUCINENT[[#This Row],[Study Package Code]]</f>
        <v>MGMT3007</v>
      </c>
      <c r="B91" s="2">
        <f>TableSPUCINENT[[#This Row],[Ver]]</f>
        <v>1</v>
      </c>
      <c r="D91" t="str">
        <f>TableSPUCINENT[[#This Row],[Structure Line]]</f>
        <v>Management of Innovation</v>
      </c>
      <c r="E91" s="61">
        <f>TableSPUCINENT[[#This Row],[Credit Points]]</f>
        <v>25</v>
      </c>
      <c r="F91">
        <v>1</v>
      </c>
      <c r="G91" t="s">
        <v>373</v>
      </c>
      <c r="H91">
        <v>0</v>
      </c>
      <c r="I91" t="s">
        <v>374</v>
      </c>
      <c r="J91" t="s">
        <v>160</v>
      </c>
      <c r="K91">
        <v>1</v>
      </c>
      <c r="L91" t="s">
        <v>321</v>
      </c>
      <c r="M91">
        <v>25</v>
      </c>
      <c r="N91" s="173">
        <v>42005</v>
      </c>
      <c r="O91" s="173"/>
      <c r="Q91" t="s">
        <v>160</v>
      </c>
      <c r="R91">
        <v>1</v>
      </c>
    </row>
    <row r="92" spans="1:18" x14ac:dyDescent="0.25">
      <c r="A92" t="str">
        <f>TableSPUCINENT[[#This Row],[Study Package Code]]</f>
        <v>MGMT3004</v>
      </c>
      <c r="B92" s="2">
        <f>TableSPUCINENT[[#This Row],[Ver]]</f>
        <v>1</v>
      </c>
      <c r="D92" t="str">
        <f>TableSPUCINENT[[#This Row],[Structure Line]]</f>
        <v>Entrepreneurship</v>
      </c>
      <c r="E92" s="61">
        <f>TableSPUCINENT[[#This Row],[Credit Points]]</f>
        <v>25</v>
      </c>
      <c r="F92">
        <v>2</v>
      </c>
      <c r="G92" t="s">
        <v>373</v>
      </c>
      <c r="H92">
        <v>0</v>
      </c>
      <c r="I92" t="s">
        <v>374</v>
      </c>
      <c r="J92" t="s">
        <v>153</v>
      </c>
      <c r="K92">
        <v>1</v>
      </c>
      <c r="L92" t="s">
        <v>320</v>
      </c>
      <c r="M92">
        <v>25</v>
      </c>
      <c r="N92" s="173">
        <v>42005</v>
      </c>
      <c r="O92" s="173"/>
      <c r="Q92" t="s">
        <v>153</v>
      </c>
      <c r="R92">
        <v>1</v>
      </c>
    </row>
    <row r="93" spans="1:18" x14ac:dyDescent="0.25">
      <c r="A93" t="str">
        <f>TableSPUCINENT[[#This Row],[Study Package Code]]</f>
        <v>OptionINENT</v>
      </c>
      <c r="B93" s="2">
        <f>TableSPUCINENT[[#This Row],[Ver]]</f>
        <v>0</v>
      </c>
      <c r="D93" t="str">
        <f>TableSPUCINENT[[#This Row],[Structure Line]]</f>
        <v>Choose Innovation and Entrepreneurship Specialisation Option</v>
      </c>
      <c r="E93" s="61">
        <f>TableSPUCINENT[[#This Row],[Credit Points]]</f>
        <v>50</v>
      </c>
      <c r="F93">
        <v>3</v>
      </c>
      <c r="G93" t="s">
        <v>375</v>
      </c>
      <c r="H93">
        <v>0</v>
      </c>
      <c r="I93" t="s">
        <v>374</v>
      </c>
      <c r="J93" t="s">
        <v>172</v>
      </c>
      <c r="K93">
        <v>0</v>
      </c>
      <c r="L93" t="s">
        <v>404</v>
      </c>
      <c r="M93">
        <v>50</v>
      </c>
      <c r="N93" s="173"/>
      <c r="O93" s="173"/>
      <c r="Q93" t="s">
        <v>172</v>
      </c>
      <c r="R93">
        <v>0</v>
      </c>
    </row>
    <row r="94" spans="1:18" x14ac:dyDescent="0.25">
      <c r="A94" t="str">
        <f>TableSPUCINENT[[#This Row],[Study Package Code]]</f>
        <v>GRDE2008</v>
      </c>
      <c r="B94" s="2">
        <f>TableSPUCINENT[[#This Row],[Ver]]</f>
        <v>3</v>
      </c>
      <c r="D94" t="str">
        <f>TableSPUCINENT[[#This Row],[Structure Line]]</f>
        <v>Design Thinking and Visual Narrative</v>
      </c>
      <c r="E94" s="61" t="str">
        <f>TableSPUCINENT[[#This Row],[Credit Points]]</f>
        <v/>
      </c>
      <c r="F94">
        <v>3</v>
      </c>
      <c r="G94" t="s">
        <v>375</v>
      </c>
      <c r="H94">
        <v>0</v>
      </c>
      <c r="I94" t="s">
        <v>374</v>
      </c>
      <c r="J94" t="s">
        <v>179</v>
      </c>
      <c r="K94">
        <v>3</v>
      </c>
      <c r="L94" t="s">
        <v>291</v>
      </c>
      <c r="M94" t="s">
        <v>389</v>
      </c>
      <c r="N94" s="173">
        <v>43831</v>
      </c>
      <c r="O94" s="173"/>
      <c r="Q94" t="s">
        <v>179</v>
      </c>
      <c r="R94">
        <v>3</v>
      </c>
    </row>
    <row r="95" spans="1:18" x14ac:dyDescent="0.25">
      <c r="A95" t="str">
        <f>TableSPUCINENT[[#This Row],[Study Package Code]]</f>
        <v>MGMT2004</v>
      </c>
      <c r="B95" s="2">
        <f>TableSPUCINENT[[#This Row],[Ver]]</f>
        <v>2</v>
      </c>
      <c r="D95" t="str">
        <f>TableSPUCINENT[[#This Row],[Structure Line]]</f>
        <v>Business and Sustainable Development</v>
      </c>
      <c r="E95" s="61">
        <f>TableSPUCINENT[[#This Row],[Credit Points]]</f>
        <v>25</v>
      </c>
      <c r="F95">
        <v>3</v>
      </c>
      <c r="G95" t="s">
        <v>375</v>
      </c>
      <c r="H95">
        <v>0</v>
      </c>
      <c r="I95" t="s">
        <v>374</v>
      </c>
      <c r="J95" t="s">
        <v>184</v>
      </c>
      <c r="K95">
        <v>2</v>
      </c>
      <c r="L95" t="s">
        <v>316</v>
      </c>
      <c r="M95">
        <v>25</v>
      </c>
      <c r="N95" s="173">
        <v>42736</v>
      </c>
      <c r="O95" s="173"/>
      <c r="Q95" t="s">
        <v>184</v>
      </c>
      <c r="R95">
        <v>2</v>
      </c>
    </row>
    <row r="96" spans="1:18" x14ac:dyDescent="0.25">
      <c r="A96" t="str">
        <f>TableSPUCINENT[[#This Row],[Study Package Code]]</f>
        <v>MGMT3002</v>
      </c>
      <c r="B96" s="2">
        <f>TableSPUCINENT[[#This Row],[Ver]]</f>
        <v>1</v>
      </c>
      <c r="D96" t="str">
        <f>TableSPUCINENT[[#This Row],[Structure Line]]</f>
        <v>Managing Change</v>
      </c>
      <c r="E96" s="61">
        <f>TableSPUCINENT[[#This Row],[Credit Points]]</f>
        <v>25</v>
      </c>
      <c r="F96">
        <v>3</v>
      </c>
      <c r="G96" t="s">
        <v>375</v>
      </c>
      <c r="H96">
        <v>0</v>
      </c>
      <c r="I96" t="s">
        <v>374</v>
      </c>
      <c r="J96" t="s">
        <v>192</v>
      </c>
      <c r="K96">
        <v>1</v>
      </c>
      <c r="L96" t="s">
        <v>318</v>
      </c>
      <c r="M96">
        <v>25</v>
      </c>
      <c r="N96" s="173">
        <v>42005</v>
      </c>
      <c r="O96" s="173"/>
      <c r="Q96" t="s">
        <v>192</v>
      </c>
      <c r="R96">
        <v>1</v>
      </c>
    </row>
    <row r="97" spans="1:18" x14ac:dyDescent="0.25">
      <c r="A97" t="str">
        <f>TableSPUCINENT[[#This Row],[Study Package Code]]</f>
        <v>MGMT3011</v>
      </c>
      <c r="B97" s="2">
        <f>TableSPUCINENT[[#This Row],[Ver]]</f>
        <v>1</v>
      </c>
      <c r="D97" t="str">
        <f>TableSPUCINENT[[#This Row],[Structure Line]]</f>
        <v>Managing Operations</v>
      </c>
      <c r="E97" s="61">
        <f>TableSPUCINENT[[#This Row],[Credit Points]]</f>
        <v>25</v>
      </c>
      <c r="F97">
        <v>3</v>
      </c>
      <c r="G97" t="s">
        <v>375</v>
      </c>
      <c r="H97">
        <v>0</v>
      </c>
      <c r="I97" t="s">
        <v>374</v>
      </c>
      <c r="J97" t="s">
        <v>196</v>
      </c>
      <c r="K97">
        <v>1</v>
      </c>
      <c r="L97" t="s">
        <v>322</v>
      </c>
      <c r="M97">
        <v>25</v>
      </c>
      <c r="N97" s="173">
        <v>42005</v>
      </c>
      <c r="O97" s="173"/>
      <c r="Q97" t="s">
        <v>196</v>
      </c>
      <c r="R97">
        <v>1</v>
      </c>
    </row>
    <row r="98" spans="1:18" x14ac:dyDescent="0.25">
      <c r="A98" t="str">
        <f>TableSPUCINENT[[#This Row],[Study Package Code]]</f>
        <v>MKTG2008</v>
      </c>
      <c r="B98" s="2">
        <f>TableSPUCINENT[[#This Row],[Ver]]</f>
        <v>2</v>
      </c>
      <c r="D98" t="str">
        <f>TableSPUCINENT[[#This Row],[Structure Line]]</f>
        <v>Digital Interactive Prototyping in Marketing</v>
      </c>
      <c r="E98" s="61">
        <f>TableSPUCINENT[[#This Row],[Credit Points]]</f>
        <v>25</v>
      </c>
      <c r="F98">
        <v>3</v>
      </c>
      <c r="G98" t="s">
        <v>375</v>
      </c>
      <c r="H98">
        <v>0</v>
      </c>
      <c r="I98" t="s">
        <v>374</v>
      </c>
      <c r="J98" t="s">
        <v>188</v>
      </c>
      <c r="K98">
        <v>2</v>
      </c>
      <c r="L98" t="s">
        <v>326</v>
      </c>
      <c r="M98">
        <v>25</v>
      </c>
      <c r="N98" s="173">
        <v>45292</v>
      </c>
      <c r="O98" s="173"/>
      <c r="Q98" t="s">
        <v>188</v>
      </c>
      <c r="R98">
        <v>1</v>
      </c>
    </row>
    <row r="99" spans="1:18" x14ac:dyDescent="0.25">
      <c r="B99"/>
      <c r="E99"/>
      <c r="F99" s="57"/>
      <c r="G99" s="58" t="s">
        <v>360</v>
      </c>
      <c r="H99" s="138">
        <v>45292</v>
      </c>
      <c r="I99" s="135"/>
      <c r="J99" s="156" t="s">
        <v>121</v>
      </c>
      <c r="K99" s="139" t="s">
        <v>122</v>
      </c>
      <c r="L99" s="135" t="s">
        <v>120</v>
      </c>
      <c r="M99" s="135"/>
      <c r="N99" s="160" t="s">
        <v>361</v>
      </c>
      <c r="O99" s="161">
        <v>45303</v>
      </c>
    </row>
    <row r="100" spans="1:18" x14ac:dyDescent="0.25">
      <c r="A100" t="s">
        <v>0</v>
      </c>
      <c r="B100" s="2" t="s">
        <v>362</v>
      </c>
      <c r="C100" t="s">
        <v>363</v>
      </c>
      <c r="D100" t="s">
        <v>3</v>
      </c>
      <c r="E100" s="61" t="s">
        <v>364</v>
      </c>
      <c r="F100" t="s">
        <v>365</v>
      </c>
      <c r="G100" t="s">
        <v>366</v>
      </c>
      <c r="H100" t="s">
        <v>367</v>
      </c>
      <c r="I100" t="s">
        <v>25</v>
      </c>
      <c r="J100" t="s">
        <v>368</v>
      </c>
      <c r="K100" t="s">
        <v>1</v>
      </c>
      <c r="L100" t="s">
        <v>50</v>
      </c>
      <c r="M100" t="s">
        <v>64</v>
      </c>
      <c r="N100" t="s">
        <v>369</v>
      </c>
      <c r="O100" t="s">
        <v>370</v>
      </c>
      <c r="Q100" t="s">
        <v>371</v>
      </c>
      <c r="R100" t="s">
        <v>372</v>
      </c>
    </row>
    <row r="101" spans="1:18" x14ac:dyDescent="0.25">
      <c r="A101" t="str">
        <f>TableSPUCPROPT[[#This Row],[Study Package Code]]</f>
        <v>PROP2001</v>
      </c>
      <c r="B101" s="2">
        <f>TableSPUCPROPT[[#This Row],[Ver]]</f>
        <v>2</v>
      </c>
      <c r="D101" t="str">
        <f>TableSPUCPROPT[[#This Row],[Structure Line]]</f>
        <v>Property Economics and Policy</v>
      </c>
      <c r="E101" s="61">
        <f>TableSPUCPROPT[[#This Row],[Credit Points]]</f>
        <v>25</v>
      </c>
      <c r="F101">
        <v>1</v>
      </c>
      <c r="G101" t="s">
        <v>373</v>
      </c>
      <c r="H101">
        <v>0</v>
      </c>
      <c r="I101" t="s">
        <v>374</v>
      </c>
      <c r="J101" t="s">
        <v>154</v>
      </c>
      <c r="K101">
        <v>2</v>
      </c>
      <c r="L101" t="s">
        <v>332</v>
      </c>
      <c r="M101">
        <v>25</v>
      </c>
      <c r="N101" s="173">
        <v>44562</v>
      </c>
      <c r="O101" s="173"/>
      <c r="Q101" t="s">
        <v>236</v>
      </c>
      <c r="R101">
        <v>0</v>
      </c>
    </row>
    <row r="102" spans="1:18" x14ac:dyDescent="0.25">
      <c r="A102" t="str">
        <f>TableSPUCPROPT[[#This Row],[Study Package Code]]</f>
        <v>PROP2002</v>
      </c>
      <c r="B102" s="2">
        <f>TableSPUCPROPT[[#This Row],[Ver]]</f>
        <v>2</v>
      </c>
      <c r="D102" t="str">
        <f>TableSPUCPROPT[[#This Row],[Structure Line]]</f>
        <v>Introduction to Property Markets</v>
      </c>
      <c r="E102" s="61">
        <f>TableSPUCPROPT[[#This Row],[Credit Points]]</f>
        <v>25</v>
      </c>
      <c r="F102">
        <v>2</v>
      </c>
      <c r="G102" t="s">
        <v>373</v>
      </c>
      <c r="H102">
        <v>0</v>
      </c>
      <c r="I102" t="s">
        <v>374</v>
      </c>
      <c r="J102" t="s">
        <v>161</v>
      </c>
      <c r="K102">
        <v>2</v>
      </c>
      <c r="L102" t="s">
        <v>333</v>
      </c>
      <c r="M102">
        <v>25</v>
      </c>
      <c r="N102" s="173">
        <v>44562</v>
      </c>
      <c r="O102" s="173"/>
      <c r="Q102" t="s">
        <v>167</v>
      </c>
      <c r="R102">
        <v>1</v>
      </c>
    </row>
    <row r="103" spans="1:18" x14ac:dyDescent="0.25">
      <c r="A103" t="str">
        <f>TableSPUCPROPT[[#This Row],[Study Package Code]]</f>
        <v>PROP3000</v>
      </c>
      <c r="B103" s="2">
        <f>TableSPUCPROPT[[#This Row],[Ver]]</f>
        <v>1</v>
      </c>
      <c r="D103" t="str">
        <f>TableSPUCPROPT[[#This Row],[Structure Line]]</f>
        <v>Property Investment Analysis</v>
      </c>
      <c r="E103" s="61">
        <f>TableSPUCPROPT[[#This Row],[Credit Points]]</f>
        <v>25</v>
      </c>
      <c r="F103">
        <v>3</v>
      </c>
      <c r="G103" t="s">
        <v>373</v>
      </c>
      <c r="H103">
        <v>0</v>
      </c>
      <c r="I103" t="s">
        <v>374</v>
      </c>
      <c r="J103" t="s">
        <v>167</v>
      </c>
      <c r="K103">
        <v>1</v>
      </c>
      <c r="L103" t="s">
        <v>334</v>
      </c>
      <c r="M103">
        <v>25</v>
      </c>
      <c r="N103" s="173">
        <v>42005</v>
      </c>
      <c r="O103" s="173"/>
      <c r="Q103" t="s">
        <v>331</v>
      </c>
      <c r="R103">
        <v>0</v>
      </c>
    </row>
    <row r="104" spans="1:18" x14ac:dyDescent="0.25">
      <c r="A104" t="str">
        <f>TableSPUCPROPT[[#This Row],[Study Package Code]]</f>
        <v>PROP3002</v>
      </c>
      <c r="B104" s="2">
        <f>TableSPUCPROPT[[#This Row],[Ver]]</f>
        <v>2</v>
      </c>
      <c r="D104" t="str">
        <f>TableSPUCPROPT[[#This Row],[Structure Line]]</f>
        <v>Property Finance and Capital Markets</v>
      </c>
      <c r="E104" s="61">
        <f>TableSPUCPROPT[[#This Row],[Credit Points]]</f>
        <v>25</v>
      </c>
      <c r="F104">
        <v>4</v>
      </c>
      <c r="G104" t="s">
        <v>373</v>
      </c>
      <c r="H104">
        <v>0</v>
      </c>
      <c r="I104" t="s">
        <v>374</v>
      </c>
      <c r="J104" t="s">
        <v>173</v>
      </c>
      <c r="K104">
        <v>2</v>
      </c>
      <c r="L104" t="s">
        <v>335</v>
      </c>
      <c r="M104">
        <v>25</v>
      </c>
      <c r="N104" s="173">
        <v>44562</v>
      </c>
      <c r="O104" s="173"/>
      <c r="Q104" t="s">
        <v>154</v>
      </c>
      <c r="R104">
        <v>2</v>
      </c>
    </row>
    <row r="105" spans="1:18" x14ac:dyDescent="0.25">
      <c r="A105">
        <f>TableSPUCPROPT[[#This Row],[Study Package Code]]</f>
        <v>0</v>
      </c>
      <c r="B105" s="2">
        <f>TableSPUCPROPT[[#This Row],[Ver]]</f>
        <v>0</v>
      </c>
      <c r="D105">
        <f>TableSPUCPROPT[[#This Row],[Structure Line]]</f>
        <v>0</v>
      </c>
      <c r="E105" s="61">
        <f>TableSPUCPROPT[[#This Row],[Credit Points]]</f>
        <v>0</v>
      </c>
      <c r="N105" s="173"/>
      <c r="O105" s="173"/>
      <c r="Q105" t="s">
        <v>161</v>
      </c>
      <c r="R105">
        <v>2</v>
      </c>
    </row>
    <row r="106" spans="1:18" x14ac:dyDescent="0.25">
      <c r="A106">
        <f>TableSPUCPROPT[[#This Row],[Study Package Code]]</f>
        <v>0</v>
      </c>
      <c r="B106" s="2">
        <f>TableSPUCPROPT[[#This Row],[Ver]]</f>
        <v>0</v>
      </c>
      <c r="D106">
        <f>TableSPUCPROPT[[#This Row],[Structure Line]]</f>
        <v>0</v>
      </c>
      <c r="E106" s="61">
        <f>TableSPUCPROPT[[#This Row],[Credit Points]]</f>
        <v>0</v>
      </c>
      <c r="N106" s="173"/>
      <c r="O106" s="173"/>
      <c r="Q106" t="s">
        <v>154</v>
      </c>
      <c r="R106">
        <v>2</v>
      </c>
    </row>
    <row r="107" spans="1:18" x14ac:dyDescent="0.25">
      <c r="A107">
        <f>TableSPUCPROPT[[#This Row],[Study Package Code]]</f>
        <v>0</v>
      </c>
      <c r="B107" s="2">
        <f>TableSPUCPROPT[[#This Row],[Ver]]</f>
        <v>0</v>
      </c>
      <c r="D107">
        <f>TableSPUCPROPT[[#This Row],[Structure Line]]</f>
        <v>0</v>
      </c>
      <c r="E107" s="61">
        <f>TableSPUCPROPT[[#This Row],[Credit Points]]</f>
        <v>0</v>
      </c>
      <c r="N107" s="173"/>
      <c r="O107" s="173"/>
      <c r="Q107" t="s">
        <v>405</v>
      </c>
      <c r="R107">
        <v>2</v>
      </c>
    </row>
    <row r="108" spans="1:18" x14ac:dyDescent="0.25">
      <c r="A108">
        <f>TableSPUCPROPT[[#This Row],[Study Package Code]]</f>
        <v>0</v>
      </c>
      <c r="B108" s="2">
        <f>TableSPUCPROPT[[#This Row],[Ver]]</f>
        <v>0</v>
      </c>
      <c r="D108">
        <f>TableSPUCPROPT[[#This Row],[Structure Line]]</f>
        <v>0</v>
      </c>
      <c r="E108" s="61">
        <f>TableSPUCPROPT[[#This Row],[Credit Points]]</f>
        <v>0</v>
      </c>
      <c r="N108" s="173"/>
      <c r="O108" s="173"/>
      <c r="Q108" t="s">
        <v>173</v>
      </c>
      <c r="R108">
        <v>2</v>
      </c>
    </row>
    <row r="109" spans="1:18" x14ac:dyDescent="0.25">
      <c r="B109"/>
      <c r="E109"/>
      <c r="F109" s="57"/>
      <c r="G109" s="58" t="s">
        <v>360</v>
      </c>
      <c r="H109" s="59">
        <v>44197</v>
      </c>
      <c r="I109" s="135"/>
      <c r="J109" s="156" t="s">
        <v>125</v>
      </c>
      <c r="K109" s="60" t="s">
        <v>109</v>
      </c>
      <c r="L109" s="135" t="s">
        <v>124</v>
      </c>
      <c r="M109" s="135"/>
      <c r="N109" s="160" t="s">
        <v>361</v>
      </c>
      <c r="O109" s="161">
        <v>45303</v>
      </c>
    </row>
    <row r="110" spans="1:18" x14ac:dyDescent="0.25">
      <c r="A110" t="s">
        <v>0</v>
      </c>
      <c r="B110" s="2" t="s">
        <v>362</v>
      </c>
      <c r="C110" t="s">
        <v>363</v>
      </c>
      <c r="D110" t="s">
        <v>3</v>
      </c>
      <c r="E110" s="61" t="s">
        <v>364</v>
      </c>
      <c r="F110" t="s">
        <v>365</v>
      </c>
      <c r="G110" t="s">
        <v>366</v>
      </c>
      <c r="H110" t="s">
        <v>367</v>
      </c>
      <c r="I110" t="s">
        <v>25</v>
      </c>
      <c r="J110" t="s">
        <v>368</v>
      </c>
      <c r="K110" t="s">
        <v>1</v>
      </c>
      <c r="L110" t="s">
        <v>50</v>
      </c>
      <c r="M110" t="s">
        <v>64</v>
      </c>
      <c r="N110" t="s">
        <v>369</v>
      </c>
      <c r="O110" t="s">
        <v>370</v>
      </c>
      <c r="Q110" t="s">
        <v>371</v>
      </c>
      <c r="R110" t="s">
        <v>372</v>
      </c>
    </row>
    <row r="111" spans="1:18" x14ac:dyDescent="0.25">
      <c r="A111" t="str">
        <f>TableSPUCURDES[[#This Row],[Study Package Code]]</f>
        <v>URDE1002</v>
      </c>
      <c r="B111" s="2">
        <f>TableSPUCURDES[[#This Row],[Ver]]</f>
        <v>1</v>
      </c>
      <c r="D111" t="str">
        <f>TableSPUCURDES[[#This Row],[Structure Line]]</f>
        <v>Planning Graphics and Design</v>
      </c>
      <c r="E111" s="61">
        <f>TableSPUCURDES[[#This Row],[Credit Points]]</f>
        <v>25</v>
      </c>
      <c r="F111">
        <v>1</v>
      </c>
      <c r="G111" t="s">
        <v>373</v>
      </c>
      <c r="H111">
        <v>0</v>
      </c>
      <c r="I111" t="s">
        <v>374</v>
      </c>
      <c r="J111" t="s">
        <v>155</v>
      </c>
      <c r="K111">
        <v>1</v>
      </c>
      <c r="L111" t="s">
        <v>347</v>
      </c>
      <c r="M111">
        <v>25</v>
      </c>
      <c r="N111" s="173">
        <v>42005</v>
      </c>
      <c r="O111" s="173"/>
      <c r="Q111" t="s">
        <v>155</v>
      </c>
      <c r="R111">
        <v>1</v>
      </c>
    </row>
    <row r="112" spans="1:18" x14ac:dyDescent="0.25">
      <c r="A112" t="str">
        <f>TableSPUCURDES[[#This Row],[Study Package Code]]</f>
        <v>URDE1010</v>
      </c>
      <c r="B112" s="2">
        <f>TableSPUCURDES[[#This Row],[Ver]]</f>
        <v>1</v>
      </c>
      <c r="D112" t="str">
        <f>TableSPUCURDES[[#This Row],[Structure Line]]</f>
        <v>Urban Transport Systems</v>
      </c>
      <c r="E112" s="61">
        <f>TableSPUCURDES[[#This Row],[Credit Points]]</f>
        <v>25</v>
      </c>
      <c r="F112">
        <v>2</v>
      </c>
      <c r="G112" t="s">
        <v>373</v>
      </c>
      <c r="H112">
        <v>0</v>
      </c>
      <c r="I112" t="s">
        <v>374</v>
      </c>
      <c r="J112" t="s">
        <v>162</v>
      </c>
      <c r="K112">
        <v>1</v>
      </c>
      <c r="L112" t="s">
        <v>348</v>
      </c>
      <c r="M112">
        <v>25</v>
      </c>
      <c r="N112" s="173">
        <v>44197</v>
      </c>
      <c r="O112" s="173"/>
      <c r="Q112" t="s">
        <v>162</v>
      </c>
      <c r="R112">
        <v>1</v>
      </c>
    </row>
    <row r="113" spans="1:18" x14ac:dyDescent="0.25">
      <c r="A113" t="str">
        <f>TableSPUCURDES[[#This Row],[Study Package Code]]</f>
        <v>URDE2007</v>
      </c>
      <c r="B113" s="2">
        <f>TableSPUCURDES[[#This Row],[Ver]]</f>
        <v>1</v>
      </c>
      <c r="D113" t="str">
        <f>TableSPUCURDES[[#This Row],[Structure Line]]</f>
        <v>Site Planning</v>
      </c>
      <c r="E113" s="61">
        <f>TableSPUCURDES[[#This Row],[Credit Points]]</f>
        <v>25</v>
      </c>
      <c r="F113">
        <v>3</v>
      </c>
      <c r="G113" t="s">
        <v>373</v>
      </c>
      <c r="H113">
        <v>0</v>
      </c>
      <c r="I113" t="s">
        <v>374</v>
      </c>
      <c r="J113" t="s">
        <v>174</v>
      </c>
      <c r="K113">
        <v>1</v>
      </c>
      <c r="L113" t="s">
        <v>349</v>
      </c>
      <c r="M113">
        <v>25</v>
      </c>
      <c r="N113" s="173">
        <v>42005</v>
      </c>
      <c r="O113" s="173"/>
      <c r="Q113" t="s">
        <v>174</v>
      </c>
      <c r="R113">
        <v>1</v>
      </c>
    </row>
    <row r="114" spans="1:18" x14ac:dyDescent="0.25">
      <c r="A114" t="str">
        <f>TableSPUCURDES[[#This Row],[Study Package Code]]</f>
        <v>URDE3002</v>
      </c>
      <c r="B114" s="2">
        <f>TableSPUCURDES[[#This Row],[Ver]]</f>
        <v>1</v>
      </c>
      <c r="D114" t="str">
        <f>TableSPUCURDES[[#This Row],[Structure Line]]</f>
        <v>Urban Regeneration</v>
      </c>
      <c r="E114" s="61">
        <f>TableSPUCURDES[[#This Row],[Credit Points]]</f>
        <v>25</v>
      </c>
      <c r="F114">
        <v>4</v>
      </c>
      <c r="G114" t="s">
        <v>373</v>
      </c>
      <c r="H114">
        <v>0</v>
      </c>
      <c r="I114" t="s">
        <v>374</v>
      </c>
      <c r="J114" t="s">
        <v>168</v>
      </c>
      <c r="K114">
        <v>1</v>
      </c>
      <c r="L114" t="s">
        <v>350</v>
      </c>
      <c r="M114">
        <v>25</v>
      </c>
      <c r="N114" s="173">
        <v>42005</v>
      </c>
      <c r="O114" s="173"/>
      <c r="Q114" t="s">
        <v>168</v>
      </c>
      <c r="R114">
        <v>1</v>
      </c>
    </row>
  </sheetData>
  <conditionalFormatting sqref="O77:O88 O101:O108 O3:O32">
    <cfRule type="notContainsBlanks" dxfId="75" priority="36">
      <formula>LEN(TRIM(O3))&gt;0</formula>
    </cfRule>
  </conditionalFormatting>
  <conditionalFormatting sqref="O35:O41">
    <cfRule type="notContainsBlanks" dxfId="74" priority="35">
      <formula>LEN(TRIM(O35))&gt;0</formula>
    </cfRule>
  </conditionalFormatting>
  <conditionalFormatting sqref="O44:O50">
    <cfRule type="notContainsBlanks" dxfId="73" priority="34">
      <formula>LEN(TRIM(O44))&gt;0</formula>
    </cfRule>
  </conditionalFormatting>
  <conditionalFormatting sqref="O53:O58">
    <cfRule type="notContainsBlanks" dxfId="72" priority="33">
      <formula>LEN(TRIM(O53))&gt;0</formula>
    </cfRule>
  </conditionalFormatting>
  <conditionalFormatting sqref="O61:O68">
    <cfRule type="notContainsBlanks" dxfId="71" priority="32">
      <formula>LEN(TRIM(O61))&gt;0</formula>
    </cfRule>
  </conditionalFormatting>
  <conditionalFormatting sqref="O71:O88">
    <cfRule type="notContainsBlanks" dxfId="70" priority="31">
      <formula>LEN(TRIM(O71))&gt;0</formula>
    </cfRule>
  </conditionalFormatting>
  <conditionalFormatting sqref="O92:O97">
    <cfRule type="notContainsBlanks" dxfId="69" priority="30">
      <formula>LEN(TRIM(O92))&gt;0</formula>
    </cfRule>
  </conditionalFormatting>
  <conditionalFormatting sqref="O98">
    <cfRule type="notContainsBlanks" dxfId="68" priority="29">
      <formula>LEN(TRIM(O98))&gt;0</formula>
    </cfRule>
  </conditionalFormatting>
  <conditionalFormatting sqref="O91">
    <cfRule type="notContainsBlanks" dxfId="67" priority="28">
      <formula>LEN(TRIM(O91))&gt;0</formula>
    </cfRule>
  </conditionalFormatting>
  <conditionalFormatting sqref="O111:O114">
    <cfRule type="notContainsBlanks" dxfId="66" priority="26">
      <formula>LEN(TRIM(O111))&gt;0</formula>
    </cfRule>
  </conditionalFormatting>
  <conditionalFormatting sqref="Q3:R32">
    <cfRule type="expression" dxfId="65" priority="25">
      <formula>Q3&lt;&gt;J3</formula>
    </cfRule>
  </conditionalFormatting>
  <conditionalFormatting sqref="Q35:R41">
    <cfRule type="expression" dxfId="64" priority="10">
      <formula>Q35&lt;&gt;J35</formula>
    </cfRule>
  </conditionalFormatting>
  <conditionalFormatting sqref="Q44:R50">
    <cfRule type="expression" dxfId="63" priority="9">
      <formula>Q44&lt;&gt;J44</formula>
    </cfRule>
  </conditionalFormatting>
  <conditionalFormatting sqref="Q53:R58">
    <cfRule type="expression" dxfId="62" priority="8">
      <formula>Q53&lt;&gt;J53</formula>
    </cfRule>
  </conditionalFormatting>
  <conditionalFormatting sqref="Q61:R68">
    <cfRule type="expression" dxfId="61" priority="7">
      <formula>Q61&lt;&gt;J61</formula>
    </cfRule>
  </conditionalFormatting>
  <conditionalFormatting sqref="Q101:R108">
    <cfRule type="expression" dxfId="60" priority="2">
      <formula>Q101&lt;&gt;J101</formula>
    </cfRule>
  </conditionalFormatting>
  <conditionalFormatting sqref="Q111:R114">
    <cfRule type="expression" dxfId="59" priority="1">
      <formula>Q111&lt;&gt;J111</formula>
    </cfRule>
  </conditionalFormatting>
  <conditionalFormatting sqref="Q71:R88">
    <cfRule type="expression" dxfId="58" priority="4">
      <formula>Q71&lt;&gt;J71</formula>
    </cfRule>
  </conditionalFormatting>
  <conditionalFormatting sqref="Q91:R98">
    <cfRule type="expression" dxfId="57" priority="3">
      <formula>Q91&lt;&gt;J91</formula>
    </cfRule>
  </conditionalFormatting>
  <pageMargins left="0.7" right="0.7" top="0.75" bottom="0.75" header="0.3" footer="0.3"/>
  <pageSetup paperSize="9"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zoomScale="85" zoomScaleNormal="85" workbookViewId="0">
      <selection activeCell="A34" sqref="A34"/>
    </sheetView>
  </sheetViews>
  <sheetFormatPr defaultRowHeight="15.75" x14ac:dyDescent="0.25"/>
  <cols>
    <col min="1" max="1" width="39.625" bestFit="1" customWidth="1"/>
    <col min="2" max="2" width="12.75" bestFit="1" customWidth="1"/>
    <col min="3" max="3" width="8.5" bestFit="1" customWidth="1"/>
    <col min="4" max="4" width="10.625" bestFit="1" customWidth="1"/>
    <col min="5" max="5" width="9.5" bestFit="1" customWidth="1"/>
    <col min="6" max="6" width="17" customWidth="1"/>
    <col min="7" max="7" width="10.375" bestFit="1" customWidth="1"/>
  </cols>
  <sheetData>
    <row r="1" spans="1:7" x14ac:dyDescent="0.25">
      <c r="F1" s="146" t="s">
        <v>406</v>
      </c>
      <c r="G1" s="147">
        <v>45306</v>
      </c>
    </row>
    <row r="2" spans="1:7" x14ac:dyDescent="0.25">
      <c r="B2" t="s">
        <v>221</v>
      </c>
      <c r="D2" t="s">
        <v>222</v>
      </c>
    </row>
    <row r="3" spans="1:7" x14ac:dyDescent="0.25">
      <c r="A3" t="s">
        <v>407</v>
      </c>
      <c r="B3" t="s">
        <v>408</v>
      </c>
      <c r="C3" t="s">
        <v>409</v>
      </c>
      <c r="D3" t="s">
        <v>410</v>
      </c>
      <c r="E3" t="s">
        <v>411</v>
      </c>
    </row>
    <row r="4" spans="1:7" x14ac:dyDescent="0.25">
      <c r="A4" t="s">
        <v>77</v>
      </c>
      <c r="D4">
        <v>1</v>
      </c>
    </row>
    <row r="5" spans="1:7" x14ac:dyDescent="0.25">
      <c r="A5" t="s">
        <v>61</v>
      </c>
      <c r="B5">
        <v>1</v>
      </c>
    </row>
    <row r="6" spans="1:7" x14ac:dyDescent="0.25">
      <c r="A6" t="s">
        <v>75</v>
      </c>
      <c r="D6">
        <v>1</v>
      </c>
    </row>
    <row r="7" spans="1:7" x14ac:dyDescent="0.25">
      <c r="A7" t="s">
        <v>67</v>
      </c>
      <c r="B7">
        <v>1</v>
      </c>
    </row>
    <row r="8" spans="1:7" x14ac:dyDescent="0.25">
      <c r="A8" t="s">
        <v>71</v>
      </c>
      <c r="B8">
        <v>1</v>
      </c>
    </row>
    <row r="9" spans="1:7" x14ac:dyDescent="0.25">
      <c r="A9" t="s">
        <v>74</v>
      </c>
      <c r="D9">
        <v>1</v>
      </c>
    </row>
    <row r="10" spans="1:7" x14ac:dyDescent="0.25">
      <c r="A10" t="s">
        <v>80</v>
      </c>
      <c r="D10">
        <v>1</v>
      </c>
    </row>
    <row r="11" spans="1:7" x14ac:dyDescent="0.25">
      <c r="A11" t="s">
        <v>98</v>
      </c>
      <c r="D11">
        <v>1</v>
      </c>
    </row>
    <row r="12" spans="1:7" x14ac:dyDescent="0.25">
      <c r="A12" t="s">
        <v>85</v>
      </c>
      <c r="B12">
        <v>1</v>
      </c>
    </row>
    <row r="13" spans="1:7" x14ac:dyDescent="0.25">
      <c r="A13" t="s">
        <v>93</v>
      </c>
      <c r="D13">
        <v>1</v>
      </c>
    </row>
    <row r="14" spans="1:7" x14ac:dyDescent="0.25">
      <c r="A14" t="s">
        <v>88</v>
      </c>
      <c r="B14">
        <v>1</v>
      </c>
    </row>
    <row r="15" spans="1:7" x14ac:dyDescent="0.25">
      <c r="A15" t="s">
        <v>89</v>
      </c>
      <c r="B15">
        <v>1</v>
      </c>
    </row>
    <row r="16" spans="1:7" x14ac:dyDescent="0.25">
      <c r="A16" t="s">
        <v>101</v>
      </c>
      <c r="D16">
        <v>1</v>
      </c>
    </row>
    <row r="17" spans="1:5" x14ac:dyDescent="0.25">
      <c r="A17" t="s">
        <v>111</v>
      </c>
      <c r="B17">
        <v>1</v>
      </c>
    </row>
    <row r="18" spans="1:5" x14ac:dyDescent="0.25">
      <c r="A18" t="s">
        <v>106</v>
      </c>
      <c r="B18">
        <v>1</v>
      </c>
    </row>
    <row r="19" spans="1:5" x14ac:dyDescent="0.25">
      <c r="A19" t="s">
        <v>104</v>
      </c>
      <c r="B19">
        <v>1</v>
      </c>
    </row>
    <row r="20" spans="1:5" x14ac:dyDescent="0.25">
      <c r="A20" t="s">
        <v>138</v>
      </c>
      <c r="D20">
        <v>1</v>
      </c>
    </row>
    <row r="21" spans="1:5" x14ac:dyDescent="0.25">
      <c r="A21" t="s">
        <v>134</v>
      </c>
      <c r="D21">
        <v>1</v>
      </c>
    </row>
    <row r="22" spans="1:5" x14ac:dyDescent="0.25">
      <c r="A22" t="s">
        <v>132</v>
      </c>
      <c r="B22">
        <v>1</v>
      </c>
    </row>
    <row r="23" spans="1:5" x14ac:dyDescent="0.25">
      <c r="A23" t="s">
        <v>131</v>
      </c>
      <c r="B23">
        <v>1</v>
      </c>
    </row>
    <row r="24" spans="1:5" x14ac:dyDescent="0.25">
      <c r="A24" t="s">
        <v>136</v>
      </c>
      <c r="D24">
        <v>1</v>
      </c>
    </row>
    <row r="25" spans="1:5" x14ac:dyDescent="0.25">
      <c r="A25" t="s">
        <v>130</v>
      </c>
      <c r="B25">
        <v>1</v>
      </c>
    </row>
    <row r="26" spans="1:5" x14ac:dyDescent="0.25">
      <c r="A26" t="s">
        <v>128</v>
      </c>
      <c r="B26">
        <v>1</v>
      </c>
    </row>
    <row r="27" spans="1:5" x14ac:dyDescent="0.25">
      <c r="A27" t="s">
        <v>137</v>
      </c>
      <c r="D27">
        <v>1</v>
      </c>
    </row>
    <row r="28" spans="1:5" x14ac:dyDescent="0.25">
      <c r="A28" t="s">
        <v>129</v>
      </c>
      <c r="B28">
        <v>1</v>
      </c>
    </row>
    <row r="29" spans="1:5" x14ac:dyDescent="0.25">
      <c r="A29" t="s">
        <v>57</v>
      </c>
      <c r="B29">
        <v>1</v>
      </c>
      <c r="C29">
        <v>1</v>
      </c>
      <c r="D29">
        <v>2</v>
      </c>
      <c r="E29">
        <v>1</v>
      </c>
    </row>
    <row r="30" spans="1:5" x14ac:dyDescent="0.25">
      <c r="A30" t="s">
        <v>151</v>
      </c>
      <c r="B30">
        <v>1</v>
      </c>
      <c r="C30">
        <v>1</v>
      </c>
      <c r="D30">
        <v>1</v>
      </c>
      <c r="E30">
        <v>1</v>
      </c>
    </row>
    <row r="31" spans="1:5" x14ac:dyDescent="0.25">
      <c r="A31" t="s">
        <v>170</v>
      </c>
      <c r="D31">
        <v>1</v>
      </c>
      <c r="E31">
        <v>1</v>
      </c>
    </row>
    <row r="32" spans="1:5" x14ac:dyDescent="0.25">
      <c r="A32" t="s">
        <v>177</v>
      </c>
      <c r="B32">
        <v>1</v>
      </c>
      <c r="C32">
        <v>1</v>
      </c>
      <c r="D32">
        <v>1</v>
      </c>
      <c r="E32">
        <v>1</v>
      </c>
    </row>
    <row r="33" spans="1:5" x14ac:dyDescent="0.25">
      <c r="A33" t="s">
        <v>182</v>
      </c>
      <c r="B33">
        <v>1</v>
      </c>
      <c r="C33">
        <v>1</v>
      </c>
      <c r="D33">
        <v>1</v>
      </c>
      <c r="E33">
        <v>1</v>
      </c>
    </row>
    <row r="34" spans="1:5" x14ac:dyDescent="0.25">
      <c r="A34" t="s">
        <v>187</v>
      </c>
      <c r="B34">
        <v>1</v>
      </c>
      <c r="C34">
        <v>1</v>
      </c>
      <c r="D34">
        <v>1</v>
      </c>
      <c r="E34">
        <v>1</v>
      </c>
    </row>
    <row r="35" spans="1:5" x14ac:dyDescent="0.25">
      <c r="A35" t="s">
        <v>150</v>
      </c>
      <c r="B35">
        <v>1</v>
      </c>
      <c r="D35">
        <v>1</v>
      </c>
    </row>
    <row r="36" spans="1:5" x14ac:dyDescent="0.25">
      <c r="A36" t="s">
        <v>157</v>
      </c>
      <c r="D36">
        <v>1</v>
      </c>
    </row>
    <row r="37" spans="1:5" x14ac:dyDescent="0.25">
      <c r="A37" t="s">
        <v>179</v>
      </c>
      <c r="D37">
        <v>1</v>
      </c>
    </row>
    <row r="38" spans="1:5" x14ac:dyDescent="0.25">
      <c r="A38" t="s">
        <v>164</v>
      </c>
      <c r="B38">
        <v>1</v>
      </c>
    </row>
    <row r="39" spans="1:5" x14ac:dyDescent="0.25">
      <c r="A39" t="s">
        <v>181</v>
      </c>
      <c r="D39">
        <v>1</v>
      </c>
    </row>
    <row r="40" spans="1:5" x14ac:dyDescent="0.25">
      <c r="A40" t="s">
        <v>159</v>
      </c>
      <c r="B40">
        <v>1</v>
      </c>
    </row>
    <row r="41" spans="1:5" x14ac:dyDescent="0.25">
      <c r="A41" t="s">
        <v>166</v>
      </c>
      <c r="D41">
        <v>1</v>
      </c>
    </row>
    <row r="42" spans="1:5" x14ac:dyDescent="0.25">
      <c r="A42" t="s">
        <v>195</v>
      </c>
      <c r="D42">
        <v>1</v>
      </c>
    </row>
    <row r="43" spans="1:5" x14ac:dyDescent="0.25">
      <c r="A43" t="s">
        <v>178</v>
      </c>
      <c r="B43">
        <v>1</v>
      </c>
    </row>
    <row r="44" spans="1:5" x14ac:dyDescent="0.25">
      <c r="A44" t="s">
        <v>198</v>
      </c>
      <c r="B44">
        <v>1</v>
      </c>
    </row>
    <row r="45" spans="1:5" x14ac:dyDescent="0.25">
      <c r="A45" t="s">
        <v>190</v>
      </c>
      <c r="B45">
        <v>1</v>
      </c>
      <c r="C45">
        <v>1</v>
      </c>
      <c r="D45">
        <v>1</v>
      </c>
      <c r="E45">
        <v>1</v>
      </c>
    </row>
    <row r="46" spans="1:5" x14ac:dyDescent="0.25">
      <c r="A46" t="s">
        <v>194</v>
      </c>
      <c r="B46">
        <v>1</v>
      </c>
      <c r="C46">
        <v>1</v>
      </c>
      <c r="D46">
        <v>1</v>
      </c>
      <c r="E46">
        <v>1</v>
      </c>
    </row>
    <row r="47" spans="1:5" x14ac:dyDescent="0.25">
      <c r="A47" t="s">
        <v>184</v>
      </c>
      <c r="B47">
        <v>1</v>
      </c>
      <c r="C47">
        <v>1</v>
      </c>
    </row>
    <row r="48" spans="1:5" x14ac:dyDescent="0.25">
      <c r="A48" t="s">
        <v>192</v>
      </c>
      <c r="B48">
        <v>1</v>
      </c>
      <c r="C48">
        <v>1</v>
      </c>
      <c r="D48">
        <v>1</v>
      </c>
      <c r="E48">
        <v>1</v>
      </c>
    </row>
    <row r="49" spans="1:5" x14ac:dyDescent="0.25">
      <c r="A49" t="s">
        <v>153</v>
      </c>
      <c r="B49">
        <v>1</v>
      </c>
      <c r="C49">
        <v>1</v>
      </c>
      <c r="D49">
        <v>1</v>
      </c>
      <c r="E49">
        <v>1</v>
      </c>
    </row>
    <row r="50" spans="1:5" x14ac:dyDescent="0.25">
      <c r="A50" t="s">
        <v>160</v>
      </c>
      <c r="D50">
        <v>1</v>
      </c>
    </row>
    <row r="51" spans="1:5" x14ac:dyDescent="0.25">
      <c r="A51" t="s">
        <v>196</v>
      </c>
      <c r="D51">
        <v>1</v>
      </c>
    </row>
    <row r="52" spans="1:5" x14ac:dyDescent="0.25">
      <c r="A52" t="s">
        <v>188</v>
      </c>
      <c r="D52">
        <v>1</v>
      </c>
    </row>
    <row r="53" spans="1:5" x14ac:dyDescent="0.25">
      <c r="A53" t="s">
        <v>154</v>
      </c>
      <c r="B53">
        <v>1</v>
      </c>
    </row>
    <row r="54" spans="1:5" x14ac:dyDescent="0.25">
      <c r="A54" t="s">
        <v>161</v>
      </c>
      <c r="B54">
        <v>1</v>
      </c>
      <c r="D54">
        <v>1</v>
      </c>
    </row>
    <row r="55" spans="1:5" x14ac:dyDescent="0.25">
      <c r="A55" t="s">
        <v>167</v>
      </c>
      <c r="D55">
        <v>1</v>
      </c>
    </row>
    <row r="56" spans="1:5" x14ac:dyDescent="0.25">
      <c r="A56" t="s">
        <v>173</v>
      </c>
      <c r="B56">
        <v>1</v>
      </c>
    </row>
    <row r="57" spans="1:5" x14ac:dyDescent="0.25">
      <c r="A57" t="s">
        <v>155</v>
      </c>
      <c r="B57">
        <v>1</v>
      </c>
    </row>
    <row r="58" spans="1:5" x14ac:dyDescent="0.25">
      <c r="A58" t="s">
        <v>162</v>
      </c>
      <c r="D58">
        <v>1</v>
      </c>
    </row>
    <row r="59" spans="1:5" x14ac:dyDescent="0.25">
      <c r="A59" t="s">
        <v>174</v>
      </c>
      <c r="D59">
        <v>1</v>
      </c>
    </row>
    <row r="60" spans="1:5" x14ac:dyDescent="0.25">
      <c r="A60" t="s">
        <v>168</v>
      </c>
      <c r="B60">
        <v>1</v>
      </c>
    </row>
    <row r="61" spans="1:5" x14ac:dyDescent="0.25">
      <c r="A61" t="s">
        <v>204</v>
      </c>
      <c r="B61">
        <v>1</v>
      </c>
    </row>
    <row r="62" spans="1:5" x14ac:dyDescent="0.25">
      <c r="A62" t="s">
        <v>123</v>
      </c>
      <c r="B62">
        <v>1</v>
      </c>
      <c r="D62">
        <v>1</v>
      </c>
    </row>
    <row r="63" spans="1:5" x14ac:dyDescent="0.25">
      <c r="A63" t="s">
        <v>206</v>
      </c>
      <c r="D63">
        <v>5</v>
      </c>
    </row>
    <row r="64" spans="1:5" x14ac:dyDescent="0.25">
      <c r="A64" t="s">
        <v>208</v>
      </c>
      <c r="B64">
        <v>1</v>
      </c>
      <c r="C64">
        <v>1</v>
      </c>
      <c r="D64">
        <v>1</v>
      </c>
      <c r="E64">
        <v>1</v>
      </c>
    </row>
    <row r="65" spans="1:5" x14ac:dyDescent="0.25">
      <c r="A65" t="s">
        <v>210</v>
      </c>
      <c r="B65">
        <v>5</v>
      </c>
      <c r="D65">
        <v>5</v>
      </c>
    </row>
    <row r="66" spans="1:5" x14ac:dyDescent="0.25">
      <c r="A66" t="s">
        <v>186</v>
      </c>
      <c r="B66">
        <v>1</v>
      </c>
    </row>
    <row r="67" spans="1:5" x14ac:dyDescent="0.25">
      <c r="A67" t="s">
        <v>215</v>
      </c>
      <c r="B67">
        <v>5</v>
      </c>
      <c r="D67">
        <v>1</v>
      </c>
    </row>
    <row r="68" spans="1:5" x14ac:dyDescent="0.25">
      <c r="A68" s="121" t="s">
        <v>119</v>
      </c>
      <c r="B68" s="121"/>
      <c r="C68" s="121"/>
      <c r="D68" s="121">
        <v>1</v>
      </c>
      <c r="E68" s="121"/>
    </row>
    <row r="69" spans="1:5" x14ac:dyDescent="0.25">
      <c r="A69" s="121" t="s">
        <v>116</v>
      </c>
      <c r="B69" s="121"/>
      <c r="C69" s="121"/>
      <c r="D69" s="121">
        <v>1</v>
      </c>
      <c r="E69" s="121"/>
    </row>
  </sheetData>
  <conditionalFormatting sqref="A18:A19">
    <cfRule type="duplicateValues" dxfId="1" priority="1"/>
  </conditionalFormatting>
  <conditionalFormatting sqref="A4:A17 A20:A67">
    <cfRule type="duplicateValues" dxfId="0" priority="210"/>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ba69df13-0c3c-4942-8695-6ca01564010c"/>
    <ds:schemaRef ds:uri="2380bd5d-8f09-40a9-a9cb-2482ec2cd2ca"/>
    <ds:schemaRef ds:uri="http://www.w3.org/XML/1998/namespace"/>
    <ds:schemaRef ds:uri="http://purl.org/dc/dcmitype/"/>
  </ds:schemaRefs>
</ds:datastoreItem>
</file>

<file path=customXml/itemProps3.xml><?xml version="1.0" encoding="utf-8"?>
<ds:datastoreItem xmlns:ds="http://schemas.openxmlformats.org/officeDocument/2006/customXml" ds:itemID="{6F7DF142-E0CC-45EC-8740-574D56414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Construction Management</vt:lpstr>
      <vt:lpstr>Unitsets</vt:lpstr>
      <vt:lpstr>Handbook</vt:lpstr>
      <vt:lpstr>Structures</vt:lpstr>
      <vt:lpstr>Availabilities</vt:lpstr>
      <vt:lpstr>'Construction Management'!Print_Area</vt:lpstr>
      <vt:lpstr>RangeSpecSets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2024-02-09T02:38:04Z</cp:lastPrinted>
  <dcterms:created xsi:type="dcterms:W3CDTF">2022-02-28T04:48:12Z</dcterms:created>
  <dcterms:modified xsi:type="dcterms:W3CDTF">2024-02-09T02:38:56Z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