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lUmvcjhNoLaNg0T4tX3j5aDTRvApn+4pfMvrW0w3vSezi2oRnGg0GMhFLjV38hIGbjBVqKMJ08ctBSCw+ttrDg==" workbookSaltValue="dlKiIi47BaJt+Hgu7zon0Q==" workbookSpinCount="100000" lockStructure="1"/>
  <bookViews>
    <workbookView xWindow="0" yWindow="0" windowWidth="28800" windowHeight="13800"/>
  </bookViews>
  <sheets>
    <sheet name="Planner ECE"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'Planner ECE'!$A$3:$L$49</definedName>
    <definedName name="RangeOptions">Unitsets!$J$25:$L$41</definedName>
    <definedName name="RangeUnitsets">Unitsets!$J$3:$U$19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3" l="1"/>
  <c r="H6" i="3"/>
  <c r="I6" i="3"/>
  <c r="J6" i="3"/>
  <c r="G10" i="3" l="1"/>
  <c r="H10" i="3"/>
  <c r="I10" i="3"/>
  <c r="J10" i="3"/>
  <c r="A72" i="8"/>
  <c r="B72" i="8"/>
  <c r="D72" i="8"/>
  <c r="E72" i="8"/>
  <c r="E53" i="8" l="1"/>
  <c r="J4" i="3"/>
  <c r="J5" i="3"/>
  <c r="J7" i="3"/>
  <c r="J8" i="3"/>
  <c r="J9" i="3"/>
  <c r="J11" i="3"/>
  <c r="J12" i="3"/>
  <c r="J13" i="3"/>
  <c r="J14" i="3"/>
  <c r="J15" i="3"/>
  <c r="J16" i="3"/>
  <c r="J17" i="3"/>
  <c r="J18" i="3"/>
  <c r="J19" i="3"/>
  <c r="J20" i="3"/>
  <c r="J21" i="3"/>
  <c r="J22" i="3"/>
  <c r="J23" i="3"/>
  <c r="J24" i="3"/>
  <c r="J25" i="3"/>
  <c r="J26" i="3"/>
  <c r="J27" i="3"/>
  <c r="J28" i="3"/>
  <c r="J29" i="3"/>
  <c r="J30" i="3"/>
  <c r="J31" i="3"/>
  <c r="J32" i="3"/>
  <c r="J33" i="3"/>
  <c r="J34" i="3"/>
  <c r="J35" i="3"/>
  <c r="I4" i="3"/>
  <c r="I5" i="3"/>
  <c r="I7" i="3"/>
  <c r="I8" i="3"/>
  <c r="I9" i="3"/>
  <c r="I11" i="3"/>
  <c r="I12" i="3"/>
  <c r="I13" i="3"/>
  <c r="I14" i="3"/>
  <c r="I15" i="3"/>
  <c r="I16" i="3"/>
  <c r="I17" i="3"/>
  <c r="I18" i="3"/>
  <c r="I19" i="3"/>
  <c r="I20" i="3"/>
  <c r="I21" i="3"/>
  <c r="I22" i="3"/>
  <c r="I23" i="3"/>
  <c r="I24" i="3"/>
  <c r="I25" i="3"/>
  <c r="I26" i="3"/>
  <c r="I27" i="3"/>
  <c r="I28" i="3"/>
  <c r="I29" i="3"/>
  <c r="I30" i="3"/>
  <c r="I31" i="3"/>
  <c r="I32" i="3"/>
  <c r="I33" i="3"/>
  <c r="I34" i="3"/>
  <c r="I35" i="3"/>
  <c r="H35" i="3"/>
  <c r="H34" i="3"/>
  <c r="H33" i="3"/>
  <c r="H32" i="3"/>
  <c r="H31" i="3"/>
  <c r="H30" i="3"/>
  <c r="H29" i="3"/>
  <c r="H28" i="3"/>
  <c r="H27" i="3"/>
  <c r="H26" i="3"/>
  <c r="H25" i="3"/>
  <c r="H24" i="3"/>
  <c r="H23" i="3"/>
  <c r="H22" i="3"/>
  <c r="H21" i="3"/>
  <c r="H20" i="3"/>
  <c r="H19" i="3"/>
  <c r="H18" i="3"/>
  <c r="H17" i="3"/>
  <c r="H16" i="3"/>
  <c r="H15" i="3"/>
  <c r="H14" i="3"/>
  <c r="H13" i="3"/>
  <c r="H12" i="3"/>
  <c r="H11" i="3"/>
  <c r="H9" i="3"/>
  <c r="H8" i="3"/>
  <c r="H7" i="3"/>
  <c r="H5" i="3"/>
  <c r="H4" i="3"/>
  <c r="G4" i="3"/>
  <c r="G5" i="3"/>
  <c r="G7" i="3"/>
  <c r="G8" i="3"/>
  <c r="G9" i="3"/>
  <c r="G11" i="3"/>
  <c r="G12" i="3"/>
  <c r="G13" i="3"/>
  <c r="G14" i="3"/>
  <c r="G15" i="3"/>
  <c r="G16" i="3"/>
  <c r="G17" i="3"/>
  <c r="G18" i="3"/>
  <c r="G19" i="3"/>
  <c r="G20" i="3"/>
  <c r="G21" i="3"/>
  <c r="G22" i="3"/>
  <c r="G23" i="3"/>
  <c r="G24" i="3"/>
  <c r="G25" i="3"/>
  <c r="G26" i="3"/>
  <c r="G27" i="3"/>
  <c r="G28" i="3"/>
  <c r="G29" i="3"/>
  <c r="G30" i="3"/>
  <c r="G31" i="3"/>
  <c r="G32" i="3"/>
  <c r="G33" i="3"/>
  <c r="G34" i="3"/>
  <c r="G35" i="3"/>
  <c r="A53" i="8"/>
  <c r="B53" i="8"/>
  <c r="D53" i="8"/>
  <c r="A26" i="8" l="1"/>
  <c r="B26" i="8"/>
  <c r="D26" i="8"/>
  <c r="E26" i="8"/>
  <c r="G5" i="5" l="1"/>
  <c r="L29" i="5" l="1"/>
  <c r="A36" i="5" l="1"/>
  <c r="A31" i="5"/>
  <c r="A39" i="5"/>
  <c r="A40" i="5"/>
  <c r="A38" i="5"/>
  <c r="A45" i="5"/>
  <c r="A37" i="5"/>
  <c r="A32" i="5"/>
  <c r="A44" i="5"/>
  <c r="A35" i="5"/>
  <c r="A42" i="5"/>
  <c r="A34" i="5"/>
  <c r="A43" i="5"/>
  <c r="A41" i="5"/>
  <c r="A33" i="5"/>
  <c r="D36" i="5" l="1"/>
  <c r="H36" i="5"/>
  <c r="K36" i="5"/>
  <c r="J36" i="5"/>
  <c r="I36" i="5"/>
  <c r="G33" i="5"/>
  <c r="K33" i="5"/>
  <c r="J33" i="5"/>
  <c r="I33" i="5"/>
  <c r="H33" i="5"/>
  <c r="B32" i="5"/>
  <c r="K32" i="5"/>
  <c r="J32" i="5"/>
  <c r="I32" i="5"/>
  <c r="H32" i="5"/>
  <c r="C43" i="5"/>
  <c r="K43" i="5"/>
  <c r="J43" i="5"/>
  <c r="I43" i="5"/>
  <c r="H43" i="5"/>
  <c r="F34" i="5"/>
  <c r="H34" i="5"/>
  <c r="K34" i="5"/>
  <c r="J34" i="5"/>
  <c r="I34" i="5"/>
  <c r="B38" i="5"/>
  <c r="K38" i="5"/>
  <c r="J38" i="5"/>
  <c r="I38" i="5"/>
  <c r="H38" i="5"/>
  <c r="D37" i="5"/>
  <c r="K37" i="5"/>
  <c r="J37" i="5"/>
  <c r="I37" i="5"/>
  <c r="H37" i="5"/>
  <c r="F42" i="5"/>
  <c r="H42" i="5"/>
  <c r="K42" i="5"/>
  <c r="J42" i="5"/>
  <c r="I42" i="5"/>
  <c r="B40" i="5"/>
  <c r="K40" i="5"/>
  <c r="J40" i="5"/>
  <c r="I40" i="5"/>
  <c r="H40" i="5"/>
  <c r="F45" i="5"/>
  <c r="K45" i="5"/>
  <c r="J45" i="5"/>
  <c r="I45" i="5"/>
  <c r="H45" i="5"/>
  <c r="B35" i="5"/>
  <c r="K35" i="5"/>
  <c r="J35" i="5"/>
  <c r="I35" i="5"/>
  <c r="H35" i="5"/>
  <c r="F39" i="5"/>
  <c r="K39" i="5"/>
  <c r="J39" i="5"/>
  <c r="I39" i="5"/>
  <c r="H39" i="5"/>
  <c r="G41" i="5"/>
  <c r="K41" i="5"/>
  <c r="J41" i="5"/>
  <c r="I41" i="5"/>
  <c r="H41" i="5"/>
  <c r="G44" i="5"/>
  <c r="H44" i="5"/>
  <c r="K44" i="5"/>
  <c r="J44" i="5"/>
  <c r="I44" i="5"/>
  <c r="K31" i="5"/>
  <c r="J31" i="5"/>
  <c r="I31" i="5"/>
  <c r="H31" i="5"/>
  <c r="B36" i="5"/>
  <c r="D38" i="5"/>
  <c r="B44" i="5"/>
  <c r="D44" i="5"/>
  <c r="C44" i="5"/>
  <c r="C33" i="5"/>
  <c r="F44" i="5"/>
  <c r="G37" i="5"/>
  <c r="B41" i="5"/>
  <c r="F37" i="5"/>
  <c r="D33" i="5"/>
  <c r="D39" i="5"/>
  <c r="C35" i="5"/>
  <c r="F36" i="5"/>
  <c r="F33" i="5"/>
  <c r="B33" i="5"/>
  <c r="D43" i="5"/>
  <c r="F43" i="5"/>
  <c r="G43" i="5"/>
  <c r="F41" i="5"/>
  <c r="D35" i="5"/>
  <c r="G35" i="5"/>
  <c r="F35" i="5"/>
  <c r="B43" i="5"/>
  <c r="F38" i="5"/>
  <c r="G38" i="5"/>
  <c r="C40" i="5"/>
  <c r="D40" i="5"/>
  <c r="G40" i="5"/>
  <c r="F40" i="5"/>
  <c r="C36" i="5"/>
  <c r="G39" i="5"/>
  <c r="B39" i="5"/>
  <c r="C39" i="5"/>
  <c r="D45" i="5"/>
  <c r="G36" i="5"/>
  <c r="G45" i="5"/>
  <c r="B37" i="5"/>
  <c r="C37" i="5"/>
  <c r="C32" i="5"/>
  <c r="G32" i="5"/>
  <c r="F32" i="5"/>
  <c r="D32" i="5"/>
  <c r="D41" i="5"/>
  <c r="C38" i="5"/>
  <c r="C41" i="5"/>
  <c r="G42" i="5"/>
  <c r="D42" i="5"/>
  <c r="C42" i="5"/>
  <c r="B42" i="5"/>
  <c r="G34" i="5"/>
  <c r="C34" i="5"/>
  <c r="B34" i="5"/>
  <c r="D34" i="5"/>
  <c r="B45" i="5"/>
  <c r="C45" i="5"/>
  <c r="G31" i="5"/>
  <c r="F31" i="5"/>
  <c r="D31" i="5"/>
  <c r="C31" i="5"/>
  <c r="B31" i="5"/>
  <c r="W19" i="2"/>
  <c r="W18" i="2"/>
  <c r="W17" i="2"/>
  <c r="W16" i="2"/>
  <c r="W15" i="2"/>
  <c r="W14" i="2"/>
  <c r="W13" i="2"/>
  <c r="W12" i="2"/>
  <c r="W11" i="2"/>
  <c r="W10" i="2"/>
  <c r="W9" i="2"/>
  <c r="AB9" i="2" s="1"/>
  <c r="W8" i="2"/>
  <c r="W7" i="2"/>
  <c r="AB7" i="2" s="1"/>
  <c r="W6" i="2"/>
  <c r="W5" i="2"/>
  <c r="W4" i="2"/>
  <c r="AB4" i="2" s="1"/>
  <c r="AB10" i="2" l="1"/>
  <c r="AB12" i="2"/>
  <c r="AB15" i="2"/>
  <c r="AB17" i="2"/>
  <c r="AB18" i="2"/>
  <c r="AB5" i="2"/>
  <c r="AB13" i="2"/>
  <c r="AB6" i="2"/>
  <c r="AB14" i="2"/>
  <c r="AB8" i="2"/>
  <c r="AB16" i="2"/>
  <c r="AB11" i="2"/>
  <c r="AB19" i="2"/>
  <c r="AC18" i="2"/>
  <c r="AC15" i="2"/>
  <c r="AC17" i="2"/>
  <c r="AC13" i="2"/>
  <c r="AC10" i="2"/>
  <c r="AC9" i="2"/>
  <c r="AC8" i="2"/>
  <c r="AC7" i="2"/>
  <c r="AC12" i="2"/>
  <c r="AC16" i="2"/>
  <c r="AC14" i="2"/>
  <c r="AC6" i="2"/>
  <c r="AC5" i="2"/>
  <c r="AD2" i="2"/>
  <c r="A70" i="8"/>
  <c r="A71" i="8"/>
  <c r="A73" i="8"/>
  <c r="A74" i="8"/>
  <c r="A75" i="8"/>
  <c r="A76" i="8"/>
  <c r="A77" i="8"/>
  <c r="A78" i="8"/>
  <c r="A79" i="8"/>
  <c r="A80" i="8"/>
  <c r="A81" i="8"/>
  <c r="A82" i="8"/>
  <c r="A83" i="8"/>
  <c r="A84" i="8"/>
  <c r="B70" i="8"/>
  <c r="B71" i="8"/>
  <c r="B73" i="8"/>
  <c r="B74" i="8"/>
  <c r="B75" i="8"/>
  <c r="B76" i="8"/>
  <c r="B77" i="8"/>
  <c r="B78" i="8"/>
  <c r="B79" i="8"/>
  <c r="B80" i="8"/>
  <c r="B81" i="8"/>
  <c r="B82" i="8"/>
  <c r="B83" i="8"/>
  <c r="B84" i="8"/>
  <c r="D70" i="8"/>
  <c r="D71" i="8"/>
  <c r="D73" i="8"/>
  <c r="D74" i="8"/>
  <c r="D75" i="8"/>
  <c r="D76" i="8"/>
  <c r="D77" i="8"/>
  <c r="D78" i="8"/>
  <c r="D79" i="8"/>
  <c r="D80" i="8"/>
  <c r="D81" i="8"/>
  <c r="D82" i="8"/>
  <c r="D83" i="8"/>
  <c r="D84" i="8"/>
  <c r="E70" i="8"/>
  <c r="E71" i="8"/>
  <c r="E73" i="8"/>
  <c r="E74" i="8"/>
  <c r="E75" i="8"/>
  <c r="E76" i="8"/>
  <c r="E77" i="8"/>
  <c r="E78" i="8"/>
  <c r="E79" i="8"/>
  <c r="E80" i="8"/>
  <c r="E81" i="8"/>
  <c r="E82" i="8"/>
  <c r="E83" i="8"/>
  <c r="E84" i="8"/>
  <c r="AE2" i="2" l="1"/>
  <c r="AD18" i="2"/>
  <c r="AD15" i="2"/>
  <c r="AD17" i="2"/>
  <c r="AD13" i="2"/>
  <c r="AD10" i="2"/>
  <c r="AD9" i="2"/>
  <c r="AD8" i="2"/>
  <c r="AD7" i="2"/>
  <c r="AD12" i="2"/>
  <c r="AD16" i="2"/>
  <c r="AD14" i="2"/>
  <c r="AD6" i="2"/>
  <c r="AD5" i="2"/>
  <c r="AE19" i="2"/>
  <c r="AD19" i="2"/>
  <c r="AC19" i="2"/>
  <c r="AE14" i="2"/>
  <c r="AD11" i="2"/>
  <c r="AC11" i="2"/>
  <c r="A69" i="8"/>
  <c r="B69" i="8"/>
  <c r="D69" i="8"/>
  <c r="E69" i="8"/>
  <c r="A59" i="8"/>
  <c r="A60" i="8"/>
  <c r="A61" i="8"/>
  <c r="A62" i="8"/>
  <c r="A63" i="8"/>
  <c r="A64" i="8"/>
  <c r="A65" i="8"/>
  <c r="A66" i="8"/>
  <c r="A67" i="8"/>
  <c r="A68" i="8"/>
  <c r="B59" i="8"/>
  <c r="B60" i="8"/>
  <c r="B61" i="8"/>
  <c r="B62" i="8"/>
  <c r="B63" i="8"/>
  <c r="B64" i="8"/>
  <c r="B65" i="8"/>
  <c r="B66" i="8"/>
  <c r="B67" i="8"/>
  <c r="B68" i="8"/>
  <c r="D59" i="8"/>
  <c r="D60" i="8"/>
  <c r="D61" i="8"/>
  <c r="D62" i="8"/>
  <c r="D63" i="8"/>
  <c r="D64" i="8"/>
  <c r="D65" i="8"/>
  <c r="D66" i="8"/>
  <c r="D67" i="8"/>
  <c r="D68" i="8"/>
  <c r="E59" i="8"/>
  <c r="E60" i="8"/>
  <c r="E61" i="8"/>
  <c r="E62" i="8"/>
  <c r="E63" i="8"/>
  <c r="E64" i="8"/>
  <c r="E65" i="8"/>
  <c r="E66" i="8"/>
  <c r="E67" i="8"/>
  <c r="E68" i="8"/>
  <c r="AF2" i="2" l="1"/>
  <c r="AE18" i="2"/>
  <c r="AE15" i="2"/>
  <c r="AE17" i="2"/>
  <c r="AE13" i="2"/>
  <c r="AE10" i="2"/>
  <c r="AE9" i="2"/>
  <c r="AE8" i="2"/>
  <c r="AE12" i="2"/>
  <c r="AE16" i="2"/>
  <c r="AE11" i="2"/>
  <c r="A30" i="8"/>
  <c r="A31" i="8"/>
  <c r="A32" i="8"/>
  <c r="A33" i="8"/>
  <c r="A34" i="8"/>
  <c r="A35" i="8"/>
  <c r="A36" i="8"/>
  <c r="B30" i="8"/>
  <c r="B31" i="8"/>
  <c r="B32" i="8"/>
  <c r="B33" i="8"/>
  <c r="B34" i="8"/>
  <c r="B35" i="8"/>
  <c r="B36" i="8"/>
  <c r="D30" i="8"/>
  <c r="D31" i="8"/>
  <c r="D32" i="8"/>
  <c r="D33" i="8"/>
  <c r="D34" i="8"/>
  <c r="D35" i="8"/>
  <c r="D36" i="8"/>
  <c r="E30" i="8"/>
  <c r="E31" i="8"/>
  <c r="E32" i="8"/>
  <c r="E33" i="8"/>
  <c r="E34" i="8"/>
  <c r="E35" i="8"/>
  <c r="E36" i="8"/>
  <c r="A37" i="8"/>
  <c r="A38" i="8"/>
  <c r="A39" i="8"/>
  <c r="A40" i="8"/>
  <c r="A41" i="8"/>
  <c r="A42" i="8"/>
  <c r="A43" i="8"/>
  <c r="B37" i="8"/>
  <c r="B38" i="8"/>
  <c r="B39" i="8"/>
  <c r="B40" i="8"/>
  <c r="B41" i="8"/>
  <c r="B42" i="8"/>
  <c r="B43" i="8"/>
  <c r="D37" i="8"/>
  <c r="D38" i="8"/>
  <c r="D39" i="8"/>
  <c r="D40" i="8"/>
  <c r="D41" i="8"/>
  <c r="D42" i="8"/>
  <c r="D43" i="8"/>
  <c r="E37" i="8"/>
  <c r="E38" i="8"/>
  <c r="E39" i="8"/>
  <c r="E40" i="8"/>
  <c r="E41" i="8"/>
  <c r="E42" i="8"/>
  <c r="E43" i="8"/>
  <c r="A44" i="8"/>
  <c r="A45" i="8"/>
  <c r="A46" i="8"/>
  <c r="A47" i="8"/>
  <c r="A48" i="8"/>
  <c r="A49" i="8"/>
  <c r="B44" i="8"/>
  <c r="B45" i="8"/>
  <c r="B46" i="8"/>
  <c r="B47" i="8"/>
  <c r="B48" i="8"/>
  <c r="B49" i="8"/>
  <c r="D44" i="8"/>
  <c r="D45" i="8"/>
  <c r="D46" i="8"/>
  <c r="D47" i="8"/>
  <c r="D48" i="8"/>
  <c r="D49" i="8"/>
  <c r="E44" i="8"/>
  <c r="E45" i="8"/>
  <c r="E46" i="8"/>
  <c r="E47" i="8"/>
  <c r="E48" i="8"/>
  <c r="E49" i="8"/>
  <c r="A8" i="8"/>
  <c r="A9" i="8"/>
  <c r="A10" i="8"/>
  <c r="A11" i="8"/>
  <c r="B8" i="8"/>
  <c r="B9" i="8"/>
  <c r="B10" i="8"/>
  <c r="B11" i="8"/>
  <c r="D8" i="8"/>
  <c r="D9" i="8"/>
  <c r="D10" i="8"/>
  <c r="D11" i="8"/>
  <c r="E8" i="8"/>
  <c r="E9" i="8"/>
  <c r="E10" i="8"/>
  <c r="E11" i="8"/>
  <c r="AF18" i="2" l="1"/>
  <c r="AF15" i="2"/>
  <c r="AF17" i="2"/>
  <c r="AF13" i="2"/>
  <c r="AF10" i="2"/>
  <c r="AF9" i="2"/>
  <c r="AF8" i="2"/>
  <c r="AF12" i="2"/>
  <c r="AF16" i="2"/>
  <c r="AF11" i="2"/>
  <c r="AF14" i="2"/>
  <c r="AF19" i="2"/>
  <c r="A12" i="8"/>
  <c r="B12" i="8"/>
  <c r="D12" i="8"/>
  <c r="E12" i="8"/>
  <c r="A13" i="8"/>
  <c r="B13" i="8"/>
  <c r="D13" i="8"/>
  <c r="E13" i="8"/>
  <c r="A14" i="8"/>
  <c r="B14" i="8"/>
  <c r="D14" i="8"/>
  <c r="E14" i="8"/>
  <c r="A15" i="8"/>
  <c r="B15" i="8"/>
  <c r="D15" i="8"/>
  <c r="E15" i="8"/>
  <c r="A16" i="8"/>
  <c r="B16" i="8"/>
  <c r="D16" i="8"/>
  <c r="E16"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25" i="8"/>
  <c r="B25" i="8"/>
  <c r="D25" i="8"/>
  <c r="E25" i="8"/>
  <c r="A7" i="8"/>
  <c r="B7" i="8"/>
  <c r="D7" i="8"/>
  <c r="E7" i="8"/>
  <c r="E56" i="8" l="1"/>
  <c r="E57" i="8"/>
  <c r="E58" i="8"/>
  <c r="D56" i="8"/>
  <c r="D57" i="8"/>
  <c r="D58" i="8"/>
  <c r="B56" i="8"/>
  <c r="B57" i="8"/>
  <c r="B58" i="8"/>
  <c r="B29" i="8"/>
  <c r="A56" i="8"/>
  <c r="A57" i="8"/>
  <c r="A58" i="8"/>
  <c r="E29" i="8"/>
  <c r="E50" i="8"/>
  <c r="E51" i="8"/>
  <c r="E52" i="8"/>
  <c r="D29" i="8"/>
  <c r="D50" i="8"/>
  <c r="D51" i="8"/>
  <c r="D52" i="8"/>
  <c r="B50" i="8"/>
  <c r="B51" i="8"/>
  <c r="B52" i="8"/>
  <c r="A29" i="8"/>
  <c r="A50" i="8"/>
  <c r="A51" i="8"/>
  <c r="A52" i="8"/>
  <c r="E3" i="8"/>
  <c r="E4" i="8"/>
  <c r="E5" i="8"/>
  <c r="E6" i="8"/>
  <c r="D3" i="8"/>
  <c r="D4" i="8"/>
  <c r="D5" i="8"/>
  <c r="D6" i="8"/>
  <c r="B3" i="8"/>
  <c r="B4" i="8"/>
  <c r="B5" i="8"/>
  <c r="B6" i="8"/>
  <c r="A3" i="8"/>
  <c r="A4" i="8"/>
  <c r="A5" i="8"/>
  <c r="A6" i="8"/>
  <c r="L6" i="3" l="1"/>
  <c r="M6" i="3"/>
  <c r="N6" i="3"/>
  <c r="L10" i="3"/>
  <c r="M10" i="3"/>
  <c r="N10" i="3"/>
  <c r="M13" i="3"/>
  <c r="M21" i="3"/>
  <c r="M29" i="3"/>
  <c r="AF6" i="2" s="1"/>
  <c r="M33" i="3"/>
  <c r="M28" i="3"/>
  <c r="M5" i="3"/>
  <c r="M14" i="3"/>
  <c r="M22" i="3"/>
  <c r="AF5" i="2" s="1"/>
  <c r="M30" i="3"/>
  <c r="M17" i="3"/>
  <c r="AF7" i="2" s="1"/>
  <c r="M7" i="3"/>
  <c r="M15" i="3"/>
  <c r="M23" i="3"/>
  <c r="M31" i="3"/>
  <c r="M25" i="3"/>
  <c r="M20" i="3"/>
  <c r="M8" i="3"/>
  <c r="M16" i="3"/>
  <c r="M24" i="3"/>
  <c r="M32" i="3"/>
  <c r="M12" i="3"/>
  <c r="M9" i="3"/>
  <c r="M18" i="3"/>
  <c r="M26" i="3"/>
  <c r="M34" i="3"/>
  <c r="M11" i="3"/>
  <c r="M19" i="3"/>
  <c r="M27" i="3"/>
  <c r="M35" i="3"/>
  <c r="L5" i="3"/>
  <c r="N5" i="3"/>
  <c r="L4" i="3"/>
  <c r="L28" i="3"/>
  <c r="L27" i="3"/>
  <c r="L7" i="3"/>
  <c r="L11" i="3"/>
  <c r="L12" i="3"/>
  <c r="L13" i="3"/>
  <c r="L20" i="3"/>
  <c r="L23" i="3"/>
  <c r="L24" i="3"/>
  <c r="L33" i="3"/>
  <c r="L34" i="3"/>
  <c r="L35" i="3"/>
  <c r="M4" i="3"/>
  <c r="N4" i="3"/>
  <c r="N28" i="3"/>
  <c r="N27" i="3"/>
  <c r="N7" i="3"/>
  <c r="N11" i="3"/>
  <c r="N12" i="3"/>
  <c r="N13" i="3"/>
  <c r="N20" i="3"/>
  <c r="N23" i="3"/>
  <c r="N24" i="3"/>
  <c r="N26" i="3"/>
  <c r="N22" i="3"/>
  <c r="N29" i="3"/>
  <c r="N17" i="3"/>
  <c r="N8" i="3"/>
  <c r="N9" i="3"/>
  <c r="N14" i="3"/>
  <c r="N15" i="3"/>
  <c r="N16" i="3"/>
  <c r="N18" i="3"/>
  <c r="N19" i="3"/>
  <c r="N21" i="3"/>
  <c r="N25" i="3"/>
  <c r="N30" i="3"/>
  <c r="N31" i="3"/>
  <c r="N32" i="3"/>
  <c r="N33" i="3"/>
  <c r="N34" i="3"/>
  <c r="N35" i="3"/>
  <c r="L26" i="3"/>
  <c r="L8" i="3"/>
  <c r="L9" i="3"/>
  <c r="L14" i="3"/>
  <c r="L15" i="3"/>
  <c r="L16" i="3"/>
  <c r="L18" i="3"/>
  <c r="L19" i="3"/>
  <c r="L21" i="3"/>
  <c r="L25" i="3"/>
  <c r="L30" i="3"/>
  <c r="L31" i="3"/>
  <c r="L32" i="3"/>
  <c r="L29" i="3"/>
  <c r="AE6" i="2" s="1"/>
  <c r="L17" i="3"/>
  <c r="AE7" i="2" s="1"/>
  <c r="L22" i="3"/>
  <c r="AE5" i="2" s="1"/>
  <c r="L5" i="5"/>
  <c r="A9" i="5" s="1"/>
  <c r="G6" i="5"/>
  <c r="E9" i="5" l="1"/>
  <c r="K9" i="5"/>
  <c r="J9" i="5"/>
  <c r="I9" i="5"/>
  <c r="H9" i="5"/>
  <c r="D9" i="5"/>
  <c r="A27" i="5"/>
  <c r="A17" i="5"/>
  <c r="A26" i="5"/>
  <c r="A16" i="5"/>
  <c r="A25" i="5"/>
  <c r="A15" i="5"/>
  <c r="A11" i="5"/>
  <c r="A12" i="5"/>
  <c r="A19" i="5"/>
  <c r="E19" i="5" s="1"/>
  <c r="A24" i="5"/>
  <c r="A14" i="5"/>
  <c r="E14" i="5" s="1"/>
  <c r="A22" i="5"/>
  <c r="A10" i="5"/>
  <c r="A21" i="5"/>
  <c r="A20" i="5"/>
  <c r="AA19" i="2"/>
  <c r="Z19" i="2"/>
  <c r="Y19" i="2"/>
  <c r="X19" i="2"/>
  <c r="AA18" i="2"/>
  <c r="Z18" i="2"/>
  <c r="Y18" i="2"/>
  <c r="X18" i="2"/>
  <c r="AA17" i="2"/>
  <c r="Z17" i="2"/>
  <c r="Y17" i="2"/>
  <c r="X17" i="2"/>
  <c r="AA16" i="2"/>
  <c r="Z16" i="2"/>
  <c r="Y16" i="2"/>
  <c r="X16" i="2"/>
  <c r="AA15" i="2"/>
  <c r="Z15" i="2"/>
  <c r="Y15" i="2"/>
  <c r="X15" i="2"/>
  <c r="K20" i="5" l="1"/>
  <c r="J20" i="5"/>
  <c r="I20" i="5"/>
  <c r="H20" i="5"/>
  <c r="K16" i="5"/>
  <c r="I16" i="5"/>
  <c r="H16" i="5"/>
  <c r="J16" i="5"/>
  <c r="I14" i="5"/>
  <c r="H14" i="5"/>
  <c r="J14" i="5"/>
  <c r="K14" i="5"/>
  <c r="K26" i="5"/>
  <c r="J26" i="5"/>
  <c r="I26" i="5"/>
  <c r="H26" i="5"/>
  <c r="E24" i="5"/>
  <c r="E25" i="5" s="1"/>
  <c r="E26" i="5" s="1"/>
  <c r="E27" i="5" s="1"/>
  <c r="I24" i="5"/>
  <c r="H24" i="5"/>
  <c r="K24" i="5"/>
  <c r="J24" i="5"/>
  <c r="H17" i="5"/>
  <c r="K17" i="5"/>
  <c r="J17" i="5"/>
  <c r="I17" i="5"/>
  <c r="K22" i="5"/>
  <c r="J22" i="5"/>
  <c r="I22" i="5"/>
  <c r="H22" i="5"/>
  <c r="E20" i="5"/>
  <c r="E21" i="5" s="1"/>
  <c r="E22" i="5" s="1"/>
  <c r="K19" i="5"/>
  <c r="I19" i="5"/>
  <c r="H19" i="5"/>
  <c r="J19" i="5"/>
  <c r="H27" i="5"/>
  <c r="K27" i="5"/>
  <c r="J27" i="5"/>
  <c r="I27" i="5"/>
  <c r="K12" i="5"/>
  <c r="J12" i="5"/>
  <c r="I12" i="5"/>
  <c r="H12" i="5"/>
  <c r="I11" i="5"/>
  <c r="H11" i="5"/>
  <c r="K11" i="5"/>
  <c r="J11" i="5"/>
  <c r="K21" i="5"/>
  <c r="I21" i="5"/>
  <c r="H21" i="5"/>
  <c r="J21" i="5"/>
  <c r="H15" i="5"/>
  <c r="K15" i="5"/>
  <c r="J15" i="5"/>
  <c r="I15" i="5"/>
  <c r="H10" i="5"/>
  <c r="K10" i="5"/>
  <c r="J10" i="5"/>
  <c r="I10" i="5"/>
  <c r="H25" i="5"/>
  <c r="K25" i="5"/>
  <c r="J25" i="5"/>
  <c r="I25" i="5"/>
  <c r="E10" i="5"/>
  <c r="E11" i="5" s="1"/>
  <c r="E12" i="5" s="1"/>
  <c r="E15" i="5"/>
  <c r="E16" i="5" s="1"/>
  <c r="E17" i="5" s="1"/>
  <c r="X4" i="2"/>
  <c r="Y4" i="2"/>
  <c r="X14" i="2"/>
  <c r="X13" i="2"/>
  <c r="X12" i="2"/>
  <c r="X11" i="2"/>
  <c r="X10" i="2"/>
  <c r="X9" i="2"/>
  <c r="X8" i="2"/>
  <c r="X7" i="2"/>
  <c r="X6" i="2"/>
  <c r="X5" i="2"/>
  <c r="AA14" i="2"/>
  <c r="Z14" i="2"/>
  <c r="Y14" i="2"/>
  <c r="AA13" i="2"/>
  <c r="Z13" i="2"/>
  <c r="Y13" i="2"/>
  <c r="AA12" i="2"/>
  <c r="Z12" i="2"/>
  <c r="Y12" i="2"/>
  <c r="AA11" i="2"/>
  <c r="Z11" i="2"/>
  <c r="Y11" i="2"/>
  <c r="AA10" i="2"/>
  <c r="Z10" i="2"/>
  <c r="Y10" i="2"/>
  <c r="AA9" i="2"/>
  <c r="Z9" i="2"/>
  <c r="Y9" i="2"/>
  <c r="AA8" i="2"/>
  <c r="Z8" i="2"/>
  <c r="Y8" i="2"/>
  <c r="AA7" i="2"/>
  <c r="Z7" i="2"/>
  <c r="Y7" i="2"/>
  <c r="AA6" i="2"/>
  <c r="Z6" i="2"/>
  <c r="Y6" i="2"/>
  <c r="AA5" i="2"/>
  <c r="Z5" i="2"/>
  <c r="Y5" i="2"/>
  <c r="AA4" i="2"/>
  <c r="Z4" i="2"/>
  <c r="AF4" i="2"/>
  <c r="AE4" i="2"/>
  <c r="AD4" i="2"/>
  <c r="AC4" i="2"/>
  <c r="F21" i="5" l="1"/>
  <c r="C21" i="5"/>
  <c r="G21" i="5"/>
  <c r="D21" i="5"/>
  <c r="B21" i="5"/>
  <c r="G14" i="5"/>
  <c r="F14" i="5"/>
  <c r="D14" i="5"/>
  <c r="C14" i="5"/>
  <c r="B14" i="5"/>
  <c r="G19" i="5"/>
  <c r="F19" i="5"/>
  <c r="D19" i="5"/>
  <c r="C19" i="5"/>
  <c r="B19" i="5"/>
  <c r="G12" i="5"/>
  <c r="F12" i="5"/>
  <c r="D12" i="5"/>
  <c r="C12" i="5"/>
  <c r="B12" i="5"/>
  <c r="G27" i="5"/>
  <c r="F27" i="5"/>
  <c r="D27" i="5"/>
  <c r="C27" i="5"/>
  <c r="B27" i="5"/>
  <c r="G15" i="5"/>
  <c r="F15" i="5"/>
  <c r="D15" i="5"/>
  <c r="C15" i="5"/>
  <c r="B15" i="5"/>
  <c r="G9" i="5"/>
  <c r="F9" i="5"/>
  <c r="C9" i="5"/>
  <c r="B9" i="5"/>
  <c r="F11" i="5"/>
  <c r="B11" i="5"/>
  <c r="C11" i="5"/>
  <c r="G11" i="5"/>
  <c r="D11" i="5"/>
  <c r="G16" i="5"/>
  <c r="F16" i="5"/>
  <c r="D16" i="5"/>
  <c r="C16" i="5"/>
  <c r="B16" i="5"/>
  <c r="F20" i="5"/>
  <c r="C20" i="5"/>
  <c r="G20" i="5"/>
  <c r="D20" i="5"/>
  <c r="B20" i="5"/>
  <c r="F22" i="5"/>
  <c r="G22" i="5"/>
  <c r="D22" i="5"/>
  <c r="C22" i="5"/>
  <c r="B22" i="5"/>
  <c r="G24" i="5"/>
  <c r="F24" i="5"/>
  <c r="D24" i="5"/>
  <c r="C24" i="5"/>
  <c r="B24" i="5"/>
  <c r="B10" i="5"/>
  <c r="C10" i="5"/>
  <c r="G10" i="5"/>
  <c r="D10" i="5"/>
  <c r="F10" i="5"/>
  <c r="G25" i="5"/>
  <c r="F25" i="5"/>
  <c r="D25" i="5"/>
  <c r="C25" i="5"/>
  <c r="B25" i="5"/>
  <c r="G26" i="5"/>
  <c r="F26" i="5"/>
  <c r="D26" i="5"/>
  <c r="C26" i="5"/>
  <c r="B26" i="5"/>
  <c r="G17" i="5"/>
  <c r="F17" i="5"/>
  <c r="D17" i="5"/>
  <c r="C17" i="5"/>
  <c r="B17" i="5"/>
</calcChain>
</file>

<file path=xl/sharedStrings.xml><?xml version="1.0" encoding="utf-8"?>
<sst xmlns="http://schemas.openxmlformats.org/spreadsheetml/2006/main" count="848" uniqueCount="194">
  <si>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</si>
  <si>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</si>
  <si>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</si>
  <si>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</si>
  <si>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</si>
  <si>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</si>
  <si>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</si>
  <si>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</si>
  <si>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</si>
  <si>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</si>
  <si>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</si>
  <si>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Choose your Environment and Climate Emergency Course (drop-down list)</t>
  </si>
  <si>
    <t>Course version:</t>
  </si>
  <si>
    <t>Commencing:</t>
  </si>
  <si>
    <t>Choose your commencing study period (drop-down list)</t>
  </si>
  <si>
    <t>Credits to Complete:</t>
  </si>
  <si>
    <t>2024 Availabilities</t>
  </si>
  <si>
    <t>Year 1</t>
  </si>
  <si>
    <t>Study Period</t>
  </si>
  <si>
    <t>Pre-Requisite(s)</t>
  </si>
  <si>
    <t>CP</t>
  </si>
  <si>
    <t>Sem1 BEN</t>
  </si>
  <si>
    <t>Sem1 FO</t>
  </si>
  <si>
    <t>Sem2 BEN</t>
  </si>
  <si>
    <t>Sem2 FO</t>
  </si>
  <si>
    <t>Progress</t>
  </si>
  <si>
    <t>Year 2</t>
  </si>
  <si>
    <t xml:space="preserve">Option Lists </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</si>
  <si>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</si>
  <si>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color rgb="FF000000"/>
        <rFont val="Segoe UI"/>
      </rPr>
      <t xml:space="preserve">If you have any queries about your course, please contact </t>
    </r>
    <r>
      <rPr>
        <b/>
        <u/>
        <sz val="12"/>
        <color rgb="FF0563C1"/>
        <rFont val="Segoe UI"/>
      </rPr>
      <t>Curtin Connect.</t>
    </r>
  </si>
  <si>
    <t>Curtin University is a trademark of Curtin University of Technology</t>
  </si>
  <si>
    <t>CRICOS Provider Code 00301J</t>
  </si>
  <si>
    <t>Environment and Climate Emergency</t>
  </si>
  <si>
    <t>GC-ENVCLMSem1</t>
  </si>
  <si>
    <t>RangeUnitSets</t>
  </si>
  <si>
    <t>GC-ENVCLMSem2</t>
  </si>
  <si>
    <t>GD-ENVCLMSem1</t>
  </si>
  <si>
    <t>GD-ENVCLMSem2</t>
  </si>
  <si>
    <t>MC-ENVCLMSem1</t>
  </si>
  <si>
    <t>MC-ENVCLMSem2</t>
  </si>
  <si>
    <t>Spk Cd</t>
  </si>
  <si>
    <t>Structure Line</t>
  </si>
  <si>
    <t>Pre Req</t>
  </si>
  <si>
    <t>2023 S1Int</t>
  </si>
  <si>
    <t>2023 S1FO</t>
  </si>
  <si>
    <t>2023 S2Int</t>
  </si>
  <si>
    <t>2023 S2FO</t>
  </si>
  <si>
    <t>Y1Sem1</t>
  </si>
  <si>
    <t>SUST5024</t>
  </si>
  <si>
    <t>Y1Sem2</t>
  </si>
  <si>
    <t>--</t>
  </si>
  <si>
    <t>SUST5003</t>
  </si>
  <si>
    <t>SUST5005</t>
  </si>
  <si>
    <t>SUST5008</t>
  </si>
  <si>
    <t>Version</t>
  </si>
  <si>
    <t>Credit Points</t>
  </si>
  <si>
    <t>Effective Date</t>
  </si>
  <si>
    <t>Akari Update</t>
  </si>
  <si>
    <t>SUST7000</t>
  </si>
  <si>
    <t>SUST5018</t>
  </si>
  <si>
    <t>Graduate Certificate in Environment and Climate Emergency</t>
  </si>
  <si>
    <t>GC-ENVCLM</t>
  </si>
  <si>
    <t>v.1</t>
  </si>
  <si>
    <t xml:space="preserve">100 credit points required </t>
  </si>
  <si>
    <t>Sem1 - INT &amp; FO; Sem2 - INT &amp; FO</t>
  </si>
  <si>
    <t>Option</t>
  </si>
  <si>
    <t>Graduate Diploma in Environment and Climate Emergency</t>
  </si>
  <si>
    <t>GD-ENVCLM</t>
  </si>
  <si>
    <t xml:space="preserve">200 credit points required </t>
  </si>
  <si>
    <t>Master of Environment and Climate Emergency</t>
  </si>
  <si>
    <t>MC-ENVCLM</t>
  </si>
  <si>
    <t>v.3</t>
  </si>
  <si>
    <t>400 credit points required</t>
  </si>
  <si>
    <t>URDE6006</t>
  </si>
  <si>
    <t>START</t>
  </si>
  <si>
    <t>Next</t>
  </si>
  <si>
    <t>---</t>
  </si>
  <si>
    <t>Y2Sem1</t>
  </si>
  <si>
    <t>SUST5020</t>
  </si>
  <si>
    <t>Y2Sem2</t>
  </si>
  <si>
    <t>SUST5004</t>
  </si>
  <si>
    <t>Semester 1 (February - June)</t>
  </si>
  <si>
    <t>Sem1</t>
  </si>
  <si>
    <t>Sem2</t>
  </si>
  <si>
    <t>SUST6004</t>
  </si>
  <si>
    <t>Semester 2 (July -  November)</t>
  </si>
  <si>
    <t>Elective</t>
  </si>
  <si>
    <t>SUST6003</t>
  </si>
  <si>
    <t>1/02/2024 - Pending confirmation of FO availabilities</t>
  </si>
  <si>
    <t>-</t>
  </si>
  <si>
    <t>Akari Structure</t>
  </si>
  <si>
    <t>Not Available with current structure</t>
  </si>
  <si>
    <t>Akari Structuire</t>
  </si>
  <si>
    <t>Confirmed with CC</t>
  </si>
  <si>
    <t>50CP Unit</t>
  </si>
  <si>
    <t>Pending Questions/Notes</t>
  </si>
  <si>
    <t>CC request to have URDE6006 at end of Year 1</t>
  </si>
  <si>
    <t>SUST6003 - Confirm FO Sem1 Availability for 2024</t>
  </si>
  <si>
    <t>SUST6004 - Confirm FO Sem1 &amp; Sem2 Availability for 2024</t>
  </si>
  <si>
    <t>RangeOptions</t>
  </si>
  <si>
    <t>GRDE5013</t>
  </si>
  <si>
    <t>PRJM6000</t>
  </si>
  <si>
    <t>PRJM6010</t>
  </si>
  <si>
    <t>URDE5002</t>
  </si>
  <si>
    <t>URDE5009</t>
  </si>
  <si>
    <t>URDE5013</t>
  </si>
  <si>
    <t>URDE5025</t>
  </si>
  <si>
    <t>WORK5000</t>
  </si>
  <si>
    <t>ENST5005</t>
  </si>
  <si>
    <t>HRIG5001</t>
  </si>
  <si>
    <t>INCD5000</t>
  </si>
  <si>
    <t>ISYS5009</t>
  </si>
  <si>
    <t>INDS5009</t>
  </si>
  <si>
    <t>ISYS6004</t>
  </si>
  <si>
    <t>MKTG6003</t>
  </si>
  <si>
    <t>Title</t>
  </si>
  <si>
    <t>S1INT</t>
  </si>
  <si>
    <t>S1FO</t>
  </si>
  <si>
    <t>S2INT</t>
  </si>
  <si>
    <t>S2FO</t>
  </si>
  <si>
    <t>Notes</t>
  </si>
  <si>
    <t>Please note this is a 50CP unit</t>
  </si>
  <si>
    <t>Not available for full-time Semester 2 commencement</t>
  </si>
  <si>
    <t>Not relevant to this course</t>
  </si>
  <si>
    <t>Study a Postgraduate level Elective Unit</t>
  </si>
  <si>
    <t>See Handbook</t>
  </si>
  <si>
    <t>Global Environmental Challenges</t>
  </si>
  <si>
    <t>None</t>
  </si>
  <si>
    <t>Design Entrepreneurship</t>
  </si>
  <si>
    <t>Social Justice and Development</t>
  </si>
  <si>
    <t>New Version</t>
  </si>
  <si>
    <t>HRIG5001.PO</t>
  </si>
  <si>
    <t>Human Rights and Development</t>
  </si>
  <si>
    <t>Old Version</t>
  </si>
  <si>
    <t>Social, Cultural and Historical Contexts of Indigenous Australians</t>
  </si>
  <si>
    <t>Indigenous Research Methodologies</t>
  </si>
  <si>
    <t>Societal Impact of Technological Innovation</t>
  </si>
  <si>
    <t>Green Information Technology and Sustainability</t>
  </si>
  <si>
    <t>Admission to MC-ENVCLM</t>
  </si>
  <si>
    <t>Sustainable and Societal Marketing</t>
  </si>
  <si>
    <t>Study an Option Unit from the list below</t>
  </si>
  <si>
    <t>See below</t>
  </si>
  <si>
    <t>Project Management Overview</t>
  </si>
  <si>
    <t>Project and People</t>
  </si>
  <si>
    <t>Pathways to a Climate Resilient Society</t>
  </si>
  <si>
    <t>Leadership in Sustainability</t>
  </si>
  <si>
    <t>Future Cities</t>
  </si>
  <si>
    <t>Sits in GC as Core and Option</t>
  </si>
  <si>
    <t>Climate Policy</t>
  </si>
  <si>
    <t>People and Planet</t>
  </si>
  <si>
    <t>Sustainability, Climate Change and Economics</t>
  </si>
  <si>
    <t>Sustainable Waste Management</t>
  </si>
  <si>
    <t>Sustainability Dissertation 2</t>
  </si>
  <si>
    <t>SUST6002 or SUST6004</t>
  </si>
  <si>
    <t>For 2024 - Need a FO availability for Sem1</t>
  </si>
  <si>
    <t>Sustainability Dissertation 1</t>
  </si>
  <si>
    <t>URDE6006 + SUST7000 + SUST5005 + SUST5003 + SUST5008 + SUST5018 + (SUST5024 or URDE5033)</t>
  </si>
  <si>
    <t>For 2024 - Check FO availability for Sem1 &amp; Sem2</t>
  </si>
  <si>
    <t>Introduction to Environment &amp; Climate Emergency</t>
  </si>
  <si>
    <t>Planning for Regions</t>
  </si>
  <si>
    <t>Participatory Planning</t>
  </si>
  <si>
    <t>Planning Theory and Context</t>
  </si>
  <si>
    <t>Planning Law</t>
  </si>
  <si>
    <t>Design and Built Environment Research Methods</t>
  </si>
  <si>
    <t>Work Based Project (with approval)</t>
  </si>
  <si>
    <t>Effective:</t>
  </si>
  <si>
    <t>Downloaded:</t>
  </si>
  <si>
    <t>OUA Code</t>
  </si>
  <si>
    <t>CPs</t>
  </si>
  <si>
    <t>No.</t>
  </si>
  <si>
    <t>Component Type</t>
  </si>
  <si>
    <t>Year Level</t>
  </si>
  <si>
    <t>Study Package Code</t>
  </si>
  <si>
    <t>Effective</t>
  </si>
  <si>
    <t>Discont.</t>
  </si>
  <si>
    <t>SPK</t>
  </si>
  <si>
    <t>Core</t>
  </si>
  <si>
    <t>Semester 1</t>
  </si>
  <si>
    <t>Choose an Option</t>
  </si>
  <si>
    <t>Work Based Project</t>
  </si>
  <si>
    <t>ENST6006</t>
  </si>
  <si>
    <t>PRJM6006</t>
  </si>
  <si>
    <t>Semester 2</t>
  </si>
  <si>
    <t>NA</t>
  </si>
  <si>
    <t>Choose an Elective</t>
  </si>
  <si>
    <t>Choose Options</t>
  </si>
  <si>
    <t>Count of Availability Available to Students Flag</t>
  </si>
  <si>
    <t>Downloaded 2024:</t>
  </si>
  <si>
    <t>Row Labels</t>
  </si>
  <si>
    <t>Internal</t>
  </si>
  <si>
    <t>Online</t>
  </si>
  <si>
    <t>Internal2</t>
  </si>
  <si>
    <t>Online3</t>
  </si>
  <si>
    <t>12/02/2024 - Phone approval with Roberto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</si>
</sst>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i/>
      <sz val="10"/>
      <color rgb="FFC00000"/>
      <name val="Arial"/>
      <family val="2"/>
    </font>
    <font>
      <b/>
      <sz val="18"/>
      <color theme="1"/>
      <name val="Segoe UI"/>
      <family val="2"/>
    </font>
    <font>
      <b/>
      <i/>
      <sz val="12"/>
      <color theme="0" tint="-0.249977111117893"/>
      <name val="Calibri"/>
      <family val="2"/>
      <scheme val="minor"/>
    </font>
    <font>
      <sz val="8"/>
      <color rgb="FF00B050"/>
      <name val="Arial"/>
      <family val="2"/>
    </font>
    <font>
      <b/>
      <sz val="11"/>
      <color rgb="FF0D4B6D"/>
      <name val="Segoe UI"/>
      <family val="2"/>
    </font>
    <font>
      <sz val="9"/>
      <color rgb="FFFF0000"/>
      <name val="Segoe UI"/>
      <family val="2"/>
    </font>
    <font>
      <b/>
      <u/>
      <sz val="12"/>
      <name val="Calibri"/>
      <family val="2"/>
      <scheme val="minor"/>
    </font>
    <font>
      <b/>
      <sz val="10"/>
      <name val="Segoe UI"/>
      <family val="2"/>
    </font>
    <font>
      <b/>
      <sz val="9"/>
      <color theme="0"/>
      <name val="Segoe UI"/>
      <family val="2"/>
    </font>
    <font>
      <sz val="12"/>
      <name val="Calibri"/>
      <family val="2"/>
      <scheme val="minor"/>
    </font>
    <font>
      <b/>
      <sz val="12"/>
      <color rgb="FF000000"/>
      <name val="Segoe UI"/>
    </font>
    <font>
      <b/>
      <u/>
      <sz val="12"/>
      <color rgb="FF0563C1"/>
      <name val="Segoe UI"/>
    </font>
    <font>
      <b/>
      <u/>
      <sz val="12"/>
      <color theme="10"/>
      <name val="Segoe UI"/>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0D4B6D"/>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D4B6D"/>
        <bgColor rgb="FF000000"/>
      </patternFill>
    </fill>
    <fill>
      <patternFill patternType="solid">
        <fgColor theme="7"/>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s>
  <cellStyleXfs count="3">
    <xf numFmtId="0" fontId="0" fillId="0" borderId="0"/>
    <xf numFmtId="0" fontId="1" fillId="0" borderId="0"/>
    <xf numFmtId="0" fontId="28" fillId="0" borderId="0" applyNumberFormat="0" applyFill="0" applyBorder="0" applyAlignment="0" applyProtection="0"/>
  </cellStyleXfs>
  <cellXfs count="25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11"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13" fillId="0" borderId="0" xfId="0" applyFont="1"/>
    <xf numFmtId="0" fontId="3" fillId="0" borderId="0" xfId="0" applyFont="1"/>
    <xf numFmtId="0" fontId="16" fillId="0" borderId="0" xfId="0" applyFont="1"/>
    <xf numFmtId="0" fontId="14" fillId="0" borderId="0" xfId="0" applyFont="1"/>
    <xf numFmtId="0" fontId="12"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7" fillId="0" borderId="0" xfId="0" applyFont="1"/>
    <xf numFmtId="0" fontId="5" fillId="5" borderId="0" xfId="0" applyFont="1" applyFill="1" applyAlignment="1">
      <alignment horizontal="left"/>
    </xf>
    <xf numFmtId="0" fontId="5" fillId="5" borderId="5" xfId="0" applyFont="1" applyFill="1" applyBorder="1" applyAlignment="1">
      <alignment horizontal="center"/>
    </xf>
    <xf numFmtId="0" fontId="5" fillId="5" borderId="4" xfId="0" applyFont="1" applyFill="1" applyBorder="1" applyAlignment="1">
      <alignment horizontal="left"/>
    </xf>
    <xf numFmtId="0" fontId="19" fillId="0" borderId="0" xfId="0" applyFont="1" applyAlignment="1">
      <alignment horizontal="center"/>
    </xf>
    <xf numFmtId="0" fontId="18" fillId="0" borderId="0" xfId="0" applyFont="1"/>
    <xf numFmtId="0" fontId="2" fillId="0" borderId="0" xfId="0" applyFont="1"/>
    <xf numFmtId="0" fontId="9" fillId="0" borderId="0" xfId="0" applyFont="1" applyAlignment="1">
      <alignment horizontal="left" vertical="center"/>
    </xf>
    <xf numFmtId="0" fontId="37" fillId="0" borderId="0" xfId="0" applyFont="1" applyAlignment="1">
      <alignment horizontal="left"/>
    </xf>
    <xf numFmtId="0" fontId="6" fillId="0" borderId="0" xfId="0" applyFont="1" applyAlignment="1">
      <alignment horizontal="center" vertical="center"/>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38" fillId="7" borderId="0" xfId="0" applyFont="1" applyFill="1"/>
    <xf numFmtId="0" fontId="3" fillId="7" borderId="0" xfId="0" applyFont="1" applyFill="1" applyAlignment="1">
      <alignment horizontal="center" vertical="center"/>
    </xf>
    <xf numFmtId="0" fontId="38" fillId="7" borderId="0" xfId="0" applyFont="1" applyFill="1" applyAlignment="1">
      <alignment horizontal="center" vertical="center" wrapText="1"/>
    </xf>
    <xf numFmtId="0" fontId="8" fillId="0" borderId="0" xfId="0" applyFont="1" applyAlignment="1">
      <alignment horizontal="center"/>
    </xf>
    <xf numFmtId="0" fontId="5" fillId="5" borderId="8" xfId="0" applyFont="1" applyFill="1" applyBorder="1" applyAlignment="1">
      <alignment horizontal="left"/>
    </xf>
    <xf numFmtId="0" fontId="0" fillId="7" borderId="0" xfId="0" applyFill="1" applyAlignment="1">
      <alignment wrapText="1"/>
    </xf>
    <xf numFmtId="0" fontId="11" fillId="8" borderId="4" xfId="0" applyFont="1" applyFill="1" applyBorder="1" applyAlignment="1">
      <alignment horizontal="center"/>
    </xf>
    <xf numFmtId="0" fontId="11" fillId="8" borderId="0" xfId="0" applyFont="1" applyFill="1" applyAlignment="1">
      <alignment horizontal="center"/>
    </xf>
    <xf numFmtId="0" fontId="11" fillId="8" borderId="5" xfId="0" applyFont="1" applyFill="1" applyBorder="1" applyAlignment="1">
      <alignment horizontal="center"/>
    </xf>
    <xf numFmtId="0" fontId="6" fillId="0" borderId="22" xfId="0" applyFont="1" applyBorder="1"/>
    <xf numFmtId="0" fontId="6" fillId="0" borderId="23" xfId="0" applyFont="1" applyBorder="1" applyAlignment="1">
      <alignment horizontal="center"/>
    </xf>
    <xf numFmtId="0" fontId="0" fillId="0" borderId="23" xfId="0" applyBorder="1"/>
    <xf numFmtId="0" fontId="6" fillId="0" borderId="23" xfId="0" applyFont="1" applyBorder="1"/>
    <xf numFmtId="0" fontId="6" fillId="0" borderId="23" xfId="0" applyFont="1"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xf>
    <xf numFmtId="0" fontId="6" fillId="0" borderId="25" xfId="0" applyFont="1" applyBorder="1"/>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0" fillId="0" borderId="27" xfId="0" applyBorder="1"/>
    <xf numFmtId="0" fontId="0" fillId="0" borderId="25" xfId="0" applyBorder="1"/>
    <xf numFmtId="0" fontId="11" fillId="8" borderId="7" xfId="0" applyFont="1" applyFill="1" applyBorder="1" applyAlignment="1">
      <alignment horizontal="center"/>
    </xf>
    <xf numFmtId="0" fontId="11" fillId="8" borderId="8" xfId="0" applyFont="1" applyFill="1" applyBorder="1" applyAlignment="1">
      <alignment horizontal="center"/>
    </xf>
    <xf numFmtId="0" fontId="6" fillId="8" borderId="8" xfId="0" applyFont="1" applyFill="1" applyBorder="1" applyAlignment="1">
      <alignment horizontal="center"/>
    </xf>
    <xf numFmtId="0" fontId="11" fillId="8" borderId="6" xfId="0" applyFont="1" applyFill="1" applyBorder="1" applyAlignment="1">
      <alignment horizontal="center"/>
    </xf>
    <xf numFmtId="0" fontId="43" fillId="0" borderId="0" xfId="0" applyFont="1"/>
    <xf numFmtId="0" fontId="43" fillId="0" borderId="0" xfId="0" applyFont="1" applyAlignment="1">
      <alignment horizontal="right"/>
    </xf>
    <xf numFmtId="14" fontId="43" fillId="0" borderId="0" xfId="0" applyNumberFormat="1" applyFont="1"/>
    <xf numFmtId="0" fontId="0" fillId="0" borderId="30" xfId="0" applyBorder="1" applyAlignment="1">
      <alignment horizontal="center"/>
    </xf>
    <xf numFmtId="0" fontId="11" fillId="9" borderId="0" xfId="0" applyFont="1" applyFill="1"/>
    <xf numFmtId="0" fontId="6" fillId="9" borderId="0" xfId="0" applyFont="1" applyFill="1"/>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9" fillId="0" borderId="5" xfId="0" applyFont="1" applyBorder="1" applyAlignment="1">
      <alignment horizontal="center" vertical="center"/>
    </xf>
    <xf numFmtId="0" fontId="10" fillId="0" borderId="5"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center" vertical="center"/>
    </xf>
    <xf numFmtId="0" fontId="4"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8" borderId="1" xfId="0" applyFont="1" applyFill="1" applyBorder="1" applyAlignment="1">
      <alignment horizontal="center"/>
    </xf>
    <xf numFmtId="0" fontId="11" fillId="8" borderId="2" xfId="0" applyFont="1" applyFill="1" applyBorder="1" applyAlignment="1">
      <alignment horizontal="center"/>
    </xf>
    <xf numFmtId="0" fontId="6" fillId="8" borderId="2" xfId="0" applyFont="1" applyFill="1" applyBorder="1" applyAlignment="1">
      <alignment horizontal="center"/>
    </xf>
    <xf numFmtId="0" fontId="11" fillId="8" borderId="3" xfId="0" applyFont="1" applyFill="1" applyBorder="1" applyAlignment="1">
      <alignment horizontal="center"/>
    </xf>
    <xf numFmtId="0" fontId="0" fillId="0" borderId="5" xfId="0" applyBorder="1"/>
    <xf numFmtId="0" fontId="4" fillId="11" borderId="5" xfId="0" applyFont="1" applyFill="1" applyBorder="1" applyAlignment="1">
      <alignment horizontal="center" vertical="center"/>
    </xf>
    <xf numFmtId="0" fontId="12" fillId="0" borderId="0" xfId="0" applyFont="1" applyAlignment="1">
      <alignment horizontal="center"/>
    </xf>
    <xf numFmtId="0" fontId="11" fillId="9" borderId="0" xfId="0" applyFont="1" applyFill="1" applyAlignment="1">
      <alignment wrapText="1"/>
    </xf>
    <xf numFmtId="0" fontId="48" fillId="0" borderId="0" xfId="0" applyFont="1" applyAlignment="1">
      <alignment horizontal="right"/>
    </xf>
    <xf numFmtId="0" fontId="4" fillId="0" borderId="3" xfId="0" quotePrefix="1" applyFont="1" applyBorder="1" applyAlignment="1">
      <alignment horizontal="center" vertical="center"/>
    </xf>
    <xf numFmtId="0" fontId="50" fillId="0" borderId="0" xfId="0" applyFont="1" applyAlignment="1">
      <alignment horizontal="right"/>
    </xf>
    <xf numFmtId="0" fontId="29" fillId="13" borderId="0" xfId="2" applyFont="1" applyFill="1" applyAlignment="1" applyProtection="1">
      <alignment vertical="center"/>
    </xf>
    <xf numFmtId="0" fontId="28" fillId="13" borderId="0" xfId="2" applyFill="1" applyAlignment="1" applyProtection="1">
      <alignment vertical="center"/>
    </xf>
    <xf numFmtId="0" fontId="11" fillId="0" borderId="0" xfId="0" applyFont="1" applyAlignment="1">
      <alignment horizontal="left" wrapText="1"/>
    </xf>
    <xf numFmtId="0" fontId="9" fillId="12" borderId="0" xfId="0" applyFont="1" applyFill="1" applyAlignment="1">
      <alignment horizontal="center" wrapText="1"/>
    </xf>
    <xf numFmtId="0" fontId="4" fillId="0" borderId="6" xfId="0" applyFont="1" applyBorder="1" applyAlignment="1">
      <alignment horizontal="center" vertical="center"/>
    </xf>
    <xf numFmtId="0" fontId="3" fillId="14" borderId="5" xfId="0" applyFont="1" applyFill="1" applyBorder="1" applyAlignment="1">
      <alignment horizontal="center" vertical="center"/>
    </xf>
    <xf numFmtId="0" fontId="51" fillId="0" borderId="6" xfId="0" applyFont="1" applyBorder="1" applyAlignment="1">
      <alignment horizontal="center" vertical="center"/>
    </xf>
    <xf numFmtId="0" fontId="51" fillId="0" borderId="0" xfId="0" applyFont="1" applyAlignment="1">
      <alignment horizontal="center"/>
    </xf>
    <xf numFmtId="0" fontId="51" fillId="0" borderId="0" xfId="0" applyFont="1"/>
    <xf numFmtId="0" fontId="12" fillId="0" borderId="0" xfId="0" applyFont="1" applyAlignment="1">
      <alignment horizontal="center" wrapText="1"/>
    </xf>
    <xf numFmtId="0" fontId="51" fillId="0" borderId="0" xfId="0" applyFont="1" applyAlignment="1">
      <alignment horizontal="center" wrapText="1"/>
    </xf>
    <xf numFmtId="0" fontId="12" fillId="11" borderId="0" xfId="0" applyFont="1" applyFill="1" applyAlignment="1">
      <alignment horizontal="center" wrapText="1"/>
    </xf>
    <xf numFmtId="0" fontId="12" fillId="0" borderId="33"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36" xfId="0" applyFont="1" applyBorder="1" applyAlignment="1">
      <alignment horizontal="center"/>
    </xf>
    <xf numFmtId="0" fontId="12" fillId="0" borderId="37" xfId="0" applyFont="1" applyBorder="1" applyAlignment="1">
      <alignment horizontal="center"/>
    </xf>
    <xf numFmtId="0" fontId="3" fillId="0" borderId="36" xfId="0" applyFont="1" applyBorder="1" applyAlignment="1">
      <alignment horizontal="center"/>
    </xf>
    <xf numFmtId="0" fontId="3" fillId="0" borderId="0" xfId="0" applyFont="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0" xfId="0" applyFont="1" applyBorder="1" applyAlignment="1">
      <alignment horizontal="center"/>
    </xf>
    <xf numFmtId="0" fontId="7" fillId="12" borderId="0" xfId="0" applyFont="1" applyFill="1" applyAlignment="1">
      <alignment horizontal="left" wrapText="1"/>
    </xf>
    <xf numFmtId="0" fontId="11" fillId="0" borderId="0" xfId="0" quotePrefix="1" applyFont="1"/>
    <xf numFmtId="0" fontId="5" fillId="5" borderId="8" xfId="0" applyFont="1" applyFill="1" applyBorder="1" applyAlignment="1">
      <alignment horizontal="left" textRotation="90"/>
    </xf>
    <xf numFmtId="0" fontId="22" fillId="15" borderId="15" xfId="1" applyFont="1" applyFill="1" applyBorder="1" applyAlignment="1" applyProtection="1">
      <alignment horizontal="center" vertical="center" wrapText="1"/>
      <protection locked="0"/>
    </xf>
    <xf numFmtId="0" fontId="11" fillId="16" borderId="0" xfId="0" applyFont="1" applyFill="1" applyAlignment="1">
      <alignment horizontal="center"/>
    </xf>
    <xf numFmtId="14" fontId="11" fillId="0" borderId="0" xfId="0" applyNumberFormat="1" applyFont="1" applyAlignment="1">
      <alignment horizontal="center"/>
    </xf>
    <xf numFmtId="14" fontId="0" fillId="0" borderId="0" xfId="0" applyNumberFormat="1"/>
    <xf numFmtId="0" fontId="0" fillId="12" borderId="0" xfId="0" applyFill="1"/>
    <xf numFmtId="0" fontId="6" fillId="8" borderId="0" xfId="0" applyFont="1" applyFill="1" applyAlignment="1">
      <alignment horizontal="center"/>
    </xf>
    <xf numFmtId="0" fontId="11" fillId="8" borderId="42" xfId="0" applyFont="1" applyFill="1" applyBorder="1" applyAlignment="1">
      <alignment horizontal="center"/>
    </xf>
    <xf numFmtId="0" fontId="11" fillId="8" borderId="41" xfId="0" applyFont="1" applyFill="1" applyBorder="1" applyAlignment="1">
      <alignment horizontal="center"/>
    </xf>
    <xf numFmtId="0" fontId="6" fillId="8" borderId="42" xfId="0" applyFont="1" applyFill="1" applyBorder="1" applyAlignment="1">
      <alignment horizontal="center"/>
    </xf>
    <xf numFmtId="0" fontId="11" fillId="8" borderId="43" xfId="0" applyFont="1" applyFill="1" applyBorder="1" applyAlignment="1">
      <alignment horizontal="center"/>
    </xf>
    <xf numFmtId="0" fontId="7" fillId="8" borderId="41" xfId="0" applyFont="1" applyFill="1" applyBorder="1" applyAlignment="1">
      <alignment horizontal="center"/>
    </xf>
    <xf numFmtId="0" fontId="7" fillId="8" borderId="42" xfId="0" applyFont="1" applyFill="1" applyBorder="1" applyAlignment="1">
      <alignment horizontal="center"/>
    </xf>
    <xf numFmtId="0" fontId="7" fillId="8" borderId="43" xfId="0" applyFont="1" applyFill="1" applyBorder="1" applyAlignment="1">
      <alignment horizontal="center"/>
    </xf>
    <xf numFmtId="0" fontId="42" fillId="12" borderId="0" xfId="0" applyFont="1" applyFill="1"/>
    <xf numFmtId="14" fontId="0" fillId="12" borderId="0" xfId="0" applyNumberFormat="1" applyFill="1"/>
    <xf numFmtId="0" fontId="2" fillId="3" borderId="41" xfId="0" applyFont="1" applyFill="1" applyBorder="1"/>
    <xf numFmtId="0" fontId="2" fillId="3" borderId="42" xfId="0" applyFont="1" applyFill="1" applyBorder="1" applyAlignment="1">
      <alignment horizontal="right" vertical="center"/>
    </xf>
    <xf numFmtId="0" fontId="2" fillId="3" borderId="41" xfId="0" applyFont="1" applyFill="1" applyBorder="1" applyAlignment="1">
      <alignment horizontal="center" vertical="center"/>
    </xf>
    <xf numFmtId="0" fontId="2" fillId="4" borderId="43" xfId="0" applyFont="1" applyFill="1" applyBorder="1" applyAlignment="1">
      <alignment horizontal="right" vertical="center"/>
    </xf>
    <xf numFmtId="0" fontId="2" fillId="3" borderId="43" xfId="0" applyFont="1" applyFill="1" applyBorder="1" applyAlignment="1">
      <alignment horizontal="right" vertical="center"/>
    </xf>
    <xf numFmtId="0" fontId="2" fillId="3" borderId="42" xfId="0" applyFont="1" applyFill="1" applyBorder="1" applyAlignment="1">
      <alignment horizontal="center" vertical="center"/>
    </xf>
    <xf numFmtId="0" fontId="2" fillId="3" borderId="41" xfId="0" applyFont="1" applyFill="1" applyBorder="1" applyAlignment="1">
      <alignment horizontal="right" vertical="center"/>
    </xf>
    <xf numFmtId="0" fontId="5" fillId="5" borderId="41" xfId="0" applyFont="1" applyFill="1" applyBorder="1" applyAlignment="1">
      <alignment horizontal="left"/>
    </xf>
    <xf numFmtId="0" fontId="5" fillId="5" borderId="42" xfId="0" applyFont="1" applyFill="1" applyBorder="1" applyAlignment="1">
      <alignment horizontal="left"/>
    </xf>
    <xf numFmtId="0" fontId="5" fillId="5" borderId="43" xfId="0" applyFont="1" applyFill="1" applyBorder="1" applyAlignment="1">
      <alignment horizontal="left"/>
    </xf>
    <xf numFmtId="0" fontId="43" fillId="16" borderId="0" xfId="0" applyFont="1" applyFill="1"/>
    <xf numFmtId="0" fontId="54" fillId="12" borderId="0" xfId="0" applyFont="1" applyFill="1"/>
    <xf numFmtId="0" fontId="3" fillId="0" borderId="0" xfId="0" quotePrefix="1" applyFont="1" applyAlignment="1">
      <alignment horizontal="center" vertical="center"/>
    </xf>
    <xf numFmtId="0" fontId="23" fillId="0" borderId="0" xfId="0" applyFont="1" applyAlignment="1">
      <alignment horizontal="center"/>
    </xf>
    <xf numFmtId="0" fontId="55" fillId="2" borderId="0" xfId="1" applyFont="1" applyFill="1" applyAlignment="1" applyProtection="1">
      <alignment vertical="center"/>
      <protection locked="0"/>
    </xf>
    <xf numFmtId="0" fontId="21" fillId="2" borderId="0" xfId="1" applyFont="1" applyFill="1" applyAlignment="1" applyProtection="1">
      <alignment vertical="center"/>
      <protection locked="0"/>
    </xf>
    <xf numFmtId="0" fontId="60" fillId="13" borderId="0" xfId="2" applyFont="1" applyFill="1" applyAlignment="1" applyProtection="1">
      <alignment vertical="center"/>
    </xf>
    <xf numFmtId="0" fontId="57" fillId="0" borderId="0" xfId="0" applyFont="1" applyAlignment="1">
      <alignment horizontal="right"/>
    </xf>
    <xf numFmtId="14" fontId="57" fillId="0" borderId="0" xfId="0" applyNumberFormat="1" applyFont="1"/>
    <xf numFmtId="0" fontId="57" fillId="16" borderId="0" xfId="0" applyFont="1" applyFill="1"/>
    <xf numFmtId="0" fontId="19" fillId="0" borderId="9" xfId="1" applyFont="1" applyBorder="1" applyAlignment="1" applyProtection="1">
      <alignment horizontal="center"/>
    </xf>
    <xf numFmtId="0" fontId="19" fillId="0" borderId="10" xfId="1" applyFont="1" applyBorder="1" applyAlignment="1" applyProtection="1">
      <alignment horizontal="center"/>
    </xf>
    <xf numFmtId="0" fontId="19" fillId="0" borderId="10" xfId="1" applyFont="1" applyBorder="1" applyProtection="1"/>
    <xf numFmtId="0" fontId="19" fillId="0" borderId="11" xfId="1" applyFont="1" applyBorder="1" applyProtection="1"/>
    <xf numFmtId="0" fontId="1" fillId="0" borderId="0" xfId="1" applyProtection="1"/>
    <xf numFmtId="0" fontId="19" fillId="0" borderId="0" xfId="1" applyFont="1" applyAlignment="1" applyProtection="1">
      <alignment horizontal="center"/>
    </xf>
    <xf numFmtId="0" fontId="9" fillId="0" borderId="0" xfId="1" applyFont="1" applyAlignment="1" applyProtection="1">
      <alignment horizontal="center" vertical="center"/>
    </xf>
    <xf numFmtId="0" fontId="19" fillId="0" borderId="0" xfId="1" applyFont="1" applyProtection="1"/>
    <xf numFmtId="0" fontId="39" fillId="6" borderId="12" xfId="1" applyFont="1" applyFill="1" applyBorder="1" applyAlignment="1" applyProtection="1">
      <alignment horizontal="left" vertical="center" wrapText="1"/>
    </xf>
    <xf numFmtId="0" fontId="39" fillId="6" borderId="0" xfId="1" applyFont="1" applyFill="1" applyAlignment="1" applyProtection="1">
      <alignment vertical="center" wrapText="1"/>
    </xf>
    <xf numFmtId="0" fontId="41" fillId="13" borderId="13" xfId="1" applyFont="1" applyFill="1" applyBorder="1" applyAlignment="1" applyProtection="1">
      <alignment vertical="center"/>
    </xf>
    <xf numFmtId="0" fontId="20" fillId="13" borderId="14" xfId="1" applyFont="1" applyFill="1" applyBorder="1" applyAlignment="1" applyProtection="1">
      <alignment vertical="center"/>
    </xf>
    <xf numFmtId="0" fontId="49" fillId="13" borderId="14" xfId="1" applyFont="1" applyFill="1" applyBorder="1" applyAlignment="1" applyProtection="1">
      <alignment horizontal="right" vertical="center"/>
    </xf>
    <xf numFmtId="0" fontId="49" fillId="13" borderId="14" xfId="1" applyFont="1" applyFill="1" applyBorder="1" applyAlignment="1" applyProtection="1">
      <alignment horizontal="center" vertical="center"/>
    </xf>
    <xf numFmtId="0" fontId="41" fillId="13" borderId="14" xfId="1" applyFont="1" applyFill="1" applyBorder="1" applyAlignment="1" applyProtection="1">
      <alignment vertical="center"/>
    </xf>
    <xf numFmtId="0" fontId="1" fillId="0" borderId="0" xfId="1" applyAlignment="1" applyProtection="1">
      <alignment horizontal="center"/>
    </xf>
    <xf numFmtId="0" fontId="21"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21" fillId="2" borderId="0" xfId="1" applyFont="1" applyFill="1" applyAlignment="1" applyProtection="1">
      <alignment vertical="center"/>
    </xf>
    <xf numFmtId="0" fontId="56" fillId="0" borderId="0" xfId="1" applyFont="1" applyAlignment="1" applyProtection="1">
      <alignment horizontal="right" vertical="center" wrapText="1"/>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53" fillId="0" borderId="0" xfId="1" applyFont="1" applyAlignment="1" applyProtection="1">
      <alignment vertical="top" wrapText="1"/>
    </xf>
    <xf numFmtId="0" fontId="23" fillId="6" borderId="0" xfId="1" applyFont="1" applyFill="1" applyAlignment="1" applyProtection="1">
      <alignment horizontal="center" vertical="center"/>
    </xf>
    <xf numFmtId="0" fontId="23" fillId="6" borderId="0" xfId="1" applyFont="1" applyFill="1" applyAlignment="1" applyProtection="1">
      <alignment horizontal="left" vertical="center" indent="1"/>
    </xf>
    <xf numFmtId="0" fontId="23" fillId="6" borderId="0" xfId="1" applyFont="1" applyFill="1" applyAlignment="1" applyProtection="1">
      <alignment vertical="center"/>
    </xf>
    <xf numFmtId="0" fontId="23" fillId="6" borderId="19" xfId="1" applyFont="1" applyFill="1" applyBorder="1" applyAlignment="1" applyProtection="1">
      <alignment horizontal="left" vertical="center"/>
    </xf>
    <xf numFmtId="0" fontId="23" fillId="6" borderId="0" xfId="1" applyFont="1" applyFill="1" applyAlignment="1" applyProtection="1">
      <alignment horizontal="left" vertical="center"/>
    </xf>
    <xf numFmtId="0" fontId="23" fillId="6"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6" borderId="0" xfId="1" applyFont="1" applyFill="1" applyAlignment="1" applyProtection="1">
      <alignment horizontal="center" vertical="center" wrapText="1"/>
    </xf>
    <xf numFmtId="0" fontId="23" fillId="6" borderId="19" xfId="1" applyFont="1" applyFill="1" applyBorder="1" applyAlignment="1" applyProtection="1">
      <alignment horizontal="center" vertical="center" wrapText="1"/>
    </xf>
    <xf numFmtId="0" fontId="23" fillId="6" borderId="15"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1"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1"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22" fillId="15" borderId="19" xfId="1" applyFont="1" applyFill="1" applyBorder="1" applyAlignment="1" applyProtection="1">
      <alignment horizontal="center" vertical="center" wrapText="1"/>
    </xf>
    <xf numFmtId="0" fontId="22" fillId="15" borderId="1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1"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17" xfId="1" applyFont="1" applyBorder="1" applyAlignment="1" applyProtection="1">
      <alignmen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Alignment="1" applyProtection="1">
      <alignment horizontal="center" vertical="center"/>
    </xf>
    <xf numFmtId="0" fontId="35" fillId="2" borderId="0" xfId="1" applyFont="1" applyFill="1" applyProtection="1"/>
    <xf numFmtId="0" fontId="13" fillId="2" borderId="0" xfId="1" applyFont="1" applyFill="1" applyProtection="1"/>
    <xf numFmtId="0" fontId="44" fillId="10" borderId="0" xfId="0" applyFont="1" applyFill="1" applyAlignment="1" applyProtection="1">
      <alignment vertical="center" readingOrder="1"/>
    </xf>
    <xf numFmtId="0" fontId="45" fillId="10" borderId="0" xfId="0" applyFont="1" applyFill="1" applyAlignment="1" applyProtection="1">
      <alignment horizontal="left" vertical="center" readingOrder="1"/>
    </xf>
    <xf numFmtId="0" fontId="46" fillId="10" borderId="0" xfId="0" applyFont="1" applyFill="1" applyAlignment="1" applyProtection="1">
      <alignment horizontal="left" vertical="center" readingOrder="1"/>
    </xf>
    <xf numFmtId="0" fontId="44" fillId="10" borderId="0" xfId="0" applyFont="1" applyFill="1" applyAlignment="1" applyProtection="1">
      <alignment horizontal="center" vertical="center" readingOrder="1"/>
    </xf>
    <xf numFmtId="0" fontId="1" fillId="0" borderId="0" xfId="1" applyAlignment="1" applyProtection="1">
      <alignment horizontal="center" vertical="center"/>
    </xf>
    <xf numFmtId="0" fontId="47" fillId="10" borderId="0" xfId="0" applyFont="1" applyFill="1" applyAlignment="1" applyProtection="1">
      <alignment horizontal="center" vertical="center"/>
    </xf>
    <xf numFmtId="0" fontId="47" fillId="10" borderId="0" xfId="0" applyFont="1" applyFill="1" applyAlignment="1" applyProtection="1">
      <alignment horizontal="left" vertical="center" readingOrder="1"/>
    </xf>
    <xf numFmtId="0" fontId="47" fillId="10" borderId="31" xfId="0" applyFont="1" applyFill="1" applyBorder="1" applyAlignment="1" applyProtection="1">
      <alignment horizontal="center" vertical="center" wrapText="1" readingOrder="1"/>
    </xf>
    <xf numFmtId="0" fontId="47" fillId="10" borderId="0" xfId="0" applyFont="1" applyFill="1" applyAlignment="1" applyProtection="1">
      <alignment horizontal="center" vertical="center" wrapText="1" readingOrder="1"/>
    </xf>
    <xf numFmtId="0" fontId="47" fillId="10" borderId="32" xfId="0" applyFont="1" applyFill="1" applyBorder="1" applyAlignment="1" applyProtection="1">
      <alignment horizontal="center" vertical="top"/>
    </xf>
    <xf numFmtId="0" fontId="1" fillId="0" borderId="0" xfId="1" applyAlignment="1" applyProtection="1">
      <alignment horizontal="center" vertical="top"/>
    </xf>
    <xf numFmtId="0" fontId="36" fillId="0" borderId="16" xfId="1" applyFont="1" applyBorder="1" applyAlignment="1" applyProtection="1">
      <alignment horizontal="left" vertical="center"/>
    </xf>
    <xf numFmtId="0" fontId="36" fillId="0" borderId="17" xfId="1" applyFont="1" applyBorder="1" applyAlignment="1" applyProtection="1">
      <alignment horizontal="center" vertical="center"/>
    </xf>
    <xf numFmtId="0" fontId="36" fillId="0" borderId="17" xfId="1" applyFont="1" applyBorder="1" applyAlignment="1" applyProtection="1">
      <alignment vertical="center"/>
    </xf>
    <xf numFmtId="0" fontId="36" fillId="0" borderId="17" xfId="1" applyFont="1" applyBorder="1" applyAlignment="1" applyProtection="1">
      <alignment vertical="center" wrapText="1"/>
    </xf>
    <xf numFmtId="0" fontId="36" fillId="0" borderId="17" xfId="1" applyFont="1" applyBorder="1" applyAlignment="1" applyProtection="1">
      <alignment horizontal="center" vertical="center" wrapText="1"/>
    </xf>
    <xf numFmtId="0" fontId="0" fillId="0" borderId="0" xfId="0" applyProtection="1"/>
    <xf numFmtId="0" fontId="27" fillId="2" borderId="0" xfId="1" applyFont="1" applyFill="1" applyAlignment="1" applyProtection="1">
      <alignment horizontal="center" vertical="center" wrapText="1"/>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3" fillId="2" borderId="0" xfId="1" applyFont="1" applyFill="1" applyAlignment="1" applyProtection="1">
      <alignment vertical="center"/>
    </xf>
    <xf numFmtId="0" fontId="34" fillId="2" borderId="0" xfId="1" applyFont="1" applyFill="1" applyAlignment="1" applyProtection="1">
      <alignment horizontal="right" vertical="center"/>
    </xf>
    <xf numFmtId="0" fontId="34" fillId="2" borderId="0" xfId="1" applyFont="1" applyFill="1" applyAlignment="1" applyProtection="1">
      <alignment horizontal="center" vertical="center"/>
    </xf>
    <xf numFmtId="0" fontId="52" fillId="10" borderId="0" xfId="0" applyFont="1" applyFill="1" applyAlignment="1" applyProtection="1">
      <alignment horizontal="center" vertical="center"/>
    </xf>
  </cellXfs>
  <cellStyles count="3">
    <cellStyle name="Hyperlink" xfId="2" builtinId="8"/>
    <cellStyle name="Normal" xfId="0" builtinId="0"/>
    <cellStyle name="Normal 2" xfId="1"/>
  </cellStyles>
  <dxfs count="71">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color rgb="FFFF0000"/>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114301</xdr:colOff>
      <xdr:row>3</xdr:row>
      <xdr:rowOff>38101</xdr:rowOff>
    </xdr:from>
    <xdr:to>
      <xdr:col>21</xdr:col>
      <xdr:colOff>257176</xdr:colOff>
      <xdr:row>24</xdr:row>
      <xdr:rowOff>219075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049126" y="542926"/>
          <a:ext cx="5629275" cy="50482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fontAlgn="base"/>
          <a:r>
            <a:rPr lang="en-AU" sz="1100" b="1" i="0">
              <a:solidFill>
                <a:schemeClr val="dk1"/>
              </a:solidFill>
              <a:effectLst/>
              <a:latin typeface="+mn-lt"/>
              <a:ea typeface="+mn-ea"/>
              <a:cs typeface="+mn-cs"/>
            </a:rPr>
            <a:t>Enrolment Guidelines</a:t>
          </a:r>
        </a:p>
        <a:p>
          <a:pPr algn="ctr" rtl="0" fontAlgn="base"/>
          <a:r>
            <a:rPr lang="en-AU" sz="1100" b="1" i="1" u="none" strike="noStrike">
              <a:solidFill>
                <a:schemeClr val="dk1"/>
              </a:solidFill>
              <a:effectLst/>
              <a:latin typeface="+mn-lt"/>
              <a:ea typeface="+mn-ea"/>
              <a:cs typeface="+mn-cs"/>
            </a:rPr>
            <a:t>Graduate Certificate in Environment and Climate Emergency</a:t>
          </a:r>
        </a:p>
        <a:p>
          <a:pPr algn="ctr" rtl="0" fontAlgn="base"/>
          <a:r>
            <a:rPr lang="en-AU" sz="1100" b="1" i="1" u="none" strike="noStrike">
              <a:solidFill>
                <a:schemeClr val="dk1"/>
              </a:solidFill>
              <a:effectLst/>
              <a:latin typeface="+mn-lt"/>
              <a:ea typeface="+mn-ea"/>
              <a:cs typeface="+mn-cs"/>
            </a:rPr>
            <a:t>Graduate Diploma in Environment and Climate Emergency</a:t>
          </a:r>
        </a:p>
        <a:p>
          <a:pPr algn="ctr" rtl="0" fontAlgn="base"/>
          <a:r>
            <a:rPr lang="en-AU" sz="1100" b="1" i="1" u="none" strike="noStrike">
              <a:solidFill>
                <a:schemeClr val="dk1"/>
              </a:solidFill>
              <a:effectLst/>
              <a:latin typeface="+mn-lt"/>
              <a:ea typeface="+mn-ea"/>
              <a:cs typeface="+mn-cs"/>
            </a:rPr>
            <a:t>Master of Environment and Climate Emergency</a:t>
          </a:r>
          <a:r>
            <a:rPr lang="en-AU" b="1" i="1"/>
            <a:t> </a:t>
          </a:r>
          <a:endParaRPr lang="en-AU" sz="1100" b="1" i="1">
            <a:solidFill>
              <a:schemeClr val="dk1"/>
            </a:solidFill>
            <a:effectLst/>
            <a:latin typeface="+mn-lt"/>
            <a:ea typeface="+mn-ea"/>
            <a:cs typeface="+mn-cs"/>
          </a:endParaRPr>
        </a:p>
        <a:p>
          <a:pP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Course &amp; Commencing Study Period.</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If you wish to enrol in a part-time load, </a:t>
          </a:r>
          <a:r>
            <a:rPr lang="en-AU" sz="1100" b="0" i="0" u="none" baseline="0">
              <a:solidFill>
                <a:sysClr val="windowText" lastClr="000000"/>
              </a:solidFill>
              <a:effectLst/>
              <a:latin typeface="+mn-lt"/>
              <a:ea typeface="+mn-ea"/>
              <a:cs typeface="+mn-cs"/>
            </a:rPr>
            <a:t>please contact your Course Coordinator (Email - ece@curtin.edu.au) to develop an ad hoc study plan OR please select one or two units from the four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u="none" strike="noStrike">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sz="1100" b="1" i="0" baseline="0">
            <a:solidFill>
              <a:schemeClr val="dk1"/>
            </a:solidFill>
            <a:effectLst/>
            <a:latin typeface="+mn-lt"/>
            <a:ea typeface="+mn-ea"/>
            <a:cs typeface="+mn-cs"/>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900" b="0" i="0">
            <a:solidFill>
              <a:schemeClr val="dk1"/>
            </a:solidFill>
            <a:effectLst/>
            <a:latin typeface="+mn-lt"/>
            <a:ea typeface="+mn-ea"/>
            <a:cs typeface="+mn-cs"/>
          </a:endParaRPr>
        </a:p>
      </xdr:txBody>
    </xdr:sp>
    <xdr:clientData/>
  </xdr:twoCellAnchor>
  <xdr:twoCellAnchor>
    <xdr:from>
      <xdr:col>17</xdr:col>
      <xdr:colOff>504826</xdr:colOff>
      <xdr:row>20</xdr:row>
      <xdr:rowOff>180976</xdr:rowOff>
    </xdr:from>
    <xdr:to>
      <xdr:col>21</xdr:col>
      <xdr:colOff>180976</xdr:colOff>
      <xdr:row>22</xdr:row>
      <xdr:rowOff>9526</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5182851" y="4752976"/>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9" totalsRowShown="0" headerRowDxfId="68">
  <autoFilter ref="A6:G9"/>
  <sortState ref="A7:E9">
    <sortCondition ref="A6:A9"/>
  </sortState>
  <tableColumns count="7">
    <tableColumn id="3" name="Choose your Environment and Climate Emergency Course (drop-down list)" dataDxfId="67"/>
    <tableColumn id="1" name="UDC" dataDxfId="66"/>
    <tableColumn id="2" name="Version" dataDxfId="65"/>
    <tableColumn id="5" name="Credit Points" dataDxfId="64"/>
    <tableColumn id="4" name="Effective Date" dataDxfId="63"/>
    <tableColumn id="7" name="Akari Update" dataDxfId="62"/>
    <tableColumn id="6" name="Availabilities" dataDxfId="61"/>
  </tableColumns>
  <tableStyleInfo name="TableStyleLight8" showFirstColumn="0" showLastColumn="0" showRowStripes="1" showColumnStripes="0"/>
</table>
</file>

<file path=xl/tables/table10.xml><?xml version="1.0" encoding="utf-8"?>
<table xmlns="http://schemas.openxmlformats.org/spreadsheetml/2006/main" id="13" name="TableAvailabilities" displayName="TableAvailabilities" ref="A3:E29" totalsRowShown="0">
  <autoFilter ref="A3:E29"/>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2.xml><?xml version="1.0" encoding="utf-8"?>
<table xmlns="http://schemas.openxmlformats.org/spreadsheetml/2006/main" id="4" name="TableStudyPeriods" displayName="TableStudyPeriods" ref="A12:C14" totalsRowShown="0" dataDxfId="60">
  <autoFilter ref="A12:C14"/>
  <tableColumns count="3">
    <tableColumn id="1" name="Choose your commencing study period (drop-down list)" dataDxfId="59"/>
    <tableColumn id="2" name="START" dataDxfId="58"/>
    <tableColumn id="3" name="Next" dataDxfId="57"/>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N35" totalsRowShown="0" headerRowDxfId="55" dataDxfId="53" headerRowBorderDxfId="54" tableBorderDxfId="52">
  <autoFilter ref="A3:N35"/>
  <sortState ref="A4:N35">
    <sortCondition ref="A3:A35"/>
  </sortState>
  <tableColumns count="14">
    <tableColumn id="1" name="UDC" dataDxfId="51"/>
    <tableColumn id="2" name="Ver" dataDxfId="50"/>
    <tableColumn id="3" name="OUA Cd" dataDxfId="49"/>
    <tableColumn id="4" name="Title" dataDxfId="48"/>
    <tableColumn id="5" name="Credits" dataDxfId="47"/>
    <tableColumn id="6" name="Pre-reqs" dataDxfId="46"/>
    <tableColumn id="12" name="S1INT" dataDxfId="45">
      <calculatedColumnFormula>IFERROR(IF(VLOOKUP(TableHandbook[[#This Row],[UDC]],TableAvailabilities[],2,FALSE)&gt;0,"Y",""),"")</calculatedColumnFormula>
    </tableColumn>
    <tableColumn id="13" name="S1FO" dataDxfId="44">
      <calculatedColumnFormula>IFERROR(IF(VLOOKUP(TableHandbook[[#This Row],[UDC]],TableAvailabilities[],3,FALSE)&gt;0,"Y",""),"")</calculatedColumnFormula>
    </tableColumn>
    <tableColumn id="14" name="S2INT" dataDxfId="43">
      <calculatedColumnFormula>IFERROR(IF(VLOOKUP(TableHandbook[[#This Row],[UDC]],TableAvailabilities[],4,FALSE)&gt;0,"Y",""),"")</calculatedColumnFormula>
    </tableColumn>
    <tableColumn id="15" name="S2FO" dataDxfId="42">
      <calculatedColumnFormula>IFERROR(IF(VLOOKUP(TableHandbook[[#This Row],[UDC]],TableAvailabilities[],5,FALSE)&gt;0,"Y",""),"")</calculatedColumnFormula>
    </tableColumn>
    <tableColumn id="16" name="Notes" dataDxfId="41"/>
    <tableColumn id="8" name="GC-ENVCLM" dataDxfId="40">
      <calculatedColumnFormula>IFERROR(VLOOKUP(TableHandbook[[#This Row],[UDC]],TableGCENVCLM[],7,FALSE),"")</calculatedColumnFormula>
    </tableColumn>
    <tableColumn id="9" name="GD-ENVCLM" dataDxfId="39">
      <calculatedColumnFormula>IFERROR(VLOOKUP(TableHandbook[[#This Row],[UDC]],TableGDENVCLM[],7,FALSE),"")</calculatedColumnFormula>
    </tableColumn>
    <tableColumn id="10" name="MC-ENVCLM" dataDxfId="38">
      <calculatedColumnFormula>IFERROR(VLOOKUP(TableHandbook[[#This Row],[UDC]],TableMCENVCLM[],7,FALSE),"")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GCENVCLM" displayName="TableGCENVCLM" ref="A2:O26" totalsRowShown="0">
  <autoFilter ref="A2:O26"/>
  <sortState ref="AE3:AV6">
    <sortCondition ref="AS2:AS6"/>
  </sortState>
  <tableColumns count="15">
    <tableColumn id="1" name="UDC" dataDxfId="25">
      <calculatedColumnFormula>TableGCENVCLM[[#This Row],[Study Package Code]]</calculatedColumnFormula>
    </tableColumn>
    <tableColumn id="9" name="Version" dataDxfId="24">
      <calculatedColumnFormula>TableGCENVCLM[[#This Row],[Ver]]</calculatedColumnFormula>
    </tableColumn>
    <tableColumn id="10" name="OUA Code"/>
    <tableColumn id="11" name="Unit Title" dataDxfId="23">
      <calculatedColumnFormula>TableGCENVCLM[[#This Row],[Structure Line]]</calculatedColumnFormula>
    </tableColumn>
    <tableColumn id="12" name="CPs" dataDxfId="22">
      <calculatedColumnFormula>TableGCENVCLM[[#This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1"/>
    <tableColumn id="15" name="Discont." dataDxfId="20"/>
  </tableColumns>
  <tableStyleInfo name="TableStyleLight1" showFirstColumn="0" showLastColumn="0" showRowStripes="1" showColumnStripes="0"/>
</table>
</file>

<file path=xl/tables/table5.xml><?xml version="1.0" encoding="utf-8"?>
<table xmlns="http://schemas.openxmlformats.org/spreadsheetml/2006/main" id="6" name="TableGDENVCLM" displayName="TableGDENVCLM" ref="A28:O53" totalsRowShown="0">
  <autoFilter ref="A28:O53"/>
  <sortState ref="AE11:AV18">
    <sortCondition ref="AR10:AR18"/>
  </sortState>
  <tableColumns count="15">
    <tableColumn id="1" name="UDC" dataDxfId="19">
      <calculatedColumnFormula>TableGDENVCLM[[#This Row],[Study Package Code]]</calculatedColumnFormula>
    </tableColumn>
    <tableColumn id="9" name="Version" dataDxfId="18">
      <calculatedColumnFormula>TableGDENVCLM[[#This Row],[Ver]]</calculatedColumnFormula>
    </tableColumn>
    <tableColumn id="10" name="OUA Code"/>
    <tableColumn id="11" name="Unit Title" dataDxfId="17">
      <calculatedColumnFormula>TableGDENVCLM[[#This Row],[Structure Line]]</calculatedColumnFormula>
    </tableColumn>
    <tableColumn id="12" name="CPs" dataDxfId="16">
      <calculatedColumnFormula>TableGDENVCLM[[#This Row],[Credit Points]]</calculatedColumnFormula>
    </tableColumn>
    <tableColumn id="13" name="No." dataDxfId="15"/>
    <tableColumn id="2" name="Component Type" dataDxfId="14"/>
    <tableColumn id="3" name="Year Level" dataDxfId="13"/>
    <tableColumn id="4" name="Study Period" dataDxfId="12"/>
    <tableColumn id="5" name="Study Package Code" dataDxfId="11"/>
    <tableColumn id="6" name="Ver" dataDxfId="10"/>
    <tableColumn id="7" name="Structure Line" dataDxfId="9"/>
    <tableColumn id="8" name="Credit Points" dataDxfId="8"/>
    <tableColumn id="14" name="Effective" dataDxfId="7"/>
    <tableColumn id="15" name="Discont." dataDxfId="6"/>
  </tableColumns>
  <tableStyleInfo name="TableStyleLight1" showFirstColumn="0" showLastColumn="0" showRowStripes="1" showColumnStripes="0"/>
</table>
</file>

<file path=xl/tables/table6.xml><?xml version="1.0" encoding="utf-8"?>
<table xmlns="http://schemas.openxmlformats.org/spreadsheetml/2006/main" id="7" name="TableMCENVCLM" displayName="TableMCENVCLM" ref="A55:O84" totalsRowShown="0">
  <autoFilter ref="A55:O84"/>
  <sortState ref="AE23:AV30">
    <sortCondition ref="AR10:AR18"/>
  </sortState>
  <tableColumns count="15">
    <tableColumn id="15" name="UDC" dataDxfId="5">
      <calculatedColumnFormula>TableMCENVCLM[[#This Row],[Study Package Code]]</calculatedColumnFormula>
    </tableColumn>
    <tableColumn id="16" name="Version" dataDxfId="4">
      <calculatedColumnFormula>TableMCENVCLM[[#This Row],[Ver]]</calculatedColumnFormula>
    </tableColumn>
    <tableColumn id="17" name="OUA Code"/>
    <tableColumn id="18" name="Unit Title" dataDxfId="3">
      <calculatedColumnFormula>TableMCENVCLM[[#This Row],[Structure Line]]</calculatedColumnFormula>
    </tableColumn>
    <tableColumn id="19" name="CPs" dataDxfId="2">
      <calculatedColumnFormula>TableMCENVCLM[[#This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1"/>
    <tableColumn id="10" name="Discont." dataDxfId="0"/>
  </tableColumns>
  <tableStyleInfo name="TableStyleLight1" showFirstColumn="0" showLastColumn="0" showRowStripes="1" showColumnStripes="0"/>
</table>
</file>

<file path=xl/tables/table7.xml><?xml version="1.0" encoding="utf-8"?>
<table xmlns="http://schemas.openxmlformats.org/spreadsheetml/2006/main" id="5" name="Table15" displayName="Table15" ref="Q2:R26" totalsRowShown="0">
  <autoFilter ref="Q2:R26"/>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8" name="Table159" displayName="Table159" ref="Q28:R53" totalsRowShown="0">
  <autoFilter ref="Q28:R53"/>
  <tableColumns count="2">
    <tableColumn id="5" name="SPK"/>
    <tableColumn id="6" name="Ver"/>
  </tableColumns>
  <tableStyleInfo name="TableStyleLight4" showFirstColumn="0" showLastColumn="0" showRowStripes="1" showColumnStripes="0"/>
</table>
</file>

<file path=xl/tables/table9.xml><?xml version="1.0" encoding="utf-8"?>
<table xmlns="http://schemas.openxmlformats.org/spreadsheetml/2006/main" id="9" name="Table1510" displayName="Table1510" ref="Q55:R84" totalsRowShown="0">
  <autoFilter ref="Q55:R84"/>
  <tableColumns count="2">
    <tableColumn id="5" name="SPK"/>
    <tableColumn id="6"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49"/>
  <sheetViews>
    <sheetView showGridLines="0" tabSelected="1" topLeftCell="A3" workbookViewId="0">
      <selection activeCell="D5" sqref="D5"/>
    </sheetView>
  </sheetViews>
  <sheetFormatPr defaultRowHeight="15" x14ac:dyDescent="0.25"/>
  <cols>
    <col min="1" max="1" width="8.5" style="177" customWidth="1"/>
    <col min="2" max="2" width="3.25" style="177" customWidth="1"/>
    <col min="3" max="3" width="5.875" style="177" customWidth="1"/>
    <col min="4" max="4" width="57.625" style="166" customWidth="1"/>
    <col min="5" max="5" width="7.75" style="166" customWidth="1"/>
    <col min="6" max="6" width="33.875" style="166" customWidth="1"/>
    <col min="7" max="7" width="5.625" style="166" customWidth="1"/>
    <col min="8" max="11" width="4.625" style="166" customWidth="1"/>
    <col min="12" max="12" width="15.625" style="166" customWidth="1"/>
    <col min="13" max="13" width="2.5" style="166" hidden="1" customWidth="1"/>
    <col min="14" max="16384" width="9" style="166"/>
  </cols>
  <sheetData>
    <row r="1" spans="1:16" hidden="1" x14ac:dyDescent="0.25">
      <c r="A1" s="162" t="s">
        <v>0</v>
      </c>
      <c r="B1" s="163" t="s">
        <v>1</v>
      </c>
      <c r="C1" s="163" t="s">
        <v>2</v>
      </c>
      <c r="D1" s="164" t="s">
        <v>3</v>
      </c>
      <c r="E1" s="164"/>
      <c r="F1" s="164" t="s">
        <v>4</v>
      </c>
      <c r="G1" s="164" t="s">
        <v>5</v>
      </c>
      <c r="H1" s="165" t="s">
        <v>6</v>
      </c>
      <c r="I1" s="164"/>
      <c r="J1" s="164"/>
      <c r="K1" s="164"/>
      <c r="L1" s="164" t="s">
        <v>7</v>
      </c>
    </row>
    <row r="2" spans="1:16" hidden="1" x14ac:dyDescent="0.25">
      <c r="A2" s="167"/>
      <c r="B2" s="168">
        <v>2</v>
      </c>
      <c r="C2" s="168">
        <v>3</v>
      </c>
      <c r="D2" s="168">
        <v>4</v>
      </c>
      <c r="E2" s="168"/>
      <c r="F2" s="168">
        <v>6</v>
      </c>
      <c r="G2" s="168">
        <v>5</v>
      </c>
      <c r="H2" s="168">
        <v>7</v>
      </c>
      <c r="I2" s="168">
        <v>8</v>
      </c>
      <c r="J2" s="168">
        <v>9</v>
      </c>
      <c r="K2" s="168">
        <v>10</v>
      </c>
      <c r="L2" s="169"/>
    </row>
    <row r="3" spans="1:16" ht="39.950000000000003" customHeight="1" x14ac:dyDescent="0.25">
      <c r="A3" s="170" t="s">
        <v>8</v>
      </c>
      <c r="B3" s="170"/>
      <c r="C3" s="170"/>
      <c r="D3" s="170"/>
      <c r="E3" s="171"/>
      <c r="F3" s="171"/>
      <c r="G3" s="171"/>
      <c r="H3" s="171"/>
      <c r="I3" s="171"/>
      <c r="J3" s="171"/>
      <c r="K3" s="171"/>
      <c r="L3" s="171"/>
    </row>
    <row r="4" spans="1:16" ht="26.25" customHeight="1" x14ac:dyDescent="0.25">
      <c r="A4" s="172"/>
      <c r="B4" s="173"/>
      <c r="C4" s="173"/>
      <c r="D4" s="174" t="s">
        <v>9</v>
      </c>
      <c r="E4" s="175"/>
      <c r="F4" s="173"/>
      <c r="G4" s="176"/>
      <c r="H4" s="176"/>
      <c r="I4" s="176"/>
      <c r="J4" s="176"/>
      <c r="K4" s="176"/>
      <c r="L4" s="176"/>
    </row>
    <row r="5" spans="1:16" ht="20.100000000000001" customHeight="1" x14ac:dyDescent="0.25">
      <c r="B5" s="178"/>
      <c r="C5" s="179" t="s">
        <v>10</v>
      </c>
      <c r="D5" s="156" t="s">
        <v>11</v>
      </c>
      <c r="E5" s="180"/>
      <c r="F5" s="179" t="s">
        <v>12</v>
      </c>
      <c r="G5" s="180" t="str">
        <f>IFERROR(CONCATENATE(VLOOKUP(D5,TableCourses[],2,FALSE)," ",VLOOKUP(D5,TableCourses[],3,FALSE)),"")</f>
        <v/>
      </c>
      <c r="H5" s="180"/>
      <c r="I5" s="180"/>
      <c r="J5" s="180"/>
      <c r="K5" s="180"/>
      <c r="L5" s="181" t="e">
        <f>CONCATENATE(VLOOKUP(D5,TableCourses[],2,FALSE),VLOOKUP(D6,TableStudyPeriods[],2,FALSE))</f>
        <v>#N/A</v>
      </c>
    </row>
    <row r="6" spans="1:16" ht="20.100000000000001" customHeight="1" x14ac:dyDescent="0.25">
      <c r="A6" s="182"/>
      <c r="B6" s="183"/>
      <c r="C6" s="179" t="s">
        <v>13</v>
      </c>
      <c r="D6" s="157" t="s">
        <v>14</v>
      </c>
      <c r="E6" s="184"/>
      <c r="F6" s="179" t="s">
        <v>15</v>
      </c>
      <c r="G6" s="180" t="str">
        <f>IFERROR(VLOOKUP($D$5,TableCourses[],4,FALSE),"")</f>
        <v/>
      </c>
      <c r="H6" s="185"/>
      <c r="I6" s="185"/>
      <c r="J6" s="185"/>
      <c r="K6" s="185"/>
      <c r="L6" s="186"/>
    </row>
    <row r="7" spans="1:16" s="194" customFormat="1" ht="14.1" customHeight="1" x14ac:dyDescent="0.25">
      <c r="A7" s="187"/>
      <c r="B7" s="187"/>
      <c r="C7" s="187"/>
      <c r="D7" s="188"/>
      <c r="E7" s="189"/>
      <c r="F7" s="187"/>
      <c r="G7" s="187"/>
      <c r="H7" s="190" t="s">
        <v>16</v>
      </c>
      <c r="I7" s="191"/>
      <c r="J7" s="191"/>
      <c r="K7" s="192"/>
      <c r="L7" s="189"/>
      <c r="M7" s="193"/>
      <c r="N7" s="193"/>
      <c r="O7" s="193"/>
    </row>
    <row r="8" spans="1:16" s="194" customFormat="1" ht="21" x14ac:dyDescent="0.25">
      <c r="A8" s="187" t="s">
        <v>17</v>
      </c>
      <c r="B8" s="187"/>
      <c r="C8" s="187"/>
      <c r="D8" s="188" t="s">
        <v>3</v>
      </c>
      <c r="E8" s="195" t="s">
        <v>18</v>
      </c>
      <c r="F8" s="187" t="s">
        <v>19</v>
      </c>
      <c r="G8" s="187" t="s">
        <v>20</v>
      </c>
      <c r="H8" s="196" t="s">
        <v>21</v>
      </c>
      <c r="I8" s="195" t="s">
        <v>22</v>
      </c>
      <c r="J8" s="195" t="s">
        <v>23</v>
      </c>
      <c r="K8" s="197" t="s">
        <v>24</v>
      </c>
      <c r="L8" s="187" t="s">
        <v>25</v>
      </c>
      <c r="M8" s="193"/>
      <c r="N8" s="193"/>
      <c r="O8" s="193"/>
    </row>
    <row r="9" spans="1:16" s="206" customFormat="1" ht="20.100000000000001" customHeight="1" x14ac:dyDescent="0.15">
      <c r="A9" s="198" t="str">
        <f>IFERROR(IF(HLOOKUP($L$5,RangeUnitsets,M9,FALSE)=0,"",HLOOKUP($L$5,RangeUnitsets,M9,FALSE)),"")</f>
        <v/>
      </c>
      <c r="B9" s="199" t="str">
        <f>IFERROR(IF(VLOOKUP($A9,TableHandbook[],2,FALSE)=0,"",VLOOKUP($A9,TableHandbook[],2,FALSE)),"")</f>
        <v/>
      </c>
      <c r="C9" s="199" t="str">
        <f>IFERROR(IF(VLOOKUP($A9,TableHandbook[],3,FALSE)=0,"",VLOOKUP($A9,TableHandbook[],3,FALSE)),"")</f>
        <v/>
      </c>
      <c r="D9" s="200" t="str">
        <f>IFERROR(IF(VLOOKUP($A9,TableHandbook[],4,FALSE)=0,"",VLOOKUP($A9,TableHandbook[],4,FALSE)),"")</f>
        <v/>
      </c>
      <c r="E9" s="199" t="str">
        <f>IF(OR(A9="",A9="--"),"",VLOOKUP($D$6,TableStudyPeriods[],2,FALSE))</f>
        <v/>
      </c>
      <c r="F9" s="201" t="str">
        <f>IFERROR(IF(VLOOKUP($A9,TableHandbook[],6,FALSE)=0,"",VLOOKUP($A9,TableHandbook[],6,FALSE)),"")</f>
        <v/>
      </c>
      <c r="G9" s="199" t="str">
        <f>IFERROR(IF(VLOOKUP($A9,TableHandbook[],5,FALSE)=0,"",VLOOKUP($A9,TableHandbook[],5,FALSE)),"")</f>
        <v/>
      </c>
      <c r="H9" s="202" t="str">
        <f>IFERROR(VLOOKUP($A9,TableHandbook[],H$2,FALSE),"")</f>
        <v/>
      </c>
      <c r="I9" s="199" t="str">
        <f>IFERROR(VLOOKUP($A9,TableHandbook[],I$2,FALSE),"")</f>
        <v/>
      </c>
      <c r="J9" s="199" t="str">
        <f>IFERROR(VLOOKUP($A9,TableHandbook[],J$2,FALSE),"")</f>
        <v/>
      </c>
      <c r="K9" s="203" t="str">
        <f>IFERROR(VLOOKUP($A9,TableHandbook[],K$2,FALSE),"")</f>
        <v/>
      </c>
      <c r="L9" s="35"/>
      <c r="M9" s="204">
        <v>2</v>
      </c>
      <c r="N9" s="205"/>
      <c r="O9" s="205"/>
    </row>
    <row r="10" spans="1:16" s="206" customFormat="1" ht="20.100000000000001" customHeight="1" x14ac:dyDescent="0.15">
      <c r="A10" s="198" t="str">
        <f>IFERROR(IF(HLOOKUP($L$5,RangeUnitsets,M10,FALSE)=0,"",HLOOKUP($L$5,RangeUnitsets,M10,FALSE)),"")</f>
        <v/>
      </c>
      <c r="B10" s="199" t="str">
        <f>IFERROR(IF(VLOOKUP($A10,TableHandbook[],2,FALSE)=0,"",VLOOKUP($A10,TableHandbook[],2,FALSE)),"")</f>
        <v/>
      </c>
      <c r="C10" s="199" t="str">
        <f>IFERROR(IF(VLOOKUP($A10,TableHandbook[],3,FALSE)=0,"",VLOOKUP($A10,TableHandbook[],3,FALSE)),"")</f>
        <v/>
      </c>
      <c r="D10" s="200" t="str">
        <f>IFERROR(IF(VLOOKUP($A10,TableHandbook[],4,FALSE)=0,"",VLOOKUP($A10,TableHandbook[],4,FALSE)),"")</f>
        <v/>
      </c>
      <c r="E10" s="199" t="str">
        <f>IF(A10="","",E9)</f>
        <v/>
      </c>
      <c r="F10" s="201" t="str">
        <f>IFERROR(IF(VLOOKUP($A10,TableHandbook[],6,FALSE)=0,"",VLOOKUP($A10,TableHandbook[],6,FALSE)),"")</f>
        <v/>
      </c>
      <c r="G10" s="199" t="str">
        <f>IFERROR(IF(VLOOKUP($A10,TableHandbook[],5,FALSE)=0,"",VLOOKUP($A10,TableHandbook[],5,FALSE)),"")</f>
        <v/>
      </c>
      <c r="H10" s="202" t="str">
        <f>IFERROR(VLOOKUP($A10,TableHandbook[],H$2,FALSE),"")</f>
        <v/>
      </c>
      <c r="I10" s="199" t="str">
        <f>IFERROR(VLOOKUP($A10,TableHandbook[],I$2,FALSE),"")</f>
        <v/>
      </c>
      <c r="J10" s="199" t="str">
        <f>IFERROR(VLOOKUP($A10,TableHandbook[],J$2,FALSE),"")</f>
        <v/>
      </c>
      <c r="K10" s="203" t="str">
        <f>IFERROR(VLOOKUP($A10,TableHandbook[],K$2,FALSE),"")</f>
        <v/>
      </c>
      <c r="L10" s="35"/>
      <c r="M10" s="204">
        <v>3</v>
      </c>
      <c r="N10" s="205"/>
      <c r="O10" s="205"/>
    </row>
    <row r="11" spans="1:16" s="206" customFormat="1" ht="20.100000000000001" customHeight="1" x14ac:dyDescent="0.15">
      <c r="A11" s="198" t="str">
        <f>IFERROR(IF(HLOOKUP($L$5,RangeUnitsets,M11,FALSE)=0,"",HLOOKUP($L$5,RangeUnitsets,M11,FALSE)),"")</f>
        <v/>
      </c>
      <c r="B11" s="199" t="str">
        <f>IFERROR(IF(VLOOKUP($A11,TableHandbook[],2,FALSE)=0,"",VLOOKUP($A11,TableHandbook[],2,FALSE)),"")</f>
        <v/>
      </c>
      <c r="C11" s="199" t="str">
        <f>IFERROR(IF(VLOOKUP($A11,TableHandbook[],3,FALSE)=0,"",VLOOKUP($A11,TableHandbook[],3,FALSE)),"")</f>
        <v/>
      </c>
      <c r="D11" s="200" t="str">
        <f>IFERROR(IF(VLOOKUP($A11,TableHandbook[],4,FALSE)=0,"",VLOOKUP($A11,TableHandbook[],4,FALSE)),"")</f>
        <v/>
      </c>
      <c r="E11" s="199" t="str">
        <f t="shared" ref="E11:E12" si="0">IF(A11="","",E10)</f>
        <v/>
      </c>
      <c r="F11" s="201" t="str">
        <f>IFERROR(IF(VLOOKUP($A11,TableHandbook[],6,FALSE)=0,"",VLOOKUP($A11,TableHandbook[],6,FALSE)),"")</f>
        <v/>
      </c>
      <c r="G11" s="199" t="str">
        <f>IFERROR(IF(VLOOKUP($A11,TableHandbook[],5,FALSE)=0,"",VLOOKUP($A11,TableHandbook[],5,FALSE)),"")</f>
        <v/>
      </c>
      <c r="H11" s="202" t="str">
        <f>IFERROR(VLOOKUP($A11,TableHandbook[],H$2,FALSE),"")</f>
        <v/>
      </c>
      <c r="I11" s="199" t="str">
        <f>IFERROR(VLOOKUP($A11,TableHandbook[],I$2,FALSE),"")</f>
        <v/>
      </c>
      <c r="J11" s="199" t="str">
        <f>IFERROR(VLOOKUP($A11,TableHandbook[],J$2,FALSE),"")</f>
        <v/>
      </c>
      <c r="K11" s="203" t="str">
        <f>IFERROR(VLOOKUP($A11,TableHandbook[],K$2,FALSE),"")</f>
        <v/>
      </c>
      <c r="L11" s="36"/>
      <c r="M11" s="204">
        <v>4</v>
      </c>
      <c r="N11" s="205"/>
      <c r="O11" s="205"/>
    </row>
    <row r="12" spans="1:16" s="206" customFormat="1" ht="20.100000000000001" customHeight="1" x14ac:dyDescent="0.15">
      <c r="A12" s="198" t="str">
        <f>IFERROR(IF(HLOOKUP($L$5,RangeUnitsets,M12,FALSE)=0,"",HLOOKUP($L$5,RangeUnitsets,M12,FALSE)),"")</f>
        <v/>
      </c>
      <c r="B12" s="199" t="str">
        <f>IFERROR(IF(VLOOKUP($A12,TableHandbook[],2,FALSE)=0,"",VLOOKUP($A12,TableHandbook[],2,FALSE)),"")</f>
        <v/>
      </c>
      <c r="C12" s="199" t="str">
        <f>IFERROR(IF(VLOOKUP($A12,TableHandbook[],3,FALSE)=0,"",VLOOKUP($A12,TableHandbook[],3,FALSE)),"")</f>
        <v/>
      </c>
      <c r="D12" s="200" t="str">
        <f>IFERROR(IF(VLOOKUP($A12,TableHandbook[],4,FALSE)=0,"",VLOOKUP($A12,TableHandbook[],4,FALSE)),"")</f>
        <v/>
      </c>
      <c r="E12" s="199" t="str">
        <f t="shared" si="0"/>
        <v/>
      </c>
      <c r="F12" s="201" t="str">
        <f>IFERROR(IF(VLOOKUP($A12,TableHandbook[],6,FALSE)=0,"",VLOOKUP($A12,TableHandbook[],6,FALSE)),"")</f>
        <v/>
      </c>
      <c r="G12" s="199" t="str">
        <f>IFERROR(IF(VLOOKUP($A12,TableHandbook[],5,FALSE)=0,"",VLOOKUP($A12,TableHandbook[],5,FALSE)),"")</f>
        <v/>
      </c>
      <c r="H12" s="202" t="str">
        <f>IFERROR(VLOOKUP($A12,TableHandbook[],H$2,FALSE),"")</f>
        <v/>
      </c>
      <c r="I12" s="199" t="str">
        <f>IFERROR(VLOOKUP($A12,TableHandbook[],I$2,FALSE),"")</f>
        <v/>
      </c>
      <c r="J12" s="199" t="str">
        <f>IFERROR(VLOOKUP($A12,TableHandbook[],J$2,FALSE),"")</f>
        <v/>
      </c>
      <c r="K12" s="203" t="str">
        <f>IFERROR(VLOOKUP($A12,TableHandbook[],K$2,FALSE),"")</f>
        <v/>
      </c>
      <c r="L12" s="35"/>
      <c r="M12" s="204">
        <v>5</v>
      </c>
      <c r="N12" s="205"/>
      <c r="O12" s="205"/>
    </row>
    <row r="13" spans="1:16" s="206" customFormat="1" ht="5.0999999999999996" customHeight="1" x14ac:dyDescent="0.15">
      <c r="A13" s="207"/>
      <c r="B13" s="208"/>
      <c r="C13" s="208"/>
      <c r="D13" s="209"/>
      <c r="E13" s="208"/>
      <c r="F13" s="210"/>
      <c r="G13" s="208"/>
      <c r="H13" s="211"/>
      <c r="I13" s="208"/>
      <c r="J13" s="208"/>
      <c r="K13" s="212"/>
      <c r="L13" s="127"/>
      <c r="M13" s="204"/>
      <c r="N13" s="205"/>
      <c r="O13" s="205"/>
      <c r="P13" s="205"/>
    </row>
    <row r="14" spans="1:16" s="206" customFormat="1" ht="20.100000000000001" customHeight="1" x14ac:dyDescent="0.15">
      <c r="A14" s="198" t="str">
        <f>IFERROR(IF(HLOOKUP($L$5,RangeUnitsets,M14,FALSE)=0,"",HLOOKUP($L$5,RangeUnitsets,M14,FALSE)),"")</f>
        <v/>
      </c>
      <c r="B14" s="213" t="str">
        <f>IFERROR(IF(VLOOKUP($A14,TableHandbook[],2,FALSE)=0,"",VLOOKUP($A14,TableHandbook[],2,FALSE)),"")</f>
        <v/>
      </c>
      <c r="C14" s="213" t="str">
        <f>IFERROR(IF(VLOOKUP($A14,TableHandbook[],3,FALSE)=0,"",VLOOKUP($A14,TableHandbook[],3,FALSE)),"")</f>
        <v/>
      </c>
      <c r="D14" s="200" t="str">
        <f>IFERROR(IF(VLOOKUP($A14,TableHandbook[],4,FALSE)=0,"",VLOOKUP($A14,TableHandbook[],4,FALSE)),"")</f>
        <v/>
      </c>
      <c r="E14" s="199" t="str">
        <f>IF(OR(A14="",A14="---"),"",VLOOKUP($D$6,TableStudyPeriods[],3,FALSE))</f>
        <v/>
      </c>
      <c r="F14" s="201" t="str">
        <f>IFERROR(IF(VLOOKUP($A14,TableHandbook[],6,FALSE)=0,"",VLOOKUP($A14,TableHandbook[],6,FALSE)),"")</f>
        <v/>
      </c>
      <c r="G14" s="213" t="str">
        <f>IFERROR(IF(VLOOKUP($A14,TableHandbook[],5,FALSE)=0,"",VLOOKUP($A14,TableHandbook[],5,FALSE)),"")</f>
        <v/>
      </c>
      <c r="H14" s="214" t="str">
        <f>IFERROR(VLOOKUP($A14,TableHandbook[],H$2,FALSE),"")</f>
        <v/>
      </c>
      <c r="I14" s="213" t="str">
        <f>IFERROR(VLOOKUP($A14,TableHandbook[],I$2,FALSE),"")</f>
        <v/>
      </c>
      <c r="J14" s="213" t="str">
        <f>IFERROR(VLOOKUP($A14,TableHandbook[],J$2,FALSE),"")</f>
        <v/>
      </c>
      <c r="K14" s="215" t="str">
        <f>IFERROR(VLOOKUP($A14,TableHandbook[],K$2,FALSE),"")</f>
        <v/>
      </c>
      <c r="L14" s="36"/>
      <c r="M14" s="204">
        <v>6</v>
      </c>
      <c r="N14" s="205"/>
      <c r="O14" s="205"/>
    </row>
    <row r="15" spans="1:16" s="217" customFormat="1" ht="20.100000000000001" customHeight="1" x14ac:dyDescent="0.15">
      <c r="A15" s="198" t="str">
        <f>IFERROR(IF(HLOOKUP($L$5,RangeUnitsets,M15,FALSE)=0,"",HLOOKUP($L$5,RangeUnitsets,M15,FALSE)),"")</f>
        <v/>
      </c>
      <c r="B15" s="213" t="str">
        <f>IFERROR(IF(VLOOKUP($A15,TableHandbook[],2,FALSE)=0,"",VLOOKUP($A15,TableHandbook[],2,FALSE)),"")</f>
        <v/>
      </c>
      <c r="C15" s="213" t="str">
        <f>IFERROR(IF(VLOOKUP($A15,TableHandbook[],3,FALSE)=0,"",VLOOKUP($A15,TableHandbook[],3,FALSE)),"")</f>
        <v/>
      </c>
      <c r="D15" s="200" t="str">
        <f>IFERROR(IF(VLOOKUP($A15,TableHandbook[],4,FALSE)=0,"",VLOOKUP($A15,TableHandbook[],4,FALSE)),"")</f>
        <v/>
      </c>
      <c r="E15" s="199" t="str">
        <f>IF(A15="","",E14)</f>
        <v/>
      </c>
      <c r="F15" s="201" t="str">
        <f>IFERROR(IF(VLOOKUP($A15,TableHandbook[],6,FALSE)=0,"",VLOOKUP($A15,TableHandbook[],6,FALSE)),"")</f>
        <v/>
      </c>
      <c r="G15" s="213" t="str">
        <f>IFERROR(IF(VLOOKUP($A15,TableHandbook[],5,FALSE)=0,"",VLOOKUP($A15,TableHandbook[],5,FALSE)),"")</f>
        <v/>
      </c>
      <c r="H15" s="214" t="str">
        <f>IFERROR(VLOOKUP($A15,TableHandbook[],H$2,FALSE),"")</f>
        <v/>
      </c>
      <c r="I15" s="213" t="str">
        <f>IFERROR(VLOOKUP($A15,TableHandbook[],I$2,FALSE),"")</f>
        <v/>
      </c>
      <c r="J15" s="213" t="str">
        <f>IFERROR(VLOOKUP($A15,TableHandbook[],J$2,FALSE),"")</f>
        <v/>
      </c>
      <c r="K15" s="215" t="str">
        <f>IFERROR(VLOOKUP($A15,TableHandbook[],K$2,FALSE),"")</f>
        <v/>
      </c>
      <c r="L15" s="36"/>
      <c r="M15" s="204">
        <v>7</v>
      </c>
      <c r="N15" s="216"/>
      <c r="O15" s="216"/>
    </row>
    <row r="16" spans="1:16" s="217" customFormat="1" ht="20.100000000000001" customHeight="1" x14ac:dyDescent="0.15">
      <c r="A16" s="198" t="str">
        <f>IFERROR(IF(HLOOKUP($L$5,RangeUnitsets,M16,FALSE)=0,"",HLOOKUP($L$5,RangeUnitsets,M16,FALSE)),"")</f>
        <v/>
      </c>
      <c r="B16" s="213" t="str">
        <f>IFERROR(IF(VLOOKUP($A16,TableHandbook[],2,FALSE)=0,"",VLOOKUP($A16,TableHandbook[],2,FALSE)),"")</f>
        <v/>
      </c>
      <c r="C16" s="213" t="str">
        <f>IFERROR(IF(VLOOKUP($A16,TableHandbook[],3,FALSE)=0,"",VLOOKUP($A16,TableHandbook[],3,FALSE)),"")</f>
        <v/>
      </c>
      <c r="D16" s="200" t="str">
        <f>IFERROR(IF(VLOOKUP($A16,TableHandbook[],4,FALSE)=0,"",VLOOKUP($A16,TableHandbook[],4,FALSE)),"")</f>
        <v/>
      </c>
      <c r="E16" s="199" t="str">
        <f t="shared" ref="E16:E17" si="1">IF(A16="","",E15)</f>
        <v/>
      </c>
      <c r="F16" s="201" t="str">
        <f>IFERROR(IF(VLOOKUP($A16,TableHandbook[],6,FALSE)=0,"",VLOOKUP($A16,TableHandbook[],6,FALSE)),"")</f>
        <v/>
      </c>
      <c r="G16" s="213" t="str">
        <f>IFERROR(IF(VLOOKUP($A16,TableHandbook[],5,FALSE)=0,"",VLOOKUP($A16,TableHandbook[],5,FALSE)),"")</f>
        <v/>
      </c>
      <c r="H16" s="214" t="str">
        <f>IFERROR(VLOOKUP($A16,TableHandbook[],H$2,FALSE),"")</f>
        <v/>
      </c>
      <c r="I16" s="213" t="str">
        <f>IFERROR(VLOOKUP($A16,TableHandbook[],I$2,FALSE),"")</f>
        <v/>
      </c>
      <c r="J16" s="213" t="str">
        <f>IFERROR(VLOOKUP($A16,TableHandbook[],J$2,FALSE),"")</f>
        <v/>
      </c>
      <c r="K16" s="215" t="str">
        <f>IFERROR(VLOOKUP($A16,TableHandbook[],K$2,FALSE),"")</f>
        <v/>
      </c>
      <c r="L16" s="36"/>
      <c r="M16" s="204">
        <v>8</v>
      </c>
      <c r="N16" s="216"/>
      <c r="O16" s="216"/>
    </row>
    <row r="17" spans="1:16" s="217" customFormat="1" ht="20.100000000000001" customHeight="1" x14ac:dyDescent="0.15">
      <c r="A17" s="198" t="str">
        <f>IFERROR(IF(HLOOKUP($L$5,RangeUnitsets,M17,FALSE)=0,"",HLOOKUP($L$5,RangeUnitsets,M17,FALSE)),"")</f>
        <v/>
      </c>
      <c r="B17" s="213" t="str">
        <f>IFERROR(IF(VLOOKUP($A17,TableHandbook[],2,FALSE)=0,"",VLOOKUP($A17,TableHandbook[],2,FALSE)),"")</f>
        <v/>
      </c>
      <c r="C17" s="213" t="str">
        <f>IFERROR(IF(VLOOKUP($A17,TableHandbook[],3,FALSE)=0,"",VLOOKUP($A17,TableHandbook[],3,FALSE)),"")</f>
        <v/>
      </c>
      <c r="D17" s="218" t="str">
        <f>IFERROR(IF(VLOOKUP($A17,TableHandbook[],4,FALSE)=0,"",VLOOKUP($A17,TableHandbook[],4,FALSE)),"")</f>
        <v/>
      </c>
      <c r="E17" s="213" t="str">
        <f t="shared" si="1"/>
        <v/>
      </c>
      <c r="F17" s="201" t="str">
        <f>IFERROR(IF(VLOOKUP($A17,TableHandbook[],6,FALSE)=0,"",VLOOKUP($A17,TableHandbook[],6,FALSE)),"")</f>
        <v/>
      </c>
      <c r="G17" s="213" t="str">
        <f>IFERROR(IF(VLOOKUP($A17,TableHandbook[],5,FALSE)=0,"",VLOOKUP($A17,TableHandbook[],5,FALSE)),"")</f>
        <v/>
      </c>
      <c r="H17" s="214" t="str">
        <f>IFERROR(VLOOKUP($A17,TableHandbook[],H$2,FALSE),"")</f>
        <v/>
      </c>
      <c r="I17" s="213" t="str">
        <f>IFERROR(VLOOKUP($A17,TableHandbook[],I$2,FALSE),"")</f>
        <v/>
      </c>
      <c r="J17" s="213" t="str">
        <f>IFERROR(VLOOKUP($A17,TableHandbook[],J$2,FALSE),"")</f>
        <v/>
      </c>
      <c r="K17" s="213" t="str">
        <f>IFERROR(VLOOKUP($A17,TableHandbook[],K$2,FALSE),"")</f>
        <v/>
      </c>
      <c r="L17" s="36"/>
      <c r="M17" s="204">
        <v>9</v>
      </c>
      <c r="N17" s="216"/>
      <c r="O17" s="216"/>
    </row>
    <row r="18" spans="1:16" s="194" customFormat="1" ht="21" x14ac:dyDescent="0.25">
      <c r="A18" s="187" t="s">
        <v>26</v>
      </c>
      <c r="B18" s="187"/>
      <c r="C18" s="187"/>
      <c r="D18" s="188" t="s">
        <v>3</v>
      </c>
      <c r="E18" s="195" t="s">
        <v>18</v>
      </c>
      <c r="F18" s="187" t="s">
        <v>19</v>
      </c>
      <c r="G18" s="187" t="s">
        <v>20</v>
      </c>
      <c r="H18" s="196" t="s">
        <v>21</v>
      </c>
      <c r="I18" s="195" t="s">
        <v>22</v>
      </c>
      <c r="J18" s="195" t="s">
        <v>23</v>
      </c>
      <c r="K18" s="197" t="s">
        <v>24</v>
      </c>
      <c r="L18" s="187" t="s">
        <v>25</v>
      </c>
      <c r="M18" s="219"/>
      <c r="N18" s="193"/>
      <c r="O18" s="193"/>
    </row>
    <row r="19" spans="1:16" s="206" customFormat="1" ht="20.100000000000001" customHeight="1" x14ac:dyDescent="0.15">
      <c r="A19" s="198" t="str">
        <f>IFERROR(IF(HLOOKUP($L$5,RangeUnitsets,M19,FALSE)=0,"",HLOOKUP($L$5,RangeUnitsets,M19,FALSE)),"")</f>
        <v/>
      </c>
      <c r="B19" s="213" t="str">
        <f>IFERROR(IF(VLOOKUP($A19,TableHandbook[],2,FALSE)=0,"",VLOOKUP($A19,TableHandbook[],2,FALSE)),"")</f>
        <v/>
      </c>
      <c r="C19" s="213" t="str">
        <f>IFERROR(IF(VLOOKUP($A19,TableHandbook[],3,FALSE)=0,"",VLOOKUP($A19,TableHandbook[],3,FALSE)),"")</f>
        <v/>
      </c>
      <c r="D19" s="220" t="str">
        <f>IFERROR(IF(VLOOKUP($A19,TableHandbook[],4,FALSE)=0,"",VLOOKUP($A19,TableHandbook[],4,FALSE)),"")</f>
        <v/>
      </c>
      <c r="E19" s="213" t="str">
        <f>IF(OR(A19="",A19="---"),"",VLOOKUP($D$6,TableStudyPeriods[],2,FALSE))</f>
        <v/>
      </c>
      <c r="F19" s="201" t="str">
        <f>IFERROR(IF(VLOOKUP($A19,TableHandbook[],6,FALSE)=0,"",VLOOKUP($A19,TableHandbook[],6,FALSE)),"")</f>
        <v/>
      </c>
      <c r="G19" s="199" t="str">
        <f>IFERROR(IF(VLOOKUP($A19,TableHandbook[],5,FALSE)=0,"",VLOOKUP($A19,TableHandbook[],5,FALSE)),"")</f>
        <v/>
      </c>
      <c r="H19" s="202" t="str">
        <f>IFERROR(VLOOKUP($A19,TableHandbook[],H$2,FALSE),"")</f>
        <v/>
      </c>
      <c r="I19" s="199" t="str">
        <f>IFERROR(VLOOKUP($A19,TableHandbook[],I$2,FALSE),"")</f>
        <v/>
      </c>
      <c r="J19" s="199" t="str">
        <f>IFERROR(VLOOKUP($A19,TableHandbook[],J$2,FALSE),"")</f>
        <v/>
      </c>
      <c r="K19" s="203" t="str">
        <f>IFERROR(VLOOKUP($A19,TableHandbook[],K$2,FALSE),"")</f>
        <v/>
      </c>
      <c r="L19" s="35"/>
      <c r="M19" s="204">
        <v>10</v>
      </c>
      <c r="N19" s="205"/>
      <c r="O19" s="205"/>
    </row>
    <row r="20" spans="1:16" s="206" customFormat="1" ht="19.5" customHeight="1" x14ac:dyDescent="0.15">
      <c r="A20" s="198" t="str">
        <f>IFERROR(IF(HLOOKUP($L$5,RangeUnitsets,M20,FALSE)=0,"",HLOOKUP($L$5,RangeUnitsets,M20,FALSE)),"")</f>
        <v/>
      </c>
      <c r="B20" s="213" t="str">
        <f>IFERROR(IF(VLOOKUP($A20,TableHandbook[],2,FALSE)=0,"",VLOOKUP($A20,TableHandbook[],2,FALSE)),"")</f>
        <v/>
      </c>
      <c r="C20" s="213" t="str">
        <f>IFERROR(IF(VLOOKUP($A20,TableHandbook[],3,FALSE)=0,"",VLOOKUP($A20,TableHandbook[],3,FALSE)),"")</f>
        <v/>
      </c>
      <c r="D20" s="218" t="str">
        <f>IFERROR(IF(VLOOKUP($A20,TableHandbook[],4,FALSE)=0,"",VLOOKUP($A20,TableHandbook[],4,FALSE)),"")</f>
        <v/>
      </c>
      <c r="E20" s="213" t="str">
        <f>IF(A20="","",E19)</f>
        <v/>
      </c>
      <c r="F20" s="201" t="str">
        <f>IFERROR(IF(VLOOKUP($A20,TableHandbook[],6,FALSE)=0,"",VLOOKUP($A20,TableHandbook[],6,FALSE)),"")</f>
        <v/>
      </c>
      <c r="G20" s="199" t="str">
        <f>IFERROR(IF(VLOOKUP($A20,TableHandbook[],5,FALSE)=0,"",VLOOKUP($A20,TableHandbook[],5,FALSE)),"")</f>
        <v/>
      </c>
      <c r="H20" s="202" t="str">
        <f>IFERROR(VLOOKUP($A20,TableHandbook[],H$2,FALSE),"")</f>
        <v/>
      </c>
      <c r="I20" s="199" t="str">
        <f>IFERROR(VLOOKUP($A20,TableHandbook[],I$2,FALSE),"")</f>
        <v/>
      </c>
      <c r="J20" s="199" t="str">
        <f>IFERROR(VLOOKUP($A20,TableHandbook[],J$2,FALSE),"")</f>
        <v/>
      </c>
      <c r="K20" s="203" t="str">
        <f>IFERROR(VLOOKUP($A20,TableHandbook[],K$2,FALSE),"")</f>
        <v/>
      </c>
      <c r="L20" s="35"/>
      <c r="M20" s="204">
        <v>11</v>
      </c>
      <c r="N20" s="205"/>
      <c r="O20" s="205"/>
    </row>
    <row r="21" spans="1:16" s="206" customFormat="1" ht="20.100000000000001" customHeight="1" x14ac:dyDescent="0.15">
      <c r="A21" s="198" t="str">
        <f>IFERROR(IF(HLOOKUP($L$5,RangeUnitsets,M21,FALSE)=0,"",HLOOKUP($L$5,RangeUnitsets,M21,FALSE)),"")</f>
        <v/>
      </c>
      <c r="B21" s="213" t="str">
        <f>IFERROR(IF(VLOOKUP($A21,TableHandbook[],2,FALSE)=0,"",VLOOKUP($A21,TableHandbook[],2,FALSE)),"")</f>
        <v/>
      </c>
      <c r="C21" s="213" t="str">
        <f>IFERROR(IF(VLOOKUP($A21,TableHandbook[],3,FALSE)=0,"",VLOOKUP($A21,TableHandbook[],3,FALSE)),"")</f>
        <v/>
      </c>
      <c r="D21" s="218" t="str">
        <f>IFERROR(IF(VLOOKUP($A21,TableHandbook[],4,FALSE)=0,"",VLOOKUP($A21,TableHandbook[],4,FALSE)),"")</f>
        <v/>
      </c>
      <c r="E21" s="213" t="str">
        <f t="shared" ref="E21:E22" si="2">IF(A21="","",E20)</f>
        <v/>
      </c>
      <c r="F21" s="201" t="str">
        <f>IFERROR(IF(VLOOKUP($A21,TableHandbook[],6,FALSE)=0,"",VLOOKUP($A21,TableHandbook[],6,FALSE)),"")</f>
        <v/>
      </c>
      <c r="G21" s="199" t="str">
        <f>IFERROR(IF(VLOOKUP($A21,TableHandbook[],5,FALSE)=0,"",VLOOKUP($A21,TableHandbook[],5,FALSE)),"")</f>
        <v/>
      </c>
      <c r="H21" s="202" t="str">
        <f>IFERROR(VLOOKUP($A21,TableHandbook[],H$2,FALSE),"")</f>
        <v/>
      </c>
      <c r="I21" s="199" t="str">
        <f>IFERROR(VLOOKUP($A21,TableHandbook[],I$2,FALSE),"")</f>
        <v/>
      </c>
      <c r="J21" s="199" t="str">
        <f>IFERROR(VLOOKUP($A21,TableHandbook[],J$2,FALSE),"")</f>
        <v/>
      </c>
      <c r="K21" s="203" t="str">
        <f>IFERROR(VLOOKUP($A21,TableHandbook[],K$2,FALSE),"")</f>
        <v/>
      </c>
      <c r="L21" s="35"/>
      <c r="M21" s="204">
        <v>12</v>
      </c>
      <c r="N21" s="205"/>
      <c r="O21" s="205"/>
    </row>
    <row r="22" spans="1:16" s="206" customFormat="1" ht="20.100000000000001" customHeight="1" x14ac:dyDescent="0.15">
      <c r="A22" s="198" t="str">
        <f>IFERROR(IF(HLOOKUP($L$5,RangeUnitsets,M22,FALSE)=0,"",HLOOKUP($L$5,RangeUnitsets,M22,FALSE)),"")</f>
        <v/>
      </c>
      <c r="B22" s="213" t="str">
        <f>IFERROR(IF(VLOOKUP($A22,TableHandbook[],2,FALSE)=0,"",VLOOKUP($A22,TableHandbook[],2,FALSE)),"")</f>
        <v/>
      </c>
      <c r="C22" s="213" t="str">
        <f>IFERROR(IF(VLOOKUP($A22,TableHandbook[],3,FALSE)=0,"",VLOOKUP($A22,TableHandbook[],3,FALSE)),"")</f>
        <v/>
      </c>
      <c r="D22" s="218" t="str">
        <f>IFERROR(IF(VLOOKUP($A22,TableHandbook[],4,FALSE)=0,"",VLOOKUP($A22,TableHandbook[],4,FALSE)),"")</f>
        <v/>
      </c>
      <c r="E22" s="213" t="str">
        <f t="shared" si="2"/>
        <v/>
      </c>
      <c r="F22" s="201" t="str">
        <f>IFERROR(IF(VLOOKUP($A22,TableHandbook[],6,FALSE)=0,"",VLOOKUP($A22,TableHandbook[],6,FALSE)),"")</f>
        <v/>
      </c>
      <c r="G22" s="199" t="str">
        <f>IFERROR(IF(VLOOKUP($A22,TableHandbook[],5,FALSE)=0,"",VLOOKUP($A22,TableHandbook[],5,FALSE)),"")</f>
        <v/>
      </c>
      <c r="H22" s="202" t="str">
        <f>IFERROR(VLOOKUP($A22,TableHandbook[],H$2,FALSE),"")</f>
        <v/>
      </c>
      <c r="I22" s="199" t="str">
        <f>IFERROR(VLOOKUP($A22,TableHandbook[],I$2,FALSE),"")</f>
        <v/>
      </c>
      <c r="J22" s="199" t="str">
        <f>IFERROR(VLOOKUP($A22,TableHandbook[],J$2,FALSE),"")</f>
        <v/>
      </c>
      <c r="K22" s="203" t="str">
        <f>IFERROR(VLOOKUP($A22,TableHandbook[],K$2,FALSE),"")</f>
        <v/>
      </c>
      <c r="L22" s="35"/>
      <c r="M22" s="204">
        <v>13</v>
      </c>
      <c r="N22" s="205"/>
      <c r="O22" s="205"/>
    </row>
    <row r="23" spans="1:16" s="206" customFormat="1" ht="5.0999999999999996" customHeight="1" x14ac:dyDescent="0.15">
      <c r="A23" s="207"/>
      <c r="B23" s="208"/>
      <c r="C23" s="208"/>
      <c r="D23" s="209"/>
      <c r="E23" s="208"/>
      <c r="F23" s="210"/>
      <c r="G23" s="208"/>
      <c r="H23" s="211"/>
      <c r="I23" s="208"/>
      <c r="J23" s="208"/>
      <c r="K23" s="212"/>
      <c r="L23" s="127"/>
      <c r="M23" s="204"/>
      <c r="N23" s="205"/>
      <c r="O23" s="205"/>
      <c r="P23" s="205"/>
    </row>
    <row r="24" spans="1:16" s="206" customFormat="1" ht="20.100000000000001" customHeight="1" x14ac:dyDescent="0.15">
      <c r="A24" s="198" t="str">
        <f>IFERROR(IF(HLOOKUP($L$5,RangeUnitsets,M24,FALSE)=0,"",HLOOKUP($L$5,RangeUnitsets,M24,FALSE)),"")</f>
        <v/>
      </c>
      <c r="B24" s="213" t="str">
        <f>IFERROR(IF(VLOOKUP($A24,TableHandbook[],2,FALSE)=0,"",VLOOKUP($A24,TableHandbook[],2,FALSE)),"")</f>
        <v/>
      </c>
      <c r="C24" s="213" t="str">
        <f>IFERROR(IF(VLOOKUP($A24,TableHandbook[],3,FALSE)=0,"",VLOOKUP($A24,TableHandbook[],3,FALSE)),"")</f>
        <v/>
      </c>
      <c r="D24" s="218" t="str">
        <f>IFERROR(IF(VLOOKUP($A24,TableHandbook[],4,FALSE)=0,"",VLOOKUP($A24,TableHandbook[],4,FALSE)),"")</f>
        <v/>
      </c>
      <c r="E24" s="213" t="str">
        <f>IF(A24="","",VLOOKUP($D$6,TableStudyPeriods[],3,FALSE))</f>
        <v/>
      </c>
      <c r="F24" s="201" t="str">
        <f>IFERROR(IF(VLOOKUP($A24,TableHandbook[],6,FALSE)=0,"",VLOOKUP($A24,TableHandbook[],6,FALSE)),"")</f>
        <v/>
      </c>
      <c r="G24" s="199" t="str">
        <f>IFERROR(IF(VLOOKUP($A24,TableHandbook[],5,FALSE)=0,"",VLOOKUP($A24,TableHandbook[],5,FALSE)),"")</f>
        <v/>
      </c>
      <c r="H24" s="202" t="str">
        <f>IFERROR(VLOOKUP($A24,TableHandbook[],H$2,FALSE),"")</f>
        <v/>
      </c>
      <c r="I24" s="199" t="str">
        <f>IFERROR(VLOOKUP($A24,TableHandbook[],I$2,FALSE),"")</f>
        <v/>
      </c>
      <c r="J24" s="199" t="str">
        <f>IFERROR(VLOOKUP($A24,TableHandbook[],J$2,FALSE),"")</f>
        <v/>
      </c>
      <c r="K24" s="203" t="str">
        <f>IFERROR(VLOOKUP($A24,TableHandbook[],K$2,FALSE),"")</f>
        <v/>
      </c>
      <c r="L24" s="35"/>
      <c r="M24" s="204">
        <v>14</v>
      </c>
      <c r="N24" s="205"/>
      <c r="O24" s="205"/>
    </row>
    <row r="25" spans="1:16" s="206" customFormat="1" ht="20.100000000000001" customHeight="1" x14ac:dyDescent="0.15">
      <c r="A25" s="198" t="str">
        <f>IFERROR(IF(HLOOKUP($L$5,RangeUnitsets,M25,FALSE)=0,"",HLOOKUP($L$5,RangeUnitsets,M25,FALSE)),"")</f>
        <v/>
      </c>
      <c r="B25" s="213" t="str">
        <f>IFERROR(IF(VLOOKUP($A25,TableHandbook[],2,FALSE)=0,"",VLOOKUP($A25,TableHandbook[],2,FALSE)),"")</f>
        <v/>
      </c>
      <c r="C25" s="213" t="str">
        <f>IFERROR(IF(VLOOKUP($A25,TableHandbook[],3,FALSE)=0,"",VLOOKUP($A25,TableHandbook[],3,FALSE)),"")</f>
        <v/>
      </c>
      <c r="D25" s="218" t="str">
        <f>IFERROR(IF(VLOOKUP($A25,TableHandbook[],4,FALSE)=0,"",VLOOKUP($A25,TableHandbook[],4,FALSE)),"")</f>
        <v/>
      </c>
      <c r="E25" s="213" t="str">
        <f>IF(A25="","",E24)</f>
        <v/>
      </c>
      <c r="F25" s="201" t="str">
        <f>IFERROR(IF(VLOOKUP($A25,TableHandbook[],6,FALSE)=0,"",VLOOKUP($A25,TableHandbook[],6,FALSE)),"")</f>
        <v/>
      </c>
      <c r="G25" s="199" t="str">
        <f>IFERROR(IF(VLOOKUP($A25,TableHandbook[],5,FALSE)=0,"",VLOOKUP($A25,TableHandbook[],5,FALSE)),"")</f>
        <v/>
      </c>
      <c r="H25" s="202" t="str">
        <f>IFERROR(VLOOKUP($A25,TableHandbook[],H$2,FALSE),"")</f>
        <v/>
      </c>
      <c r="I25" s="199" t="str">
        <f>IFERROR(VLOOKUP($A25,TableHandbook[],I$2,FALSE),"")</f>
        <v/>
      </c>
      <c r="J25" s="199" t="str">
        <f>IFERROR(VLOOKUP($A25,TableHandbook[],J$2,FALSE),"")</f>
        <v/>
      </c>
      <c r="K25" s="203" t="str">
        <f>IFERROR(VLOOKUP($A25,TableHandbook[],K$2,FALSE),"")</f>
        <v/>
      </c>
      <c r="L25" s="35"/>
      <c r="M25" s="204">
        <v>15</v>
      </c>
      <c r="N25" s="205"/>
      <c r="O25" s="205"/>
    </row>
    <row r="26" spans="1:16" s="217" customFormat="1" ht="20.100000000000001" customHeight="1" x14ac:dyDescent="0.15">
      <c r="A26" s="198" t="str">
        <f>IFERROR(IF(HLOOKUP($L$5,RangeUnitsets,M26,FALSE)=0,"",HLOOKUP($L$5,RangeUnitsets,M26,FALSE)),"")</f>
        <v/>
      </c>
      <c r="B26" s="213" t="str">
        <f>IFERROR(IF(VLOOKUP($A26,TableHandbook[],2,FALSE)=0,"",VLOOKUP($A26,TableHandbook[],2,FALSE)),"")</f>
        <v/>
      </c>
      <c r="C26" s="213" t="str">
        <f>IFERROR(IF(VLOOKUP($A26,TableHandbook[],3,FALSE)=0,"",VLOOKUP($A26,TableHandbook[],3,FALSE)),"")</f>
        <v/>
      </c>
      <c r="D26" s="218" t="str">
        <f>IFERROR(IF(VLOOKUP($A26,TableHandbook[],4,FALSE)=0,"",VLOOKUP($A26,TableHandbook[],4,FALSE)),"")</f>
        <v/>
      </c>
      <c r="E26" s="213" t="str">
        <f t="shared" ref="E26:E27" si="3">IF(A26="","",E25)</f>
        <v/>
      </c>
      <c r="F26" s="201" t="str">
        <f>IFERROR(IF(VLOOKUP($A26,TableHandbook[],6,FALSE)=0,"",VLOOKUP($A26,TableHandbook[],6,FALSE)),"")</f>
        <v/>
      </c>
      <c r="G26" s="199" t="str">
        <f>IFERROR(IF(VLOOKUP($A26,TableHandbook[],5,FALSE)=0,"",VLOOKUP($A26,TableHandbook[],5,FALSE)),"")</f>
        <v/>
      </c>
      <c r="H26" s="202" t="str">
        <f>IFERROR(VLOOKUP($A26,TableHandbook[],H$2,FALSE),"")</f>
        <v/>
      </c>
      <c r="I26" s="199" t="str">
        <f>IFERROR(VLOOKUP($A26,TableHandbook[],I$2,FALSE),"")</f>
        <v/>
      </c>
      <c r="J26" s="199" t="str">
        <f>IFERROR(VLOOKUP($A26,TableHandbook[],J$2,FALSE),"")</f>
        <v/>
      </c>
      <c r="K26" s="203" t="str">
        <f>IFERROR(VLOOKUP($A26,TableHandbook[],K$2,FALSE),"")</f>
        <v/>
      </c>
      <c r="L26" s="35"/>
      <c r="M26" s="204">
        <v>16</v>
      </c>
      <c r="N26" s="216"/>
      <c r="O26" s="216"/>
    </row>
    <row r="27" spans="1:16" s="217" customFormat="1" ht="20.100000000000001" customHeight="1" x14ac:dyDescent="0.15">
      <c r="A27" s="198" t="str">
        <f>IFERROR(IF(HLOOKUP($L$5,RangeUnitsets,M27,FALSE)=0,"",HLOOKUP($L$5,RangeUnitsets,M27,FALSE)),"")</f>
        <v/>
      </c>
      <c r="B27" s="213" t="str">
        <f>IFERROR(IF(VLOOKUP($A27,TableHandbook[],2,FALSE)=0,"",VLOOKUP($A27,TableHandbook[],2,FALSE)),"")</f>
        <v/>
      </c>
      <c r="C27" s="213" t="str">
        <f>IFERROR(IF(VLOOKUP($A27,TableHandbook[],3,FALSE)=0,"",VLOOKUP($A27,TableHandbook[],3,FALSE)),"")</f>
        <v/>
      </c>
      <c r="D27" s="218" t="str">
        <f>IFERROR(IF(VLOOKUP($A27,TableHandbook[],4,FALSE)=0,"",VLOOKUP($A27,TableHandbook[],4,FALSE)),"")</f>
        <v/>
      </c>
      <c r="E27" s="199" t="str">
        <f t="shared" si="3"/>
        <v/>
      </c>
      <c r="F27" s="201" t="str">
        <f>IFERROR(IF(VLOOKUP($A27,TableHandbook[],6,FALSE)=0,"",VLOOKUP($A27,TableHandbook[],6,FALSE)),"")</f>
        <v/>
      </c>
      <c r="G27" s="199" t="str">
        <f>IFERROR(IF(VLOOKUP($A27,TableHandbook[],5,FALSE)=0,"",VLOOKUP($A27,TableHandbook[],5,FALSE)),"")</f>
        <v/>
      </c>
      <c r="H27" s="202" t="str">
        <f>IFERROR(VLOOKUP($A27,TableHandbook[],H$2,FALSE),"")</f>
        <v/>
      </c>
      <c r="I27" s="199" t="str">
        <f>IFERROR(VLOOKUP($A27,TableHandbook[],I$2,FALSE),"")</f>
        <v/>
      </c>
      <c r="J27" s="199" t="str">
        <f>IFERROR(VLOOKUP($A27,TableHandbook[],J$2,FALSE),"")</f>
        <v/>
      </c>
      <c r="K27" s="203" t="str">
        <f>IFERROR(VLOOKUP($A27,TableHandbook[],K$2,FALSE),"")</f>
        <v/>
      </c>
      <c r="L27" s="35"/>
      <c r="M27" s="204">
        <v>17</v>
      </c>
      <c r="N27" s="216"/>
      <c r="O27" s="216"/>
    </row>
    <row r="28" spans="1:16" s="226" customFormat="1" ht="13.9" customHeight="1" x14ac:dyDescent="0.2">
      <c r="A28" s="221"/>
      <c r="B28" s="221"/>
      <c r="C28" s="221"/>
      <c r="D28" s="222"/>
      <c r="E28" s="222"/>
      <c r="F28" s="223"/>
      <c r="G28" s="223"/>
      <c r="H28" s="223"/>
      <c r="I28" s="223"/>
      <c r="J28" s="223"/>
      <c r="K28" s="223"/>
      <c r="L28" s="250"/>
      <c r="M28" s="224"/>
      <c r="N28" s="225"/>
      <c r="O28" s="225"/>
    </row>
    <row r="29" spans="1:16" ht="16.5" x14ac:dyDescent="0.25">
      <c r="A29" s="227" t="s">
        <v>27</v>
      </c>
      <c r="B29" s="228"/>
      <c r="C29" s="228"/>
      <c r="D29" s="229"/>
      <c r="E29" s="230"/>
      <c r="F29" s="230"/>
      <c r="G29" s="230"/>
      <c r="H29" s="190" t="s">
        <v>16</v>
      </c>
      <c r="I29" s="191"/>
      <c r="J29" s="191"/>
      <c r="K29" s="192"/>
      <c r="L29" s="251" t="e">
        <f>VLOOKUP(D5,TableCourses[],2,FALSE)</f>
        <v>#N/A</v>
      </c>
      <c r="M29" s="231"/>
    </row>
    <row r="30" spans="1:16" s="237" customFormat="1" ht="21" x14ac:dyDescent="0.25">
      <c r="A30" s="232"/>
      <c r="B30" s="232"/>
      <c r="C30" s="232"/>
      <c r="D30" s="233" t="s">
        <v>3</v>
      </c>
      <c r="E30" s="232"/>
      <c r="F30" s="232" t="s">
        <v>19</v>
      </c>
      <c r="G30" s="232" t="s">
        <v>20</v>
      </c>
      <c r="H30" s="234" t="s">
        <v>21</v>
      </c>
      <c r="I30" s="235" t="s">
        <v>22</v>
      </c>
      <c r="J30" s="235" t="s">
        <v>23</v>
      </c>
      <c r="K30" s="235" t="s">
        <v>24</v>
      </c>
      <c r="L30" s="236" t="s">
        <v>25</v>
      </c>
      <c r="M30" s="231"/>
    </row>
    <row r="31" spans="1:16" ht="18" customHeight="1" x14ac:dyDescent="0.25">
      <c r="A31" s="238" t="str">
        <f t="shared" ref="A31:A45" si="4">IFERROR(IF(HLOOKUP($L$29,RangeOptions,$M31,FALSE)=0,"",HLOOKUP($L$29,RangeOptions,$M31,FALSE)),"")</f>
        <v/>
      </c>
      <c r="B31" s="239" t="str">
        <f>IFERROR(IF(VLOOKUP($A31,TableHandbook[],2,FALSE)=0,"",VLOOKUP($A31,TableHandbook[],2,FALSE)),"")</f>
        <v/>
      </c>
      <c r="C31" s="240" t="str">
        <f>IFERROR(IF(VLOOKUP($A31,TableHandbook[],3,FALSE)=0,"",VLOOKUP($A31,TableHandbook[],3,FALSE)),"")</f>
        <v/>
      </c>
      <c r="D31" s="240" t="str">
        <f>IFERROR(IF(VLOOKUP($A31,TableHandbook[],4,FALSE)=0,"",VLOOKUP($A31,TableHandbook[],4,FALSE)),"")</f>
        <v/>
      </c>
      <c r="E31" s="241"/>
      <c r="F31" s="242" t="str">
        <f>IFERROR(IF(VLOOKUP($A31,TableHandbook[],6,FALSE)=0,"",VLOOKUP($A31,TableHandbook[],6,FALSE)),"")</f>
        <v/>
      </c>
      <c r="G31" s="242" t="str">
        <f>IFERROR(IF(VLOOKUP($A31,TableHandbook[],5,FALSE)=0,"",VLOOKUP($A31,TableHandbook[],5,FALSE)),"")</f>
        <v/>
      </c>
      <c r="H31" s="202" t="str">
        <f>IFERROR(VLOOKUP($A31,TableHandbook[],H$2,FALSE),"")</f>
        <v/>
      </c>
      <c r="I31" s="199" t="str">
        <f>IFERROR(VLOOKUP($A31,TableHandbook[],I$2,FALSE),"")</f>
        <v/>
      </c>
      <c r="J31" s="199" t="str">
        <f>IFERROR(VLOOKUP($A31,TableHandbook[],J$2,FALSE),"")</f>
        <v/>
      </c>
      <c r="K31" s="203" t="str">
        <f>IFERROR(VLOOKUP($A31,TableHandbook[],K$2,FALSE),"")</f>
        <v/>
      </c>
      <c r="L31" s="36"/>
      <c r="M31" s="204">
        <v>2</v>
      </c>
    </row>
    <row r="32" spans="1:16" ht="18" customHeight="1" x14ac:dyDescent="0.25">
      <c r="A32" s="238" t="str">
        <f t="shared" si="4"/>
        <v/>
      </c>
      <c r="B32" s="239" t="str">
        <f>IFERROR(IF(VLOOKUP($A32,TableHandbook[],2,FALSE)=0,"",VLOOKUP($A32,TableHandbook[],2,FALSE)),"")</f>
        <v/>
      </c>
      <c r="C32" s="240" t="str">
        <f>IFERROR(IF(VLOOKUP($A32,TableHandbook[],3,FALSE)=0,"",VLOOKUP($A32,TableHandbook[],3,FALSE)),"")</f>
        <v/>
      </c>
      <c r="D32" s="240" t="str">
        <f>IFERROR(IF(VLOOKUP($A32,TableHandbook[],4,FALSE)=0,"",VLOOKUP($A32,TableHandbook[],4,FALSE)),"")</f>
        <v/>
      </c>
      <c r="E32" s="241"/>
      <c r="F32" s="242" t="str">
        <f>IFERROR(IF(VLOOKUP($A32,TableHandbook[],6,FALSE)=0,"",VLOOKUP($A32,TableHandbook[],6,FALSE)),"")</f>
        <v/>
      </c>
      <c r="G32" s="242" t="str">
        <f>IFERROR(IF(VLOOKUP($A32,TableHandbook[],5,FALSE)=0,"",VLOOKUP($A32,TableHandbook[],5,FALSE)),"")</f>
        <v/>
      </c>
      <c r="H32" s="202" t="str">
        <f>IFERROR(VLOOKUP($A32,TableHandbook[],H$2,FALSE),"")</f>
        <v/>
      </c>
      <c r="I32" s="199" t="str">
        <f>IFERROR(VLOOKUP($A32,TableHandbook[],I$2,FALSE),"")</f>
        <v/>
      </c>
      <c r="J32" s="199" t="str">
        <f>IFERROR(VLOOKUP($A32,TableHandbook[],J$2,FALSE),"")</f>
        <v/>
      </c>
      <c r="K32" s="203" t="str">
        <f>IFERROR(VLOOKUP($A32,TableHandbook[],K$2,FALSE),"")</f>
        <v/>
      </c>
      <c r="L32" s="36"/>
      <c r="M32" s="204">
        <v>3</v>
      </c>
    </row>
    <row r="33" spans="1:15" ht="18" customHeight="1" x14ac:dyDescent="0.25">
      <c r="A33" s="238" t="str">
        <f t="shared" si="4"/>
        <v/>
      </c>
      <c r="B33" s="239" t="str">
        <f>IFERROR(IF(VLOOKUP($A33,TableHandbook[],2,FALSE)=0,"",VLOOKUP($A33,TableHandbook[],2,FALSE)),"")</f>
        <v/>
      </c>
      <c r="C33" s="240" t="str">
        <f>IFERROR(IF(VLOOKUP($A33,TableHandbook[],3,FALSE)=0,"",VLOOKUP($A33,TableHandbook[],3,FALSE)),"")</f>
        <v/>
      </c>
      <c r="D33" s="240" t="str">
        <f>IFERROR(IF(VLOOKUP($A33,TableHandbook[],4,FALSE)=0,"",VLOOKUP($A33,TableHandbook[],4,FALSE)),"")</f>
        <v/>
      </c>
      <c r="E33" s="241"/>
      <c r="F33" s="242" t="str">
        <f>IFERROR(IF(VLOOKUP($A33,TableHandbook[],6,FALSE)=0,"",VLOOKUP($A33,TableHandbook[],6,FALSE)),"")</f>
        <v/>
      </c>
      <c r="G33" s="242" t="str">
        <f>IFERROR(IF(VLOOKUP($A33,TableHandbook[],5,FALSE)=0,"",VLOOKUP($A33,TableHandbook[],5,FALSE)),"")</f>
        <v/>
      </c>
      <c r="H33" s="202" t="str">
        <f>IFERROR(VLOOKUP($A33,TableHandbook[],H$2,FALSE),"")</f>
        <v/>
      </c>
      <c r="I33" s="199" t="str">
        <f>IFERROR(VLOOKUP($A33,TableHandbook[],I$2,FALSE),"")</f>
        <v/>
      </c>
      <c r="J33" s="199" t="str">
        <f>IFERROR(VLOOKUP($A33,TableHandbook[],J$2,FALSE),"")</f>
        <v/>
      </c>
      <c r="K33" s="203" t="str">
        <f>IFERROR(VLOOKUP($A33,TableHandbook[],K$2,FALSE),"")</f>
        <v/>
      </c>
      <c r="L33" s="36"/>
      <c r="M33" s="204">
        <v>4</v>
      </c>
    </row>
    <row r="34" spans="1:15" ht="18" customHeight="1" x14ac:dyDescent="0.25">
      <c r="A34" s="238" t="str">
        <f t="shared" si="4"/>
        <v/>
      </c>
      <c r="B34" s="239" t="str">
        <f>IFERROR(IF(VLOOKUP($A34,TableHandbook[],2,FALSE)=0,"",VLOOKUP($A34,TableHandbook[],2,FALSE)),"")</f>
        <v/>
      </c>
      <c r="C34" s="240" t="str">
        <f>IFERROR(IF(VLOOKUP($A34,TableHandbook[],3,FALSE)=0,"",VLOOKUP($A34,TableHandbook[],3,FALSE)),"")</f>
        <v/>
      </c>
      <c r="D34" s="240" t="str">
        <f>IFERROR(IF(VLOOKUP($A34,TableHandbook[],4,FALSE)=0,"",VLOOKUP($A34,TableHandbook[],4,FALSE)),"")</f>
        <v/>
      </c>
      <c r="E34" s="241"/>
      <c r="F34" s="242" t="str">
        <f>IFERROR(IF(VLOOKUP($A34,TableHandbook[],6,FALSE)=0,"",VLOOKUP($A34,TableHandbook[],6,FALSE)),"")</f>
        <v/>
      </c>
      <c r="G34" s="242" t="str">
        <f>IFERROR(IF(VLOOKUP($A34,TableHandbook[],5,FALSE)=0,"",VLOOKUP($A34,TableHandbook[],5,FALSE)),"")</f>
        <v/>
      </c>
      <c r="H34" s="202" t="str">
        <f>IFERROR(VLOOKUP($A34,TableHandbook[],H$2,FALSE),"")</f>
        <v/>
      </c>
      <c r="I34" s="199" t="str">
        <f>IFERROR(VLOOKUP($A34,TableHandbook[],I$2,FALSE),"")</f>
        <v/>
      </c>
      <c r="J34" s="199" t="str">
        <f>IFERROR(VLOOKUP($A34,TableHandbook[],J$2,FALSE),"")</f>
        <v/>
      </c>
      <c r="K34" s="203" t="str">
        <f>IFERROR(VLOOKUP($A34,TableHandbook[],K$2,FALSE),"")</f>
        <v/>
      </c>
      <c r="L34" s="36"/>
      <c r="M34" s="204">
        <v>5</v>
      </c>
    </row>
    <row r="35" spans="1:15" ht="18" customHeight="1" x14ac:dyDescent="0.25">
      <c r="A35" s="238" t="str">
        <f t="shared" si="4"/>
        <v/>
      </c>
      <c r="B35" s="239" t="str">
        <f>IFERROR(IF(VLOOKUP($A35,TableHandbook[],2,FALSE)=0,"",VLOOKUP($A35,TableHandbook[],2,FALSE)),"")</f>
        <v/>
      </c>
      <c r="C35" s="240" t="str">
        <f>IFERROR(IF(VLOOKUP($A35,TableHandbook[],3,FALSE)=0,"",VLOOKUP($A35,TableHandbook[],3,FALSE)),"")</f>
        <v/>
      </c>
      <c r="D35" s="240" t="str">
        <f>IFERROR(IF(VLOOKUP($A35,TableHandbook[],4,FALSE)=0,"",VLOOKUP($A35,TableHandbook[],4,FALSE)),"")</f>
        <v/>
      </c>
      <c r="E35" s="241"/>
      <c r="F35" s="242" t="str">
        <f>IFERROR(IF(VLOOKUP($A35,TableHandbook[],6,FALSE)=0,"",VLOOKUP($A35,TableHandbook[],6,FALSE)),"")</f>
        <v/>
      </c>
      <c r="G35" s="242" t="str">
        <f>IFERROR(IF(VLOOKUP($A35,TableHandbook[],5,FALSE)=0,"",VLOOKUP($A35,TableHandbook[],5,FALSE)),"")</f>
        <v/>
      </c>
      <c r="H35" s="202" t="str">
        <f>IFERROR(VLOOKUP($A35,TableHandbook[],H$2,FALSE),"")</f>
        <v/>
      </c>
      <c r="I35" s="199" t="str">
        <f>IFERROR(VLOOKUP($A35,TableHandbook[],I$2,FALSE),"")</f>
        <v/>
      </c>
      <c r="J35" s="199" t="str">
        <f>IFERROR(VLOOKUP($A35,TableHandbook[],J$2,FALSE),"")</f>
        <v/>
      </c>
      <c r="K35" s="203" t="str">
        <f>IFERROR(VLOOKUP($A35,TableHandbook[],K$2,FALSE),"")</f>
        <v/>
      </c>
      <c r="L35" s="36"/>
      <c r="M35" s="204">
        <v>6</v>
      </c>
    </row>
    <row r="36" spans="1:15" ht="18" customHeight="1" x14ac:dyDescent="0.25">
      <c r="A36" s="238" t="str">
        <f t="shared" si="4"/>
        <v/>
      </c>
      <c r="B36" s="239" t="str">
        <f>IFERROR(IF(VLOOKUP($A36,TableHandbook[],2,FALSE)=0,"",VLOOKUP($A36,TableHandbook[],2,FALSE)),"")</f>
        <v/>
      </c>
      <c r="C36" s="240" t="str">
        <f>IFERROR(IF(VLOOKUP($A36,TableHandbook[],3,FALSE)=0,"",VLOOKUP($A36,TableHandbook[],3,FALSE)),"")</f>
        <v/>
      </c>
      <c r="D36" s="240" t="str">
        <f>IFERROR(IF(VLOOKUP($A36,TableHandbook[],4,FALSE)=0,"",VLOOKUP($A36,TableHandbook[],4,FALSE)),"")</f>
        <v/>
      </c>
      <c r="E36" s="241"/>
      <c r="F36" s="242" t="str">
        <f>IFERROR(IF(VLOOKUP($A36,TableHandbook[],6,FALSE)=0,"",VLOOKUP($A36,TableHandbook[],6,FALSE)),"")</f>
        <v/>
      </c>
      <c r="G36" s="242" t="str">
        <f>IFERROR(IF(VLOOKUP($A36,TableHandbook[],5,FALSE)=0,"",VLOOKUP($A36,TableHandbook[],5,FALSE)),"")</f>
        <v/>
      </c>
      <c r="H36" s="202" t="str">
        <f>IFERROR(VLOOKUP($A36,TableHandbook[],H$2,FALSE),"")</f>
        <v/>
      </c>
      <c r="I36" s="199" t="str">
        <f>IFERROR(VLOOKUP($A36,TableHandbook[],I$2,FALSE),"")</f>
        <v/>
      </c>
      <c r="J36" s="199" t="str">
        <f>IFERROR(VLOOKUP($A36,TableHandbook[],J$2,FALSE),"")</f>
        <v/>
      </c>
      <c r="K36" s="203" t="str">
        <f>IFERROR(VLOOKUP($A36,TableHandbook[],K$2,FALSE),"")</f>
        <v/>
      </c>
      <c r="L36" s="36"/>
      <c r="M36" s="204">
        <v>7</v>
      </c>
    </row>
    <row r="37" spans="1:15" ht="18" customHeight="1" x14ac:dyDescent="0.25">
      <c r="A37" s="238" t="str">
        <f t="shared" si="4"/>
        <v/>
      </c>
      <c r="B37" s="239" t="str">
        <f>IFERROR(IF(VLOOKUP($A37,TableHandbook[],2,FALSE)=0,"",VLOOKUP($A37,TableHandbook[],2,FALSE)),"")</f>
        <v/>
      </c>
      <c r="C37" s="240" t="str">
        <f>IFERROR(IF(VLOOKUP($A37,TableHandbook[],3,FALSE)=0,"",VLOOKUP($A37,TableHandbook[],3,FALSE)),"")</f>
        <v/>
      </c>
      <c r="D37" s="240" t="str">
        <f>IFERROR(IF(VLOOKUP($A37,TableHandbook[],4,FALSE)=0,"",VLOOKUP($A37,TableHandbook[],4,FALSE)),"")</f>
        <v/>
      </c>
      <c r="E37" s="240"/>
      <c r="F37" s="239" t="str">
        <f>IFERROR(IF(VLOOKUP($A37,TableHandbook[],6,FALSE)=0,"",VLOOKUP($A37,TableHandbook[],6,FALSE)),"")</f>
        <v/>
      </c>
      <c r="G37" s="239" t="str">
        <f>IFERROR(IF(VLOOKUP($A37,TableHandbook[],5,FALSE)=0,"",VLOOKUP($A37,TableHandbook[],5,FALSE)),"")</f>
        <v/>
      </c>
      <c r="H37" s="202" t="str">
        <f>IFERROR(VLOOKUP($A37,TableHandbook[],H$2,FALSE),"")</f>
        <v/>
      </c>
      <c r="I37" s="199" t="str">
        <f>IFERROR(VLOOKUP($A37,TableHandbook[],I$2,FALSE),"")</f>
        <v/>
      </c>
      <c r="J37" s="199" t="str">
        <f>IFERROR(VLOOKUP($A37,TableHandbook[],J$2,FALSE),"")</f>
        <v/>
      </c>
      <c r="K37" s="203" t="str">
        <f>IFERROR(VLOOKUP($A37,TableHandbook[],K$2,FALSE),"")</f>
        <v/>
      </c>
      <c r="L37" s="35"/>
      <c r="M37" s="204">
        <v>8</v>
      </c>
    </row>
    <row r="38" spans="1:15" ht="18" customHeight="1" x14ac:dyDescent="0.25">
      <c r="A38" s="238" t="str">
        <f t="shared" si="4"/>
        <v/>
      </c>
      <c r="B38" s="239" t="str">
        <f>IFERROR(IF(VLOOKUP($A38,TableHandbook[],2,FALSE)=0,"",VLOOKUP($A38,TableHandbook[],2,FALSE)),"")</f>
        <v/>
      </c>
      <c r="C38" s="240" t="str">
        <f>IFERROR(IF(VLOOKUP($A38,TableHandbook[],3,FALSE)=0,"",VLOOKUP($A38,TableHandbook[],3,FALSE)),"")</f>
        <v/>
      </c>
      <c r="D38" s="240" t="str">
        <f>IFERROR(IF(VLOOKUP($A38,TableHandbook[],4,FALSE)=0,"",VLOOKUP($A38,TableHandbook[],4,FALSE)),"")</f>
        <v/>
      </c>
      <c r="E38" s="241"/>
      <c r="F38" s="242" t="str">
        <f>IFERROR(IF(VLOOKUP($A38,TableHandbook[],6,FALSE)=0,"",VLOOKUP($A38,TableHandbook[],6,FALSE)),"")</f>
        <v/>
      </c>
      <c r="G38" s="242" t="str">
        <f>IFERROR(IF(VLOOKUP($A38,TableHandbook[],5,FALSE)=0,"",VLOOKUP($A38,TableHandbook[],5,FALSE)),"")</f>
        <v/>
      </c>
      <c r="H38" s="202" t="str">
        <f>IFERROR(VLOOKUP($A38,TableHandbook[],H$2,FALSE),"")</f>
        <v/>
      </c>
      <c r="I38" s="199" t="str">
        <f>IFERROR(VLOOKUP($A38,TableHandbook[],I$2,FALSE),"")</f>
        <v/>
      </c>
      <c r="J38" s="199" t="str">
        <f>IFERROR(VLOOKUP($A38,TableHandbook[],J$2,FALSE),"")</f>
        <v/>
      </c>
      <c r="K38" s="203" t="str">
        <f>IFERROR(VLOOKUP($A38,TableHandbook[],K$2,FALSE),"")</f>
        <v/>
      </c>
      <c r="L38" s="35"/>
      <c r="M38" s="204">
        <v>9</v>
      </c>
    </row>
    <row r="39" spans="1:15" ht="18" customHeight="1" x14ac:dyDescent="0.25">
      <c r="A39" s="238" t="str">
        <f t="shared" si="4"/>
        <v/>
      </c>
      <c r="B39" s="239" t="str">
        <f>IFERROR(IF(VLOOKUP($A39,TableHandbook[],2,FALSE)=0,"",VLOOKUP($A39,TableHandbook[],2,FALSE)),"")</f>
        <v/>
      </c>
      <c r="C39" s="240" t="str">
        <f>IFERROR(IF(VLOOKUP($A39,TableHandbook[],3,FALSE)=0,"",VLOOKUP($A39,TableHandbook[],3,FALSE)),"")</f>
        <v/>
      </c>
      <c r="D39" s="240" t="str">
        <f>IFERROR(IF(VLOOKUP($A39,TableHandbook[],4,FALSE)=0,"",VLOOKUP($A39,TableHandbook[],4,FALSE)),"")</f>
        <v/>
      </c>
      <c r="E39" s="241"/>
      <c r="F39" s="242" t="str">
        <f>IFERROR(IF(VLOOKUP($A39,TableHandbook[],6,FALSE)=0,"",VLOOKUP($A39,TableHandbook[],6,FALSE)),"")</f>
        <v/>
      </c>
      <c r="G39" s="242" t="str">
        <f>IFERROR(IF(VLOOKUP($A39,TableHandbook[],5,FALSE)=0,"",VLOOKUP($A39,TableHandbook[],5,FALSE)),"")</f>
        <v/>
      </c>
      <c r="H39" s="202" t="str">
        <f>IFERROR(VLOOKUP($A39,TableHandbook[],H$2,FALSE),"")</f>
        <v/>
      </c>
      <c r="I39" s="199" t="str">
        <f>IFERROR(VLOOKUP($A39,TableHandbook[],I$2,FALSE),"")</f>
        <v/>
      </c>
      <c r="J39" s="199" t="str">
        <f>IFERROR(VLOOKUP($A39,TableHandbook[],J$2,FALSE),"")</f>
        <v/>
      </c>
      <c r="K39" s="203" t="str">
        <f>IFERROR(VLOOKUP($A39,TableHandbook[],K$2,FALSE),"")</f>
        <v/>
      </c>
      <c r="L39" s="36"/>
      <c r="M39" s="204">
        <v>10</v>
      </c>
    </row>
    <row r="40" spans="1:15" ht="18" customHeight="1" x14ac:dyDescent="0.25">
      <c r="A40" s="238" t="str">
        <f t="shared" si="4"/>
        <v/>
      </c>
      <c r="B40" s="239" t="str">
        <f>IFERROR(IF(VLOOKUP($A40,TableHandbook[],2,FALSE)=0,"",VLOOKUP($A40,TableHandbook[],2,FALSE)),"")</f>
        <v/>
      </c>
      <c r="C40" s="240" t="str">
        <f>IFERROR(IF(VLOOKUP($A40,TableHandbook[],3,FALSE)=0,"",VLOOKUP($A40,TableHandbook[],3,FALSE)),"")</f>
        <v/>
      </c>
      <c r="D40" s="240" t="str">
        <f>IFERROR(IF(VLOOKUP($A40,TableHandbook[],4,FALSE)=0,"",VLOOKUP($A40,TableHandbook[],4,FALSE)),"")</f>
        <v/>
      </c>
      <c r="E40" s="241"/>
      <c r="F40" s="242" t="str">
        <f>IFERROR(IF(VLOOKUP($A40,TableHandbook[],6,FALSE)=0,"",VLOOKUP($A40,TableHandbook[],6,FALSE)),"")</f>
        <v/>
      </c>
      <c r="G40" s="242" t="str">
        <f>IFERROR(IF(VLOOKUP($A40,TableHandbook[],5,FALSE)=0,"",VLOOKUP($A40,TableHandbook[],5,FALSE)),"")</f>
        <v/>
      </c>
      <c r="H40" s="202" t="str">
        <f>IFERROR(VLOOKUP($A40,TableHandbook[],H$2,FALSE),"")</f>
        <v/>
      </c>
      <c r="I40" s="199" t="str">
        <f>IFERROR(VLOOKUP($A40,TableHandbook[],I$2,FALSE),"")</f>
        <v/>
      </c>
      <c r="J40" s="199" t="str">
        <f>IFERROR(VLOOKUP($A40,TableHandbook[],J$2,FALSE),"")</f>
        <v/>
      </c>
      <c r="K40" s="203" t="str">
        <f>IFERROR(VLOOKUP($A40,TableHandbook[],K$2,FALSE),"")</f>
        <v/>
      </c>
      <c r="L40" s="36"/>
      <c r="M40" s="204">
        <v>11</v>
      </c>
    </row>
    <row r="41" spans="1:15" ht="18" customHeight="1" x14ac:dyDescent="0.25">
      <c r="A41" s="238" t="str">
        <f t="shared" si="4"/>
        <v/>
      </c>
      <c r="B41" s="239" t="str">
        <f>IFERROR(IF(VLOOKUP($A41,TableHandbook[],2,FALSE)=0,"",VLOOKUP($A41,TableHandbook[],2,FALSE)),"")</f>
        <v/>
      </c>
      <c r="C41" s="240" t="str">
        <f>IFERROR(IF(VLOOKUP($A41,TableHandbook[],3,FALSE)=0,"",VLOOKUP($A41,TableHandbook[],3,FALSE)),"")</f>
        <v/>
      </c>
      <c r="D41" s="240" t="str">
        <f>IFERROR(IF(VLOOKUP($A41,TableHandbook[],4,FALSE)=0,"",VLOOKUP($A41,TableHandbook[],4,FALSE)),"")</f>
        <v/>
      </c>
      <c r="E41" s="240"/>
      <c r="F41" s="242" t="str">
        <f>IFERROR(IF(VLOOKUP($A41,TableHandbook[],6,FALSE)=0,"",VLOOKUP($A41,TableHandbook[],6,FALSE)),"")</f>
        <v/>
      </c>
      <c r="G41" s="242" t="str">
        <f>IFERROR(IF(VLOOKUP($A41,TableHandbook[],5,FALSE)=0,"",VLOOKUP($A41,TableHandbook[],5,FALSE)),"")</f>
        <v/>
      </c>
      <c r="H41" s="202" t="str">
        <f>IFERROR(VLOOKUP($A41,TableHandbook[],H$2,FALSE),"")</f>
        <v/>
      </c>
      <c r="I41" s="199" t="str">
        <f>IFERROR(VLOOKUP($A41,TableHandbook[],I$2,FALSE),"")</f>
        <v/>
      </c>
      <c r="J41" s="199" t="str">
        <f>IFERROR(VLOOKUP($A41,TableHandbook[],J$2,FALSE),"")</f>
        <v/>
      </c>
      <c r="K41" s="203" t="str">
        <f>IFERROR(VLOOKUP($A41,TableHandbook[],K$2,FALSE),"")</f>
        <v/>
      </c>
      <c r="L41" s="36"/>
      <c r="M41" s="204">
        <v>12</v>
      </c>
    </row>
    <row r="42" spans="1:15" ht="18" customHeight="1" x14ac:dyDescent="0.25">
      <c r="A42" s="238" t="str">
        <f t="shared" si="4"/>
        <v/>
      </c>
      <c r="B42" s="239" t="str">
        <f>IFERROR(IF(VLOOKUP($A42,TableHandbook[],2,FALSE)=0,"",VLOOKUP($A42,TableHandbook[],2,FALSE)),"")</f>
        <v/>
      </c>
      <c r="C42" s="240" t="str">
        <f>IFERROR(IF(VLOOKUP($A42,TableHandbook[],3,FALSE)=0,"",VLOOKUP($A42,TableHandbook[],3,FALSE)),"")</f>
        <v/>
      </c>
      <c r="D42" s="240" t="str">
        <f>IFERROR(IF(VLOOKUP($A42,TableHandbook[],4,FALSE)=0,"",VLOOKUP($A42,TableHandbook[],4,FALSE)),"")</f>
        <v/>
      </c>
      <c r="E42" s="240"/>
      <c r="F42" s="242" t="str">
        <f>IFERROR(IF(VLOOKUP($A42,TableHandbook[],6,FALSE)=0,"",VLOOKUP($A42,TableHandbook[],6,FALSE)),"")</f>
        <v/>
      </c>
      <c r="G42" s="242" t="str">
        <f>IFERROR(IF(VLOOKUP($A42,TableHandbook[],5,FALSE)=0,"",VLOOKUP($A42,TableHandbook[],5,FALSE)),"")</f>
        <v/>
      </c>
      <c r="H42" s="202" t="str">
        <f>IFERROR(VLOOKUP($A42,TableHandbook[],H$2,FALSE),"")</f>
        <v/>
      </c>
      <c r="I42" s="199" t="str">
        <f>IFERROR(VLOOKUP($A42,TableHandbook[],I$2,FALSE),"")</f>
        <v/>
      </c>
      <c r="J42" s="199" t="str">
        <f>IFERROR(VLOOKUP($A42,TableHandbook[],J$2,FALSE),"")</f>
        <v/>
      </c>
      <c r="K42" s="203" t="str">
        <f>IFERROR(VLOOKUP($A42,TableHandbook[],K$2,FALSE),"")</f>
        <v/>
      </c>
      <c r="L42" s="36"/>
      <c r="M42" s="204">
        <v>13</v>
      </c>
    </row>
    <row r="43" spans="1:15" ht="18" customHeight="1" x14ac:dyDescent="0.25">
      <c r="A43" s="238" t="str">
        <f t="shared" si="4"/>
        <v/>
      </c>
      <c r="B43" s="239" t="str">
        <f>IFERROR(IF(VLOOKUP($A43,TableHandbook[],2,FALSE)=0,"",VLOOKUP($A43,TableHandbook[],2,FALSE)),"")</f>
        <v/>
      </c>
      <c r="C43" s="240" t="str">
        <f>IFERROR(IF(VLOOKUP($A43,TableHandbook[],3,FALSE)=0,"",VLOOKUP($A43,TableHandbook[],3,FALSE)),"")</f>
        <v/>
      </c>
      <c r="D43" s="240" t="str">
        <f>IFERROR(IF(VLOOKUP($A43,TableHandbook[],4,FALSE)=0,"",VLOOKUP($A43,TableHandbook[],4,FALSE)),"")</f>
        <v/>
      </c>
      <c r="E43" s="240"/>
      <c r="F43" s="242" t="str">
        <f>IFERROR(IF(VLOOKUP($A43,TableHandbook[],6,FALSE)=0,"",VLOOKUP($A43,TableHandbook[],6,FALSE)),"")</f>
        <v/>
      </c>
      <c r="G43" s="242" t="str">
        <f>IFERROR(IF(VLOOKUP($A43,TableHandbook[],5,FALSE)=0,"",VLOOKUP($A43,TableHandbook[],5,FALSE)),"")</f>
        <v/>
      </c>
      <c r="H43" s="202" t="str">
        <f>IFERROR(VLOOKUP($A43,TableHandbook[],H$2,FALSE),"")</f>
        <v/>
      </c>
      <c r="I43" s="199" t="str">
        <f>IFERROR(VLOOKUP($A43,TableHandbook[],I$2,FALSE),"")</f>
        <v/>
      </c>
      <c r="J43" s="199" t="str">
        <f>IFERROR(VLOOKUP($A43,TableHandbook[],J$2,FALSE),"")</f>
        <v/>
      </c>
      <c r="K43" s="203" t="str">
        <f>IFERROR(VLOOKUP($A43,TableHandbook[],K$2,FALSE),"")</f>
        <v/>
      </c>
      <c r="L43" s="36"/>
      <c r="M43" s="204">
        <v>14</v>
      </c>
    </row>
    <row r="44" spans="1:15" ht="18" customHeight="1" x14ac:dyDescent="0.25">
      <c r="A44" s="238" t="str">
        <f t="shared" si="4"/>
        <v/>
      </c>
      <c r="B44" s="239" t="str">
        <f>IFERROR(IF(VLOOKUP($A44,TableHandbook[],2,FALSE)=0,"",VLOOKUP($A44,TableHandbook[],2,FALSE)),"")</f>
        <v/>
      </c>
      <c r="C44" s="240" t="str">
        <f>IFERROR(IF(VLOOKUP($A44,TableHandbook[],3,FALSE)=0,"",VLOOKUP($A44,TableHandbook[],3,FALSE)),"")</f>
        <v/>
      </c>
      <c r="D44" s="240" t="str">
        <f>IFERROR(IF(VLOOKUP($A44,TableHandbook[],4,FALSE)=0,"",VLOOKUP($A44,TableHandbook[],4,FALSE)),"")</f>
        <v/>
      </c>
      <c r="E44" s="240"/>
      <c r="F44" s="242" t="str">
        <f>IFERROR(IF(VLOOKUP($A44,TableHandbook[],6,FALSE)=0,"",VLOOKUP($A44,TableHandbook[],6,FALSE)),"")</f>
        <v/>
      </c>
      <c r="G44" s="242" t="str">
        <f>IFERROR(IF(VLOOKUP($A44,TableHandbook[],5,FALSE)=0,"",VLOOKUP($A44,TableHandbook[],5,FALSE)),"")</f>
        <v/>
      </c>
      <c r="H44" s="202" t="str">
        <f>IFERROR(VLOOKUP($A44,TableHandbook[],H$2,FALSE),"")</f>
        <v/>
      </c>
      <c r="I44" s="199" t="str">
        <f>IFERROR(VLOOKUP($A44,TableHandbook[],I$2,FALSE),"")</f>
        <v/>
      </c>
      <c r="J44" s="199" t="str">
        <f>IFERROR(VLOOKUP($A44,TableHandbook[],J$2,FALSE),"")</f>
        <v/>
      </c>
      <c r="K44" s="203" t="str">
        <f>IFERROR(VLOOKUP($A44,TableHandbook[],K$2,FALSE),"")</f>
        <v/>
      </c>
      <c r="L44" s="36"/>
      <c r="M44" s="204">
        <v>15</v>
      </c>
    </row>
    <row r="45" spans="1:15" ht="18" customHeight="1" x14ac:dyDescent="0.25">
      <c r="A45" s="238" t="str">
        <f t="shared" si="4"/>
        <v/>
      </c>
      <c r="B45" s="239" t="str">
        <f>IFERROR(IF(VLOOKUP($A45,TableHandbook[],2,FALSE)=0,"",VLOOKUP($A45,TableHandbook[],2,FALSE)),"")</f>
        <v/>
      </c>
      <c r="C45" s="240" t="str">
        <f>IFERROR(IF(VLOOKUP($A45,TableHandbook[],3,FALSE)=0,"",VLOOKUP($A45,TableHandbook[],3,FALSE)),"")</f>
        <v/>
      </c>
      <c r="D45" s="240" t="str">
        <f>IFERROR(IF(VLOOKUP($A45,TableHandbook[],4,FALSE)=0,"",VLOOKUP($A45,TableHandbook[],4,FALSE)),"")</f>
        <v/>
      </c>
      <c r="E45" s="240"/>
      <c r="F45" s="242" t="str">
        <f>IFERROR(IF(VLOOKUP($A45,TableHandbook[],6,FALSE)=0,"",VLOOKUP($A45,TableHandbook[],6,FALSE)),"")</f>
        <v/>
      </c>
      <c r="G45" s="242" t="str">
        <f>IFERROR(IF(VLOOKUP($A45,TableHandbook[],5,FALSE)=0,"",VLOOKUP($A45,TableHandbook[],5,FALSE)),"")</f>
        <v/>
      </c>
      <c r="H45" s="202" t="str">
        <f>IFERROR(VLOOKUP($A45,TableHandbook[],H$2,FALSE),"")</f>
        <v/>
      </c>
      <c r="I45" s="199" t="str">
        <f>IFERROR(VLOOKUP($A45,TableHandbook[],I$2,FALSE),"")</f>
        <v/>
      </c>
      <c r="J45" s="199" t="str">
        <f>IFERROR(VLOOKUP($A45,TableHandbook[],J$2,FALSE),"")</f>
        <v/>
      </c>
      <c r="K45" s="203" t="str">
        <f>IFERROR(VLOOKUP($A45,TableHandbook[],K$2,FALSE),"")</f>
        <v/>
      </c>
      <c r="L45" s="36"/>
      <c r="M45" s="204">
        <v>16</v>
      </c>
    </row>
    <row r="46" spans="1:15" ht="18" customHeight="1" x14ac:dyDescent="0.25">
      <c r="A46" s="243"/>
      <c r="B46" s="243"/>
      <c r="C46" s="243"/>
      <c r="D46" s="243"/>
      <c r="E46" s="243"/>
      <c r="F46" s="243"/>
      <c r="G46" s="243"/>
      <c r="H46" s="243"/>
      <c r="I46" s="243"/>
      <c r="J46" s="243"/>
      <c r="K46" s="243"/>
      <c r="L46" s="243"/>
      <c r="M46" s="204"/>
    </row>
    <row r="47" spans="1:15" ht="32.25" customHeight="1" x14ac:dyDescent="0.25">
      <c r="A47" s="244" t="s">
        <v>28</v>
      </c>
      <c r="B47" s="244"/>
      <c r="C47" s="244"/>
      <c r="D47" s="244"/>
      <c r="E47" s="244"/>
      <c r="F47" s="244"/>
      <c r="G47" s="244"/>
      <c r="H47" s="244"/>
      <c r="I47" s="244"/>
      <c r="J47" s="244"/>
      <c r="K47" s="244"/>
      <c r="L47" s="244"/>
    </row>
    <row r="48" spans="1:15" s="246" customFormat="1" ht="24.95" customHeight="1" x14ac:dyDescent="0.3">
      <c r="A48" s="158" t="s">
        <v>29</v>
      </c>
      <c r="B48" s="102"/>
      <c r="C48" s="102"/>
      <c r="D48" s="103"/>
      <c r="E48" s="103"/>
      <c r="F48" s="103"/>
      <c r="G48" s="103"/>
      <c r="H48" s="103"/>
      <c r="I48" s="103"/>
      <c r="J48" s="103"/>
      <c r="K48" s="103"/>
      <c r="L48" s="103"/>
      <c r="M48" s="245"/>
      <c r="N48" s="245"/>
      <c r="O48" s="245"/>
    </row>
    <row r="49" spans="1:12" ht="15" customHeight="1" x14ac:dyDescent="0.25">
      <c r="A49" s="247" t="s">
        <v>30</v>
      </c>
      <c r="B49" s="247"/>
      <c r="C49" s="247"/>
      <c r="D49" s="247"/>
      <c r="E49" s="248"/>
      <c r="F49" s="223"/>
      <c r="G49" s="249"/>
      <c r="H49" s="249"/>
      <c r="I49" s="249"/>
      <c r="J49" s="249"/>
      <c r="K49" s="249"/>
      <c r="L49" s="249" t="s">
        <v>31</v>
      </c>
    </row>
  </sheetData>
  <sheetProtection algorithmName="SHA-512" hashValue="0Lf8C7MF+Pi+F1E5BGTWw8YQNfgEbFuRjf8/yPVIjhBd2E6rsKVlfvkJwGSFOf16oI0Xq0ud3h/UIWVs2PXePw==" saltValue="MT1jIPa4YCzjFJr6EAHDsg==" spinCount="100000" sheet="1" objects="1" scenarios="1" formatCells="0"/>
  <mergeCells count="2">
    <mergeCell ref="A3:D3"/>
    <mergeCell ref="A47:L47"/>
  </mergeCells>
  <conditionalFormatting sqref="D5:D6">
    <cfRule type="containsText" dxfId="70" priority="2" operator="containsText" text="Choose">
      <formula>NOT(ISERROR(SEARCH("Choose",D5)))</formula>
    </cfRule>
  </conditionalFormatting>
  <conditionalFormatting sqref="A9:L27 A31:L45">
    <cfRule type="expression" dxfId="69" priority="1">
      <formula>$A9=""</formula>
    </cfRule>
  </conditionalFormatting>
  <dataValidations count="1">
    <dataValidation type="list" allowBlank="1" showInputMessage="1" showErrorMessage="1" sqref="L23 L13"/>
  </dataValidations>
  <hyperlinks>
    <hyperlink ref="A48:L48"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2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Unitsets!$A$12:$A$14</xm:f>
          </x14:formula1>
          <xm:sqref>D6</xm:sqref>
        </x14:dataValidation>
        <x14:dataValidation type="list" showInputMessage="1" showErrorMessage="1">
          <x14:formula1>
            <xm:f>Unitsets!$A$6:$A$9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48"/>
  <sheetViews>
    <sheetView zoomScaleNormal="100" workbookViewId="0">
      <selection activeCell="C26" sqref="C26"/>
    </sheetView>
  </sheetViews>
  <sheetFormatPr defaultRowHeight="15.75" x14ac:dyDescent="0.25"/>
  <cols>
    <col min="1" max="1" width="49.875" style="14" bestFit="1" customWidth="1"/>
    <col min="2" max="2" width="10.625" style="9" bestFit="1" customWidth="1"/>
    <col min="3" max="3" width="8.875" style="9" bestFit="1" customWidth="1"/>
    <col min="4" max="4" width="19.875" style="9" bestFit="1" customWidth="1"/>
    <col min="5" max="5" width="13.75" style="9" bestFit="1" customWidth="1"/>
    <col min="6" max="6" width="13.125" style="9" bestFit="1" customWidth="1"/>
    <col min="7" max="7" width="27.375" style="9" bestFit="1" customWidth="1"/>
    <col min="8" max="8" width="13.75" style="9" bestFit="1" customWidth="1"/>
    <col min="9" max="9" width="3.625" customWidth="1"/>
    <col min="10" max="10" width="8.5" bestFit="1" customWidth="1"/>
    <col min="11" max="11" width="10" customWidth="1"/>
    <col min="12" max="12" width="8.5" bestFit="1" customWidth="1"/>
    <col min="13" max="13" width="8.875" customWidth="1"/>
    <col min="14" max="14" width="6" customWidth="1"/>
    <col min="15" max="15" width="7.625" customWidth="1"/>
    <col min="16" max="16" width="6" customWidth="1"/>
    <col min="17" max="17" width="7.625" customWidth="1"/>
    <col min="18" max="18" width="6" customWidth="1"/>
    <col min="19" max="19" width="7.625" customWidth="1"/>
    <col min="20" max="20" width="6" customWidth="1"/>
    <col min="21" max="21" width="7.625" customWidth="1"/>
    <col min="22" max="22" width="6.625" customWidth="1"/>
    <col min="23" max="23" width="16" bestFit="1" customWidth="1"/>
    <col min="24" max="24" width="4.5" bestFit="1" customWidth="1"/>
    <col min="25" max="25" width="5" bestFit="1" customWidth="1"/>
    <col min="26" max="26" width="37" bestFit="1" customWidth="1"/>
    <col min="27" max="27" width="6.75" bestFit="1" customWidth="1"/>
    <col min="28" max="28" width="19.875" customWidth="1"/>
    <col min="29" max="32" width="5.375" bestFit="1" customWidth="1"/>
    <col min="34" max="34" width="4.375" customWidth="1"/>
    <col min="35" max="35" width="34.5" bestFit="1" customWidth="1"/>
    <col min="37" max="37" width="20.875" bestFit="1" customWidth="1"/>
  </cols>
  <sheetData>
    <row r="1" spans="1:40" x14ac:dyDescent="0.25">
      <c r="A1" s="16" t="s">
        <v>32</v>
      </c>
      <c r="B1" s="17"/>
      <c r="C1" s="17"/>
      <c r="D1" s="17"/>
    </row>
    <row r="2" spans="1:40" x14ac:dyDescent="0.25">
      <c r="J2" s="30"/>
      <c r="K2" s="12"/>
      <c r="L2" s="13"/>
      <c r="M2" s="12"/>
      <c r="N2" s="11"/>
      <c r="O2" s="12"/>
      <c r="P2" s="13"/>
      <c r="Q2" s="12"/>
      <c r="R2" s="33"/>
      <c r="S2" s="12"/>
      <c r="T2" s="13"/>
      <c r="U2" s="13"/>
      <c r="V2" s="13"/>
      <c r="W2" s="99" t="s">
        <v>33</v>
      </c>
      <c r="X2">
        <v>2</v>
      </c>
      <c r="Y2">
        <v>3</v>
      </c>
      <c r="Z2">
        <v>4</v>
      </c>
      <c r="AA2">
        <v>5</v>
      </c>
      <c r="AB2">
        <v>6</v>
      </c>
      <c r="AC2">
        <v>10</v>
      </c>
      <c r="AD2">
        <f>AC2+1</f>
        <v>11</v>
      </c>
      <c r="AE2">
        <f t="shared" ref="AE2:AF2" si="0">AD2+1</f>
        <v>12</v>
      </c>
      <c r="AF2">
        <f t="shared" si="0"/>
        <v>13</v>
      </c>
      <c r="AG2" s="25"/>
      <c r="AH2" s="25"/>
      <c r="AI2" s="25"/>
      <c r="AJ2" s="25"/>
      <c r="AK2" s="25"/>
      <c r="AL2" s="25"/>
      <c r="AM2" s="25"/>
      <c r="AN2" s="25"/>
    </row>
    <row r="3" spans="1:40" ht="31.5" x14ac:dyDescent="0.25">
      <c r="H3" s="101" t="s">
        <v>34</v>
      </c>
      <c r="I3" s="1">
        <v>1</v>
      </c>
      <c r="J3" s="142"/>
      <c r="K3" s="143" t="s">
        <v>33</v>
      </c>
      <c r="L3" s="144"/>
      <c r="M3" s="145" t="s">
        <v>35</v>
      </c>
      <c r="N3" s="142"/>
      <c r="O3" s="146" t="s">
        <v>36</v>
      </c>
      <c r="P3" s="147"/>
      <c r="Q3" s="146" t="s">
        <v>37</v>
      </c>
      <c r="R3" s="148"/>
      <c r="S3" s="143" t="s">
        <v>38</v>
      </c>
      <c r="T3" s="148"/>
      <c r="U3" s="146" t="s">
        <v>39</v>
      </c>
      <c r="V3" s="31"/>
      <c r="W3" s="37" t="s">
        <v>40</v>
      </c>
      <c r="X3" s="37" t="s">
        <v>1</v>
      </c>
      <c r="Y3" s="38"/>
      <c r="Z3" s="37" t="s">
        <v>41</v>
      </c>
      <c r="AA3" s="39" t="s">
        <v>5</v>
      </c>
      <c r="AB3" s="39" t="s">
        <v>42</v>
      </c>
      <c r="AC3" s="42" t="s">
        <v>43</v>
      </c>
      <c r="AD3" s="42" t="s">
        <v>44</v>
      </c>
      <c r="AE3" s="42" t="s">
        <v>45</v>
      </c>
      <c r="AF3" s="42" t="s">
        <v>46</v>
      </c>
      <c r="AG3" s="25"/>
      <c r="AH3" s="25"/>
      <c r="AI3" s="25"/>
      <c r="AJ3" s="25"/>
      <c r="AK3" s="25"/>
      <c r="AL3" s="25"/>
      <c r="AM3" s="25"/>
      <c r="AN3" s="25"/>
    </row>
    <row r="4" spans="1:40" x14ac:dyDescent="0.25">
      <c r="I4" s="21">
        <v>2</v>
      </c>
      <c r="J4" s="73" t="s">
        <v>47</v>
      </c>
      <c r="K4" s="75" t="s">
        <v>48</v>
      </c>
      <c r="L4" s="73" t="s">
        <v>49</v>
      </c>
      <c r="M4" s="100" t="s">
        <v>50</v>
      </c>
      <c r="N4" s="73" t="s">
        <v>47</v>
      </c>
      <c r="O4" s="75" t="s">
        <v>48</v>
      </c>
      <c r="P4" s="73" t="s">
        <v>49</v>
      </c>
      <c r="Q4" s="79" t="s">
        <v>51</v>
      </c>
      <c r="R4" s="73" t="s">
        <v>47</v>
      </c>
      <c r="S4" s="75" t="s">
        <v>48</v>
      </c>
      <c r="T4" s="73" t="s">
        <v>49</v>
      </c>
      <c r="U4" s="79" t="s">
        <v>51</v>
      </c>
      <c r="V4" s="1"/>
      <c r="W4" s="46" t="str">
        <f>HLOOKUP($W$2,$J$3:$U$19,I4,FALSE)</f>
        <v>SUST5024</v>
      </c>
      <c r="X4" s="47">
        <f>VLOOKUP($W4,TableHandbook[],X$2,FALSE)</f>
        <v>1</v>
      </c>
      <c r="Y4" s="48">
        <f>VLOOKUP($W4,TableHandbook[],Y$2,FALSE)</f>
        <v>0</v>
      </c>
      <c r="Z4" s="49" t="str">
        <f>VLOOKUP($W4,TableHandbook[],Z$2,FALSE)</f>
        <v>Sustainable Waste Management</v>
      </c>
      <c r="AA4" s="50">
        <f>VLOOKUP($W4,TableHandbook[],AA$2,FALSE)</f>
        <v>25</v>
      </c>
      <c r="AB4" s="50" t="str">
        <f>VLOOKUP($W4,TableHandbook[],AB$2,FALSE)</f>
        <v>None</v>
      </c>
      <c r="AC4" s="51" t="str">
        <f>VLOOKUP($W4,TableHandbook[],AC$2,FALSE)</f>
        <v/>
      </c>
      <c r="AD4" s="51" t="str">
        <f>VLOOKUP($W4,TableHandbook[],AD$2,FALSE)</f>
        <v>Sits in GC as Core and Option</v>
      </c>
      <c r="AE4" s="51" t="str">
        <f>VLOOKUP($W4,TableHandbook[],AE$2,FALSE)</f>
        <v>Core</v>
      </c>
      <c r="AF4" s="52" t="str">
        <f>VLOOKUP($W4,TableHandbook[],AF$2,FALSE)</f>
        <v>Core</v>
      </c>
      <c r="AG4" s="25"/>
      <c r="AH4" s="25"/>
      <c r="AI4" s="25"/>
      <c r="AJ4" s="25"/>
      <c r="AK4" s="25"/>
      <c r="AL4" s="25"/>
      <c r="AM4" s="25"/>
      <c r="AN4" s="25"/>
    </row>
    <row r="5" spans="1:40" x14ac:dyDescent="0.25">
      <c r="I5" s="21">
        <v>3</v>
      </c>
      <c r="J5" s="77" t="s">
        <v>47</v>
      </c>
      <c r="K5" s="80" t="s">
        <v>52</v>
      </c>
      <c r="L5" s="77" t="s">
        <v>49</v>
      </c>
      <c r="M5" s="80"/>
      <c r="N5" s="77" t="s">
        <v>47</v>
      </c>
      <c r="O5" s="80" t="s">
        <v>52</v>
      </c>
      <c r="P5" s="77" t="s">
        <v>49</v>
      </c>
      <c r="Q5" s="80" t="s">
        <v>53</v>
      </c>
      <c r="R5" s="77" t="s">
        <v>47</v>
      </c>
      <c r="S5" s="78" t="s">
        <v>52</v>
      </c>
      <c r="T5" s="77" t="s">
        <v>49</v>
      </c>
      <c r="U5" s="80" t="s">
        <v>53</v>
      </c>
      <c r="V5" s="1"/>
      <c r="W5" s="53" t="str">
        <f t="shared" ref="W5:W19" si="1">HLOOKUP($W$2,$J$3:$U$19,I5,FALSE)</f>
        <v>SUST5005</v>
      </c>
      <c r="X5" s="6">
        <f>VLOOKUP($W5,TableHandbook[],X$2,FALSE)</f>
        <v>2</v>
      </c>
      <c r="Y5">
        <f>VLOOKUP($W5,TableHandbook[],Y$2,FALSE)</f>
        <v>0</v>
      </c>
      <c r="Z5" s="5" t="str">
        <f>VLOOKUP($W5,TableHandbook[],Z$2,FALSE)</f>
        <v>Future Cities</v>
      </c>
      <c r="AA5" s="34">
        <f>VLOOKUP($W5,TableHandbook[],AA$2,FALSE)</f>
        <v>25</v>
      </c>
      <c r="AB5" s="34" t="str">
        <f>VLOOKUP($W5,TableHandbook[],AB$2,FALSE)</f>
        <v>None</v>
      </c>
      <c r="AC5" s="3" t="str">
        <f>VLOOKUP($W5,TableHandbook[],AC$2,FALSE)</f>
        <v/>
      </c>
      <c r="AD5" s="3" t="str">
        <f>VLOOKUP($W5,TableHandbook[],AD$2,FALSE)</f>
        <v>Sits in GC as Core and Option</v>
      </c>
      <c r="AE5" s="3" t="str">
        <f>VLOOKUP($W5,TableHandbook[],AE$2,FALSE)</f>
        <v>Core</v>
      </c>
      <c r="AF5" s="54" t="str">
        <f>VLOOKUP($W5,TableHandbook[],AF$2,FALSE)</f>
        <v>Core</v>
      </c>
      <c r="AG5" s="25"/>
      <c r="AH5" s="25"/>
      <c r="AI5" s="25"/>
      <c r="AJ5" s="25"/>
      <c r="AK5" s="25"/>
      <c r="AL5" s="25"/>
      <c r="AM5" s="25"/>
      <c r="AN5" s="25"/>
    </row>
    <row r="6" spans="1:40" x14ac:dyDescent="0.25">
      <c r="A6" s="9" t="s">
        <v>11</v>
      </c>
      <c r="B6" s="14" t="s">
        <v>0</v>
      </c>
      <c r="C6" s="9" t="s">
        <v>54</v>
      </c>
      <c r="D6" s="9" t="s">
        <v>55</v>
      </c>
      <c r="E6" s="9" t="s">
        <v>56</v>
      </c>
      <c r="F6" s="9" t="s">
        <v>57</v>
      </c>
      <c r="G6" s="9" t="s">
        <v>6</v>
      </c>
      <c r="I6" s="21">
        <v>4</v>
      </c>
      <c r="J6" s="77" t="s">
        <v>47</v>
      </c>
      <c r="K6" s="80" t="s">
        <v>58</v>
      </c>
      <c r="L6" s="77" t="s">
        <v>49</v>
      </c>
      <c r="M6" s="80"/>
      <c r="N6" s="77" t="s">
        <v>47</v>
      </c>
      <c r="O6" s="80" t="s">
        <v>58</v>
      </c>
      <c r="P6" s="77" t="s">
        <v>49</v>
      </c>
      <c r="Q6" s="80" t="s">
        <v>59</v>
      </c>
      <c r="R6" s="77" t="s">
        <v>47</v>
      </c>
      <c r="S6" s="78" t="s">
        <v>58</v>
      </c>
      <c r="T6" s="77" t="s">
        <v>49</v>
      </c>
      <c r="U6" s="80" t="s">
        <v>59</v>
      </c>
      <c r="V6" s="1"/>
      <c r="W6" s="53" t="str">
        <f t="shared" si="1"/>
        <v>SUST7000</v>
      </c>
      <c r="X6" s="6">
        <f>VLOOKUP($W6,TableHandbook[],X$2,FALSE)</f>
        <v>2</v>
      </c>
      <c r="Y6">
        <f>VLOOKUP($W6,TableHandbook[],Y$2,FALSE)</f>
        <v>0</v>
      </c>
      <c r="Z6" s="5" t="str">
        <f>VLOOKUP($W6,TableHandbook[],Z$2,FALSE)</f>
        <v>Introduction to Environment &amp; Climate Emergency</v>
      </c>
      <c r="AA6" s="34">
        <f>VLOOKUP($W6,TableHandbook[],AA$2,FALSE)</f>
        <v>25</v>
      </c>
      <c r="AB6" s="34" t="str">
        <f>VLOOKUP($W6,TableHandbook[],AB$2,FALSE)</f>
        <v>None</v>
      </c>
      <c r="AC6" s="3" t="str">
        <f>VLOOKUP($W6,TableHandbook[],AC$2,FALSE)</f>
        <v>Y</v>
      </c>
      <c r="AD6" s="3" t="str">
        <f>VLOOKUP($W6,TableHandbook[],AD$2,FALSE)</f>
        <v>Sits in GC as Core and Option</v>
      </c>
      <c r="AE6" s="3" t="str">
        <f>VLOOKUP($W6,TableHandbook[],AE$2,FALSE)</f>
        <v>Core</v>
      </c>
      <c r="AF6" s="54" t="str">
        <f>VLOOKUP($W6,TableHandbook[],AF$2,FALSE)</f>
        <v>Core</v>
      </c>
      <c r="AG6" s="9"/>
      <c r="AH6" s="6"/>
      <c r="AI6" s="25"/>
      <c r="AJ6" s="25"/>
      <c r="AK6" s="25"/>
      <c r="AL6" s="25"/>
      <c r="AM6" s="25"/>
      <c r="AN6" s="25"/>
    </row>
    <row r="7" spans="1:40" x14ac:dyDescent="0.25">
      <c r="A7" s="9" t="s">
        <v>60</v>
      </c>
      <c r="B7" s="128" t="s">
        <v>61</v>
      </c>
      <c r="C7" s="10" t="s">
        <v>62</v>
      </c>
      <c r="D7" s="9" t="s">
        <v>63</v>
      </c>
      <c r="E7" s="129">
        <v>43831</v>
      </c>
      <c r="F7" s="129">
        <v>44562</v>
      </c>
      <c r="G7" s="9" t="s">
        <v>64</v>
      </c>
      <c r="I7" s="21">
        <v>5</v>
      </c>
      <c r="J7" s="90" t="s">
        <v>47</v>
      </c>
      <c r="K7" s="89" t="s">
        <v>65</v>
      </c>
      <c r="L7" s="90" t="s">
        <v>49</v>
      </c>
      <c r="M7" s="89"/>
      <c r="N7" s="90" t="s">
        <v>47</v>
      </c>
      <c r="O7" s="89" t="s">
        <v>65</v>
      </c>
      <c r="P7" s="90" t="s">
        <v>49</v>
      </c>
      <c r="Q7" s="89" t="s">
        <v>65</v>
      </c>
      <c r="R7" s="90" t="s">
        <v>47</v>
      </c>
      <c r="S7" s="106" t="s">
        <v>65</v>
      </c>
      <c r="T7" s="90" t="s">
        <v>49</v>
      </c>
      <c r="U7" s="89" t="s">
        <v>65</v>
      </c>
      <c r="V7" s="1"/>
      <c r="W7" s="53" t="str">
        <f t="shared" si="1"/>
        <v>Option</v>
      </c>
      <c r="X7" s="6">
        <f>VLOOKUP($W7,TableHandbook[],X$2,FALSE)</f>
        <v>0</v>
      </c>
      <c r="Y7">
        <f>VLOOKUP($W7,TableHandbook[],Y$2,FALSE)</f>
        <v>0</v>
      </c>
      <c r="Z7" s="5" t="str">
        <f>VLOOKUP($W7,TableHandbook[],Z$2,FALSE)</f>
        <v>Study an Option Unit from the list below</v>
      </c>
      <c r="AA7" s="34">
        <f>VLOOKUP($W7,TableHandbook[],AA$2,FALSE)</f>
        <v>25</v>
      </c>
      <c r="AB7" s="34" t="str">
        <f>VLOOKUP($W7,TableHandbook[],AB$2,FALSE)</f>
        <v>See below</v>
      </c>
      <c r="AC7" s="3" t="str">
        <f>VLOOKUP($W7,TableHandbook[],AC$2,FALSE)</f>
        <v/>
      </c>
      <c r="AD7" s="3">
        <f>VLOOKUP($W7,TableHandbook[],AD$2,FALSE)</f>
        <v>0</v>
      </c>
      <c r="AE7" s="3" t="str">
        <f>VLOOKUP($W7,TableHandbook[],AE$2,FALSE)</f>
        <v>Option</v>
      </c>
      <c r="AF7" s="54" t="str">
        <f>VLOOKUP($W7,TableHandbook[],AF$2,FALSE)</f>
        <v>Option</v>
      </c>
      <c r="AG7" s="9"/>
      <c r="AH7" s="6"/>
      <c r="AI7" s="5"/>
      <c r="AJ7" s="6"/>
      <c r="AK7" s="5"/>
      <c r="AL7" s="6"/>
      <c r="AM7" s="6"/>
    </row>
    <row r="8" spans="1:40" x14ac:dyDescent="0.25">
      <c r="A8" s="9" t="s">
        <v>66</v>
      </c>
      <c r="B8" s="128" t="s">
        <v>67</v>
      </c>
      <c r="C8" s="10" t="s">
        <v>62</v>
      </c>
      <c r="D8" s="9" t="s">
        <v>68</v>
      </c>
      <c r="E8" s="129">
        <v>43831</v>
      </c>
      <c r="F8" s="129">
        <v>44562</v>
      </c>
      <c r="G8" s="9" t="s">
        <v>64</v>
      </c>
      <c r="I8" s="21">
        <v>6</v>
      </c>
      <c r="J8" s="77"/>
      <c r="K8" s="154"/>
      <c r="L8" s="1"/>
      <c r="M8" s="80"/>
      <c r="N8" s="77" t="s">
        <v>49</v>
      </c>
      <c r="O8" s="80" t="s">
        <v>51</v>
      </c>
      <c r="P8" s="77" t="s">
        <v>47</v>
      </c>
      <c r="Q8" s="80" t="s">
        <v>48</v>
      </c>
      <c r="R8" s="77" t="s">
        <v>49</v>
      </c>
      <c r="S8" s="78" t="s">
        <v>51</v>
      </c>
      <c r="T8" s="77" t="s">
        <v>47</v>
      </c>
      <c r="U8" s="80" t="s">
        <v>48</v>
      </c>
      <c r="V8" s="1"/>
      <c r="W8" s="46">
        <f t="shared" si="1"/>
        <v>0</v>
      </c>
      <c r="X8" s="47" t="e">
        <f>VLOOKUP($W8,TableHandbook[],X$2,FALSE)</f>
        <v>#N/A</v>
      </c>
      <c r="Y8" s="48" t="e">
        <f>VLOOKUP($W8,TableHandbook[],Y$2,FALSE)</f>
        <v>#N/A</v>
      </c>
      <c r="Z8" s="49" t="e">
        <f>VLOOKUP($W8,TableHandbook[],Z$2,FALSE)</f>
        <v>#N/A</v>
      </c>
      <c r="AA8" s="50" t="e">
        <f>VLOOKUP($W8,TableHandbook[],AA$2,FALSE)</f>
        <v>#N/A</v>
      </c>
      <c r="AB8" s="50" t="e">
        <f>VLOOKUP($W8,TableHandbook[],AB$2,FALSE)</f>
        <v>#N/A</v>
      </c>
      <c r="AC8" s="51" t="e">
        <f>VLOOKUP($W8,TableHandbook[],AC$2,FALSE)</f>
        <v>#N/A</v>
      </c>
      <c r="AD8" s="51" t="e">
        <f>VLOOKUP($W8,TableHandbook[],AD$2,FALSE)</f>
        <v>#N/A</v>
      </c>
      <c r="AE8" s="51" t="e">
        <f>VLOOKUP($W8,TableHandbook[],AE$2,FALSE)</f>
        <v>#N/A</v>
      </c>
      <c r="AF8" s="52" t="e">
        <f>VLOOKUP($W8,TableHandbook[],AF$2,FALSE)</f>
        <v>#N/A</v>
      </c>
      <c r="AH8" s="32"/>
      <c r="AI8" s="5"/>
      <c r="AJ8" s="6"/>
      <c r="AK8" s="5"/>
      <c r="AL8" s="24"/>
      <c r="AM8" s="6"/>
    </row>
    <row r="9" spans="1:40" x14ac:dyDescent="0.25">
      <c r="A9" s="9" t="s">
        <v>69</v>
      </c>
      <c r="B9" s="128" t="s">
        <v>70</v>
      </c>
      <c r="C9" s="10" t="s">
        <v>71</v>
      </c>
      <c r="D9" s="9" t="s">
        <v>72</v>
      </c>
      <c r="E9" s="129">
        <v>44927</v>
      </c>
      <c r="F9" s="129">
        <v>44927</v>
      </c>
      <c r="G9" s="9" t="s">
        <v>64</v>
      </c>
      <c r="I9" s="21">
        <v>7</v>
      </c>
      <c r="J9" s="77"/>
      <c r="K9" s="1"/>
      <c r="L9" s="1"/>
      <c r="M9" s="80"/>
      <c r="N9" s="77" t="s">
        <v>49</v>
      </c>
      <c r="O9" s="80" t="s">
        <v>53</v>
      </c>
      <c r="P9" s="77" t="s">
        <v>47</v>
      </c>
      <c r="Q9" s="80" t="s">
        <v>52</v>
      </c>
      <c r="R9" s="77" t="s">
        <v>49</v>
      </c>
      <c r="S9" s="78" t="s">
        <v>53</v>
      </c>
      <c r="T9" s="77" t="s">
        <v>47</v>
      </c>
      <c r="U9" s="80" t="s">
        <v>52</v>
      </c>
      <c r="V9" s="1"/>
      <c r="W9" s="53">
        <f t="shared" si="1"/>
        <v>0</v>
      </c>
      <c r="X9" s="6" t="e">
        <f>VLOOKUP($W9,TableHandbook[],X$2,FALSE)</f>
        <v>#N/A</v>
      </c>
      <c r="Y9" t="e">
        <f>VLOOKUP($W9,TableHandbook[],Y$2,FALSE)</f>
        <v>#N/A</v>
      </c>
      <c r="Z9" s="5" t="e">
        <f>VLOOKUP($W9,TableHandbook[],Z$2,FALSE)</f>
        <v>#N/A</v>
      </c>
      <c r="AA9" s="34" t="e">
        <f>VLOOKUP($W9,TableHandbook[],AA$2,FALSE)</f>
        <v>#N/A</v>
      </c>
      <c r="AB9" s="34" t="e">
        <f>VLOOKUP($W9,TableHandbook[],AB$2,FALSE)</f>
        <v>#N/A</v>
      </c>
      <c r="AC9" s="3" t="e">
        <f>VLOOKUP($W9,TableHandbook[],AC$2,FALSE)</f>
        <v>#N/A</v>
      </c>
      <c r="AD9" s="3" t="e">
        <f>VLOOKUP($W9,TableHandbook[],AD$2,FALSE)</f>
        <v>#N/A</v>
      </c>
      <c r="AE9" s="3" t="e">
        <f>VLOOKUP($W9,TableHandbook[],AE$2,FALSE)</f>
        <v>#N/A</v>
      </c>
      <c r="AF9" s="54" t="e">
        <f>VLOOKUP($W9,TableHandbook[],AF$2,FALSE)</f>
        <v>#N/A</v>
      </c>
      <c r="AL9" s="6"/>
      <c r="AM9" s="6"/>
    </row>
    <row r="10" spans="1:40" x14ac:dyDescent="0.25">
      <c r="I10" s="21">
        <v>8</v>
      </c>
      <c r="J10" s="77"/>
      <c r="K10" s="2"/>
      <c r="L10" s="1"/>
      <c r="M10" s="81"/>
      <c r="N10" s="77" t="s">
        <v>49</v>
      </c>
      <c r="O10" s="80" t="s">
        <v>59</v>
      </c>
      <c r="P10" s="77" t="s">
        <v>47</v>
      </c>
      <c r="Q10" s="80" t="s">
        <v>58</v>
      </c>
      <c r="R10" s="77" t="s">
        <v>49</v>
      </c>
      <c r="S10" s="78" t="s">
        <v>59</v>
      </c>
      <c r="T10" s="77" t="s">
        <v>47</v>
      </c>
      <c r="U10" s="80" t="s">
        <v>58</v>
      </c>
      <c r="V10" s="1"/>
      <c r="W10" s="53">
        <f t="shared" si="1"/>
        <v>0</v>
      </c>
      <c r="X10" s="6" t="e">
        <f>VLOOKUP($W10,TableHandbook[],X$2,FALSE)</f>
        <v>#N/A</v>
      </c>
      <c r="Y10" t="e">
        <f>VLOOKUP($W10,TableHandbook[],Y$2,FALSE)</f>
        <v>#N/A</v>
      </c>
      <c r="Z10" s="5" t="e">
        <f>VLOOKUP($W10,TableHandbook[],Z$2,FALSE)</f>
        <v>#N/A</v>
      </c>
      <c r="AA10" s="34" t="e">
        <f>VLOOKUP($W10,TableHandbook[],AA$2,FALSE)</f>
        <v>#N/A</v>
      </c>
      <c r="AB10" s="34" t="e">
        <f>VLOOKUP($W10,TableHandbook[],AB$2,FALSE)</f>
        <v>#N/A</v>
      </c>
      <c r="AC10" s="3" t="e">
        <f>VLOOKUP($W10,TableHandbook[],AC$2,FALSE)</f>
        <v>#N/A</v>
      </c>
      <c r="AD10" s="3" t="e">
        <f>VLOOKUP($W10,TableHandbook[],AD$2,FALSE)</f>
        <v>#N/A</v>
      </c>
      <c r="AE10" s="3" t="e">
        <f>VLOOKUP($W10,TableHandbook[],AE$2,FALSE)</f>
        <v>#N/A</v>
      </c>
      <c r="AF10" s="54" t="e">
        <f>VLOOKUP($W10,TableHandbook[],AF$2,FALSE)</f>
        <v>#N/A</v>
      </c>
      <c r="AL10" s="6"/>
      <c r="AM10" s="6"/>
    </row>
    <row r="11" spans="1:40" x14ac:dyDescent="0.25">
      <c r="I11" s="21">
        <v>9</v>
      </c>
      <c r="J11" s="77"/>
      <c r="K11" s="1"/>
      <c r="L11" s="1"/>
      <c r="M11" s="82"/>
      <c r="N11" s="90" t="s">
        <v>49</v>
      </c>
      <c r="O11" s="89" t="s">
        <v>65</v>
      </c>
      <c r="P11" s="90" t="s">
        <v>47</v>
      </c>
      <c r="Q11" s="89" t="s">
        <v>65</v>
      </c>
      <c r="R11" s="90" t="s">
        <v>49</v>
      </c>
      <c r="S11" s="108" t="s">
        <v>73</v>
      </c>
      <c r="T11" s="90" t="s">
        <v>47</v>
      </c>
      <c r="U11" s="108" t="s">
        <v>73</v>
      </c>
      <c r="V11" s="1"/>
      <c r="W11" s="53">
        <f t="shared" si="1"/>
        <v>0</v>
      </c>
      <c r="X11" s="6" t="e">
        <f>VLOOKUP($W11,TableHandbook[],X$2,FALSE)</f>
        <v>#N/A</v>
      </c>
      <c r="Y11" t="e">
        <f>VLOOKUP($W11,TableHandbook[],Y$2,FALSE)</f>
        <v>#N/A</v>
      </c>
      <c r="Z11" s="5" t="e">
        <f>VLOOKUP($W11,TableHandbook[],Z$2,FALSE)</f>
        <v>#N/A</v>
      </c>
      <c r="AA11" s="34" t="e">
        <f>VLOOKUP($W11,TableHandbook[],AA$2,FALSE)</f>
        <v>#N/A</v>
      </c>
      <c r="AB11" s="34" t="e">
        <f>VLOOKUP($W11,TableHandbook[],AB$2,FALSE)</f>
        <v>#N/A</v>
      </c>
      <c r="AC11" s="3" t="e">
        <f>VLOOKUP($W11,TableHandbook[],AC$2,FALSE)</f>
        <v>#N/A</v>
      </c>
      <c r="AD11" s="3" t="e">
        <f>VLOOKUP($W11,TableHandbook[],AD$2,FALSE)</f>
        <v>#N/A</v>
      </c>
      <c r="AE11" s="3" t="e">
        <f>VLOOKUP($W11,TableHandbook[],AE$2,FALSE)</f>
        <v>#N/A</v>
      </c>
      <c r="AF11" s="54" t="e">
        <f>VLOOKUP($W11,TableHandbook[],AF$2,FALSE)</f>
        <v>#N/A</v>
      </c>
      <c r="AL11" s="6"/>
      <c r="AM11" s="6"/>
    </row>
    <row r="12" spans="1:40" x14ac:dyDescent="0.25">
      <c r="A12" s="15" t="s">
        <v>14</v>
      </c>
      <c r="B12" s="19" t="s">
        <v>74</v>
      </c>
      <c r="C12" s="9" t="s">
        <v>75</v>
      </c>
      <c r="I12" s="21">
        <v>10</v>
      </c>
      <c r="J12" s="83"/>
      <c r="K12" s="1"/>
      <c r="L12" s="2"/>
      <c r="M12" s="2"/>
      <c r="N12" s="74"/>
      <c r="O12" s="76" t="s">
        <v>76</v>
      </c>
      <c r="P12" s="74"/>
      <c r="Q12" s="79" t="s">
        <v>76</v>
      </c>
      <c r="R12" s="84" t="s">
        <v>77</v>
      </c>
      <c r="S12" s="75" t="s">
        <v>78</v>
      </c>
      <c r="T12" s="84" t="s">
        <v>79</v>
      </c>
      <c r="U12" s="79" t="s">
        <v>80</v>
      </c>
      <c r="V12" s="2"/>
      <c r="W12" s="46">
        <f t="shared" si="1"/>
        <v>0</v>
      </c>
      <c r="X12" s="47" t="e">
        <f>VLOOKUP($W12,TableHandbook[],X$2,FALSE)</f>
        <v>#N/A</v>
      </c>
      <c r="Y12" s="48" t="e">
        <f>VLOOKUP($W12,TableHandbook[],Y$2,FALSE)</f>
        <v>#N/A</v>
      </c>
      <c r="Z12" s="49" t="e">
        <f>VLOOKUP($W12,TableHandbook[],Z$2,FALSE)</f>
        <v>#N/A</v>
      </c>
      <c r="AA12" s="50" t="e">
        <f>VLOOKUP($W12,TableHandbook[],AA$2,FALSE)</f>
        <v>#N/A</v>
      </c>
      <c r="AB12" s="50" t="e">
        <f>VLOOKUP($W12,TableHandbook[],AB$2,FALSE)</f>
        <v>#N/A</v>
      </c>
      <c r="AC12" s="51" t="e">
        <f>VLOOKUP($W12,TableHandbook[],AC$2,FALSE)</f>
        <v>#N/A</v>
      </c>
      <c r="AD12" s="51" t="e">
        <f>VLOOKUP($W12,TableHandbook[],AD$2,FALSE)</f>
        <v>#N/A</v>
      </c>
      <c r="AE12" s="51" t="e">
        <f>VLOOKUP($W12,TableHandbook[],AE$2,FALSE)</f>
        <v>#N/A</v>
      </c>
      <c r="AF12" s="52" t="e">
        <f>VLOOKUP($W12,TableHandbook[],AF$2,FALSE)</f>
        <v>#N/A</v>
      </c>
      <c r="AL12" s="6"/>
      <c r="AM12" s="6"/>
    </row>
    <row r="13" spans="1:40" x14ac:dyDescent="0.25">
      <c r="A13" s="9" t="s">
        <v>81</v>
      </c>
      <c r="B13" s="9" t="s">
        <v>82</v>
      </c>
      <c r="C13" s="9" t="s">
        <v>83</v>
      </c>
      <c r="I13" s="21">
        <v>11</v>
      </c>
      <c r="J13" s="83"/>
      <c r="K13" s="2"/>
      <c r="L13" s="2"/>
      <c r="M13" s="85"/>
      <c r="P13" s="2"/>
      <c r="Q13" s="95"/>
      <c r="R13" s="83" t="s">
        <v>77</v>
      </c>
      <c r="S13" s="78" t="s">
        <v>84</v>
      </c>
      <c r="T13" s="83" t="s">
        <v>79</v>
      </c>
      <c r="U13" s="80" t="s">
        <v>84</v>
      </c>
      <c r="V13" s="2"/>
      <c r="W13" s="53">
        <f t="shared" si="1"/>
        <v>0</v>
      </c>
      <c r="X13" s="6" t="e">
        <f>VLOOKUP($W13,TableHandbook[],X$2,FALSE)</f>
        <v>#N/A</v>
      </c>
      <c r="Y13" t="e">
        <f>VLOOKUP($W13,TableHandbook[],Y$2,FALSE)</f>
        <v>#N/A</v>
      </c>
      <c r="Z13" s="5" t="e">
        <f>VLOOKUP($W13,TableHandbook[],Z$2,FALSE)</f>
        <v>#N/A</v>
      </c>
      <c r="AA13" s="34" t="e">
        <f>VLOOKUP($W13,TableHandbook[],AA$2,FALSE)</f>
        <v>#N/A</v>
      </c>
      <c r="AB13" s="34" t="e">
        <f>VLOOKUP($W13,TableHandbook[],AB$2,FALSE)</f>
        <v>#N/A</v>
      </c>
      <c r="AC13" s="3" t="e">
        <f>VLOOKUP($W13,TableHandbook[],AC$2,FALSE)</f>
        <v>#N/A</v>
      </c>
      <c r="AD13" s="3" t="e">
        <f>VLOOKUP($W13,TableHandbook[],AD$2,FALSE)</f>
        <v>#N/A</v>
      </c>
      <c r="AE13" s="3" t="e">
        <f>VLOOKUP($W13,TableHandbook[],AE$2,FALSE)</f>
        <v>#N/A</v>
      </c>
      <c r="AF13" s="54" t="e">
        <f>VLOOKUP($W13,TableHandbook[],AF$2,FALSE)</f>
        <v>#N/A</v>
      </c>
      <c r="AL13" s="6"/>
      <c r="AM13" s="6"/>
    </row>
    <row r="14" spans="1:40" x14ac:dyDescent="0.25">
      <c r="A14" s="9" t="s">
        <v>85</v>
      </c>
      <c r="B14" s="9" t="s">
        <v>83</v>
      </c>
      <c r="C14" s="9" t="s">
        <v>82</v>
      </c>
      <c r="I14" s="21">
        <v>12</v>
      </c>
      <c r="J14" s="83"/>
      <c r="K14" s="85"/>
      <c r="L14" s="2"/>
      <c r="M14" s="2"/>
      <c r="P14" s="2"/>
      <c r="Q14" s="80"/>
      <c r="R14" s="83" t="s">
        <v>77</v>
      </c>
      <c r="S14" s="78" t="s">
        <v>65</v>
      </c>
      <c r="T14" s="83" t="s">
        <v>79</v>
      </c>
      <c r="U14" s="80" t="s">
        <v>65</v>
      </c>
      <c r="V14" s="2"/>
      <c r="W14" s="53">
        <f t="shared" si="1"/>
        <v>0</v>
      </c>
      <c r="X14" s="6" t="e">
        <f>VLOOKUP($W14,TableHandbook[],X$2,FALSE)</f>
        <v>#N/A</v>
      </c>
      <c r="Y14" t="e">
        <f>VLOOKUP($W14,TableHandbook[],Y$2,FALSE)</f>
        <v>#N/A</v>
      </c>
      <c r="Z14" s="5" t="e">
        <f>VLOOKUP($W14,TableHandbook[],Z$2,FALSE)</f>
        <v>#N/A</v>
      </c>
      <c r="AA14" s="34" t="e">
        <f>VLOOKUP($W14,TableHandbook[],AA$2,FALSE)</f>
        <v>#N/A</v>
      </c>
      <c r="AB14" s="34" t="e">
        <f>VLOOKUP($W14,TableHandbook[],AB$2,FALSE)</f>
        <v>#N/A</v>
      </c>
      <c r="AC14" s="3" t="e">
        <f>VLOOKUP($W14,TableHandbook[],AC$2,FALSE)</f>
        <v>#N/A</v>
      </c>
      <c r="AD14" s="3" t="e">
        <f>VLOOKUP($W14,TableHandbook[],AD$2,FALSE)</f>
        <v>#N/A</v>
      </c>
      <c r="AE14" s="3" t="e">
        <f>VLOOKUP($W14,TableHandbook[],AE$2,FALSE)</f>
        <v>#N/A</v>
      </c>
      <c r="AF14" s="54" t="e">
        <f>VLOOKUP($W14,TableHandbook[],AF$2,FALSE)</f>
        <v>#N/A</v>
      </c>
      <c r="AL14" s="6"/>
      <c r="AM14" s="6"/>
    </row>
    <row r="15" spans="1:40" x14ac:dyDescent="0.25">
      <c r="E15" s="20"/>
      <c r="F15" s="20"/>
      <c r="I15" s="21">
        <v>13</v>
      </c>
      <c r="J15" s="83"/>
      <c r="K15" s="1"/>
      <c r="L15" s="2"/>
      <c r="M15" s="1"/>
      <c r="P15" s="2"/>
      <c r="Q15" s="80"/>
      <c r="R15" s="83" t="s">
        <v>77</v>
      </c>
      <c r="S15" s="78" t="s">
        <v>86</v>
      </c>
      <c r="T15" s="83" t="s">
        <v>79</v>
      </c>
      <c r="U15" s="80" t="s">
        <v>86</v>
      </c>
      <c r="V15" s="2"/>
      <c r="W15" s="61">
        <f t="shared" si="1"/>
        <v>0</v>
      </c>
      <c r="X15" s="55" t="e">
        <f>VLOOKUP($W15,TableHandbook[],X$2,FALSE)</f>
        <v>#N/A</v>
      </c>
      <c r="Y15" s="56" t="e">
        <f>VLOOKUP($W15,TableHandbook[],Y$2,FALSE)</f>
        <v>#N/A</v>
      </c>
      <c r="Z15" s="57" t="e">
        <f>VLOOKUP($W15,TableHandbook[],Z$2,FALSE)</f>
        <v>#N/A</v>
      </c>
      <c r="AA15" s="58" t="e">
        <f>VLOOKUP($W15,TableHandbook[],AA$2,FALSE)</f>
        <v>#N/A</v>
      </c>
      <c r="AB15" s="58" t="e">
        <f>VLOOKUP($W15,TableHandbook[],AB$2,FALSE)</f>
        <v>#N/A</v>
      </c>
      <c r="AC15" s="59" t="e">
        <f>VLOOKUP($W15,TableHandbook[],AC$2,FALSE)</f>
        <v>#N/A</v>
      </c>
      <c r="AD15" s="59" t="e">
        <f>VLOOKUP($W15,TableHandbook[],AD$2,FALSE)</f>
        <v>#N/A</v>
      </c>
      <c r="AE15" s="59" t="e">
        <f>VLOOKUP($W15,TableHandbook[],AE$2,FALSE)</f>
        <v>#N/A</v>
      </c>
      <c r="AF15" s="60" t="e">
        <f>VLOOKUP($W15,TableHandbook[],AF$2,FALSE)</f>
        <v>#N/A</v>
      </c>
      <c r="AG15" s="9"/>
      <c r="AH15" s="6"/>
      <c r="AL15" s="6"/>
      <c r="AM15" s="6"/>
    </row>
    <row r="16" spans="1:40" x14ac:dyDescent="0.25">
      <c r="A16"/>
      <c r="B16"/>
      <c r="C16"/>
      <c r="G16" s="20"/>
      <c r="I16" s="21">
        <v>14</v>
      </c>
      <c r="J16" s="83"/>
      <c r="K16" s="85"/>
      <c r="L16" s="2"/>
      <c r="M16" s="2"/>
      <c r="N16" s="2"/>
      <c r="O16" s="85"/>
      <c r="P16" s="2"/>
      <c r="R16" s="84" t="s">
        <v>79</v>
      </c>
      <c r="S16" s="75" t="s">
        <v>80</v>
      </c>
      <c r="T16" s="84" t="s">
        <v>77</v>
      </c>
      <c r="U16" s="79" t="s">
        <v>78</v>
      </c>
      <c r="V16" s="2"/>
      <c r="W16" s="62">
        <f t="shared" si="1"/>
        <v>0</v>
      </c>
      <c r="X16" s="6" t="e">
        <f>VLOOKUP($W16,TableHandbook[],X$2,FALSE)</f>
        <v>#N/A</v>
      </c>
      <c r="Y16" t="e">
        <f>VLOOKUP($W16,TableHandbook[],Y$2,FALSE)</f>
        <v>#N/A</v>
      </c>
      <c r="Z16" s="5" t="e">
        <f>VLOOKUP($W16,TableHandbook[],Z$2,FALSE)</f>
        <v>#N/A</v>
      </c>
      <c r="AA16" s="34" t="e">
        <f>VLOOKUP($W16,TableHandbook[],AA$2,FALSE)</f>
        <v>#N/A</v>
      </c>
      <c r="AB16" s="34" t="e">
        <f>VLOOKUP($W16,TableHandbook[],AB$2,FALSE)</f>
        <v>#N/A</v>
      </c>
      <c r="AC16" s="3" t="e">
        <f>VLOOKUP($W16,TableHandbook[],AC$2,FALSE)</f>
        <v>#N/A</v>
      </c>
      <c r="AD16" s="3" t="e">
        <f>VLOOKUP($W16,TableHandbook[],AD$2,FALSE)</f>
        <v>#N/A</v>
      </c>
      <c r="AE16" s="3" t="e">
        <f>VLOOKUP($W16,TableHandbook[],AE$2,FALSE)</f>
        <v>#N/A</v>
      </c>
      <c r="AF16" s="54" t="e">
        <f>VLOOKUP($W16,TableHandbook[],AF$2,FALSE)</f>
        <v>#N/A</v>
      </c>
      <c r="AG16" s="9"/>
      <c r="AH16" s="6"/>
      <c r="AI16" s="5"/>
      <c r="AJ16" s="6"/>
      <c r="AK16" s="8"/>
      <c r="AL16" s="6"/>
      <c r="AM16" s="6"/>
    </row>
    <row r="17" spans="1:39" x14ac:dyDescent="0.25">
      <c r="A17"/>
      <c r="B17"/>
      <c r="C17"/>
      <c r="I17" s="21">
        <v>15</v>
      </c>
      <c r="J17" s="83"/>
      <c r="K17" s="2"/>
      <c r="L17" s="2"/>
      <c r="M17" s="1"/>
      <c r="N17" s="2"/>
      <c r="O17" s="2"/>
      <c r="P17" s="2"/>
      <c r="R17" s="83" t="s">
        <v>79</v>
      </c>
      <c r="S17" s="96" t="s">
        <v>87</v>
      </c>
      <c r="T17" s="83" t="s">
        <v>77</v>
      </c>
      <c r="U17" s="107" t="s">
        <v>87</v>
      </c>
      <c r="V17" s="2"/>
      <c r="W17" s="62">
        <f t="shared" si="1"/>
        <v>0</v>
      </c>
      <c r="X17" s="6" t="e">
        <f>VLOOKUP($W17,TableHandbook[],X$2,FALSE)</f>
        <v>#N/A</v>
      </c>
      <c r="Y17" t="e">
        <f>VLOOKUP($W17,TableHandbook[],Y$2,FALSE)</f>
        <v>#N/A</v>
      </c>
      <c r="Z17" s="5" t="e">
        <f>VLOOKUP($W17,TableHandbook[],Z$2,FALSE)</f>
        <v>#N/A</v>
      </c>
      <c r="AA17" s="34" t="e">
        <f>VLOOKUP($W17,TableHandbook[],AA$2,FALSE)</f>
        <v>#N/A</v>
      </c>
      <c r="AB17" s="34" t="e">
        <f>VLOOKUP($W17,TableHandbook[],AB$2,FALSE)</f>
        <v>#N/A</v>
      </c>
      <c r="AC17" s="3" t="e">
        <f>VLOOKUP($W17,TableHandbook[],AC$2,FALSE)</f>
        <v>#N/A</v>
      </c>
      <c r="AD17" s="3" t="e">
        <f>VLOOKUP($W17,TableHandbook[],AD$2,FALSE)</f>
        <v>#N/A</v>
      </c>
      <c r="AE17" s="3" t="e">
        <f>VLOOKUP($W17,TableHandbook[],AE$2,FALSE)</f>
        <v>#N/A</v>
      </c>
      <c r="AF17" s="54" t="e">
        <f>VLOOKUP($W17,TableHandbook[],AF$2,FALSE)</f>
        <v>#N/A</v>
      </c>
      <c r="AG17" s="9"/>
      <c r="AH17" s="6"/>
      <c r="AI17" s="5"/>
      <c r="AJ17" s="6"/>
      <c r="AK17" s="8"/>
      <c r="AL17" s="6"/>
      <c r="AM17" s="6"/>
    </row>
    <row r="18" spans="1:39" x14ac:dyDescent="0.25">
      <c r="A18" s="140" t="s">
        <v>88</v>
      </c>
      <c r="B18"/>
      <c r="C18"/>
      <c r="E18" s="5"/>
      <c r="F18" s="5"/>
      <c r="I18" s="21">
        <v>16</v>
      </c>
      <c r="J18" s="83"/>
      <c r="K18" s="1"/>
      <c r="L18" s="2"/>
      <c r="M18" s="1"/>
      <c r="N18" s="2"/>
      <c r="O18" s="1"/>
      <c r="P18" s="2"/>
      <c r="Q18" s="1"/>
      <c r="R18" s="83" t="s">
        <v>79</v>
      </c>
      <c r="S18" s="96" t="s">
        <v>89</v>
      </c>
      <c r="T18" s="83" t="s">
        <v>77</v>
      </c>
      <c r="U18" s="107" t="s">
        <v>89</v>
      </c>
      <c r="V18" s="2"/>
      <c r="W18" s="62">
        <f t="shared" si="1"/>
        <v>0</v>
      </c>
      <c r="X18" s="6" t="e">
        <f>VLOOKUP($W18,TableHandbook[],X$2,FALSE)</f>
        <v>#N/A</v>
      </c>
      <c r="Y18" t="e">
        <f>VLOOKUP($W18,TableHandbook[],Y$2,FALSE)</f>
        <v>#N/A</v>
      </c>
      <c r="Z18" s="5" t="e">
        <f>VLOOKUP($W18,TableHandbook[],Z$2,FALSE)</f>
        <v>#N/A</v>
      </c>
      <c r="AA18" s="34" t="e">
        <f>VLOOKUP($W18,TableHandbook[],AA$2,FALSE)</f>
        <v>#N/A</v>
      </c>
      <c r="AB18" s="34" t="e">
        <f>VLOOKUP($W18,TableHandbook[],AB$2,FALSE)</f>
        <v>#N/A</v>
      </c>
      <c r="AC18" s="3" t="e">
        <f>VLOOKUP($W18,TableHandbook[],AC$2,FALSE)</f>
        <v>#N/A</v>
      </c>
      <c r="AD18" s="3" t="e">
        <f>VLOOKUP($W18,TableHandbook[],AD$2,FALSE)</f>
        <v>#N/A</v>
      </c>
      <c r="AE18" s="3" t="e">
        <f>VLOOKUP($W18,TableHandbook[],AE$2,FALSE)</f>
        <v>#N/A</v>
      </c>
      <c r="AF18" s="54" t="e">
        <f>VLOOKUP($W18,TableHandbook[],AF$2,FALSE)</f>
        <v>#N/A</v>
      </c>
      <c r="AG18" s="9"/>
      <c r="AH18" s="6"/>
      <c r="AI18" s="5"/>
      <c r="AJ18" s="6"/>
      <c r="AK18" s="8"/>
      <c r="AL18" s="6"/>
      <c r="AM18" s="6"/>
    </row>
    <row r="19" spans="1:39" x14ac:dyDescent="0.25">
      <c r="A19" s="161" t="s">
        <v>193</v>
      </c>
      <c r="B19"/>
      <c r="C19"/>
      <c r="I19" s="21">
        <v>17</v>
      </c>
      <c r="J19" s="86"/>
      <c r="K19" s="87"/>
      <c r="L19" s="88"/>
      <c r="M19" s="87"/>
      <c r="N19" s="88"/>
      <c r="O19" s="87"/>
      <c r="P19" s="88"/>
      <c r="Q19" s="87"/>
      <c r="R19" s="86" t="s">
        <v>79</v>
      </c>
      <c r="S19" s="89" t="s">
        <v>65</v>
      </c>
      <c r="T19" s="86" t="s">
        <v>77</v>
      </c>
      <c r="U19" s="89" t="s">
        <v>65</v>
      </c>
      <c r="V19" s="2"/>
      <c r="W19" s="61">
        <f t="shared" si="1"/>
        <v>0</v>
      </c>
      <c r="X19" s="55" t="e">
        <f>VLOOKUP($W19,TableHandbook[],X$2,FALSE)</f>
        <v>#N/A</v>
      </c>
      <c r="Y19" s="56" t="e">
        <f>VLOOKUP($W19,TableHandbook[],Y$2,FALSE)</f>
        <v>#N/A</v>
      </c>
      <c r="Z19" s="57" t="e">
        <f>VLOOKUP($W19,TableHandbook[],Z$2,FALSE)</f>
        <v>#N/A</v>
      </c>
      <c r="AA19" s="58" t="e">
        <f>VLOOKUP($W19,TableHandbook[],AA$2,FALSE)</f>
        <v>#N/A</v>
      </c>
      <c r="AB19" s="58" t="e">
        <f>VLOOKUP($W19,TableHandbook[],AB$2,FALSE)</f>
        <v>#N/A</v>
      </c>
      <c r="AC19" s="59" t="e">
        <f>VLOOKUP($W19,TableHandbook[],AC$2,FALSE)</f>
        <v>#N/A</v>
      </c>
      <c r="AD19" s="59" t="e">
        <f>VLOOKUP($W19,TableHandbook[],AD$2,FALSE)</f>
        <v>#N/A</v>
      </c>
      <c r="AE19" s="59" t="e">
        <f>VLOOKUP($W19,TableHandbook[],AE$2,FALSE)</f>
        <v>#N/A</v>
      </c>
      <c r="AF19" s="60" t="e">
        <f>VLOOKUP($W19,TableHandbook[],AF$2,FALSE)</f>
        <v>#N/A</v>
      </c>
      <c r="AI19" s="5"/>
      <c r="AJ19" s="6"/>
      <c r="AK19" s="7"/>
      <c r="AL19" s="6"/>
      <c r="AM19" s="24"/>
    </row>
    <row r="20" spans="1:39" ht="34.5" x14ac:dyDescent="0.25">
      <c r="A20"/>
      <c r="B20"/>
      <c r="C20"/>
      <c r="J20" s="97"/>
      <c r="K20" s="111" t="s">
        <v>90</v>
      </c>
      <c r="L20" s="111"/>
      <c r="M20" s="105" t="s">
        <v>91</v>
      </c>
      <c r="N20" s="111"/>
      <c r="O20" s="111" t="s">
        <v>92</v>
      </c>
      <c r="P20" s="111"/>
      <c r="Q20" s="112" t="s">
        <v>93</v>
      </c>
      <c r="R20" s="111"/>
      <c r="S20" s="113" t="s">
        <v>94</v>
      </c>
      <c r="T20" s="111"/>
      <c r="U20" s="113" t="s">
        <v>94</v>
      </c>
      <c r="V20" s="2"/>
      <c r="W20" s="1"/>
      <c r="X20" s="2"/>
      <c r="Y20" s="1"/>
    </row>
    <row r="21" spans="1:39" x14ac:dyDescent="0.25">
      <c r="A21" s="153" t="s">
        <v>95</v>
      </c>
      <c r="B21"/>
      <c r="C21"/>
      <c r="S21" s="110" t="s">
        <v>96</v>
      </c>
      <c r="U21" s="109"/>
      <c r="V21" s="2"/>
    </row>
    <row r="22" spans="1:39" x14ac:dyDescent="0.25">
      <c r="A22" s="131" t="s">
        <v>97</v>
      </c>
      <c r="B22"/>
      <c r="C22"/>
      <c r="V22" s="2"/>
    </row>
    <row r="23" spans="1:39" x14ac:dyDescent="0.25">
      <c r="A23" s="131" t="s">
        <v>98</v>
      </c>
      <c r="B23"/>
      <c r="C23"/>
      <c r="K23" s="21"/>
      <c r="L23" s="2"/>
      <c r="M23" s="1"/>
      <c r="V23" s="2"/>
    </row>
    <row r="24" spans="1:39" ht="16.5" thickBot="1" x14ac:dyDescent="0.3">
      <c r="A24"/>
      <c r="B24"/>
      <c r="C24"/>
      <c r="K24" s="21"/>
      <c r="L24" s="2"/>
      <c r="M24" s="1"/>
      <c r="V24" s="2"/>
    </row>
    <row r="25" spans="1:39" x14ac:dyDescent="0.25">
      <c r="A25" s="5"/>
      <c r="B25" s="5"/>
      <c r="E25"/>
      <c r="F25"/>
      <c r="G25"/>
      <c r="H25" s="101" t="s">
        <v>99</v>
      </c>
      <c r="I25" s="1">
        <v>1</v>
      </c>
      <c r="J25" s="114" t="s">
        <v>61</v>
      </c>
      <c r="K25" s="115" t="s">
        <v>67</v>
      </c>
      <c r="L25" s="116" t="s">
        <v>70</v>
      </c>
      <c r="M25" s="1"/>
      <c r="N25" s="2"/>
      <c r="P25" s="2"/>
      <c r="Q25" s="1"/>
      <c r="V25" s="2"/>
      <c r="W25" s="1"/>
      <c r="X25" s="2"/>
      <c r="Y25" s="1"/>
    </row>
    <row r="26" spans="1:39" x14ac:dyDescent="0.25">
      <c r="E26"/>
      <c r="F26"/>
      <c r="G26"/>
      <c r="H26" s="97"/>
      <c r="I26" s="1">
        <v>2</v>
      </c>
      <c r="J26" s="117" t="s">
        <v>73</v>
      </c>
      <c r="K26" s="97" t="s">
        <v>73</v>
      </c>
      <c r="L26" s="118" t="s">
        <v>100</v>
      </c>
      <c r="M26" s="1"/>
      <c r="N26" s="2"/>
      <c r="P26" s="2"/>
      <c r="Q26" s="1"/>
      <c r="V26" s="2"/>
      <c r="W26" s="1"/>
      <c r="X26" s="2"/>
      <c r="Y26" s="1"/>
    </row>
    <row r="27" spans="1:39" x14ac:dyDescent="0.25">
      <c r="E27"/>
      <c r="F27"/>
      <c r="G27"/>
      <c r="H27" s="97"/>
      <c r="I27" s="1">
        <v>3</v>
      </c>
      <c r="J27" s="119" t="s">
        <v>100</v>
      </c>
      <c r="K27" s="120" t="s">
        <v>100</v>
      </c>
      <c r="L27" s="118" t="s">
        <v>101</v>
      </c>
      <c r="P27" s="2"/>
      <c r="V27" s="9"/>
    </row>
    <row r="28" spans="1:39" x14ac:dyDescent="0.25">
      <c r="E28"/>
      <c r="F28"/>
      <c r="G28"/>
      <c r="H28" s="97"/>
      <c r="I28" s="1">
        <v>4</v>
      </c>
      <c r="J28" s="117" t="s">
        <v>101</v>
      </c>
      <c r="K28" s="97" t="s">
        <v>101</v>
      </c>
      <c r="L28" s="118" t="s">
        <v>102</v>
      </c>
      <c r="V28" s="9"/>
    </row>
    <row r="29" spans="1:39" x14ac:dyDescent="0.25">
      <c r="E29"/>
      <c r="F29"/>
      <c r="G29"/>
      <c r="H29" s="97"/>
      <c r="I29" s="1">
        <v>5</v>
      </c>
      <c r="J29" s="117" t="s">
        <v>102</v>
      </c>
      <c r="K29" s="97" t="s">
        <v>102</v>
      </c>
      <c r="L29" s="118" t="s">
        <v>103</v>
      </c>
      <c r="P29" s="2"/>
      <c r="Q29" s="1"/>
      <c r="V29" s="9"/>
    </row>
    <row r="30" spans="1:39" x14ac:dyDescent="0.25">
      <c r="E30"/>
      <c r="F30"/>
      <c r="G30"/>
      <c r="H30" s="97"/>
      <c r="I30" s="1">
        <v>6</v>
      </c>
      <c r="J30" s="117" t="s">
        <v>80</v>
      </c>
      <c r="K30" s="97" t="s">
        <v>80</v>
      </c>
      <c r="L30" s="118" t="s">
        <v>104</v>
      </c>
      <c r="P30" s="2"/>
      <c r="Q30" s="1"/>
    </row>
    <row r="31" spans="1:39" x14ac:dyDescent="0.25">
      <c r="E31"/>
      <c r="F31"/>
      <c r="G31"/>
      <c r="H31" s="97"/>
      <c r="I31" s="1">
        <v>7</v>
      </c>
      <c r="J31" s="117" t="s">
        <v>78</v>
      </c>
      <c r="K31" s="97" t="s">
        <v>78</v>
      </c>
      <c r="L31" s="118" t="s">
        <v>105</v>
      </c>
    </row>
    <row r="32" spans="1:39" x14ac:dyDescent="0.25">
      <c r="E32"/>
      <c r="F32"/>
      <c r="G32"/>
      <c r="H32" s="155" t="s">
        <v>16</v>
      </c>
      <c r="I32" s="1">
        <v>8</v>
      </c>
      <c r="J32" s="117" t="s">
        <v>103</v>
      </c>
      <c r="K32" s="97" t="s">
        <v>103</v>
      </c>
      <c r="L32" s="118" t="s">
        <v>106</v>
      </c>
      <c r="O32" s="18"/>
      <c r="V32" s="9"/>
    </row>
    <row r="33" spans="5:12" x14ac:dyDescent="0.25">
      <c r="E33"/>
      <c r="F33"/>
      <c r="G33"/>
      <c r="H33" s="97"/>
      <c r="I33" s="1">
        <v>9</v>
      </c>
      <c r="J33" s="117" t="s">
        <v>104</v>
      </c>
      <c r="K33" s="97" t="s">
        <v>104</v>
      </c>
      <c r="L33" s="118" t="s">
        <v>107</v>
      </c>
    </row>
    <row r="34" spans="5:12" ht="15.75" customHeight="1" x14ac:dyDescent="0.25">
      <c r="E34"/>
      <c r="F34"/>
      <c r="G34"/>
      <c r="H34" s="97"/>
      <c r="I34" s="1">
        <v>10</v>
      </c>
      <c r="J34" s="117" t="s">
        <v>105</v>
      </c>
      <c r="K34" s="97" t="s">
        <v>105</v>
      </c>
      <c r="L34" s="118" t="s">
        <v>108</v>
      </c>
    </row>
    <row r="35" spans="5:12" x14ac:dyDescent="0.25">
      <c r="E35"/>
      <c r="F35"/>
      <c r="G35"/>
      <c r="H35" s="97"/>
      <c r="I35" s="1">
        <v>11</v>
      </c>
      <c r="J35" s="117" t="s">
        <v>106</v>
      </c>
      <c r="K35" s="97" t="s">
        <v>106</v>
      </c>
      <c r="L35" s="118" t="s">
        <v>109</v>
      </c>
    </row>
    <row r="36" spans="5:12" ht="15.75" customHeight="1" x14ac:dyDescent="0.25">
      <c r="E36"/>
      <c r="F36"/>
      <c r="G36"/>
      <c r="H36" s="97"/>
      <c r="I36" s="1">
        <v>12</v>
      </c>
      <c r="J36" s="117" t="s">
        <v>107</v>
      </c>
      <c r="K36" s="97" t="s">
        <v>107</v>
      </c>
      <c r="L36" s="118" t="s">
        <v>110</v>
      </c>
    </row>
    <row r="37" spans="5:12" ht="15.75" customHeight="1" x14ac:dyDescent="0.25">
      <c r="E37"/>
      <c r="F37"/>
      <c r="G37"/>
      <c r="H37" s="97"/>
      <c r="I37" s="1">
        <v>13</v>
      </c>
      <c r="J37" s="117" t="s">
        <v>111</v>
      </c>
      <c r="K37" s="97" t="s">
        <v>111</v>
      </c>
      <c r="L37" s="118" t="s">
        <v>112</v>
      </c>
    </row>
    <row r="38" spans="5:12" x14ac:dyDescent="0.25">
      <c r="E38"/>
      <c r="F38"/>
      <c r="G38"/>
      <c r="H38" s="97"/>
      <c r="I38" s="1">
        <v>14</v>
      </c>
      <c r="J38" s="117" t="s">
        <v>113</v>
      </c>
      <c r="K38" s="97" t="s">
        <v>113</v>
      </c>
      <c r="L38" s="118" t="s">
        <v>111</v>
      </c>
    </row>
    <row r="39" spans="5:12" x14ac:dyDescent="0.25">
      <c r="E39"/>
      <c r="F39"/>
      <c r="G39"/>
      <c r="H39" s="97"/>
      <c r="I39" s="1">
        <v>15</v>
      </c>
      <c r="J39" s="117" t="s">
        <v>108</v>
      </c>
      <c r="K39" s="97" t="s">
        <v>108</v>
      </c>
      <c r="L39" s="118" t="s">
        <v>113</v>
      </c>
    </row>
    <row r="40" spans="5:12" x14ac:dyDescent="0.25">
      <c r="E40"/>
      <c r="F40"/>
      <c r="G40"/>
      <c r="H40" s="97"/>
      <c r="I40" s="1">
        <v>16</v>
      </c>
      <c r="J40" s="117" t="s">
        <v>114</v>
      </c>
      <c r="K40" s="97" t="s">
        <v>114</v>
      </c>
      <c r="L40" s="118" t="s">
        <v>114</v>
      </c>
    </row>
    <row r="41" spans="5:12" ht="16.5" thickBot="1" x14ac:dyDescent="0.3">
      <c r="E41"/>
      <c r="F41"/>
      <c r="G41"/>
      <c r="H41" s="97"/>
      <c r="I41" s="1">
        <v>17</v>
      </c>
      <c r="J41" s="121"/>
      <c r="K41" s="122"/>
      <c r="L41" s="123"/>
    </row>
    <row r="42" spans="5:12" x14ac:dyDescent="0.25">
      <c r="E42"/>
      <c r="F42"/>
      <c r="G42"/>
      <c r="H42" s="97"/>
      <c r="J42" s="97" t="s">
        <v>52</v>
      </c>
      <c r="K42" s="97"/>
      <c r="L42" s="97"/>
    </row>
    <row r="43" spans="5:12" x14ac:dyDescent="0.25">
      <c r="E43"/>
      <c r="F43"/>
      <c r="G43"/>
      <c r="H43" s="97"/>
      <c r="J43" s="97" t="s">
        <v>48</v>
      </c>
      <c r="K43" s="97"/>
      <c r="L43" s="97"/>
    </row>
    <row r="44" spans="5:12" x14ac:dyDescent="0.25">
      <c r="E44"/>
      <c r="F44"/>
      <c r="G44"/>
      <c r="J44" s="97" t="s">
        <v>58</v>
      </c>
    </row>
    <row r="45" spans="5:12" x14ac:dyDescent="0.25">
      <c r="E45"/>
      <c r="F45"/>
      <c r="G45"/>
      <c r="J45" s="97"/>
    </row>
    <row r="46" spans="5:12" x14ac:dyDescent="0.25">
      <c r="E46"/>
      <c r="F46"/>
      <c r="G46"/>
      <c r="J46" s="97"/>
    </row>
    <row r="47" spans="5:12" x14ac:dyDescent="0.25">
      <c r="E47"/>
      <c r="F47"/>
      <c r="G47"/>
    </row>
    <row r="48" spans="5:12" x14ac:dyDescent="0.25">
      <c r="E48"/>
      <c r="F48"/>
      <c r="G48"/>
    </row>
  </sheetData>
  <dataValidations count="1">
    <dataValidation type="list" allowBlank="1" showInputMessage="1" showErrorMessage="1" sqref="W2">
      <formula1>$K$3:$U$3</formula1>
    </dataValidation>
  </dataValidation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35"/>
  <sheetViews>
    <sheetView zoomScale="85" zoomScaleNormal="85" workbookViewId="0">
      <selection activeCell="C26" sqref="C26"/>
    </sheetView>
  </sheetViews>
  <sheetFormatPr defaultRowHeight="15.75" x14ac:dyDescent="0.25"/>
  <cols>
    <col min="1" max="1" width="11.75" bestFit="1" customWidth="1"/>
    <col min="2" max="2" width="6" style="3" bestFit="1" customWidth="1"/>
    <col min="3" max="3" width="9.125" bestFit="1" customWidth="1"/>
    <col min="4" max="4" width="51.75" bestFit="1" customWidth="1"/>
    <col min="5" max="5" width="8.625" style="3" bestFit="1" customWidth="1"/>
    <col min="6" max="6" width="35.25" customWidth="1"/>
    <col min="7" max="7" width="7.75" bestFit="1" customWidth="1"/>
    <col min="8" max="8" width="7.375" bestFit="1" customWidth="1"/>
    <col min="9" max="9" width="7.75" bestFit="1" customWidth="1"/>
    <col min="10" max="10" width="7.375" style="3" bestFit="1" customWidth="1"/>
    <col min="11" max="11" width="48" style="3" bestFit="1" customWidth="1"/>
    <col min="12" max="13" width="6" style="3" bestFit="1" customWidth="1"/>
    <col min="14" max="14" width="6.75" bestFit="1" customWidth="1"/>
    <col min="15" max="16" width="12.625" bestFit="1" customWidth="1"/>
    <col min="17" max="17" width="12.875" bestFit="1" customWidth="1"/>
  </cols>
  <sheetData>
    <row r="1" spans="1:15" x14ac:dyDescent="0.25">
      <c r="A1" s="29">
        <v>1</v>
      </c>
      <c r="B1" s="29">
        <v>2</v>
      </c>
      <c r="C1" s="29">
        <v>3</v>
      </c>
      <c r="D1" s="29">
        <v>4</v>
      </c>
      <c r="E1" s="29">
        <v>5</v>
      </c>
      <c r="F1" s="29">
        <v>6</v>
      </c>
      <c r="G1" s="29">
        <v>7</v>
      </c>
      <c r="H1" s="29">
        <v>8</v>
      </c>
      <c r="I1" s="29">
        <v>9</v>
      </c>
      <c r="J1" s="29">
        <v>10</v>
      </c>
      <c r="K1" s="29">
        <v>11</v>
      </c>
      <c r="L1" s="29">
        <v>12</v>
      </c>
      <c r="M1" s="29">
        <v>13</v>
      </c>
      <c r="N1" s="29">
        <v>14</v>
      </c>
    </row>
    <row r="2" spans="1:15" x14ac:dyDescent="0.25">
      <c r="A2" s="22"/>
      <c r="B2" s="23"/>
      <c r="C2" s="23"/>
      <c r="D2" s="22"/>
      <c r="E2" s="23"/>
      <c r="F2" s="22"/>
      <c r="G2" s="28"/>
      <c r="H2" s="23"/>
      <c r="I2" s="26"/>
      <c r="J2" s="27"/>
      <c r="K2" s="4"/>
      <c r="L2" s="22"/>
      <c r="M2" s="22"/>
      <c r="N2" s="22"/>
      <c r="O2" s="4"/>
    </row>
    <row r="3" spans="1:15" ht="63.75" x14ac:dyDescent="0.25">
      <c r="A3" s="41" t="s">
        <v>0</v>
      </c>
      <c r="B3" s="41" t="s">
        <v>1</v>
      </c>
      <c r="C3" s="41" t="s">
        <v>2</v>
      </c>
      <c r="D3" s="41" t="s">
        <v>115</v>
      </c>
      <c r="E3" s="41" t="s">
        <v>5</v>
      </c>
      <c r="F3" s="41" t="s">
        <v>4</v>
      </c>
      <c r="G3" s="149" t="s">
        <v>116</v>
      </c>
      <c r="H3" s="150" t="s">
        <v>117</v>
      </c>
      <c r="I3" s="150" t="s">
        <v>118</v>
      </c>
      <c r="J3" s="151" t="s">
        <v>119</v>
      </c>
      <c r="K3" s="150" t="s">
        <v>120</v>
      </c>
      <c r="L3" s="126" t="s">
        <v>61</v>
      </c>
      <c r="M3" s="126" t="s">
        <v>67</v>
      </c>
      <c r="N3" s="126" t="s">
        <v>70</v>
      </c>
      <c r="O3" s="4"/>
    </row>
    <row r="4" spans="1:15" x14ac:dyDescent="0.25">
      <c r="A4" s="9" t="s">
        <v>89</v>
      </c>
      <c r="B4" s="10"/>
      <c r="C4" s="9"/>
      <c r="D4" s="9" t="s">
        <v>121</v>
      </c>
      <c r="E4" s="10"/>
      <c r="F4" s="71"/>
      <c r="G4" s="43" t="str">
        <f>IFERROR(IF(VLOOKUP(TableHandbook[[#This Row],[UDC]],TableAvailabilities[],2,FALSE)&gt;0,"Y",""),"")</f>
        <v/>
      </c>
      <c r="H4" s="44" t="str">
        <f>IFERROR(IF(VLOOKUP(TableHandbook[[#This Row],[UDC]],TableAvailabilities[],3,FALSE)&gt;0,"Y",""),"")</f>
        <v/>
      </c>
      <c r="I4" s="132" t="str">
        <f>IFERROR(IF(VLOOKUP(TableHandbook[[#This Row],[UDC]],TableAvailabilities[],4,FALSE)&gt;0,"Y",""),"")</f>
        <v/>
      </c>
      <c r="J4" s="45" t="str">
        <f>IFERROR(IF(VLOOKUP(TableHandbook[[#This Row],[UDC]],TableAvailabilities[],5,FALSE)&gt;0,"Y",""),"")</f>
        <v/>
      </c>
      <c r="K4" s="104"/>
      <c r="L4" s="44" t="str">
        <f>IFERROR(VLOOKUP(TableHandbook[[#This Row],[UDC]],TableGCENVCLM[],7,FALSE),"")</f>
        <v/>
      </c>
      <c r="M4" s="44" t="str">
        <f>IFERROR(VLOOKUP(TableHandbook[[#This Row],[UDC]],TableGDENVCLM[],7,FALSE),"")</f>
        <v/>
      </c>
      <c r="N4" s="44" t="str">
        <f>IFERROR(VLOOKUP(TableHandbook[[#This Row],[UDC]],TableMCENVCLM[],7,FALSE),"")</f>
        <v/>
      </c>
      <c r="O4" s="4"/>
    </row>
    <row r="5" spans="1:15" x14ac:dyDescent="0.25">
      <c r="A5" s="125" t="s">
        <v>50</v>
      </c>
      <c r="B5" s="10"/>
      <c r="C5" s="9"/>
      <c r="D5" s="9" t="s">
        <v>122</v>
      </c>
      <c r="E5" s="10"/>
      <c r="F5" s="71"/>
      <c r="G5" s="134" t="str">
        <f>IFERROR(IF(VLOOKUP(TableHandbook[[#This Row],[UDC]],TableAvailabilities[],2,FALSE)&gt;0,"Y",""),"")</f>
        <v/>
      </c>
      <c r="H5" s="133" t="str">
        <f>IFERROR(IF(VLOOKUP(TableHandbook[[#This Row],[UDC]],TableAvailabilities[],3,FALSE)&gt;0,"Y",""),"")</f>
        <v/>
      </c>
      <c r="I5" s="135" t="str">
        <f>IFERROR(IF(VLOOKUP(TableHandbook[[#This Row],[UDC]],TableAvailabilities[],4,FALSE)&gt;0,"Y",""),"")</f>
        <v/>
      </c>
      <c r="J5" s="136" t="str">
        <f>IFERROR(IF(VLOOKUP(TableHandbook[[#This Row],[UDC]],TableAvailabilities[],5,FALSE)&gt;0,"Y",""),"")</f>
        <v/>
      </c>
      <c r="K5" s="104"/>
      <c r="L5" s="44" t="str">
        <f>IFERROR(VLOOKUP(TableHandbook[[#This Row],[UDC]],TableGCENVCLM[],7,FALSE),"")</f>
        <v/>
      </c>
      <c r="M5" s="44" t="str">
        <f>IFERROR(VLOOKUP(TableHandbook[[#This Row],[UDC]],TableGDENVCLM[],7,FALSE),"")</f>
        <v/>
      </c>
      <c r="N5" s="44" t="str">
        <f>IFERROR(VLOOKUP(TableHandbook[[#This Row],[UDC]],TableMCENVCLM[],7,FALSE),"")</f>
        <v/>
      </c>
    </row>
    <row r="6" spans="1:15" x14ac:dyDescent="0.25">
      <c r="A6" s="125" t="s">
        <v>76</v>
      </c>
      <c r="B6" s="10"/>
      <c r="C6" s="9"/>
      <c r="D6" s="9" t="s">
        <v>123</v>
      </c>
      <c r="E6" s="10"/>
      <c r="F6" s="71"/>
      <c r="G6" s="43" t="str">
        <f>IFERROR(IF(VLOOKUP(TableHandbook[[#This Row],[UDC]],TableAvailabilities[],2,FALSE)&gt;0,"Y",""),"")</f>
        <v/>
      </c>
      <c r="H6" s="44" t="str">
        <f>IFERROR(IF(VLOOKUP(TableHandbook[[#This Row],[UDC]],TableAvailabilities[],3,FALSE)&gt;0,"Y",""),"")</f>
        <v/>
      </c>
      <c r="I6" s="132" t="str">
        <f>IFERROR(IF(VLOOKUP(TableHandbook[[#This Row],[UDC]],TableAvailabilities[],4,FALSE)&gt;0,"Y",""),"")</f>
        <v/>
      </c>
      <c r="J6" s="45" t="str">
        <f>IFERROR(IF(VLOOKUP(TableHandbook[[#This Row],[UDC]],TableAvailabilities[],5,FALSE)&gt;0,"Y",""),"")</f>
        <v/>
      </c>
      <c r="K6" s="104"/>
      <c r="L6" s="44" t="str">
        <f>IFERROR(VLOOKUP(TableHandbook[[#This Row],[UDC]],TableGCENVCLM[],7,FALSE),"")</f>
        <v/>
      </c>
      <c r="M6" s="44" t="str">
        <f>IFERROR(VLOOKUP(TableHandbook[[#This Row],[UDC]],TableGDENVCLM[],7,FALSE),"")</f>
        <v/>
      </c>
      <c r="N6" s="44" t="str">
        <f>IFERROR(VLOOKUP(TableHandbook[[#This Row],[UDC]],TableMCENVCLM[],7,FALSE),"")</f>
        <v/>
      </c>
    </row>
    <row r="7" spans="1:15" x14ac:dyDescent="0.25">
      <c r="A7" s="9" t="s">
        <v>86</v>
      </c>
      <c r="B7" s="10">
        <v>0</v>
      </c>
      <c r="C7" s="9"/>
      <c r="D7" s="9" t="s">
        <v>124</v>
      </c>
      <c r="E7" s="10">
        <v>25</v>
      </c>
      <c r="F7" s="71" t="s">
        <v>125</v>
      </c>
      <c r="G7" s="43" t="str">
        <f>IFERROR(IF(VLOOKUP(TableHandbook[[#This Row],[UDC]],TableAvailabilities[],2,FALSE)&gt;0,"Y",""),"")</f>
        <v/>
      </c>
      <c r="H7" s="44" t="str">
        <f>IFERROR(IF(VLOOKUP(TableHandbook[[#This Row],[UDC]],TableAvailabilities[],3,FALSE)&gt;0,"Y",""),"")</f>
        <v/>
      </c>
      <c r="I7" s="132" t="str">
        <f>IFERROR(IF(VLOOKUP(TableHandbook[[#This Row],[UDC]],TableAvailabilities[],4,FALSE)&gt;0,"Y",""),"")</f>
        <v/>
      </c>
      <c r="J7" s="45" t="str">
        <f>IFERROR(IF(VLOOKUP(TableHandbook[[#This Row],[UDC]],TableAvailabilities[],5,FALSE)&gt;0,"Y",""),"")</f>
        <v/>
      </c>
      <c r="K7" s="104"/>
      <c r="L7" s="44" t="str">
        <f>IFERROR(VLOOKUP(TableHandbook[[#This Row],[UDC]],TableGCENVCLM[],7,FALSE),"")</f>
        <v/>
      </c>
      <c r="M7" s="44" t="str">
        <f>IFERROR(VLOOKUP(TableHandbook[[#This Row],[UDC]],TableGDENVCLM[],7,FALSE),"")</f>
        <v/>
      </c>
      <c r="N7" s="44" t="str">
        <f>IFERROR(VLOOKUP(TableHandbook[[#This Row],[UDC]],TableMCENVCLM[],7,FALSE),"")</f>
        <v>Elective</v>
      </c>
    </row>
    <row r="8" spans="1:15" x14ac:dyDescent="0.25">
      <c r="A8" s="5" t="s">
        <v>108</v>
      </c>
      <c r="B8" s="6">
        <v>2</v>
      </c>
      <c r="C8" s="6"/>
      <c r="D8" s="5" t="s">
        <v>126</v>
      </c>
      <c r="E8" s="6">
        <v>25</v>
      </c>
      <c r="F8" s="72" t="s">
        <v>127</v>
      </c>
      <c r="G8" s="43" t="str">
        <f>IFERROR(IF(VLOOKUP(TableHandbook[[#This Row],[UDC]],TableAvailabilities[],2,FALSE)&gt;0,"Y",""),"")</f>
        <v/>
      </c>
      <c r="H8" s="44" t="str">
        <f>IFERROR(IF(VLOOKUP(TableHandbook[[#This Row],[UDC]],TableAvailabilities[],3,FALSE)&gt;0,"Y",""),"")</f>
        <v/>
      </c>
      <c r="I8" s="132" t="str">
        <f>IFERROR(IF(VLOOKUP(TableHandbook[[#This Row],[UDC]],TableAvailabilities[],4,FALSE)&gt;0,"Y",""),"")</f>
        <v>Y</v>
      </c>
      <c r="J8" s="45" t="str">
        <f>IFERROR(IF(VLOOKUP(TableHandbook[[#This Row],[UDC]],TableAvailabilities[],5,FALSE)&gt;0,"Y",""),"")</f>
        <v/>
      </c>
      <c r="K8" s="104"/>
      <c r="L8" s="44" t="str">
        <f>IFERROR(VLOOKUP(TableHandbook[[#This Row],[UDC]],TableGCENVCLM[],7,FALSE),"")</f>
        <v>Option</v>
      </c>
      <c r="M8" s="44" t="str">
        <f>IFERROR(VLOOKUP(TableHandbook[[#This Row],[UDC]],TableGDENVCLM[],7,FALSE),"")</f>
        <v>Option</v>
      </c>
      <c r="N8" s="44" t="str">
        <f>IFERROR(VLOOKUP(TableHandbook[[#This Row],[UDC]],TableMCENVCLM[],7,FALSE),"")</f>
        <v>Option</v>
      </c>
    </row>
    <row r="9" spans="1:15" x14ac:dyDescent="0.25">
      <c r="A9" s="9" t="s">
        <v>100</v>
      </c>
      <c r="B9" s="10">
        <v>1</v>
      </c>
      <c r="C9" s="9"/>
      <c r="D9" s="9" t="s">
        <v>128</v>
      </c>
      <c r="E9" s="10">
        <v>25</v>
      </c>
      <c r="F9" s="72" t="s">
        <v>127</v>
      </c>
      <c r="G9" s="43" t="str">
        <f>IFERROR(IF(VLOOKUP(TableHandbook[[#This Row],[UDC]],TableAvailabilities[],2,FALSE)&gt;0,"Y",""),"")</f>
        <v/>
      </c>
      <c r="H9" s="44" t="str">
        <f>IFERROR(IF(VLOOKUP(TableHandbook[[#This Row],[UDC]],TableAvailabilities[],3,FALSE)&gt;0,"Y",""),"")</f>
        <v/>
      </c>
      <c r="I9" s="132" t="str">
        <f>IFERROR(IF(VLOOKUP(TableHandbook[[#This Row],[UDC]],TableAvailabilities[],4,FALSE)&gt;0,"Y",""),"")</f>
        <v>Y</v>
      </c>
      <c r="J9" s="45" t="str">
        <f>IFERROR(IF(VLOOKUP(TableHandbook[[#This Row],[UDC]],TableAvailabilities[],5,FALSE)&gt;0,"Y",""),"")</f>
        <v/>
      </c>
      <c r="K9" s="104"/>
      <c r="L9" s="44" t="str">
        <f>IFERROR(VLOOKUP(TableHandbook[[#This Row],[UDC]],TableGCENVCLM[],7,FALSE),"")</f>
        <v>Option</v>
      </c>
      <c r="M9" s="44" t="str">
        <f>IFERROR(VLOOKUP(TableHandbook[[#This Row],[UDC]],TableGDENVCLM[],7,FALSE),"")</f>
        <v>Option</v>
      </c>
      <c r="N9" s="44" t="str">
        <f>IFERROR(VLOOKUP(TableHandbook[[#This Row],[UDC]],TableMCENVCLM[],7,FALSE),"")</f>
        <v>Option</v>
      </c>
    </row>
    <row r="10" spans="1:15" x14ac:dyDescent="0.25">
      <c r="A10" s="9" t="s">
        <v>109</v>
      </c>
      <c r="B10" s="10">
        <v>2</v>
      </c>
      <c r="C10" s="9"/>
      <c r="D10" s="9" t="s">
        <v>129</v>
      </c>
      <c r="E10" s="10">
        <v>25</v>
      </c>
      <c r="F10" s="71" t="s">
        <v>127</v>
      </c>
      <c r="G10" s="43" t="str">
        <f>IFERROR(IF(VLOOKUP(TableHandbook[[#This Row],[UDC]],TableAvailabilities[],2,FALSE)&gt;0,"Y",""),"")</f>
        <v>Y</v>
      </c>
      <c r="H10" s="44" t="str">
        <f>IFERROR(IF(VLOOKUP(TableHandbook[[#This Row],[UDC]],TableAvailabilities[],3,FALSE)&gt;0,"Y",""),"")</f>
        <v>Y</v>
      </c>
      <c r="I10" s="132" t="str">
        <f>IFERROR(IF(VLOOKUP(TableHandbook[[#This Row],[UDC]],TableAvailabilities[],4,FALSE)&gt;0,"Y",""),"")</f>
        <v/>
      </c>
      <c r="J10" s="45" t="str">
        <f>IFERROR(IF(VLOOKUP(TableHandbook[[#This Row],[UDC]],TableAvailabilities[],5,FALSE)&gt;0,"Y",""),"")</f>
        <v/>
      </c>
      <c r="K10" s="104" t="s">
        <v>130</v>
      </c>
      <c r="L10" s="44" t="str">
        <f>IFERROR(VLOOKUP(TableHandbook[[#This Row],[UDC]],TableGCENVCLM[],7,FALSE),"")</f>
        <v/>
      </c>
      <c r="M10" s="44" t="str">
        <f>IFERROR(VLOOKUP(TableHandbook[[#This Row],[UDC]],TableGDENVCLM[],7,FALSE),"")</f>
        <v/>
      </c>
      <c r="N10" s="44" t="str">
        <f>IFERROR(VLOOKUP(TableHandbook[[#This Row],[UDC]],TableMCENVCLM[],7,FALSE),"")</f>
        <v>Option</v>
      </c>
    </row>
    <row r="11" spans="1:15" x14ac:dyDescent="0.25">
      <c r="A11" s="9" t="s">
        <v>131</v>
      </c>
      <c r="B11" s="10">
        <v>1</v>
      </c>
      <c r="C11" s="9"/>
      <c r="D11" s="9" t="s">
        <v>132</v>
      </c>
      <c r="E11" s="10">
        <v>25</v>
      </c>
      <c r="F11" s="72" t="s">
        <v>127</v>
      </c>
      <c r="G11" s="43" t="str">
        <f>IFERROR(IF(VLOOKUP(TableHandbook[[#This Row],[UDC]],TableAvailabilities[],2,FALSE)&gt;0,"Y",""),"")</f>
        <v/>
      </c>
      <c r="H11" s="44" t="str">
        <f>IFERROR(IF(VLOOKUP(TableHandbook[[#This Row],[UDC]],TableAvailabilities[],3,FALSE)&gt;0,"Y",""),"")</f>
        <v/>
      </c>
      <c r="I11" s="132" t="str">
        <f>IFERROR(IF(VLOOKUP(TableHandbook[[#This Row],[UDC]],TableAvailabilities[],4,FALSE)&gt;0,"Y",""),"")</f>
        <v/>
      </c>
      <c r="J11" s="45" t="str">
        <f>IFERROR(IF(VLOOKUP(TableHandbook[[#This Row],[UDC]],TableAvailabilities[],5,FALSE)&gt;0,"Y",""),"")</f>
        <v/>
      </c>
      <c r="K11" s="104" t="s">
        <v>133</v>
      </c>
      <c r="L11" s="44" t="str">
        <f>IFERROR(VLOOKUP(TableHandbook[[#This Row],[UDC]],TableGCENVCLM[],7,FALSE),"")</f>
        <v/>
      </c>
      <c r="M11" s="44" t="str">
        <f>IFERROR(VLOOKUP(TableHandbook[[#This Row],[UDC]],TableGDENVCLM[],7,FALSE),"")</f>
        <v/>
      </c>
      <c r="N11" s="44" t="str">
        <f>IFERROR(VLOOKUP(TableHandbook[[#This Row],[UDC]],TableMCENVCLM[],7,FALSE),"")</f>
        <v/>
      </c>
    </row>
    <row r="12" spans="1:15" x14ac:dyDescent="0.25">
      <c r="A12" s="9" t="s">
        <v>110</v>
      </c>
      <c r="B12" s="10">
        <v>1</v>
      </c>
      <c r="C12" s="9"/>
      <c r="D12" s="9" t="s">
        <v>134</v>
      </c>
      <c r="E12" s="10">
        <v>25</v>
      </c>
      <c r="F12" s="72" t="s">
        <v>127</v>
      </c>
      <c r="G12" s="63" t="str">
        <f>IFERROR(IF(VLOOKUP(TableHandbook[[#This Row],[UDC]],TableAvailabilities[],2,FALSE)&gt;0,"Y",""),"")</f>
        <v>Y</v>
      </c>
      <c r="H12" s="64" t="str">
        <f>IFERROR(IF(VLOOKUP(TableHandbook[[#This Row],[UDC]],TableAvailabilities[],3,FALSE)&gt;0,"Y",""),"")</f>
        <v>Y</v>
      </c>
      <c r="I12" s="65" t="str">
        <f>IFERROR(IF(VLOOKUP(TableHandbook[[#This Row],[UDC]],TableAvailabilities[],4,FALSE)&gt;0,"Y",""),"")</f>
        <v>Y</v>
      </c>
      <c r="J12" s="66" t="str">
        <f>IFERROR(IF(VLOOKUP(TableHandbook[[#This Row],[UDC]],TableAvailabilities[],5,FALSE)&gt;0,"Y",""),"")</f>
        <v>Y</v>
      </c>
      <c r="K12" s="104"/>
      <c r="L12" s="44" t="str">
        <f>IFERROR(VLOOKUP(TableHandbook[[#This Row],[UDC]],TableGCENVCLM[],7,FALSE),"")</f>
        <v/>
      </c>
      <c r="M12" s="44" t="str">
        <f>IFERROR(VLOOKUP(TableHandbook[[#This Row],[UDC]],TableGDENVCLM[],7,FALSE),"")</f>
        <v/>
      </c>
      <c r="N12" s="44" t="str">
        <f>IFERROR(VLOOKUP(TableHandbook[[#This Row],[UDC]],TableMCENVCLM[],7,FALSE),"")</f>
        <v>Option</v>
      </c>
    </row>
    <row r="13" spans="1:15" x14ac:dyDescent="0.25">
      <c r="A13" s="9" t="s">
        <v>112</v>
      </c>
      <c r="B13" s="10">
        <v>1</v>
      </c>
      <c r="C13" s="9"/>
      <c r="D13" s="9" t="s">
        <v>135</v>
      </c>
      <c r="E13" s="10">
        <v>25</v>
      </c>
      <c r="F13" s="72" t="s">
        <v>127</v>
      </c>
      <c r="G13" s="134" t="str">
        <f>IFERROR(IF(VLOOKUP(TableHandbook[[#This Row],[UDC]],TableAvailabilities[],2,FALSE)&gt;0,"Y",""),"")</f>
        <v>Y</v>
      </c>
      <c r="H13" s="133" t="str">
        <f>IFERROR(IF(VLOOKUP(TableHandbook[[#This Row],[UDC]],TableAvailabilities[],3,FALSE)&gt;0,"Y",""),"")</f>
        <v>Y</v>
      </c>
      <c r="I13" s="135" t="str">
        <f>IFERROR(IF(VLOOKUP(TableHandbook[[#This Row],[UDC]],TableAvailabilities[],4,FALSE)&gt;0,"Y",""),"")</f>
        <v/>
      </c>
      <c r="J13" s="136" t="str">
        <f>IFERROR(IF(VLOOKUP(TableHandbook[[#This Row],[UDC]],TableAvailabilities[],5,FALSE)&gt;0,"Y",""),"")</f>
        <v>Y</v>
      </c>
      <c r="K13" s="104"/>
      <c r="L13" s="44" t="str">
        <f>IFERROR(VLOOKUP(TableHandbook[[#This Row],[UDC]],TableGCENVCLM[],7,FALSE),"")</f>
        <v/>
      </c>
      <c r="M13" s="44" t="str">
        <f>IFERROR(VLOOKUP(TableHandbook[[#This Row],[UDC]],TableGDENVCLM[],7,FALSE),"")</f>
        <v/>
      </c>
      <c r="N13" s="44" t="str">
        <f>IFERROR(VLOOKUP(TableHandbook[[#This Row],[UDC]],TableMCENVCLM[],7,FALSE),"")</f>
        <v>Option</v>
      </c>
    </row>
    <row r="14" spans="1:15" x14ac:dyDescent="0.25">
      <c r="A14" s="9" t="s">
        <v>111</v>
      </c>
      <c r="B14" s="10">
        <v>1</v>
      </c>
      <c r="C14" s="9"/>
      <c r="D14" s="9" t="s">
        <v>136</v>
      </c>
      <c r="E14" s="10">
        <v>25</v>
      </c>
      <c r="F14" s="72" t="s">
        <v>127</v>
      </c>
      <c r="G14" s="134" t="str">
        <f>IFERROR(IF(VLOOKUP(TableHandbook[[#This Row],[UDC]],TableAvailabilities[],2,FALSE)&gt;0,"Y",""),"")</f>
        <v>Y</v>
      </c>
      <c r="H14" s="133" t="str">
        <f>IFERROR(IF(VLOOKUP(TableHandbook[[#This Row],[UDC]],TableAvailabilities[],3,FALSE)&gt;0,"Y",""),"")</f>
        <v/>
      </c>
      <c r="I14" s="135" t="str">
        <f>IFERROR(IF(VLOOKUP(TableHandbook[[#This Row],[UDC]],TableAvailabilities[],4,FALSE)&gt;0,"Y",""),"")</f>
        <v>Y</v>
      </c>
      <c r="J14" s="136" t="str">
        <f>IFERROR(IF(VLOOKUP(TableHandbook[[#This Row],[UDC]],TableAvailabilities[],5,FALSE)&gt;0,"Y",""),"")</f>
        <v>Y</v>
      </c>
      <c r="K14" s="104"/>
      <c r="L14" s="44" t="str">
        <f>IFERROR(VLOOKUP(TableHandbook[[#This Row],[UDC]],TableGCENVCLM[],7,FALSE),"")</f>
        <v>Option</v>
      </c>
      <c r="M14" s="44" t="str">
        <f>IFERROR(VLOOKUP(TableHandbook[[#This Row],[UDC]],TableGDENVCLM[],7,FALSE),"")</f>
        <v>Option</v>
      </c>
      <c r="N14" s="44" t="str">
        <f>IFERROR(VLOOKUP(TableHandbook[[#This Row],[UDC]],TableMCENVCLM[],7,FALSE),"")</f>
        <v>Option</v>
      </c>
    </row>
    <row r="15" spans="1:15" x14ac:dyDescent="0.25">
      <c r="A15" s="9" t="s">
        <v>113</v>
      </c>
      <c r="B15" s="10">
        <v>2</v>
      </c>
      <c r="C15" s="9"/>
      <c r="D15" s="9" t="s">
        <v>137</v>
      </c>
      <c r="E15" s="10">
        <v>25</v>
      </c>
      <c r="F15" s="72" t="s">
        <v>138</v>
      </c>
      <c r="G15" s="91" t="str">
        <f>IFERROR(IF(VLOOKUP(TableHandbook[[#This Row],[UDC]],TableAvailabilities[],2,FALSE)&gt;0,"Y",""),"")</f>
        <v>Y</v>
      </c>
      <c r="H15" s="92" t="str">
        <f>IFERROR(IF(VLOOKUP(TableHandbook[[#This Row],[UDC]],TableAvailabilities[],3,FALSE)&gt;0,"Y",""),"")</f>
        <v/>
      </c>
      <c r="I15" s="93" t="str">
        <f>IFERROR(IF(VLOOKUP(TableHandbook[[#This Row],[UDC]],TableAvailabilities[],4,FALSE)&gt;0,"Y",""),"")</f>
        <v/>
      </c>
      <c r="J15" s="94" t="str">
        <f>IFERROR(IF(VLOOKUP(TableHandbook[[#This Row],[UDC]],TableAvailabilities[],5,FALSE)&gt;0,"Y",""),"")</f>
        <v/>
      </c>
      <c r="K15" s="104"/>
      <c r="L15" s="44" t="str">
        <f>IFERROR(VLOOKUP(TableHandbook[[#This Row],[UDC]],TableGCENVCLM[],7,FALSE),"")</f>
        <v>Option</v>
      </c>
      <c r="M15" s="44" t="str">
        <f>IFERROR(VLOOKUP(TableHandbook[[#This Row],[UDC]],TableGDENVCLM[],7,FALSE),"")</f>
        <v>Option</v>
      </c>
      <c r="N15" s="44" t="str">
        <f>IFERROR(VLOOKUP(TableHandbook[[#This Row],[UDC]],TableMCENVCLM[],7,FALSE),"")</f>
        <v>Option</v>
      </c>
    </row>
    <row r="16" spans="1:15" x14ac:dyDescent="0.25">
      <c r="A16" s="9" t="s">
        <v>114</v>
      </c>
      <c r="B16" s="10">
        <v>2</v>
      </c>
      <c r="C16" s="9"/>
      <c r="D16" s="9" t="s">
        <v>139</v>
      </c>
      <c r="E16" s="10">
        <v>25</v>
      </c>
      <c r="F16" s="72" t="s">
        <v>127</v>
      </c>
      <c r="G16" s="134" t="str">
        <f>IFERROR(IF(VLOOKUP(TableHandbook[[#This Row],[UDC]],TableAvailabilities[],2,FALSE)&gt;0,"Y",""),"")</f>
        <v>Y</v>
      </c>
      <c r="H16" s="133" t="str">
        <f>IFERROR(IF(VLOOKUP(TableHandbook[[#This Row],[UDC]],TableAvailabilities[],3,FALSE)&gt;0,"Y",""),"")</f>
        <v/>
      </c>
      <c r="I16" s="135" t="str">
        <f>IFERROR(IF(VLOOKUP(TableHandbook[[#This Row],[UDC]],TableAvailabilities[],4,FALSE)&gt;0,"Y",""),"")</f>
        <v/>
      </c>
      <c r="J16" s="136" t="str">
        <f>IFERROR(IF(VLOOKUP(TableHandbook[[#This Row],[UDC]],TableAvailabilities[],5,FALSE)&gt;0,"Y",""),"")</f>
        <v/>
      </c>
      <c r="K16" s="104"/>
      <c r="L16" s="44" t="str">
        <f>IFERROR(VLOOKUP(TableHandbook[[#This Row],[UDC]],TableGCENVCLM[],7,FALSE),"")</f>
        <v>Option</v>
      </c>
      <c r="M16" s="44" t="str">
        <f>IFERROR(VLOOKUP(TableHandbook[[#This Row],[UDC]],TableGDENVCLM[],7,FALSE),"")</f>
        <v>Option</v>
      </c>
      <c r="N16" s="44" t="str">
        <f>IFERROR(VLOOKUP(TableHandbook[[#This Row],[UDC]],TableMCENVCLM[],7,FALSE),"")</f>
        <v>Option</v>
      </c>
    </row>
    <row r="17" spans="1:14" x14ac:dyDescent="0.25">
      <c r="A17" s="9" t="s">
        <v>65</v>
      </c>
      <c r="B17" s="10"/>
      <c r="C17" s="9"/>
      <c r="D17" s="9" t="s">
        <v>140</v>
      </c>
      <c r="E17" s="10">
        <v>25</v>
      </c>
      <c r="F17" s="71" t="s">
        <v>141</v>
      </c>
      <c r="G17" s="134" t="str">
        <f>IFERROR(IF(VLOOKUP(TableHandbook[[#This Row],[UDC]],TableAvailabilities[],2,FALSE)&gt;0,"Y",""),"")</f>
        <v/>
      </c>
      <c r="H17" s="133" t="str">
        <f>IFERROR(IF(VLOOKUP(TableHandbook[[#This Row],[UDC]],TableAvailabilities[],3,FALSE)&gt;0,"Y",""),"")</f>
        <v/>
      </c>
      <c r="I17" s="133" t="str">
        <f>IFERROR(IF(VLOOKUP(TableHandbook[[#This Row],[UDC]],TableAvailabilities[],4,FALSE)&gt;0,"Y",""),"")</f>
        <v/>
      </c>
      <c r="J17" s="136" t="str">
        <f>IFERROR(IF(VLOOKUP(TableHandbook[[#This Row],[UDC]],TableAvailabilities[],5,FALSE)&gt;0,"Y",""),"")</f>
        <v/>
      </c>
      <c r="K17" s="104"/>
      <c r="L17" s="44" t="str">
        <f>IFERROR(VLOOKUP(TableHandbook[[#This Row],[UDC]],TableGCENVCLM[],7,FALSE),"")</f>
        <v>Option</v>
      </c>
      <c r="M17" s="44" t="str">
        <f>IFERROR(VLOOKUP(TableHandbook[[#This Row],[UDC]],TableGDENVCLM[],7,FALSE),"")</f>
        <v>Option</v>
      </c>
      <c r="N17" s="44" t="str">
        <f>IFERROR(VLOOKUP(TableHandbook[[#This Row],[UDC]],TableMCENVCLM[],7,FALSE),"")</f>
        <v>Option</v>
      </c>
    </row>
    <row r="18" spans="1:14" x14ac:dyDescent="0.25">
      <c r="A18" s="9" t="s">
        <v>101</v>
      </c>
      <c r="B18" s="10">
        <v>1</v>
      </c>
      <c r="C18" s="9"/>
      <c r="D18" s="9" t="s">
        <v>142</v>
      </c>
      <c r="E18" s="10">
        <v>25</v>
      </c>
      <c r="F18" s="71" t="s">
        <v>127</v>
      </c>
      <c r="G18" s="134" t="str">
        <f>IFERROR(IF(VLOOKUP(TableHandbook[[#This Row],[UDC]],TableAvailabilities[],2,FALSE)&gt;0,"Y",""),"")</f>
        <v>Y</v>
      </c>
      <c r="H18" s="133" t="str">
        <f>IFERROR(IF(VLOOKUP(TableHandbook[[#This Row],[UDC]],TableAvailabilities[],3,FALSE)&gt;0,"Y",""),"")</f>
        <v>Y</v>
      </c>
      <c r="I18" s="135" t="str">
        <f>IFERROR(IF(VLOOKUP(TableHandbook[[#This Row],[UDC]],TableAvailabilities[],4,FALSE)&gt;0,"Y",""),"")</f>
        <v>Y</v>
      </c>
      <c r="J18" s="136" t="str">
        <f>IFERROR(IF(VLOOKUP(TableHandbook[[#This Row],[UDC]],TableAvailabilities[],5,FALSE)&gt;0,"Y",""),"")</f>
        <v>Y</v>
      </c>
      <c r="K18" s="104"/>
      <c r="L18" s="44" t="str">
        <f>IFERROR(VLOOKUP(TableHandbook[[#This Row],[UDC]],TableGCENVCLM[],7,FALSE),"")</f>
        <v>Option</v>
      </c>
      <c r="M18" s="44" t="str">
        <f>IFERROR(VLOOKUP(TableHandbook[[#This Row],[UDC]],TableGDENVCLM[],7,FALSE),"")</f>
        <v>Option</v>
      </c>
      <c r="N18" s="44" t="str">
        <f>IFERROR(VLOOKUP(TableHandbook[[#This Row],[UDC]],TableMCENVCLM[],7,FALSE),"")</f>
        <v>Option</v>
      </c>
    </row>
    <row r="19" spans="1:14" x14ac:dyDescent="0.25">
      <c r="A19" s="9" t="s">
        <v>102</v>
      </c>
      <c r="B19" s="10">
        <v>1</v>
      </c>
      <c r="C19" s="9"/>
      <c r="D19" s="9" t="s">
        <v>143</v>
      </c>
      <c r="E19" s="10">
        <v>25</v>
      </c>
      <c r="F19" s="71" t="s">
        <v>127</v>
      </c>
      <c r="G19" s="134" t="str">
        <f>IFERROR(IF(VLOOKUP(TableHandbook[[#This Row],[UDC]],TableAvailabilities[],2,FALSE)&gt;0,"Y",""),"")</f>
        <v>Y</v>
      </c>
      <c r="H19" s="133" t="str">
        <f>IFERROR(IF(VLOOKUP(TableHandbook[[#This Row],[UDC]],TableAvailabilities[],3,FALSE)&gt;0,"Y",""),"")</f>
        <v>Y</v>
      </c>
      <c r="I19" s="135" t="str">
        <f>IFERROR(IF(VLOOKUP(TableHandbook[[#This Row],[UDC]],TableAvailabilities[],4,FALSE)&gt;0,"Y",""),"")</f>
        <v>Y</v>
      </c>
      <c r="J19" s="136" t="str">
        <f>IFERROR(IF(VLOOKUP(TableHandbook[[#This Row],[UDC]],TableAvailabilities[],5,FALSE)&gt;0,"Y",""),"")</f>
        <v>Y</v>
      </c>
      <c r="K19" s="104"/>
      <c r="L19" s="44" t="str">
        <f>IFERROR(VLOOKUP(TableHandbook[[#This Row],[UDC]],TableGCENVCLM[],7,FALSE),"")</f>
        <v>Option</v>
      </c>
      <c r="M19" s="44" t="str">
        <f>IFERROR(VLOOKUP(TableHandbook[[#This Row],[UDC]],TableGDENVCLM[],7,FALSE),"")</f>
        <v>Option</v>
      </c>
      <c r="N19" s="44" t="str">
        <f>IFERROR(VLOOKUP(TableHandbook[[#This Row],[UDC]],TableMCENVCLM[],7,FALSE),"")</f>
        <v>Option</v>
      </c>
    </row>
    <row r="20" spans="1:14" x14ac:dyDescent="0.25">
      <c r="A20" s="9" t="s">
        <v>51</v>
      </c>
      <c r="B20" s="10">
        <v>2</v>
      </c>
      <c r="C20" s="9"/>
      <c r="D20" s="9" t="s">
        <v>144</v>
      </c>
      <c r="E20" s="10">
        <v>25</v>
      </c>
      <c r="F20" s="71" t="s">
        <v>127</v>
      </c>
      <c r="G20" s="134" t="str">
        <f>IFERROR(IF(VLOOKUP(TableHandbook[[#This Row],[UDC]],TableAvailabilities[],2,FALSE)&gt;0,"Y",""),"")</f>
        <v/>
      </c>
      <c r="H20" s="133" t="str">
        <f>IFERROR(IF(VLOOKUP(TableHandbook[[#This Row],[UDC]],TableAvailabilities[],3,FALSE)&gt;0,"Y",""),"")</f>
        <v/>
      </c>
      <c r="I20" s="135" t="str">
        <f>IFERROR(IF(VLOOKUP(TableHandbook[[#This Row],[UDC]],TableAvailabilities[],4,FALSE)&gt;0,"Y",""),"")</f>
        <v>Y</v>
      </c>
      <c r="J20" s="136" t="str">
        <f>IFERROR(IF(VLOOKUP(TableHandbook[[#This Row],[UDC]],TableAvailabilities[],5,FALSE)&gt;0,"Y",""),"")</f>
        <v>Y</v>
      </c>
      <c r="K20" s="104"/>
      <c r="L20" s="44" t="str">
        <f>IFERROR(VLOOKUP(TableHandbook[[#This Row],[UDC]],TableGCENVCLM[],7,FALSE),"")</f>
        <v/>
      </c>
      <c r="M20" s="44" t="str">
        <f>IFERROR(VLOOKUP(TableHandbook[[#This Row],[UDC]],TableGDENVCLM[],7,FALSE),"")</f>
        <v>Core</v>
      </c>
      <c r="N20" s="44" t="str">
        <f>IFERROR(VLOOKUP(TableHandbook[[#This Row],[UDC]],TableMCENVCLM[],7,FALSE),"")</f>
        <v>Core</v>
      </c>
    </row>
    <row r="21" spans="1:14" x14ac:dyDescent="0.25">
      <c r="A21" s="7" t="s">
        <v>80</v>
      </c>
      <c r="B21" s="40">
        <v>1</v>
      </c>
      <c r="C21" s="7"/>
      <c r="D21" s="7" t="s">
        <v>145</v>
      </c>
      <c r="E21" s="40">
        <v>25</v>
      </c>
      <c r="F21" s="71" t="s">
        <v>127</v>
      </c>
      <c r="G21" s="134" t="str">
        <f>IFERROR(IF(VLOOKUP(TableHandbook[[#This Row],[UDC]],TableAvailabilities[],2,FALSE)&gt;0,"Y",""),"")</f>
        <v/>
      </c>
      <c r="H21" s="133" t="str">
        <f>IFERROR(IF(VLOOKUP(TableHandbook[[#This Row],[UDC]],TableAvailabilities[],3,FALSE)&gt;0,"Y",""),"")</f>
        <v/>
      </c>
      <c r="I21" s="135" t="str">
        <f>IFERROR(IF(VLOOKUP(TableHandbook[[#This Row],[UDC]],TableAvailabilities[],4,FALSE)&gt;0,"Y",""),"")</f>
        <v>Y</v>
      </c>
      <c r="J21" s="136" t="str">
        <f>IFERROR(IF(VLOOKUP(TableHandbook[[#This Row],[UDC]],TableAvailabilities[],5,FALSE)&gt;0,"Y",""),"")</f>
        <v>Y</v>
      </c>
      <c r="K21" s="104"/>
      <c r="L21" s="44" t="str">
        <f>IFERROR(VLOOKUP(TableHandbook[[#This Row],[UDC]],TableGCENVCLM[],7,FALSE),"")</f>
        <v>Option</v>
      </c>
      <c r="M21" s="44" t="str">
        <f>IFERROR(VLOOKUP(TableHandbook[[#This Row],[UDC]],TableGDENVCLM[],7,FALSE),"")</f>
        <v>Option</v>
      </c>
      <c r="N21" s="44" t="str">
        <f>IFERROR(VLOOKUP(TableHandbook[[#This Row],[UDC]],TableMCENVCLM[],7,FALSE),"")</f>
        <v>Core</v>
      </c>
    </row>
    <row r="22" spans="1:14" x14ac:dyDescent="0.25">
      <c r="A22" s="9" t="s">
        <v>52</v>
      </c>
      <c r="B22" s="10">
        <v>2</v>
      </c>
      <c r="C22" s="9"/>
      <c r="D22" s="9" t="s">
        <v>146</v>
      </c>
      <c r="E22" s="10">
        <v>25</v>
      </c>
      <c r="F22" s="71" t="s">
        <v>127</v>
      </c>
      <c r="G22" s="134" t="str">
        <f>IFERROR(IF(VLOOKUP(TableHandbook[[#This Row],[UDC]],TableAvailabilities[],2,FALSE)&gt;0,"Y",""),"")</f>
        <v>Y</v>
      </c>
      <c r="H22" s="133" t="str">
        <f>IFERROR(IF(VLOOKUP(TableHandbook[[#This Row],[UDC]],TableAvailabilities[],3,FALSE)&gt;0,"Y",""),"")</f>
        <v>Y</v>
      </c>
      <c r="I22" s="135" t="str">
        <f>IFERROR(IF(VLOOKUP(TableHandbook[[#This Row],[UDC]],TableAvailabilities[],4,FALSE)&gt;0,"Y",""),"")</f>
        <v/>
      </c>
      <c r="J22" s="136" t="str">
        <f>IFERROR(IF(VLOOKUP(TableHandbook[[#This Row],[UDC]],TableAvailabilities[],5,FALSE)&gt;0,"Y",""),"")</f>
        <v/>
      </c>
      <c r="K22" s="104" t="s">
        <v>147</v>
      </c>
      <c r="L22" s="44" t="str">
        <f>IFERROR(VLOOKUP(TableHandbook[[#This Row],[UDC]],TableGCENVCLM[],7,FALSE),"")</f>
        <v>Core</v>
      </c>
      <c r="M22" s="44" t="str">
        <f>IFERROR(VLOOKUP(TableHandbook[[#This Row],[UDC]],TableGDENVCLM[],7,FALSE),"")</f>
        <v>Core</v>
      </c>
      <c r="N22" s="44" t="str">
        <f>IFERROR(VLOOKUP(TableHandbook[[#This Row],[UDC]],TableMCENVCLM[],7,FALSE),"")</f>
        <v>Core</v>
      </c>
    </row>
    <row r="23" spans="1:14" x14ac:dyDescent="0.25">
      <c r="A23" s="9" t="s">
        <v>53</v>
      </c>
      <c r="B23" s="10">
        <v>1</v>
      </c>
      <c r="C23" s="9"/>
      <c r="D23" s="9" t="s">
        <v>148</v>
      </c>
      <c r="E23" s="10">
        <v>25</v>
      </c>
      <c r="F23" s="71" t="s">
        <v>127</v>
      </c>
      <c r="G23" s="134" t="str">
        <f>IFERROR(IF(VLOOKUP(TableHandbook[[#This Row],[UDC]],TableAvailabilities[],2,FALSE)&gt;0,"Y",""),"")</f>
        <v/>
      </c>
      <c r="H23" s="133" t="str">
        <f>IFERROR(IF(VLOOKUP(TableHandbook[[#This Row],[UDC]],TableAvailabilities[],3,FALSE)&gt;0,"Y",""),"")</f>
        <v/>
      </c>
      <c r="I23" s="135" t="str">
        <f>IFERROR(IF(VLOOKUP(TableHandbook[[#This Row],[UDC]],TableAvailabilities[],4,FALSE)&gt;0,"Y",""),"")</f>
        <v>Y</v>
      </c>
      <c r="J23" s="136" t="str">
        <f>IFERROR(IF(VLOOKUP(TableHandbook[[#This Row],[UDC]],TableAvailabilities[],5,FALSE)&gt;0,"Y",""),"")</f>
        <v>Y</v>
      </c>
      <c r="K23" s="104"/>
      <c r="L23" s="44" t="str">
        <f>IFERROR(VLOOKUP(TableHandbook[[#This Row],[UDC]],TableGCENVCLM[],7,FALSE),"")</f>
        <v/>
      </c>
      <c r="M23" s="44" t="str">
        <f>IFERROR(VLOOKUP(TableHandbook[[#This Row],[UDC]],TableGDENVCLM[],7,FALSE),"")</f>
        <v>Core</v>
      </c>
      <c r="N23" s="44" t="str">
        <f>IFERROR(VLOOKUP(TableHandbook[[#This Row],[UDC]],TableMCENVCLM[],7,FALSE),"")</f>
        <v>Core</v>
      </c>
    </row>
    <row r="24" spans="1:14" x14ac:dyDescent="0.25">
      <c r="A24" s="9" t="s">
        <v>59</v>
      </c>
      <c r="B24" s="10">
        <v>2</v>
      </c>
      <c r="C24" s="9"/>
      <c r="D24" s="9" t="s">
        <v>149</v>
      </c>
      <c r="E24" s="10">
        <v>25</v>
      </c>
      <c r="F24" s="71" t="s">
        <v>127</v>
      </c>
      <c r="G24" s="134" t="str">
        <f>IFERROR(IF(VLOOKUP(TableHandbook[[#This Row],[UDC]],TableAvailabilities[],2,FALSE)&gt;0,"Y",""),"")</f>
        <v/>
      </c>
      <c r="H24" s="133" t="str">
        <f>IFERROR(IF(VLOOKUP(TableHandbook[[#This Row],[UDC]],TableAvailabilities[],3,FALSE)&gt;0,"Y",""),"")</f>
        <v/>
      </c>
      <c r="I24" s="135" t="str">
        <f>IFERROR(IF(VLOOKUP(TableHandbook[[#This Row],[UDC]],TableAvailabilities[],4,FALSE)&gt;0,"Y",""),"")</f>
        <v>Y</v>
      </c>
      <c r="J24" s="136" t="str">
        <f>IFERROR(IF(VLOOKUP(TableHandbook[[#This Row],[UDC]],TableAvailabilities[],5,FALSE)&gt;0,"Y",""),"")</f>
        <v>Y</v>
      </c>
      <c r="K24" s="104"/>
      <c r="L24" s="44" t="str">
        <f>IFERROR(VLOOKUP(TableHandbook[[#This Row],[UDC]],TableGCENVCLM[],7,FALSE),"")</f>
        <v/>
      </c>
      <c r="M24" s="44" t="str">
        <f>IFERROR(VLOOKUP(TableHandbook[[#This Row],[UDC]],TableGDENVCLM[],7,FALSE),"")</f>
        <v>Core</v>
      </c>
      <c r="N24" s="44" t="str">
        <f>IFERROR(VLOOKUP(TableHandbook[[#This Row],[UDC]],TableMCENVCLM[],7,FALSE),"")</f>
        <v>Core</v>
      </c>
    </row>
    <row r="25" spans="1:14" x14ac:dyDescent="0.25">
      <c r="A25" s="9" t="s">
        <v>78</v>
      </c>
      <c r="B25" s="10">
        <v>1</v>
      </c>
      <c r="C25" s="9"/>
      <c r="D25" s="9" t="s">
        <v>150</v>
      </c>
      <c r="E25" s="10">
        <v>25</v>
      </c>
      <c r="F25" s="71" t="s">
        <v>127</v>
      </c>
      <c r="G25" s="134" t="str">
        <f>IFERROR(IF(VLOOKUP(TableHandbook[[#This Row],[UDC]],TableAvailabilities[],2,FALSE)&gt;0,"Y",""),"")</f>
        <v>Y</v>
      </c>
      <c r="H25" s="133" t="str">
        <f>IFERROR(IF(VLOOKUP(TableHandbook[[#This Row],[UDC]],TableAvailabilities[],3,FALSE)&gt;0,"Y",""),"")</f>
        <v>Y</v>
      </c>
      <c r="I25" s="135" t="str">
        <f>IFERROR(IF(VLOOKUP(TableHandbook[[#This Row],[UDC]],TableAvailabilities[],4,FALSE)&gt;0,"Y",""),"")</f>
        <v/>
      </c>
      <c r="J25" s="136" t="str">
        <f>IFERROR(IF(VLOOKUP(TableHandbook[[#This Row],[UDC]],TableAvailabilities[],5,FALSE)&gt;0,"Y",""),"")</f>
        <v/>
      </c>
      <c r="K25" s="104"/>
      <c r="L25" s="44" t="str">
        <f>IFERROR(VLOOKUP(TableHandbook[[#This Row],[UDC]],TableGCENVCLM[],7,FALSE),"")</f>
        <v>Option</v>
      </c>
      <c r="M25" s="44" t="str">
        <f>IFERROR(VLOOKUP(TableHandbook[[#This Row],[UDC]],TableGDENVCLM[],7,FALSE),"")</f>
        <v>Option</v>
      </c>
      <c r="N25" s="44" t="str">
        <f>IFERROR(VLOOKUP(TableHandbook[[#This Row],[UDC]],TableMCENVCLM[],7,FALSE),"")</f>
        <v>Core</v>
      </c>
    </row>
    <row r="26" spans="1:14" x14ac:dyDescent="0.25">
      <c r="A26" s="9" t="s">
        <v>48</v>
      </c>
      <c r="B26" s="10">
        <v>1</v>
      </c>
      <c r="C26" s="9"/>
      <c r="D26" s="9" t="s">
        <v>151</v>
      </c>
      <c r="E26" s="10">
        <v>25</v>
      </c>
      <c r="F26" s="71" t="s">
        <v>127</v>
      </c>
      <c r="G26" s="134" t="str">
        <f>IFERROR(IF(VLOOKUP(TableHandbook[[#This Row],[UDC]],TableAvailabilities[],2,FALSE)&gt;0,"Y",""),"")</f>
        <v>Y</v>
      </c>
      <c r="H26" s="133" t="str">
        <f>IFERROR(IF(VLOOKUP(TableHandbook[[#This Row],[UDC]],TableAvailabilities[],3,FALSE)&gt;0,"Y",""),"")</f>
        <v>Y</v>
      </c>
      <c r="I26" s="135" t="str">
        <f>IFERROR(IF(VLOOKUP(TableHandbook[[#This Row],[UDC]],TableAvailabilities[],4,FALSE)&gt;0,"Y",""),"")</f>
        <v/>
      </c>
      <c r="J26" s="136" t="str">
        <f>IFERROR(IF(VLOOKUP(TableHandbook[[#This Row],[UDC]],TableAvailabilities[],5,FALSE)&gt;0,"Y",""),"")</f>
        <v/>
      </c>
      <c r="K26" s="104" t="s">
        <v>147</v>
      </c>
      <c r="L26" s="44" t="str">
        <f>IFERROR(VLOOKUP(TableHandbook[[#This Row],[UDC]],TableGCENVCLM[],7,FALSE),"")</f>
        <v>Core</v>
      </c>
      <c r="M26" s="44" t="str">
        <f>IFERROR(VLOOKUP(TableHandbook[[#This Row],[UDC]],TableGDENVCLM[],7,FALSE),"")</f>
        <v>Core</v>
      </c>
      <c r="N26" s="44" t="str">
        <f>IFERROR(VLOOKUP(TableHandbook[[#This Row],[UDC]],TableMCENVCLM[],7,FALSE),"")</f>
        <v>Core</v>
      </c>
    </row>
    <row r="27" spans="1:14" x14ac:dyDescent="0.25">
      <c r="A27" s="9" t="s">
        <v>87</v>
      </c>
      <c r="B27" s="10">
        <v>1</v>
      </c>
      <c r="C27" s="9"/>
      <c r="D27" s="9" t="s">
        <v>152</v>
      </c>
      <c r="E27" s="10">
        <v>50</v>
      </c>
      <c r="F27" s="71" t="s">
        <v>153</v>
      </c>
      <c r="G27" s="137" t="str">
        <f>IFERROR(IF(VLOOKUP(TableHandbook[[#This Row],[UDC]],TableAvailabilities[],2,FALSE)&gt;0,"Y",""),"")</f>
        <v>Y</v>
      </c>
      <c r="H27" s="138" t="str">
        <f>IFERROR(IF(VLOOKUP(TableHandbook[[#This Row],[UDC]],TableAvailabilities[],3,FALSE)&gt;0,"Y",""),"")</f>
        <v/>
      </c>
      <c r="I27" s="138" t="str">
        <f>IFERROR(IF(VLOOKUP(TableHandbook[[#This Row],[UDC]],TableAvailabilities[],4,FALSE)&gt;0,"Y",""),"")</f>
        <v>Y</v>
      </c>
      <c r="J27" s="139" t="str">
        <f>IFERROR(IF(VLOOKUP(TableHandbook[[#This Row],[UDC]],TableAvailabilities[],5,FALSE)&gt;0,"Y",""),"")</f>
        <v>Y</v>
      </c>
      <c r="K27" s="124" t="s">
        <v>154</v>
      </c>
      <c r="L27" s="44" t="str">
        <f>IFERROR(VLOOKUP(TableHandbook[[#This Row],[UDC]],TableGCENVCLM[],7,FALSE),"")</f>
        <v/>
      </c>
      <c r="M27" s="44" t="str">
        <f>IFERROR(VLOOKUP(TableHandbook[[#This Row],[UDC]],TableGDENVCLM[],7,FALSE),"")</f>
        <v/>
      </c>
      <c r="N27" s="44" t="str">
        <f>IFERROR(VLOOKUP(TableHandbook[[#This Row],[UDC]],TableMCENVCLM[],7,FALSE),"")</f>
        <v>Core</v>
      </c>
    </row>
    <row r="28" spans="1:14" ht="39" x14ac:dyDescent="0.25">
      <c r="A28" s="9" t="s">
        <v>84</v>
      </c>
      <c r="B28" s="10">
        <v>1</v>
      </c>
      <c r="C28" s="9"/>
      <c r="D28" s="9" t="s">
        <v>155</v>
      </c>
      <c r="E28" s="10">
        <v>25</v>
      </c>
      <c r="F28" s="98" t="s">
        <v>156</v>
      </c>
      <c r="G28" s="137" t="str">
        <f>IFERROR(IF(VLOOKUP(TableHandbook[[#This Row],[UDC]],TableAvailabilities[],2,FALSE)&gt;0,"Y",""),"")</f>
        <v>Y</v>
      </c>
      <c r="H28" s="138" t="str">
        <f>IFERROR(IF(VLOOKUP(TableHandbook[[#This Row],[UDC]],TableAvailabilities[],3,FALSE)&gt;0,"Y",""),"")</f>
        <v/>
      </c>
      <c r="I28" s="138" t="str">
        <f>IFERROR(IF(VLOOKUP(TableHandbook[[#This Row],[UDC]],TableAvailabilities[],4,FALSE)&gt;0,"Y",""),"")</f>
        <v>Y</v>
      </c>
      <c r="J28" s="139" t="str">
        <f>IFERROR(IF(VLOOKUP(TableHandbook[[#This Row],[UDC]],TableAvailabilities[],5,FALSE)&gt;0,"Y",""),"")</f>
        <v/>
      </c>
      <c r="K28" s="124" t="s">
        <v>157</v>
      </c>
      <c r="L28" s="44" t="str">
        <f>IFERROR(VLOOKUP(TableHandbook[[#This Row],[UDC]],TableGCENVCLM[],7,FALSE),"")</f>
        <v/>
      </c>
      <c r="M28" s="44" t="str">
        <f>IFERROR(VLOOKUP(TableHandbook[[#This Row],[UDC]],TableGDENVCLM[],7,FALSE),"")</f>
        <v/>
      </c>
      <c r="N28" s="44" t="str">
        <f>IFERROR(VLOOKUP(TableHandbook[[#This Row],[UDC]],TableMCENVCLM[],7,FALSE),"")</f>
        <v>Core</v>
      </c>
    </row>
    <row r="29" spans="1:14" x14ac:dyDescent="0.25">
      <c r="A29" s="9" t="s">
        <v>58</v>
      </c>
      <c r="B29" s="10">
        <v>2</v>
      </c>
      <c r="C29" s="9"/>
      <c r="D29" s="9" t="s">
        <v>158</v>
      </c>
      <c r="E29" s="10">
        <v>25</v>
      </c>
      <c r="F29" s="71" t="s">
        <v>127</v>
      </c>
      <c r="G29" s="134" t="str">
        <f>IFERROR(IF(VLOOKUP(TableHandbook[[#This Row],[UDC]],TableAvailabilities[],2,FALSE)&gt;0,"Y",""),"")</f>
        <v>Y</v>
      </c>
      <c r="H29" s="133" t="str">
        <f>IFERROR(IF(VLOOKUP(TableHandbook[[#This Row],[UDC]],TableAvailabilities[],3,FALSE)&gt;0,"Y",""),"")</f>
        <v>Y</v>
      </c>
      <c r="I29" s="135" t="str">
        <f>IFERROR(IF(VLOOKUP(TableHandbook[[#This Row],[UDC]],TableAvailabilities[],4,FALSE)&gt;0,"Y",""),"")</f>
        <v/>
      </c>
      <c r="J29" s="136" t="str">
        <f>IFERROR(IF(VLOOKUP(TableHandbook[[#This Row],[UDC]],TableAvailabilities[],5,FALSE)&gt;0,"Y",""),"")</f>
        <v>Y</v>
      </c>
      <c r="K29" s="104" t="s">
        <v>147</v>
      </c>
      <c r="L29" s="44" t="str">
        <f>IFERROR(VLOOKUP(TableHandbook[[#This Row],[UDC]],TableGCENVCLM[],7,FALSE),"")</f>
        <v>Core</v>
      </c>
      <c r="M29" s="44" t="str">
        <f>IFERROR(VLOOKUP(TableHandbook[[#This Row],[UDC]],TableGDENVCLM[],7,FALSE),"")</f>
        <v>Core</v>
      </c>
      <c r="N29" s="44" t="str">
        <f>IFERROR(VLOOKUP(TableHandbook[[#This Row],[UDC]],TableMCENVCLM[],7,FALSE),"")</f>
        <v>Core</v>
      </c>
    </row>
    <row r="30" spans="1:14" x14ac:dyDescent="0.25">
      <c r="A30" s="9" t="s">
        <v>103</v>
      </c>
      <c r="B30" s="10">
        <v>2</v>
      </c>
      <c r="C30" s="9"/>
      <c r="D30" s="9" t="s">
        <v>159</v>
      </c>
      <c r="E30" s="10">
        <v>25</v>
      </c>
      <c r="F30" s="71" t="s">
        <v>127</v>
      </c>
      <c r="G30" s="134" t="str">
        <f>IFERROR(IF(VLOOKUP(TableHandbook[[#This Row],[UDC]],TableAvailabilities[],2,FALSE)&gt;0,"Y",""),"")</f>
        <v>Y</v>
      </c>
      <c r="H30" s="133" t="str">
        <f>IFERROR(IF(VLOOKUP(TableHandbook[[#This Row],[UDC]],TableAvailabilities[],3,FALSE)&gt;0,"Y",""),"")</f>
        <v/>
      </c>
      <c r="I30" s="135" t="str">
        <f>IFERROR(IF(VLOOKUP(TableHandbook[[#This Row],[UDC]],TableAvailabilities[],4,FALSE)&gt;0,"Y",""),"")</f>
        <v/>
      </c>
      <c r="J30" s="136" t="str">
        <f>IFERROR(IF(VLOOKUP(TableHandbook[[#This Row],[UDC]],TableAvailabilities[],5,FALSE)&gt;0,"Y",""),"")</f>
        <v/>
      </c>
      <c r="K30" s="104"/>
      <c r="L30" s="44" t="str">
        <f>IFERROR(VLOOKUP(TableHandbook[[#This Row],[UDC]],TableGCENVCLM[],7,FALSE),"")</f>
        <v>Option</v>
      </c>
      <c r="M30" s="44" t="str">
        <f>IFERROR(VLOOKUP(TableHandbook[[#This Row],[UDC]],TableGDENVCLM[],7,FALSE),"")</f>
        <v>Option</v>
      </c>
      <c r="N30" s="44" t="str">
        <f>IFERROR(VLOOKUP(TableHandbook[[#This Row],[UDC]],TableMCENVCLM[],7,FALSE),"")</f>
        <v>Option</v>
      </c>
    </row>
    <row r="31" spans="1:14" x14ac:dyDescent="0.25">
      <c r="A31" s="9" t="s">
        <v>104</v>
      </c>
      <c r="B31" s="10">
        <v>1</v>
      </c>
      <c r="C31" s="9"/>
      <c r="D31" s="9" t="s">
        <v>160</v>
      </c>
      <c r="E31" s="10">
        <v>25</v>
      </c>
      <c r="F31" s="71" t="s">
        <v>127</v>
      </c>
      <c r="G31" s="134" t="str">
        <f>IFERROR(IF(VLOOKUP(TableHandbook[[#This Row],[UDC]],TableAvailabilities[],2,FALSE)&gt;0,"Y",""),"")</f>
        <v/>
      </c>
      <c r="H31" s="133" t="str">
        <f>IFERROR(IF(VLOOKUP(TableHandbook[[#This Row],[UDC]],TableAvailabilities[],3,FALSE)&gt;0,"Y",""),"")</f>
        <v/>
      </c>
      <c r="I31" s="135" t="str">
        <f>IFERROR(IF(VLOOKUP(TableHandbook[[#This Row],[UDC]],TableAvailabilities[],4,FALSE)&gt;0,"Y",""),"")</f>
        <v>Y</v>
      </c>
      <c r="J31" s="136" t="str">
        <f>IFERROR(IF(VLOOKUP(TableHandbook[[#This Row],[UDC]],TableAvailabilities[],5,FALSE)&gt;0,"Y",""),"")</f>
        <v/>
      </c>
      <c r="K31" s="104"/>
      <c r="L31" s="44" t="str">
        <f>IFERROR(VLOOKUP(TableHandbook[[#This Row],[UDC]],TableGCENVCLM[],7,FALSE),"")</f>
        <v>Option</v>
      </c>
      <c r="M31" s="44" t="str">
        <f>IFERROR(VLOOKUP(TableHandbook[[#This Row],[UDC]],TableGDENVCLM[],7,FALSE),"")</f>
        <v>Option</v>
      </c>
      <c r="N31" s="44" t="str">
        <f>IFERROR(VLOOKUP(TableHandbook[[#This Row],[UDC]],TableMCENVCLM[],7,FALSE),"")</f>
        <v>Option</v>
      </c>
    </row>
    <row r="32" spans="1:14" x14ac:dyDescent="0.25">
      <c r="A32" s="9" t="s">
        <v>105</v>
      </c>
      <c r="B32" s="10">
        <v>3</v>
      </c>
      <c r="C32" s="9"/>
      <c r="D32" s="9" t="s">
        <v>161</v>
      </c>
      <c r="E32" s="10">
        <v>25</v>
      </c>
      <c r="F32" s="71" t="s">
        <v>127</v>
      </c>
      <c r="G32" s="134" t="str">
        <f>IFERROR(IF(VLOOKUP(TableHandbook[[#This Row],[UDC]],TableAvailabilities[],2,FALSE)&gt;0,"Y",""),"")</f>
        <v>Y</v>
      </c>
      <c r="H32" s="133" t="str">
        <f>IFERROR(IF(VLOOKUP(TableHandbook[[#This Row],[UDC]],TableAvailabilities[],3,FALSE)&gt;0,"Y",""),"")</f>
        <v/>
      </c>
      <c r="I32" s="135" t="str">
        <f>IFERROR(IF(VLOOKUP(TableHandbook[[#This Row],[UDC]],TableAvailabilities[],4,FALSE)&gt;0,"Y",""),"")</f>
        <v/>
      </c>
      <c r="J32" s="136" t="str">
        <f>IFERROR(IF(VLOOKUP(TableHandbook[[#This Row],[UDC]],TableAvailabilities[],5,FALSE)&gt;0,"Y",""),"")</f>
        <v/>
      </c>
      <c r="K32" s="104"/>
      <c r="L32" s="44" t="str">
        <f>IFERROR(VLOOKUP(TableHandbook[[#This Row],[UDC]],TableGCENVCLM[],7,FALSE),"")</f>
        <v>Option</v>
      </c>
      <c r="M32" s="44" t="str">
        <f>IFERROR(VLOOKUP(TableHandbook[[#This Row],[UDC]],TableGDENVCLM[],7,FALSE),"")</f>
        <v>Option</v>
      </c>
      <c r="N32" s="44" t="str">
        <f>IFERROR(VLOOKUP(TableHandbook[[#This Row],[UDC]],TableMCENVCLM[],7,FALSE),"")</f>
        <v>Option</v>
      </c>
    </row>
    <row r="33" spans="1:14" x14ac:dyDescent="0.25">
      <c r="A33" s="9" t="s">
        <v>106</v>
      </c>
      <c r="B33" s="10">
        <v>1</v>
      </c>
      <c r="C33" s="9"/>
      <c r="D33" s="9" t="s">
        <v>162</v>
      </c>
      <c r="E33" s="10">
        <v>25</v>
      </c>
      <c r="F33" s="71" t="s">
        <v>127</v>
      </c>
      <c r="G33" s="134" t="str">
        <f>IFERROR(IF(VLOOKUP(TableHandbook[[#This Row],[UDC]],TableAvailabilities[],2,FALSE)&gt;0,"Y",""),"")</f>
        <v>Y</v>
      </c>
      <c r="H33" s="133" t="str">
        <f>IFERROR(IF(VLOOKUP(TableHandbook[[#This Row],[UDC]],TableAvailabilities[],3,FALSE)&gt;0,"Y",""),"")</f>
        <v/>
      </c>
      <c r="I33" s="135" t="str">
        <f>IFERROR(IF(VLOOKUP(TableHandbook[[#This Row],[UDC]],TableAvailabilities[],4,FALSE)&gt;0,"Y",""),"")</f>
        <v>Y</v>
      </c>
      <c r="J33" s="136" t="str">
        <f>IFERROR(IF(VLOOKUP(TableHandbook[[#This Row],[UDC]],TableAvailabilities[],5,FALSE)&gt;0,"Y",""),"")</f>
        <v/>
      </c>
      <c r="K33" s="104"/>
      <c r="L33" s="44" t="str">
        <f>IFERROR(VLOOKUP(TableHandbook[[#This Row],[UDC]],TableGCENVCLM[],7,FALSE),"")</f>
        <v>Option</v>
      </c>
      <c r="M33" s="44" t="str">
        <f>IFERROR(VLOOKUP(TableHandbook[[#This Row],[UDC]],TableGDENVCLM[],7,FALSE),"")</f>
        <v>Option</v>
      </c>
      <c r="N33" s="44" t="str">
        <f>IFERROR(VLOOKUP(TableHandbook[[#This Row],[UDC]],TableMCENVCLM[],7,FALSE),"")</f>
        <v>Option</v>
      </c>
    </row>
    <row r="34" spans="1:14" x14ac:dyDescent="0.25">
      <c r="A34" s="9" t="s">
        <v>73</v>
      </c>
      <c r="B34" s="10">
        <v>1</v>
      </c>
      <c r="C34" s="9"/>
      <c r="D34" s="9" t="s">
        <v>163</v>
      </c>
      <c r="E34" s="10">
        <v>25</v>
      </c>
      <c r="F34" s="71" t="s">
        <v>127</v>
      </c>
      <c r="G34" s="134" t="str">
        <f>IFERROR(IF(VLOOKUP(TableHandbook[[#This Row],[UDC]],TableAvailabilities[],2,FALSE)&gt;0,"Y",""),"")</f>
        <v>Y</v>
      </c>
      <c r="H34" s="133" t="str">
        <f>IFERROR(IF(VLOOKUP(TableHandbook[[#This Row],[UDC]],TableAvailabilities[],3,FALSE)&gt;0,"Y",""),"")</f>
        <v>Y</v>
      </c>
      <c r="I34" s="135" t="str">
        <f>IFERROR(IF(VLOOKUP(TableHandbook[[#This Row],[UDC]],TableAvailabilities[],4,FALSE)&gt;0,"Y",""),"")</f>
        <v>Y</v>
      </c>
      <c r="J34" s="136" t="str">
        <f>IFERROR(IF(VLOOKUP(TableHandbook[[#This Row],[UDC]],TableAvailabilities[],5,FALSE)&gt;0,"Y",""),"")</f>
        <v>Y</v>
      </c>
      <c r="K34" s="104"/>
      <c r="L34" s="44" t="str">
        <f>IFERROR(VLOOKUP(TableHandbook[[#This Row],[UDC]],TableGCENVCLM[],7,FALSE),"")</f>
        <v>Option</v>
      </c>
      <c r="M34" s="44" t="str">
        <f>IFERROR(VLOOKUP(TableHandbook[[#This Row],[UDC]],TableGDENVCLM[],7,FALSE),"")</f>
        <v>Option</v>
      </c>
      <c r="N34" s="44" t="str">
        <f>IFERROR(VLOOKUP(TableHandbook[[#This Row],[UDC]],TableMCENVCLM[],7,FALSE),"")</f>
        <v>Core</v>
      </c>
    </row>
    <row r="35" spans="1:14" x14ac:dyDescent="0.25">
      <c r="A35" s="7" t="s">
        <v>107</v>
      </c>
      <c r="B35" s="40">
        <v>1</v>
      </c>
      <c r="C35" s="7"/>
      <c r="D35" s="7" t="s">
        <v>164</v>
      </c>
      <c r="E35" s="10">
        <v>25</v>
      </c>
      <c r="F35" s="71" t="s">
        <v>125</v>
      </c>
      <c r="G35" s="91" t="str">
        <f>IFERROR(IF(VLOOKUP(TableHandbook[[#This Row],[UDC]],TableAvailabilities[],2,FALSE)&gt;0,"Y",""),"")</f>
        <v/>
      </c>
      <c r="H35" s="92" t="str">
        <f>IFERROR(IF(VLOOKUP(TableHandbook[[#This Row],[UDC]],TableAvailabilities[],3,FALSE)&gt;0,"Y",""),"")</f>
        <v/>
      </c>
      <c r="I35" s="93" t="str">
        <f>IFERROR(IF(VLOOKUP(TableHandbook[[#This Row],[UDC]],TableAvailabilities[],4,FALSE)&gt;0,"Y",""),"")</f>
        <v/>
      </c>
      <c r="J35" s="94" t="str">
        <f>IFERROR(IF(VLOOKUP(TableHandbook[[#This Row],[UDC]],TableAvailabilities[],5,FALSE)&gt;0,"Y",""),"")</f>
        <v/>
      </c>
      <c r="K35" s="104"/>
      <c r="L35" s="44" t="str">
        <f>IFERROR(VLOOKUP(TableHandbook[[#This Row],[UDC]],TableGCENVCLM[],7,FALSE),"")</f>
        <v>Option</v>
      </c>
      <c r="M35" s="44" t="str">
        <f>IFERROR(VLOOKUP(TableHandbook[[#This Row],[UDC]],TableGDENVCLM[],7,FALSE),"")</f>
        <v>Option</v>
      </c>
      <c r="N35" s="44" t="str">
        <f>IFERROR(VLOOKUP(TableHandbook[[#This Row],[UDC]],TableMCENVCLM[],7,FALSE),"")</f>
        <v>Option</v>
      </c>
    </row>
  </sheetData>
  <sortState ref="A24:D37">
    <sortCondition ref="A24"/>
  </sortState>
  <conditionalFormatting sqref="A4:A35">
    <cfRule type="duplicateValues" dxfId="56" priority="39"/>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84"/>
  <sheetViews>
    <sheetView zoomScale="70" zoomScaleNormal="70" workbookViewId="0">
      <selection activeCell="C26" sqref="C26"/>
    </sheetView>
  </sheetViews>
  <sheetFormatPr defaultRowHeight="15.75" x14ac:dyDescent="0.25"/>
  <cols>
    <col min="1" max="1" width="12.5" bestFit="1" customWidth="1"/>
    <col min="2" max="2" width="13.375" style="3" bestFit="1" customWidth="1"/>
    <col min="3" max="3" width="12.5" bestFit="1" customWidth="1"/>
    <col min="4" max="4" width="57.25" bestFit="1" customWidth="1"/>
    <col min="5" max="5" width="9.75" style="3"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57.25" bestFit="1" customWidth="1"/>
    <col min="13" max="13" width="14.75" bestFit="1" customWidth="1"/>
    <col min="14" max="14" width="11.875" bestFit="1" customWidth="1"/>
    <col min="15" max="15" width="10.875" bestFit="1" customWidth="1"/>
    <col min="17" max="17" width="10.625" bestFit="1" customWidth="1"/>
    <col min="18" max="18" width="7.125" bestFit="1" customWidth="1"/>
    <col min="20" max="20" width="10" bestFit="1" customWidth="1"/>
  </cols>
  <sheetData>
    <row r="1" spans="1:18" x14ac:dyDescent="0.25">
      <c r="B1"/>
      <c r="E1"/>
      <c r="G1" s="68" t="s">
        <v>165</v>
      </c>
      <c r="H1" s="69">
        <v>43831</v>
      </c>
      <c r="I1" s="67"/>
      <c r="J1" s="152" t="s">
        <v>61</v>
      </c>
      <c r="K1" s="67" t="s">
        <v>62</v>
      </c>
      <c r="L1" s="67" t="s">
        <v>60</v>
      </c>
      <c r="M1" s="67"/>
      <c r="N1" s="159" t="s">
        <v>166</v>
      </c>
      <c r="O1" s="160">
        <v>45334</v>
      </c>
    </row>
    <row r="2" spans="1:18" x14ac:dyDescent="0.25">
      <c r="A2" t="s">
        <v>0</v>
      </c>
      <c r="B2" s="3" t="s">
        <v>54</v>
      </c>
      <c r="C2" t="s">
        <v>167</v>
      </c>
      <c r="D2" t="s">
        <v>3</v>
      </c>
      <c r="E2" s="70" t="s">
        <v>168</v>
      </c>
      <c r="F2" t="s">
        <v>169</v>
      </c>
      <c r="G2" t="s">
        <v>170</v>
      </c>
      <c r="H2" t="s">
        <v>171</v>
      </c>
      <c r="I2" t="s">
        <v>18</v>
      </c>
      <c r="J2" t="s">
        <v>172</v>
      </c>
      <c r="K2" t="s">
        <v>1</v>
      </c>
      <c r="L2" t="s">
        <v>41</v>
      </c>
      <c r="M2" t="s">
        <v>55</v>
      </c>
      <c r="N2" t="s">
        <v>173</v>
      </c>
      <c r="O2" t="s">
        <v>174</v>
      </c>
      <c r="Q2" t="s">
        <v>175</v>
      </c>
      <c r="R2" t="s">
        <v>1</v>
      </c>
    </row>
    <row r="3" spans="1:18" x14ac:dyDescent="0.25">
      <c r="A3" t="str">
        <f>TableGCENVCLM[[#This Row],[Study Package Code]]</f>
        <v>SUST5024</v>
      </c>
      <c r="B3" s="3">
        <f>TableGCENVCLM[[#This Row],[Ver]]</f>
        <v>1</v>
      </c>
      <c r="D3" t="str">
        <f>TableGCENVCLM[[#This Row],[Structure Line]]</f>
        <v>Sustainable Waste Management</v>
      </c>
      <c r="E3" s="70">
        <f>TableGCENVCLM[[#This Row],[Credit Points]]</f>
        <v>25</v>
      </c>
      <c r="F3">
        <v>1</v>
      </c>
      <c r="G3" t="s">
        <v>176</v>
      </c>
      <c r="H3">
        <v>1</v>
      </c>
      <c r="I3" t="s">
        <v>177</v>
      </c>
      <c r="J3" t="s">
        <v>48</v>
      </c>
      <c r="K3">
        <v>1</v>
      </c>
      <c r="L3" t="s">
        <v>151</v>
      </c>
      <c r="M3">
        <v>25</v>
      </c>
      <c r="N3" s="130">
        <v>44197</v>
      </c>
      <c r="O3" s="130"/>
      <c r="Q3" t="s">
        <v>48</v>
      </c>
      <c r="R3">
        <v>1</v>
      </c>
    </row>
    <row r="4" spans="1:18" x14ac:dyDescent="0.25">
      <c r="A4" t="str">
        <f>TableGCENVCLM[[#This Row],[Study Package Code]]</f>
        <v>SUST5005</v>
      </c>
      <c r="B4" s="3">
        <f>TableGCENVCLM[[#This Row],[Ver]]</f>
        <v>2</v>
      </c>
      <c r="D4" t="str">
        <f>TableGCENVCLM[[#This Row],[Structure Line]]</f>
        <v>Future Cities</v>
      </c>
      <c r="E4" s="70">
        <f>TableGCENVCLM[[#This Row],[Credit Points]]</f>
        <v>25</v>
      </c>
      <c r="F4">
        <v>2</v>
      </c>
      <c r="G4" t="s">
        <v>176</v>
      </c>
      <c r="H4">
        <v>1</v>
      </c>
      <c r="I4" t="s">
        <v>177</v>
      </c>
      <c r="J4" t="s">
        <v>52</v>
      </c>
      <c r="K4">
        <v>2</v>
      </c>
      <c r="L4" t="s">
        <v>146</v>
      </c>
      <c r="M4">
        <v>25</v>
      </c>
      <c r="N4" s="130">
        <v>43831</v>
      </c>
      <c r="O4" s="130"/>
      <c r="Q4" t="s">
        <v>52</v>
      </c>
      <c r="R4">
        <v>2</v>
      </c>
    </row>
    <row r="5" spans="1:18" x14ac:dyDescent="0.25">
      <c r="A5" t="str">
        <f>TableGCENVCLM[[#This Row],[Study Package Code]]</f>
        <v>SUST7000</v>
      </c>
      <c r="B5" s="3">
        <f>TableGCENVCLM[[#This Row],[Ver]]</f>
        <v>2</v>
      </c>
      <c r="D5" t="str">
        <f>TableGCENVCLM[[#This Row],[Structure Line]]</f>
        <v>Introduction to Environment &amp; Climate Emergency</v>
      </c>
      <c r="E5" s="70">
        <f>TableGCENVCLM[[#This Row],[Credit Points]]</f>
        <v>25</v>
      </c>
      <c r="F5">
        <v>3</v>
      </c>
      <c r="G5" t="s">
        <v>176</v>
      </c>
      <c r="H5">
        <v>1</v>
      </c>
      <c r="I5" t="s">
        <v>177</v>
      </c>
      <c r="J5" t="s">
        <v>58</v>
      </c>
      <c r="K5">
        <v>2</v>
      </c>
      <c r="L5" t="s">
        <v>158</v>
      </c>
      <c r="M5">
        <v>25</v>
      </c>
      <c r="N5" s="130">
        <v>43831</v>
      </c>
      <c r="O5" s="130"/>
      <c r="Q5" t="s">
        <v>58</v>
      </c>
      <c r="R5">
        <v>2</v>
      </c>
    </row>
    <row r="6" spans="1:18" x14ac:dyDescent="0.25">
      <c r="A6" t="str">
        <f>TableGCENVCLM[[#This Row],[Study Package Code]]</f>
        <v>Option</v>
      </c>
      <c r="B6" s="3">
        <f>TableGCENVCLM[[#This Row],[Ver]]</f>
        <v>0</v>
      </c>
      <c r="D6" t="str">
        <f>TableGCENVCLM[[#This Row],[Structure Line]]</f>
        <v>Choose an Option</v>
      </c>
      <c r="E6" s="70">
        <f>TableGCENVCLM[[#This Row],[Credit Points]]</f>
        <v>25</v>
      </c>
      <c r="F6">
        <v>4</v>
      </c>
      <c r="G6" t="s">
        <v>65</v>
      </c>
      <c r="H6">
        <v>1</v>
      </c>
      <c r="I6" t="s">
        <v>177</v>
      </c>
      <c r="J6" t="s">
        <v>65</v>
      </c>
      <c r="K6">
        <v>0</v>
      </c>
      <c r="L6" t="s">
        <v>178</v>
      </c>
      <c r="M6">
        <v>25</v>
      </c>
      <c r="N6" s="130"/>
      <c r="O6" s="130"/>
      <c r="Q6" t="s">
        <v>65</v>
      </c>
      <c r="R6">
        <v>0</v>
      </c>
    </row>
    <row r="7" spans="1:18" x14ac:dyDescent="0.25">
      <c r="A7" t="str">
        <f>TableGCENVCLM[[#This Row],[Study Package Code]]</f>
        <v>ENST5005</v>
      </c>
      <c r="B7" s="3">
        <f>TableGCENVCLM[[#This Row],[Ver]]</f>
        <v>2</v>
      </c>
      <c r="D7" t="str">
        <f>TableGCENVCLM[[#This Row],[Structure Line]]</f>
        <v>Global Environmental Challenges</v>
      </c>
      <c r="E7" s="70">
        <f>TableGCENVCLM[[#This Row],[Credit Points]]</f>
        <v>25</v>
      </c>
      <c r="F7">
        <v>4</v>
      </c>
      <c r="G7" t="s">
        <v>65</v>
      </c>
      <c r="H7">
        <v>1</v>
      </c>
      <c r="I7" t="s">
        <v>177</v>
      </c>
      <c r="J7" t="s">
        <v>108</v>
      </c>
      <c r="K7">
        <v>2</v>
      </c>
      <c r="L7" t="s">
        <v>126</v>
      </c>
      <c r="M7">
        <v>25</v>
      </c>
      <c r="N7" s="130">
        <v>43831</v>
      </c>
      <c r="O7" s="130"/>
      <c r="Q7" t="s">
        <v>108</v>
      </c>
      <c r="R7">
        <v>2</v>
      </c>
    </row>
    <row r="8" spans="1:18" x14ac:dyDescent="0.25">
      <c r="A8" t="str">
        <f>TableGCENVCLM[[#This Row],[Study Package Code]]</f>
        <v>GRDE5013</v>
      </c>
      <c r="B8" s="3">
        <f>TableGCENVCLM[[#This Row],[Ver]]</f>
        <v>1</v>
      </c>
      <c r="D8" t="str">
        <f>TableGCENVCLM[[#This Row],[Structure Line]]</f>
        <v>Design Entrepreneurship</v>
      </c>
      <c r="E8" s="70">
        <f>TableGCENVCLM[[#This Row],[Credit Points]]</f>
        <v>25</v>
      </c>
      <c r="F8">
        <v>4</v>
      </c>
      <c r="G8" t="s">
        <v>65</v>
      </c>
      <c r="H8">
        <v>1</v>
      </c>
      <c r="I8" t="s">
        <v>177</v>
      </c>
      <c r="J8" t="s">
        <v>100</v>
      </c>
      <c r="K8">
        <v>1</v>
      </c>
      <c r="L8" t="s">
        <v>128</v>
      </c>
      <c r="M8">
        <v>25</v>
      </c>
      <c r="N8" s="130">
        <v>44197</v>
      </c>
      <c r="O8" s="130"/>
      <c r="Q8" t="s">
        <v>100</v>
      </c>
      <c r="R8">
        <v>1</v>
      </c>
    </row>
    <row r="9" spans="1:18" x14ac:dyDescent="0.25">
      <c r="A9" t="str">
        <f>TableGCENVCLM[[#This Row],[Study Package Code]]</f>
        <v>ISYS5009</v>
      </c>
      <c r="B9" s="3">
        <f>TableGCENVCLM[[#This Row],[Ver]]</f>
        <v>1</v>
      </c>
      <c r="D9" t="str">
        <f>TableGCENVCLM[[#This Row],[Structure Line]]</f>
        <v>Societal Impact of Technological Innovation</v>
      </c>
      <c r="E9" s="70">
        <f>TableGCENVCLM[[#This Row],[Credit Points]]</f>
        <v>25</v>
      </c>
      <c r="F9">
        <v>4</v>
      </c>
      <c r="G9" t="s">
        <v>65</v>
      </c>
      <c r="H9">
        <v>1</v>
      </c>
      <c r="I9" t="s">
        <v>177</v>
      </c>
      <c r="J9" t="s">
        <v>111</v>
      </c>
      <c r="K9">
        <v>1</v>
      </c>
      <c r="L9" t="s">
        <v>136</v>
      </c>
      <c r="M9">
        <v>25</v>
      </c>
      <c r="N9" s="130">
        <v>44197</v>
      </c>
      <c r="O9" s="130"/>
      <c r="Q9" t="s">
        <v>111</v>
      </c>
      <c r="R9">
        <v>1</v>
      </c>
    </row>
    <row r="10" spans="1:18" x14ac:dyDescent="0.25">
      <c r="A10" t="str">
        <f>TableGCENVCLM[[#This Row],[Study Package Code]]</f>
        <v>ISYS6004</v>
      </c>
      <c r="B10" s="3">
        <f>TableGCENVCLM[[#This Row],[Ver]]</f>
        <v>2</v>
      </c>
      <c r="D10" t="str">
        <f>TableGCENVCLM[[#This Row],[Structure Line]]</f>
        <v>Green Information Technology and Sustainability</v>
      </c>
      <c r="E10" s="70">
        <f>TableGCENVCLM[[#This Row],[Credit Points]]</f>
        <v>25</v>
      </c>
      <c r="F10">
        <v>4</v>
      </c>
      <c r="G10" t="s">
        <v>65</v>
      </c>
      <c r="H10">
        <v>1</v>
      </c>
      <c r="I10" t="s">
        <v>177</v>
      </c>
      <c r="J10" t="s">
        <v>113</v>
      </c>
      <c r="K10">
        <v>2</v>
      </c>
      <c r="L10" t="s">
        <v>137</v>
      </c>
      <c r="M10">
        <v>25</v>
      </c>
      <c r="N10" s="130">
        <v>42736</v>
      </c>
      <c r="O10" s="130"/>
      <c r="Q10" t="s">
        <v>113</v>
      </c>
      <c r="R10">
        <v>2</v>
      </c>
    </row>
    <row r="11" spans="1:18" x14ac:dyDescent="0.25">
      <c r="A11" t="str">
        <f>TableGCENVCLM[[#This Row],[Study Package Code]]</f>
        <v>MKTG6003</v>
      </c>
      <c r="B11" s="3">
        <f>TableGCENVCLM[[#This Row],[Ver]]</f>
        <v>2</v>
      </c>
      <c r="D11" t="str">
        <f>TableGCENVCLM[[#This Row],[Structure Line]]</f>
        <v>Sustainable and Societal Marketing</v>
      </c>
      <c r="E11" s="70">
        <f>TableGCENVCLM[[#This Row],[Credit Points]]</f>
        <v>25</v>
      </c>
      <c r="F11">
        <v>4</v>
      </c>
      <c r="G11" t="s">
        <v>65</v>
      </c>
      <c r="H11">
        <v>1</v>
      </c>
      <c r="I11" t="s">
        <v>177</v>
      </c>
      <c r="J11" t="s">
        <v>114</v>
      </c>
      <c r="K11">
        <v>2</v>
      </c>
      <c r="L11" t="s">
        <v>139</v>
      </c>
      <c r="M11">
        <v>25</v>
      </c>
      <c r="N11" s="130">
        <v>44562</v>
      </c>
      <c r="O11" s="130"/>
      <c r="Q11" t="s">
        <v>114</v>
      </c>
      <c r="R11">
        <v>2</v>
      </c>
    </row>
    <row r="12" spans="1:18" x14ac:dyDescent="0.25">
      <c r="A12" t="str">
        <f>TableGCENVCLM[[#This Row],[Study Package Code]]</f>
        <v>PRJM6000</v>
      </c>
      <c r="B12" s="3">
        <f>TableGCENVCLM[[#This Row],[Ver]]</f>
        <v>1</v>
      </c>
      <c r="D12" t="str">
        <f>TableGCENVCLM[[#This Row],[Structure Line]]</f>
        <v>Project Management Overview</v>
      </c>
      <c r="E12" s="70">
        <f>TableGCENVCLM[[#This Row],[Credit Points]]</f>
        <v>25</v>
      </c>
      <c r="F12">
        <v>4</v>
      </c>
      <c r="G12" t="s">
        <v>65</v>
      </c>
      <c r="H12">
        <v>1</v>
      </c>
      <c r="I12" t="s">
        <v>177</v>
      </c>
      <c r="J12" t="s">
        <v>101</v>
      </c>
      <c r="K12">
        <v>1</v>
      </c>
      <c r="L12" t="s">
        <v>142</v>
      </c>
      <c r="M12">
        <v>25</v>
      </c>
      <c r="N12" s="130">
        <v>42005</v>
      </c>
      <c r="O12" s="130"/>
      <c r="Q12" t="s">
        <v>101</v>
      </c>
      <c r="R12">
        <v>1</v>
      </c>
    </row>
    <row r="13" spans="1:18" x14ac:dyDescent="0.25">
      <c r="A13" t="str">
        <f>TableGCENVCLM[[#This Row],[Study Package Code]]</f>
        <v>PRJM6010</v>
      </c>
      <c r="B13" s="3">
        <f>TableGCENVCLM[[#This Row],[Ver]]</f>
        <v>1</v>
      </c>
      <c r="D13" t="str">
        <f>TableGCENVCLM[[#This Row],[Structure Line]]</f>
        <v>Project and People</v>
      </c>
      <c r="E13" s="70">
        <f>TableGCENVCLM[[#This Row],[Credit Points]]</f>
        <v>25</v>
      </c>
      <c r="F13">
        <v>4</v>
      </c>
      <c r="G13" t="s">
        <v>65</v>
      </c>
      <c r="H13">
        <v>1</v>
      </c>
      <c r="I13" t="s">
        <v>177</v>
      </c>
      <c r="J13" t="s">
        <v>102</v>
      </c>
      <c r="K13">
        <v>1</v>
      </c>
      <c r="L13" t="s">
        <v>143</v>
      </c>
      <c r="M13">
        <v>25</v>
      </c>
      <c r="N13" s="130">
        <v>42005</v>
      </c>
      <c r="O13" s="130"/>
      <c r="Q13" t="s">
        <v>102</v>
      </c>
      <c r="R13">
        <v>1</v>
      </c>
    </row>
    <row r="14" spans="1:18" x14ac:dyDescent="0.25">
      <c r="A14" t="str">
        <f>TableGCENVCLM[[#This Row],[Study Package Code]]</f>
        <v>SUST5004</v>
      </c>
      <c r="B14" s="3">
        <f>TableGCENVCLM[[#This Row],[Ver]]</f>
        <v>1</v>
      </c>
      <c r="D14" t="str">
        <f>TableGCENVCLM[[#This Row],[Structure Line]]</f>
        <v>Leadership in Sustainability</v>
      </c>
      <c r="E14" s="70">
        <f>TableGCENVCLM[[#This Row],[Credit Points]]</f>
        <v>25</v>
      </c>
      <c r="F14">
        <v>4</v>
      </c>
      <c r="G14" t="s">
        <v>65</v>
      </c>
      <c r="H14">
        <v>1</v>
      </c>
      <c r="I14" t="s">
        <v>177</v>
      </c>
      <c r="J14" t="s">
        <v>80</v>
      </c>
      <c r="K14">
        <v>1</v>
      </c>
      <c r="L14" t="s">
        <v>145</v>
      </c>
      <c r="M14">
        <v>25</v>
      </c>
      <c r="N14" s="130">
        <v>42005</v>
      </c>
      <c r="O14" s="130"/>
      <c r="Q14" t="s">
        <v>80</v>
      </c>
      <c r="R14">
        <v>1</v>
      </c>
    </row>
    <row r="15" spans="1:18" x14ac:dyDescent="0.25">
      <c r="A15" t="str">
        <f>TableGCENVCLM[[#This Row],[Study Package Code]]</f>
        <v>SUST5005</v>
      </c>
      <c r="B15" s="3">
        <f>TableGCENVCLM[[#This Row],[Ver]]</f>
        <v>2</v>
      </c>
      <c r="D15" t="str">
        <f>TableGCENVCLM[[#This Row],[Structure Line]]</f>
        <v>Future Cities</v>
      </c>
      <c r="E15" s="70">
        <f>TableGCENVCLM[[#This Row],[Credit Points]]</f>
        <v>25</v>
      </c>
      <c r="F15">
        <v>4</v>
      </c>
      <c r="G15" t="s">
        <v>65</v>
      </c>
      <c r="H15">
        <v>1</v>
      </c>
      <c r="I15" t="s">
        <v>177</v>
      </c>
      <c r="J15" t="s">
        <v>52</v>
      </c>
      <c r="K15">
        <v>2</v>
      </c>
      <c r="L15" t="s">
        <v>146</v>
      </c>
      <c r="M15">
        <v>25</v>
      </c>
      <c r="N15" s="130">
        <v>43831</v>
      </c>
      <c r="O15" s="130"/>
      <c r="Q15" t="s">
        <v>52</v>
      </c>
      <c r="R15">
        <v>2</v>
      </c>
    </row>
    <row r="16" spans="1:18" x14ac:dyDescent="0.25">
      <c r="A16" t="str">
        <f>TableGCENVCLM[[#This Row],[Study Package Code]]</f>
        <v>SUST5020</v>
      </c>
      <c r="B16" s="3">
        <f>TableGCENVCLM[[#This Row],[Ver]]</f>
        <v>1</v>
      </c>
      <c r="D16" t="str">
        <f>TableGCENVCLM[[#This Row],[Structure Line]]</f>
        <v>Sustainability, Climate Change and Economics</v>
      </c>
      <c r="E16" s="70">
        <f>TableGCENVCLM[[#This Row],[Credit Points]]</f>
        <v>25</v>
      </c>
      <c r="F16">
        <v>4</v>
      </c>
      <c r="G16" t="s">
        <v>65</v>
      </c>
      <c r="H16">
        <v>1</v>
      </c>
      <c r="I16" t="s">
        <v>177</v>
      </c>
      <c r="J16" t="s">
        <v>78</v>
      </c>
      <c r="K16">
        <v>1</v>
      </c>
      <c r="L16" t="s">
        <v>150</v>
      </c>
      <c r="M16">
        <v>25</v>
      </c>
      <c r="N16" s="130">
        <v>42736</v>
      </c>
      <c r="O16" s="130"/>
      <c r="Q16" t="s">
        <v>78</v>
      </c>
      <c r="R16">
        <v>1</v>
      </c>
    </row>
    <row r="17" spans="1:18" x14ac:dyDescent="0.25">
      <c r="A17" t="str">
        <f>TableGCENVCLM[[#This Row],[Study Package Code]]</f>
        <v>SUST5024</v>
      </c>
      <c r="B17" s="3">
        <f>TableGCENVCLM[[#This Row],[Ver]]</f>
        <v>1</v>
      </c>
      <c r="D17" t="str">
        <f>TableGCENVCLM[[#This Row],[Structure Line]]</f>
        <v>Sustainable Waste Management</v>
      </c>
      <c r="E17" s="70">
        <f>TableGCENVCLM[[#This Row],[Credit Points]]</f>
        <v>25</v>
      </c>
      <c r="F17">
        <v>4</v>
      </c>
      <c r="G17" t="s">
        <v>65</v>
      </c>
      <c r="H17">
        <v>1</v>
      </c>
      <c r="I17" t="s">
        <v>177</v>
      </c>
      <c r="J17" t="s">
        <v>48</v>
      </c>
      <c r="K17">
        <v>1</v>
      </c>
      <c r="L17" t="s">
        <v>151</v>
      </c>
      <c r="M17">
        <v>25</v>
      </c>
      <c r="N17" s="130">
        <v>44197</v>
      </c>
      <c r="O17" s="130"/>
      <c r="Q17" t="s">
        <v>48</v>
      </c>
      <c r="R17">
        <v>1</v>
      </c>
    </row>
    <row r="18" spans="1:18" x14ac:dyDescent="0.25">
      <c r="A18" t="str">
        <f>TableGCENVCLM[[#This Row],[Study Package Code]]</f>
        <v>SUST7000</v>
      </c>
      <c r="B18" s="3">
        <f>TableGCENVCLM[[#This Row],[Ver]]</f>
        <v>2</v>
      </c>
      <c r="D18" t="str">
        <f>TableGCENVCLM[[#This Row],[Structure Line]]</f>
        <v>Introduction to Environment &amp; Climate Emergency</v>
      </c>
      <c r="E18" s="70">
        <f>TableGCENVCLM[[#This Row],[Credit Points]]</f>
        <v>25</v>
      </c>
      <c r="F18">
        <v>4</v>
      </c>
      <c r="G18" t="s">
        <v>65</v>
      </c>
      <c r="H18">
        <v>1</v>
      </c>
      <c r="I18" t="s">
        <v>177</v>
      </c>
      <c r="J18" t="s">
        <v>58</v>
      </c>
      <c r="K18">
        <v>2</v>
      </c>
      <c r="L18" t="s">
        <v>158</v>
      </c>
      <c r="M18">
        <v>25</v>
      </c>
      <c r="N18" s="130">
        <v>43831</v>
      </c>
      <c r="O18" s="130"/>
      <c r="Q18" t="s">
        <v>58</v>
      </c>
      <c r="R18">
        <v>2</v>
      </c>
    </row>
    <row r="19" spans="1:18" x14ac:dyDescent="0.25">
      <c r="A19" t="str">
        <f>TableGCENVCLM[[#This Row],[Study Package Code]]</f>
        <v>URDE5002</v>
      </c>
      <c r="B19" s="3">
        <f>TableGCENVCLM[[#This Row],[Ver]]</f>
        <v>2</v>
      </c>
      <c r="D19" t="str">
        <f>TableGCENVCLM[[#This Row],[Structure Line]]</f>
        <v>Planning for Regions</v>
      </c>
      <c r="E19" s="70">
        <f>TableGCENVCLM[[#This Row],[Credit Points]]</f>
        <v>25</v>
      </c>
      <c r="F19">
        <v>4</v>
      </c>
      <c r="G19" t="s">
        <v>65</v>
      </c>
      <c r="H19">
        <v>1</v>
      </c>
      <c r="I19" t="s">
        <v>177</v>
      </c>
      <c r="J19" t="s">
        <v>103</v>
      </c>
      <c r="K19">
        <v>2</v>
      </c>
      <c r="L19" t="s">
        <v>159</v>
      </c>
      <c r="M19">
        <v>25</v>
      </c>
      <c r="N19" s="130">
        <v>44197</v>
      </c>
      <c r="O19" s="130"/>
      <c r="Q19" t="s">
        <v>103</v>
      </c>
      <c r="R19">
        <v>2</v>
      </c>
    </row>
    <row r="20" spans="1:18" x14ac:dyDescent="0.25">
      <c r="A20" t="str">
        <f>TableGCENVCLM[[#This Row],[Study Package Code]]</f>
        <v>URDE5009</v>
      </c>
      <c r="B20" s="3">
        <f>TableGCENVCLM[[#This Row],[Ver]]</f>
        <v>1</v>
      </c>
      <c r="D20" t="str">
        <f>TableGCENVCLM[[#This Row],[Structure Line]]</f>
        <v>Participatory Planning</v>
      </c>
      <c r="E20" s="70">
        <f>TableGCENVCLM[[#This Row],[Credit Points]]</f>
        <v>25</v>
      </c>
      <c r="F20">
        <v>4</v>
      </c>
      <c r="G20" t="s">
        <v>65</v>
      </c>
      <c r="H20">
        <v>1</v>
      </c>
      <c r="I20" t="s">
        <v>177</v>
      </c>
      <c r="J20" t="s">
        <v>104</v>
      </c>
      <c r="K20">
        <v>1</v>
      </c>
      <c r="L20" t="s">
        <v>160</v>
      </c>
      <c r="M20">
        <v>25</v>
      </c>
      <c r="N20" s="130">
        <v>42005</v>
      </c>
      <c r="O20" s="130"/>
      <c r="Q20" t="s">
        <v>104</v>
      </c>
      <c r="R20">
        <v>1</v>
      </c>
    </row>
    <row r="21" spans="1:18" x14ac:dyDescent="0.25">
      <c r="A21" t="str">
        <f>TableGCENVCLM[[#This Row],[Study Package Code]]</f>
        <v>URDE5013</v>
      </c>
      <c r="B21" s="3">
        <f>TableGCENVCLM[[#This Row],[Ver]]</f>
        <v>3</v>
      </c>
      <c r="D21" t="str">
        <f>TableGCENVCLM[[#This Row],[Structure Line]]</f>
        <v>Planning Theory and Context</v>
      </c>
      <c r="E21" s="70">
        <f>TableGCENVCLM[[#This Row],[Credit Points]]</f>
        <v>25</v>
      </c>
      <c r="F21">
        <v>4</v>
      </c>
      <c r="G21" t="s">
        <v>65</v>
      </c>
      <c r="H21">
        <v>1</v>
      </c>
      <c r="I21" t="s">
        <v>177</v>
      </c>
      <c r="J21" t="s">
        <v>105</v>
      </c>
      <c r="K21">
        <v>3</v>
      </c>
      <c r="L21" t="s">
        <v>161</v>
      </c>
      <c r="M21">
        <v>25</v>
      </c>
      <c r="N21" s="130">
        <v>44562</v>
      </c>
      <c r="O21" s="130"/>
      <c r="Q21" t="s">
        <v>105</v>
      </c>
      <c r="R21">
        <v>3</v>
      </c>
    </row>
    <row r="22" spans="1:18" x14ac:dyDescent="0.25">
      <c r="A22" t="str">
        <f>TableGCENVCLM[[#This Row],[Study Package Code]]</f>
        <v>URDE5025</v>
      </c>
      <c r="B22" s="3">
        <f>TableGCENVCLM[[#This Row],[Ver]]</f>
        <v>1</v>
      </c>
      <c r="D22" t="str">
        <f>TableGCENVCLM[[#This Row],[Structure Line]]</f>
        <v>Planning Law</v>
      </c>
      <c r="E22" s="70">
        <f>TableGCENVCLM[[#This Row],[Credit Points]]</f>
        <v>25</v>
      </c>
      <c r="F22">
        <v>4</v>
      </c>
      <c r="G22" t="s">
        <v>65</v>
      </c>
      <c r="H22">
        <v>1</v>
      </c>
      <c r="I22" t="s">
        <v>177</v>
      </c>
      <c r="J22" t="s">
        <v>106</v>
      </c>
      <c r="K22">
        <v>1</v>
      </c>
      <c r="L22" t="s">
        <v>162</v>
      </c>
      <c r="M22">
        <v>25</v>
      </c>
      <c r="N22" s="130">
        <v>42005</v>
      </c>
      <c r="O22" s="130"/>
      <c r="Q22" t="s">
        <v>106</v>
      </c>
      <c r="R22">
        <v>1</v>
      </c>
    </row>
    <row r="23" spans="1:18" x14ac:dyDescent="0.25">
      <c r="A23" t="str">
        <f>TableGCENVCLM[[#This Row],[Study Package Code]]</f>
        <v>URDE6006</v>
      </c>
      <c r="B23" s="3">
        <f>TableGCENVCLM[[#This Row],[Ver]]</f>
        <v>1</v>
      </c>
      <c r="D23" t="str">
        <f>TableGCENVCLM[[#This Row],[Structure Line]]</f>
        <v>Design and Built Environment Research Methods</v>
      </c>
      <c r="E23" s="70">
        <f>TableGCENVCLM[[#This Row],[Credit Points]]</f>
        <v>25</v>
      </c>
      <c r="F23">
        <v>4</v>
      </c>
      <c r="G23" t="s">
        <v>65</v>
      </c>
      <c r="H23">
        <v>1</v>
      </c>
      <c r="I23" t="s">
        <v>177</v>
      </c>
      <c r="J23" t="s">
        <v>73</v>
      </c>
      <c r="K23">
        <v>1</v>
      </c>
      <c r="L23" t="s">
        <v>163</v>
      </c>
      <c r="M23">
        <v>25</v>
      </c>
      <c r="N23" s="130">
        <v>44562</v>
      </c>
      <c r="O23" s="130"/>
      <c r="Q23" t="s">
        <v>73</v>
      </c>
      <c r="R23">
        <v>1</v>
      </c>
    </row>
    <row r="24" spans="1:18" x14ac:dyDescent="0.25">
      <c r="A24" t="str">
        <f>TableGCENVCLM[[#This Row],[Study Package Code]]</f>
        <v>WORK5000</v>
      </c>
      <c r="B24" s="3">
        <f>TableGCENVCLM[[#This Row],[Ver]]</f>
        <v>1</v>
      </c>
      <c r="D24" t="str">
        <f>TableGCENVCLM[[#This Row],[Structure Line]]</f>
        <v>Work Based Project</v>
      </c>
      <c r="E24" s="70">
        <f>TableGCENVCLM[[#This Row],[Credit Points]]</f>
        <v>25</v>
      </c>
      <c r="F24">
        <v>4</v>
      </c>
      <c r="G24" t="s">
        <v>65</v>
      </c>
      <c r="H24">
        <v>1</v>
      </c>
      <c r="I24" t="s">
        <v>177</v>
      </c>
      <c r="J24" t="s">
        <v>107</v>
      </c>
      <c r="K24">
        <v>1</v>
      </c>
      <c r="L24" t="s">
        <v>179</v>
      </c>
      <c r="M24">
        <v>25</v>
      </c>
      <c r="N24" s="130">
        <v>43101</v>
      </c>
      <c r="O24" s="130"/>
      <c r="Q24" t="s">
        <v>107</v>
      </c>
      <c r="R24">
        <v>1</v>
      </c>
    </row>
    <row r="25" spans="1:18" x14ac:dyDescent="0.25">
      <c r="A25">
        <f>TableGCENVCLM[[#This Row],[Study Package Code]]</f>
        <v>0</v>
      </c>
      <c r="B25" s="3">
        <f>TableGCENVCLM[[#This Row],[Ver]]</f>
        <v>0</v>
      </c>
      <c r="D25">
        <f>TableGCENVCLM[[#This Row],[Structure Line]]</f>
        <v>0</v>
      </c>
      <c r="E25" s="70">
        <f>TableGCENVCLM[[#This Row],[Credit Points]]</f>
        <v>0</v>
      </c>
      <c r="N25" s="130"/>
      <c r="O25" s="130"/>
      <c r="Q25" t="s">
        <v>180</v>
      </c>
      <c r="R25">
        <v>1</v>
      </c>
    </row>
    <row r="26" spans="1:18" x14ac:dyDescent="0.25">
      <c r="A26">
        <f>TableGCENVCLM[[#This Row],[Study Package Code]]</f>
        <v>0</v>
      </c>
      <c r="B26" s="3">
        <f>TableGCENVCLM[[#This Row],[Ver]]</f>
        <v>0</v>
      </c>
      <c r="D26">
        <f>TableGCENVCLM[[#This Row],[Structure Line]]</f>
        <v>0</v>
      </c>
      <c r="E26" s="70">
        <f>TableGCENVCLM[[#This Row],[Credit Points]]</f>
        <v>0</v>
      </c>
      <c r="N26" s="130"/>
      <c r="O26" s="130"/>
      <c r="Q26" t="s">
        <v>181</v>
      </c>
      <c r="R26">
        <v>1</v>
      </c>
    </row>
    <row r="27" spans="1:18" x14ac:dyDescent="0.25">
      <c r="B27"/>
      <c r="E27"/>
      <c r="F27" s="67"/>
      <c r="G27" s="68" t="s">
        <v>165</v>
      </c>
      <c r="H27" s="69">
        <v>43831</v>
      </c>
      <c r="I27" s="67"/>
      <c r="J27" s="152" t="s">
        <v>67</v>
      </c>
      <c r="K27" s="67" t="s">
        <v>62</v>
      </c>
      <c r="L27" s="67" t="s">
        <v>66</v>
      </c>
      <c r="M27" s="67"/>
      <c r="N27" s="159" t="s">
        <v>166</v>
      </c>
      <c r="O27" s="160">
        <v>45334</v>
      </c>
    </row>
    <row r="28" spans="1:18" x14ac:dyDescent="0.25">
      <c r="A28" t="s">
        <v>0</v>
      </c>
      <c r="B28" s="3" t="s">
        <v>54</v>
      </c>
      <c r="C28" t="s">
        <v>167</v>
      </c>
      <c r="D28" t="s">
        <v>3</v>
      </c>
      <c r="E28" s="70" t="s">
        <v>168</v>
      </c>
      <c r="F28" t="s">
        <v>169</v>
      </c>
      <c r="G28" t="s">
        <v>170</v>
      </c>
      <c r="H28" t="s">
        <v>171</v>
      </c>
      <c r="I28" t="s">
        <v>18</v>
      </c>
      <c r="J28" t="s">
        <v>172</v>
      </c>
      <c r="K28" t="s">
        <v>1</v>
      </c>
      <c r="L28" t="s">
        <v>41</v>
      </c>
      <c r="M28" t="s">
        <v>55</v>
      </c>
      <c r="N28" t="s">
        <v>173</v>
      </c>
      <c r="O28" t="s">
        <v>174</v>
      </c>
      <c r="Q28" t="s">
        <v>175</v>
      </c>
      <c r="R28" t="s">
        <v>1</v>
      </c>
    </row>
    <row r="29" spans="1:18" x14ac:dyDescent="0.25">
      <c r="A29" t="str">
        <f>TableGDENVCLM[[#This Row],[Study Package Code]]</f>
        <v>SUST5024</v>
      </c>
      <c r="B29" s="3">
        <f>TableGDENVCLM[[#This Row],[Ver]]</f>
        <v>1</v>
      </c>
      <c r="D29" t="str">
        <f>TableGDENVCLM[[#This Row],[Structure Line]]</f>
        <v>Sustainable Waste Management</v>
      </c>
      <c r="E29" s="70">
        <f>TableGDENVCLM[[#This Row],[Credit Points]]</f>
        <v>25</v>
      </c>
      <c r="F29">
        <v>1</v>
      </c>
      <c r="G29" t="s">
        <v>176</v>
      </c>
      <c r="H29">
        <v>1</v>
      </c>
      <c r="I29" t="s">
        <v>177</v>
      </c>
      <c r="J29" t="s">
        <v>48</v>
      </c>
      <c r="K29">
        <v>1</v>
      </c>
      <c r="L29" t="s">
        <v>151</v>
      </c>
      <c r="M29">
        <v>25</v>
      </c>
      <c r="N29" s="130">
        <v>44197</v>
      </c>
      <c r="O29" s="130"/>
      <c r="Q29" t="s">
        <v>48</v>
      </c>
      <c r="R29">
        <v>1</v>
      </c>
    </row>
    <row r="30" spans="1:18" x14ac:dyDescent="0.25">
      <c r="A30" t="str">
        <f>TableGDENVCLM[[#This Row],[Study Package Code]]</f>
        <v>SUST5005</v>
      </c>
      <c r="B30" s="3">
        <f>TableGDENVCLM[[#This Row],[Ver]]</f>
        <v>2</v>
      </c>
      <c r="D30" t="str">
        <f>TableGDENVCLM[[#This Row],[Structure Line]]</f>
        <v>Future Cities</v>
      </c>
      <c r="E30" s="70">
        <f>TableGDENVCLM[[#This Row],[Credit Points]]</f>
        <v>25</v>
      </c>
      <c r="F30">
        <v>2</v>
      </c>
      <c r="G30" t="s">
        <v>176</v>
      </c>
      <c r="H30">
        <v>1</v>
      </c>
      <c r="I30" t="s">
        <v>177</v>
      </c>
      <c r="J30" t="s">
        <v>52</v>
      </c>
      <c r="K30">
        <v>2</v>
      </c>
      <c r="L30" t="s">
        <v>146</v>
      </c>
      <c r="M30">
        <v>25</v>
      </c>
      <c r="N30" s="130">
        <v>43831</v>
      </c>
      <c r="O30" s="130"/>
      <c r="Q30" t="s">
        <v>52</v>
      </c>
      <c r="R30">
        <v>2</v>
      </c>
    </row>
    <row r="31" spans="1:18" x14ac:dyDescent="0.25">
      <c r="A31" t="str">
        <f>TableGDENVCLM[[#This Row],[Study Package Code]]</f>
        <v>SUST7000</v>
      </c>
      <c r="B31" s="3">
        <f>TableGDENVCLM[[#This Row],[Ver]]</f>
        <v>2</v>
      </c>
      <c r="D31" t="str">
        <f>TableGDENVCLM[[#This Row],[Structure Line]]</f>
        <v>Introduction to Environment &amp; Climate Emergency</v>
      </c>
      <c r="E31" s="70">
        <f>TableGDENVCLM[[#This Row],[Credit Points]]</f>
        <v>25</v>
      </c>
      <c r="F31">
        <v>3</v>
      </c>
      <c r="G31" t="s">
        <v>176</v>
      </c>
      <c r="H31">
        <v>1</v>
      </c>
      <c r="I31" t="s">
        <v>177</v>
      </c>
      <c r="J31" t="s">
        <v>58</v>
      </c>
      <c r="K31">
        <v>2</v>
      </c>
      <c r="L31" t="s">
        <v>158</v>
      </c>
      <c r="M31">
        <v>25</v>
      </c>
      <c r="N31" s="130">
        <v>43831</v>
      </c>
      <c r="O31" s="130"/>
      <c r="Q31" t="s">
        <v>58</v>
      </c>
      <c r="R31">
        <v>2</v>
      </c>
    </row>
    <row r="32" spans="1:18" x14ac:dyDescent="0.25">
      <c r="A32" t="str">
        <f>TableGDENVCLM[[#This Row],[Study Package Code]]</f>
        <v>Option</v>
      </c>
      <c r="B32" s="3">
        <f>TableGDENVCLM[[#This Row],[Ver]]</f>
        <v>0</v>
      </c>
      <c r="D32" t="str">
        <f>TableGDENVCLM[[#This Row],[Structure Line]]</f>
        <v>Choose an Option</v>
      </c>
      <c r="E32" s="70">
        <f>TableGDENVCLM[[#This Row],[Credit Points]]</f>
        <v>25</v>
      </c>
      <c r="F32">
        <v>4</v>
      </c>
      <c r="G32" t="s">
        <v>65</v>
      </c>
      <c r="H32">
        <v>1</v>
      </c>
      <c r="I32" t="s">
        <v>177</v>
      </c>
      <c r="J32" t="s">
        <v>65</v>
      </c>
      <c r="K32">
        <v>0</v>
      </c>
      <c r="L32" t="s">
        <v>178</v>
      </c>
      <c r="M32">
        <v>25</v>
      </c>
      <c r="N32" s="130"/>
      <c r="O32" s="130"/>
      <c r="Q32" t="s">
        <v>65</v>
      </c>
      <c r="R32">
        <v>0</v>
      </c>
    </row>
    <row r="33" spans="1:18" x14ac:dyDescent="0.25">
      <c r="A33" t="str">
        <f>TableGDENVCLM[[#This Row],[Study Package Code]]</f>
        <v>SUST5003</v>
      </c>
      <c r="B33" s="3">
        <f>TableGDENVCLM[[#This Row],[Ver]]</f>
        <v>2</v>
      </c>
      <c r="D33" t="str">
        <f>TableGDENVCLM[[#This Row],[Structure Line]]</f>
        <v>Pathways to a Climate Resilient Society</v>
      </c>
      <c r="E33" s="70">
        <f>TableGDENVCLM[[#This Row],[Credit Points]]</f>
        <v>25</v>
      </c>
      <c r="F33">
        <v>5</v>
      </c>
      <c r="G33" t="s">
        <v>176</v>
      </c>
      <c r="H33">
        <v>1</v>
      </c>
      <c r="I33" t="s">
        <v>182</v>
      </c>
      <c r="J33" t="s">
        <v>51</v>
      </c>
      <c r="K33">
        <v>2</v>
      </c>
      <c r="L33" t="s">
        <v>144</v>
      </c>
      <c r="M33">
        <v>25</v>
      </c>
      <c r="N33" s="130">
        <v>43831</v>
      </c>
      <c r="O33" s="130"/>
      <c r="Q33" t="s">
        <v>51</v>
      </c>
      <c r="R33">
        <v>2</v>
      </c>
    </row>
    <row r="34" spans="1:18" x14ac:dyDescent="0.25">
      <c r="A34" t="str">
        <f>TableGDENVCLM[[#This Row],[Study Package Code]]</f>
        <v>SUST5008</v>
      </c>
      <c r="B34" s="3">
        <f>TableGDENVCLM[[#This Row],[Ver]]</f>
        <v>1</v>
      </c>
      <c r="D34" t="str">
        <f>TableGDENVCLM[[#This Row],[Structure Line]]</f>
        <v>Climate Policy</v>
      </c>
      <c r="E34" s="70">
        <f>TableGDENVCLM[[#This Row],[Credit Points]]</f>
        <v>25</v>
      </c>
      <c r="F34">
        <v>6</v>
      </c>
      <c r="G34" t="s">
        <v>176</v>
      </c>
      <c r="H34">
        <v>1</v>
      </c>
      <c r="I34" t="s">
        <v>182</v>
      </c>
      <c r="J34" t="s">
        <v>53</v>
      </c>
      <c r="K34">
        <v>1</v>
      </c>
      <c r="L34" t="s">
        <v>148</v>
      </c>
      <c r="M34">
        <v>25</v>
      </c>
      <c r="N34" s="130">
        <v>42005</v>
      </c>
      <c r="O34" s="130"/>
      <c r="Q34" t="s">
        <v>53</v>
      </c>
      <c r="R34">
        <v>1</v>
      </c>
    </row>
    <row r="35" spans="1:18" x14ac:dyDescent="0.25">
      <c r="A35" t="str">
        <f>TableGDENVCLM[[#This Row],[Study Package Code]]</f>
        <v>SUST5018</v>
      </c>
      <c r="B35" s="3">
        <f>TableGDENVCLM[[#This Row],[Ver]]</f>
        <v>2</v>
      </c>
      <c r="D35" t="str">
        <f>TableGDENVCLM[[#This Row],[Structure Line]]</f>
        <v>People and Planet</v>
      </c>
      <c r="E35" s="70">
        <f>TableGDENVCLM[[#This Row],[Credit Points]]</f>
        <v>25</v>
      </c>
      <c r="F35">
        <v>7</v>
      </c>
      <c r="G35" t="s">
        <v>176</v>
      </c>
      <c r="H35">
        <v>1</v>
      </c>
      <c r="I35" t="s">
        <v>182</v>
      </c>
      <c r="J35" t="s">
        <v>59</v>
      </c>
      <c r="K35">
        <v>2</v>
      </c>
      <c r="L35" t="s">
        <v>149</v>
      </c>
      <c r="M35">
        <v>25</v>
      </c>
      <c r="N35" s="130">
        <v>43831</v>
      </c>
      <c r="O35" s="130"/>
      <c r="Q35" t="s">
        <v>59</v>
      </c>
      <c r="R35">
        <v>2</v>
      </c>
    </row>
    <row r="36" spans="1:18" x14ac:dyDescent="0.25">
      <c r="A36" t="str">
        <f>TableGDENVCLM[[#This Row],[Study Package Code]]</f>
        <v>Option</v>
      </c>
      <c r="B36" s="3">
        <f>TableGDENVCLM[[#This Row],[Ver]]</f>
        <v>0</v>
      </c>
      <c r="D36" t="str">
        <f>TableGDENVCLM[[#This Row],[Structure Line]]</f>
        <v>Choose an Option</v>
      </c>
      <c r="E36" s="70">
        <f>TableGDENVCLM[[#This Row],[Credit Points]]</f>
        <v>25</v>
      </c>
      <c r="F36">
        <v>8</v>
      </c>
      <c r="G36" t="s">
        <v>65</v>
      </c>
      <c r="H36">
        <v>1</v>
      </c>
      <c r="I36" t="s">
        <v>182</v>
      </c>
      <c r="J36" t="s">
        <v>65</v>
      </c>
      <c r="K36">
        <v>0</v>
      </c>
      <c r="L36" t="s">
        <v>178</v>
      </c>
      <c r="M36">
        <v>25</v>
      </c>
      <c r="N36" s="130"/>
      <c r="O36" s="130"/>
      <c r="Q36" t="s">
        <v>65</v>
      </c>
      <c r="R36">
        <v>0</v>
      </c>
    </row>
    <row r="37" spans="1:18" x14ac:dyDescent="0.25">
      <c r="A37" t="str">
        <f>TableGDENVCLM[[#This Row],[Study Package Code]]</f>
        <v>ENST5005</v>
      </c>
      <c r="B37" s="3">
        <f>TableGDENVCLM[[#This Row],[Ver]]</f>
        <v>2</v>
      </c>
      <c r="D37" t="str">
        <f>TableGDENVCLM[[#This Row],[Structure Line]]</f>
        <v>Global Environmental Challenges</v>
      </c>
      <c r="E37" s="70">
        <f>TableGDENVCLM[[#This Row],[Credit Points]]</f>
        <v>25</v>
      </c>
      <c r="G37" t="s">
        <v>65</v>
      </c>
      <c r="J37" t="s">
        <v>108</v>
      </c>
      <c r="K37">
        <v>2</v>
      </c>
      <c r="L37" t="s">
        <v>126</v>
      </c>
      <c r="M37">
        <v>25</v>
      </c>
      <c r="N37" s="130">
        <v>43831</v>
      </c>
      <c r="O37" s="130"/>
      <c r="Q37" t="s">
        <v>108</v>
      </c>
      <c r="R37">
        <v>2</v>
      </c>
    </row>
    <row r="38" spans="1:18" x14ac:dyDescent="0.25">
      <c r="A38" t="str">
        <f>TableGDENVCLM[[#This Row],[Study Package Code]]</f>
        <v>GRDE5013</v>
      </c>
      <c r="B38" s="3">
        <f>TableGDENVCLM[[#This Row],[Ver]]</f>
        <v>1</v>
      </c>
      <c r="D38" t="str">
        <f>TableGDENVCLM[[#This Row],[Structure Line]]</f>
        <v>Design Entrepreneurship</v>
      </c>
      <c r="E38" s="70">
        <f>TableGDENVCLM[[#This Row],[Credit Points]]</f>
        <v>25</v>
      </c>
      <c r="G38" t="s">
        <v>65</v>
      </c>
      <c r="J38" t="s">
        <v>100</v>
      </c>
      <c r="K38">
        <v>1</v>
      </c>
      <c r="L38" t="s">
        <v>128</v>
      </c>
      <c r="M38">
        <v>25</v>
      </c>
      <c r="N38" s="130">
        <v>44197</v>
      </c>
      <c r="O38" s="130"/>
      <c r="Q38" t="s">
        <v>100</v>
      </c>
      <c r="R38">
        <v>1</v>
      </c>
    </row>
    <row r="39" spans="1:18" x14ac:dyDescent="0.25">
      <c r="A39" t="str">
        <f>TableGDENVCLM[[#This Row],[Study Package Code]]</f>
        <v>ISYS5009</v>
      </c>
      <c r="B39" s="3">
        <f>TableGDENVCLM[[#This Row],[Ver]]</f>
        <v>1</v>
      </c>
      <c r="D39" t="str">
        <f>TableGDENVCLM[[#This Row],[Structure Line]]</f>
        <v>Societal Impact of Technological Innovation</v>
      </c>
      <c r="E39" s="70">
        <f>TableGDENVCLM[[#This Row],[Credit Points]]</f>
        <v>25</v>
      </c>
      <c r="G39" t="s">
        <v>65</v>
      </c>
      <c r="J39" t="s">
        <v>111</v>
      </c>
      <c r="K39">
        <v>1</v>
      </c>
      <c r="L39" t="s">
        <v>136</v>
      </c>
      <c r="M39">
        <v>25</v>
      </c>
      <c r="N39" s="130">
        <v>44197</v>
      </c>
      <c r="O39" s="130"/>
      <c r="Q39" t="s">
        <v>111</v>
      </c>
      <c r="R39">
        <v>1</v>
      </c>
    </row>
    <row r="40" spans="1:18" x14ac:dyDescent="0.25">
      <c r="A40" t="str">
        <f>TableGDENVCLM[[#This Row],[Study Package Code]]</f>
        <v>ISYS6004</v>
      </c>
      <c r="B40" s="3">
        <f>TableGDENVCLM[[#This Row],[Ver]]</f>
        <v>2</v>
      </c>
      <c r="D40" t="str">
        <f>TableGDENVCLM[[#This Row],[Structure Line]]</f>
        <v>Green Information Technology and Sustainability</v>
      </c>
      <c r="E40" s="70">
        <f>TableGDENVCLM[[#This Row],[Credit Points]]</f>
        <v>25</v>
      </c>
      <c r="G40" t="s">
        <v>65</v>
      </c>
      <c r="J40" t="s">
        <v>113</v>
      </c>
      <c r="K40">
        <v>2</v>
      </c>
      <c r="L40" t="s">
        <v>137</v>
      </c>
      <c r="M40">
        <v>25</v>
      </c>
      <c r="N40" s="130">
        <v>42736</v>
      </c>
      <c r="O40" s="130"/>
      <c r="Q40" t="s">
        <v>113</v>
      </c>
      <c r="R40">
        <v>2</v>
      </c>
    </row>
    <row r="41" spans="1:18" x14ac:dyDescent="0.25">
      <c r="A41" t="str">
        <f>TableGDENVCLM[[#This Row],[Study Package Code]]</f>
        <v>MKTG6003</v>
      </c>
      <c r="B41" s="3">
        <f>TableGDENVCLM[[#This Row],[Ver]]</f>
        <v>2</v>
      </c>
      <c r="D41" t="str">
        <f>TableGDENVCLM[[#This Row],[Structure Line]]</f>
        <v>Sustainable and Societal Marketing</v>
      </c>
      <c r="E41" s="70">
        <f>TableGDENVCLM[[#This Row],[Credit Points]]</f>
        <v>25</v>
      </c>
      <c r="G41" t="s">
        <v>65</v>
      </c>
      <c r="J41" t="s">
        <v>114</v>
      </c>
      <c r="K41">
        <v>2</v>
      </c>
      <c r="L41" t="s">
        <v>139</v>
      </c>
      <c r="M41">
        <v>25</v>
      </c>
      <c r="N41" s="130">
        <v>44562</v>
      </c>
      <c r="O41" s="130"/>
      <c r="Q41" t="s">
        <v>114</v>
      </c>
      <c r="R41">
        <v>2</v>
      </c>
    </row>
    <row r="42" spans="1:18" x14ac:dyDescent="0.25">
      <c r="A42" t="str">
        <f>TableGDENVCLM[[#This Row],[Study Package Code]]</f>
        <v>PRJM6000</v>
      </c>
      <c r="B42" s="3">
        <f>TableGDENVCLM[[#This Row],[Ver]]</f>
        <v>1</v>
      </c>
      <c r="D42" t="str">
        <f>TableGDENVCLM[[#This Row],[Structure Line]]</f>
        <v>Project Management Overview</v>
      </c>
      <c r="E42" s="70">
        <f>TableGDENVCLM[[#This Row],[Credit Points]]</f>
        <v>25</v>
      </c>
      <c r="G42" t="s">
        <v>65</v>
      </c>
      <c r="J42" t="s">
        <v>101</v>
      </c>
      <c r="K42">
        <v>1</v>
      </c>
      <c r="L42" t="s">
        <v>142</v>
      </c>
      <c r="M42">
        <v>25</v>
      </c>
      <c r="N42" s="130">
        <v>42005</v>
      </c>
      <c r="O42" s="130"/>
      <c r="Q42" t="s">
        <v>101</v>
      </c>
      <c r="R42">
        <v>1</v>
      </c>
    </row>
    <row r="43" spans="1:18" x14ac:dyDescent="0.25">
      <c r="A43" t="str">
        <f>TableGDENVCLM[[#This Row],[Study Package Code]]</f>
        <v>PRJM6010</v>
      </c>
      <c r="B43" s="3">
        <f>TableGDENVCLM[[#This Row],[Ver]]</f>
        <v>1</v>
      </c>
      <c r="D43" t="str">
        <f>TableGDENVCLM[[#This Row],[Structure Line]]</f>
        <v>Project and People</v>
      </c>
      <c r="E43" s="70">
        <f>TableGDENVCLM[[#This Row],[Credit Points]]</f>
        <v>25</v>
      </c>
      <c r="G43" t="s">
        <v>65</v>
      </c>
      <c r="J43" t="s">
        <v>102</v>
      </c>
      <c r="K43">
        <v>1</v>
      </c>
      <c r="L43" t="s">
        <v>143</v>
      </c>
      <c r="M43">
        <v>25</v>
      </c>
      <c r="N43" s="130">
        <v>42005</v>
      </c>
      <c r="O43" s="130"/>
      <c r="Q43" t="s">
        <v>102</v>
      </c>
      <c r="R43">
        <v>1</v>
      </c>
    </row>
    <row r="44" spans="1:18" x14ac:dyDescent="0.25">
      <c r="A44" t="str">
        <f>TableGDENVCLM[[#This Row],[Study Package Code]]</f>
        <v>SUST5004</v>
      </c>
      <c r="B44" s="3">
        <f>TableGDENVCLM[[#This Row],[Ver]]</f>
        <v>1</v>
      </c>
      <c r="D44" t="str">
        <f>TableGDENVCLM[[#This Row],[Structure Line]]</f>
        <v>Leadership in Sustainability</v>
      </c>
      <c r="E44" s="70">
        <f>TableGDENVCLM[[#This Row],[Credit Points]]</f>
        <v>25</v>
      </c>
      <c r="G44" t="s">
        <v>65</v>
      </c>
      <c r="J44" t="s">
        <v>80</v>
      </c>
      <c r="K44">
        <v>1</v>
      </c>
      <c r="L44" t="s">
        <v>145</v>
      </c>
      <c r="M44">
        <v>25</v>
      </c>
      <c r="N44" s="130">
        <v>42005</v>
      </c>
      <c r="O44" s="130"/>
      <c r="Q44" t="s">
        <v>80</v>
      </c>
      <c r="R44">
        <v>1</v>
      </c>
    </row>
    <row r="45" spans="1:18" x14ac:dyDescent="0.25">
      <c r="A45" t="str">
        <f>TableGDENVCLM[[#This Row],[Study Package Code]]</f>
        <v>SUST5020</v>
      </c>
      <c r="B45" s="3">
        <f>TableGDENVCLM[[#This Row],[Ver]]</f>
        <v>1</v>
      </c>
      <c r="D45" t="str">
        <f>TableGDENVCLM[[#This Row],[Structure Line]]</f>
        <v>Sustainability, Climate Change and Economics</v>
      </c>
      <c r="E45" s="70">
        <f>TableGDENVCLM[[#This Row],[Credit Points]]</f>
        <v>25</v>
      </c>
      <c r="G45" t="s">
        <v>65</v>
      </c>
      <c r="J45" t="s">
        <v>78</v>
      </c>
      <c r="K45">
        <v>1</v>
      </c>
      <c r="L45" t="s">
        <v>150</v>
      </c>
      <c r="M45">
        <v>25</v>
      </c>
      <c r="N45" s="130">
        <v>42736</v>
      </c>
      <c r="O45" s="130"/>
      <c r="Q45" t="s">
        <v>78</v>
      </c>
      <c r="R45">
        <v>1</v>
      </c>
    </row>
    <row r="46" spans="1:18" x14ac:dyDescent="0.25">
      <c r="A46" t="str">
        <f>TableGDENVCLM[[#This Row],[Study Package Code]]</f>
        <v>URDE5002</v>
      </c>
      <c r="B46" s="3">
        <f>TableGDENVCLM[[#This Row],[Ver]]</f>
        <v>2</v>
      </c>
      <c r="D46" t="str">
        <f>TableGDENVCLM[[#This Row],[Structure Line]]</f>
        <v>Planning for Regions</v>
      </c>
      <c r="E46" s="70">
        <f>TableGDENVCLM[[#This Row],[Credit Points]]</f>
        <v>25</v>
      </c>
      <c r="G46" t="s">
        <v>65</v>
      </c>
      <c r="J46" t="s">
        <v>103</v>
      </c>
      <c r="K46">
        <v>2</v>
      </c>
      <c r="L46" t="s">
        <v>159</v>
      </c>
      <c r="M46">
        <v>25</v>
      </c>
      <c r="N46" s="130">
        <v>44197</v>
      </c>
      <c r="O46" s="130"/>
      <c r="Q46" t="s">
        <v>103</v>
      </c>
      <c r="R46">
        <v>2</v>
      </c>
    </row>
    <row r="47" spans="1:18" x14ac:dyDescent="0.25">
      <c r="A47" t="str">
        <f>TableGDENVCLM[[#This Row],[Study Package Code]]</f>
        <v>URDE5009</v>
      </c>
      <c r="B47" s="3">
        <f>TableGDENVCLM[[#This Row],[Ver]]</f>
        <v>1</v>
      </c>
      <c r="D47" t="str">
        <f>TableGDENVCLM[[#This Row],[Structure Line]]</f>
        <v>Participatory Planning</v>
      </c>
      <c r="E47" s="70">
        <f>TableGDENVCLM[[#This Row],[Credit Points]]</f>
        <v>25</v>
      </c>
      <c r="G47" t="s">
        <v>65</v>
      </c>
      <c r="J47" t="s">
        <v>104</v>
      </c>
      <c r="K47">
        <v>1</v>
      </c>
      <c r="L47" t="s">
        <v>160</v>
      </c>
      <c r="M47">
        <v>25</v>
      </c>
      <c r="N47" s="130">
        <v>42005</v>
      </c>
      <c r="O47" s="130"/>
      <c r="Q47" t="s">
        <v>104</v>
      </c>
      <c r="R47">
        <v>1</v>
      </c>
    </row>
    <row r="48" spans="1:18" x14ac:dyDescent="0.25">
      <c r="A48" t="str">
        <f>TableGDENVCLM[[#This Row],[Study Package Code]]</f>
        <v>URDE5013</v>
      </c>
      <c r="B48" s="3">
        <f>TableGDENVCLM[[#This Row],[Ver]]</f>
        <v>3</v>
      </c>
      <c r="D48" t="str">
        <f>TableGDENVCLM[[#This Row],[Structure Line]]</f>
        <v>Planning Theory and Context</v>
      </c>
      <c r="E48" s="70">
        <f>TableGDENVCLM[[#This Row],[Credit Points]]</f>
        <v>25</v>
      </c>
      <c r="G48" t="s">
        <v>65</v>
      </c>
      <c r="J48" t="s">
        <v>105</v>
      </c>
      <c r="K48">
        <v>3</v>
      </c>
      <c r="L48" t="s">
        <v>161</v>
      </c>
      <c r="M48">
        <v>25</v>
      </c>
      <c r="N48" s="130">
        <v>44562</v>
      </c>
      <c r="O48" s="130"/>
      <c r="Q48" t="s">
        <v>105</v>
      </c>
      <c r="R48">
        <v>3</v>
      </c>
    </row>
    <row r="49" spans="1:18" x14ac:dyDescent="0.25">
      <c r="A49" t="str">
        <f>TableGDENVCLM[[#This Row],[Study Package Code]]</f>
        <v>URDE5025</v>
      </c>
      <c r="B49" s="3">
        <f>TableGDENVCLM[[#This Row],[Ver]]</f>
        <v>1</v>
      </c>
      <c r="D49" t="str">
        <f>TableGDENVCLM[[#This Row],[Structure Line]]</f>
        <v>Planning Law</v>
      </c>
      <c r="E49" s="70">
        <f>TableGDENVCLM[[#This Row],[Credit Points]]</f>
        <v>25</v>
      </c>
      <c r="G49" t="s">
        <v>65</v>
      </c>
      <c r="J49" t="s">
        <v>106</v>
      </c>
      <c r="K49">
        <v>1</v>
      </c>
      <c r="L49" t="s">
        <v>162</v>
      </c>
      <c r="M49">
        <v>25</v>
      </c>
      <c r="N49" s="130">
        <v>42005</v>
      </c>
      <c r="O49" s="130"/>
      <c r="Q49" t="s">
        <v>106</v>
      </c>
      <c r="R49">
        <v>1</v>
      </c>
    </row>
    <row r="50" spans="1:18" x14ac:dyDescent="0.25">
      <c r="A50" t="str">
        <f>TableGDENVCLM[[#This Row],[Study Package Code]]</f>
        <v>URDE6006</v>
      </c>
      <c r="B50" s="3">
        <f>TableGDENVCLM[[#This Row],[Ver]]</f>
        <v>1</v>
      </c>
      <c r="D50" t="str">
        <f>TableGDENVCLM[[#This Row],[Structure Line]]</f>
        <v>Design and Built Environment Research Methods</v>
      </c>
      <c r="E50" s="70">
        <f>TableGDENVCLM[[#This Row],[Credit Points]]</f>
        <v>25</v>
      </c>
      <c r="G50" t="s">
        <v>65</v>
      </c>
      <c r="J50" t="s">
        <v>73</v>
      </c>
      <c r="K50">
        <v>1</v>
      </c>
      <c r="L50" t="s">
        <v>163</v>
      </c>
      <c r="M50">
        <v>25</v>
      </c>
      <c r="N50" s="130">
        <v>44562</v>
      </c>
      <c r="O50" s="130"/>
      <c r="Q50" t="s">
        <v>73</v>
      </c>
      <c r="R50">
        <v>1</v>
      </c>
    </row>
    <row r="51" spans="1:18" x14ac:dyDescent="0.25">
      <c r="A51" t="str">
        <f>TableGDENVCLM[[#This Row],[Study Package Code]]</f>
        <v>WORK5000</v>
      </c>
      <c r="B51" s="3">
        <f>TableGDENVCLM[[#This Row],[Ver]]</f>
        <v>1</v>
      </c>
      <c r="D51" t="str">
        <f>TableGDENVCLM[[#This Row],[Structure Line]]</f>
        <v>Work Based Project</v>
      </c>
      <c r="E51" s="70">
        <f>TableGDENVCLM[[#This Row],[Credit Points]]</f>
        <v>25</v>
      </c>
      <c r="G51" t="s">
        <v>65</v>
      </c>
      <c r="J51" t="s">
        <v>107</v>
      </c>
      <c r="K51">
        <v>1</v>
      </c>
      <c r="L51" t="s">
        <v>179</v>
      </c>
      <c r="M51">
        <v>25</v>
      </c>
      <c r="N51" s="130">
        <v>43101</v>
      </c>
      <c r="O51" s="130"/>
      <c r="Q51" t="s">
        <v>107</v>
      </c>
      <c r="R51">
        <v>1</v>
      </c>
    </row>
    <row r="52" spans="1:18" x14ac:dyDescent="0.25">
      <c r="A52">
        <f>TableGDENVCLM[[#This Row],[Study Package Code]]</f>
        <v>0</v>
      </c>
      <c r="B52" s="3">
        <f>TableGDENVCLM[[#This Row],[Ver]]</f>
        <v>0</v>
      </c>
      <c r="D52">
        <f>TableGDENVCLM[[#This Row],[Structure Line]]</f>
        <v>0</v>
      </c>
      <c r="E52" s="70">
        <f>TableGDENVCLM[[#This Row],[Credit Points]]</f>
        <v>0</v>
      </c>
      <c r="G52" t="s">
        <v>65</v>
      </c>
      <c r="N52" s="130"/>
      <c r="O52" s="130"/>
      <c r="Q52" t="s">
        <v>180</v>
      </c>
      <c r="R52">
        <v>1</v>
      </c>
    </row>
    <row r="53" spans="1:18" x14ac:dyDescent="0.25">
      <c r="A53">
        <f>TableGDENVCLM[[#This Row],[Study Package Code]]</f>
        <v>0</v>
      </c>
      <c r="B53" s="3">
        <f>TableGDENVCLM[[#This Row],[Ver]]</f>
        <v>0</v>
      </c>
      <c r="D53">
        <f>TableGDENVCLM[[#This Row],[Structure Line]]</f>
        <v>0</v>
      </c>
      <c r="E53" s="70">
        <f>TableGDENVCLM[[#This Row],[Credit Points]]</f>
        <v>0</v>
      </c>
      <c r="G53" t="s">
        <v>65</v>
      </c>
      <c r="N53" s="130"/>
      <c r="O53" s="130"/>
      <c r="Q53" t="s">
        <v>181</v>
      </c>
      <c r="R53">
        <v>1</v>
      </c>
    </row>
    <row r="54" spans="1:18" x14ac:dyDescent="0.25">
      <c r="B54"/>
      <c r="E54"/>
      <c r="F54" s="67"/>
      <c r="G54" s="68" t="s">
        <v>165</v>
      </c>
      <c r="H54" s="69">
        <v>44562</v>
      </c>
      <c r="I54" s="67"/>
      <c r="J54" s="152" t="s">
        <v>70</v>
      </c>
      <c r="K54" s="67" t="s">
        <v>71</v>
      </c>
      <c r="L54" s="67" t="s">
        <v>69</v>
      </c>
      <c r="M54" s="67"/>
      <c r="N54" s="159" t="s">
        <v>166</v>
      </c>
      <c r="O54" s="160">
        <v>45334</v>
      </c>
    </row>
    <row r="55" spans="1:18" x14ac:dyDescent="0.25">
      <c r="A55" t="s">
        <v>0</v>
      </c>
      <c r="B55" s="3" t="s">
        <v>54</v>
      </c>
      <c r="C55" t="s">
        <v>167</v>
      </c>
      <c r="D55" t="s">
        <v>3</v>
      </c>
      <c r="E55" s="70" t="s">
        <v>168</v>
      </c>
      <c r="F55" t="s">
        <v>169</v>
      </c>
      <c r="G55" t="s">
        <v>170</v>
      </c>
      <c r="H55" t="s">
        <v>171</v>
      </c>
      <c r="I55" t="s">
        <v>18</v>
      </c>
      <c r="J55" t="s">
        <v>172</v>
      </c>
      <c r="K55" t="s">
        <v>1</v>
      </c>
      <c r="L55" t="s">
        <v>41</v>
      </c>
      <c r="M55" t="s">
        <v>55</v>
      </c>
      <c r="N55" t="s">
        <v>173</v>
      </c>
      <c r="O55" t="s">
        <v>174</v>
      </c>
      <c r="Q55" t="s">
        <v>175</v>
      </c>
      <c r="R55" t="s">
        <v>1</v>
      </c>
    </row>
    <row r="56" spans="1:18" x14ac:dyDescent="0.25">
      <c r="A56" t="str">
        <f>TableMCENVCLM[[#This Row],[Study Package Code]]</f>
        <v>SUST5008</v>
      </c>
      <c r="B56" s="3">
        <f>TableMCENVCLM[[#This Row],[Ver]]</f>
        <v>1</v>
      </c>
      <c r="D56" t="str">
        <f>TableMCENVCLM[[#This Row],[Structure Line]]</f>
        <v>Climate Policy</v>
      </c>
      <c r="E56" s="70">
        <f>TableMCENVCLM[[#This Row],[Credit Points]]</f>
        <v>25</v>
      </c>
      <c r="F56">
        <v>1</v>
      </c>
      <c r="G56" t="s">
        <v>176</v>
      </c>
      <c r="H56">
        <v>1</v>
      </c>
      <c r="I56" t="s">
        <v>183</v>
      </c>
      <c r="J56" t="s">
        <v>53</v>
      </c>
      <c r="K56">
        <v>1</v>
      </c>
      <c r="L56" t="s">
        <v>148</v>
      </c>
      <c r="M56">
        <v>25</v>
      </c>
      <c r="N56" s="130">
        <v>42005</v>
      </c>
      <c r="O56" s="130"/>
      <c r="Q56" t="s">
        <v>53</v>
      </c>
      <c r="R56">
        <v>1</v>
      </c>
    </row>
    <row r="57" spans="1:18" x14ac:dyDescent="0.25">
      <c r="A57" t="str">
        <f>TableMCENVCLM[[#This Row],[Study Package Code]]</f>
        <v>URDE6006</v>
      </c>
      <c r="B57" s="3">
        <f>TableMCENVCLM[[#This Row],[Ver]]</f>
        <v>1</v>
      </c>
      <c r="D57" t="str">
        <f>TableMCENVCLM[[#This Row],[Structure Line]]</f>
        <v>Design and Built Environment Research Methods</v>
      </c>
      <c r="E57" s="70">
        <f>TableMCENVCLM[[#This Row],[Credit Points]]</f>
        <v>25</v>
      </c>
      <c r="F57">
        <v>2</v>
      </c>
      <c r="G57" t="s">
        <v>176</v>
      </c>
      <c r="H57">
        <v>1</v>
      </c>
      <c r="I57" t="s">
        <v>183</v>
      </c>
      <c r="J57" t="s">
        <v>73</v>
      </c>
      <c r="K57">
        <v>1</v>
      </c>
      <c r="L57" t="s">
        <v>163</v>
      </c>
      <c r="M57">
        <v>25</v>
      </c>
      <c r="N57" s="130">
        <v>44562</v>
      </c>
      <c r="O57" s="130"/>
      <c r="Q57" t="s">
        <v>73</v>
      </c>
      <c r="R57">
        <v>1</v>
      </c>
    </row>
    <row r="58" spans="1:18" x14ac:dyDescent="0.25">
      <c r="A58" t="str">
        <f>TableMCENVCLM[[#This Row],[Study Package Code]]</f>
        <v>SUST5005</v>
      </c>
      <c r="B58" s="3">
        <f>TableMCENVCLM[[#This Row],[Ver]]</f>
        <v>2</v>
      </c>
      <c r="D58" t="str">
        <f>TableMCENVCLM[[#This Row],[Structure Line]]</f>
        <v>Future Cities</v>
      </c>
      <c r="E58" s="70">
        <f>TableMCENVCLM[[#This Row],[Credit Points]]</f>
        <v>25</v>
      </c>
      <c r="F58">
        <v>3</v>
      </c>
      <c r="G58" t="s">
        <v>176</v>
      </c>
      <c r="H58">
        <v>1</v>
      </c>
      <c r="I58" t="s">
        <v>183</v>
      </c>
      <c r="J58" t="s">
        <v>52</v>
      </c>
      <c r="K58">
        <v>2</v>
      </c>
      <c r="L58" t="s">
        <v>146</v>
      </c>
      <c r="M58">
        <v>25</v>
      </c>
      <c r="N58" s="130">
        <v>43831</v>
      </c>
      <c r="O58" s="130"/>
      <c r="Q58" t="s">
        <v>52</v>
      </c>
      <c r="R58">
        <v>2</v>
      </c>
    </row>
    <row r="59" spans="1:18" x14ac:dyDescent="0.25">
      <c r="A59" t="str">
        <f>TableMCENVCLM[[#This Row],[Study Package Code]]</f>
        <v>SUST7000</v>
      </c>
      <c r="B59" s="3">
        <f>TableMCENVCLM[[#This Row],[Ver]]</f>
        <v>2</v>
      </c>
      <c r="D59" t="str">
        <f>TableMCENVCLM[[#This Row],[Structure Line]]</f>
        <v>Introduction to Environment &amp; Climate Emergency</v>
      </c>
      <c r="E59" s="70">
        <f>TableMCENVCLM[[#This Row],[Credit Points]]</f>
        <v>25</v>
      </c>
      <c r="F59">
        <v>4</v>
      </c>
      <c r="G59" t="s">
        <v>176</v>
      </c>
      <c r="H59">
        <v>1</v>
      </c>
      <c r="I59" t="s">
        <v>183</v>
      </c>
      <c r="J59" t="s">
        <v>58</v>
      </c>
      <c r="K59">
        <v>2</v>
      </c>
      <c r="L59" t="s">
        <v>158</v>
      </c>
      <c r="M59">
        <v>25</v>
      </c>
      <c r="N59" s="130">
        <v>43831</v>
      </c>
      <c r="O59" s="130"/>
      <c r="Q59" t="s">
        <v>58</v>
      </c>
      <c r="R59">
        <v>2</v>
      </c>
    </row>
    <row r="60" spans="1:18" x14ac:dyDescent="0.25">
      <c r="A60" t="str">
        <f>TableMCENVCLM[[#This Row],[Study Package Code]]</f>
        <v>SUST5003</v>
      </c>
      <c r="B60" s="3">
        <f>TableMCENVCLM[[#This Row],[Ver]]</f>
        <v>2</v>
      </c>
      <c r="D60" t="str">
        <f>TableMCENVCLM[[#This Row],[Structure Line]]</f>
        <v>Pathways to a Climate Resilient Society</v>
      </c>
      <c r="E60" s="70">
        <f>TableMCENVCLM[[#This Row],[Credit Points]]</f>
        <v>25</v>
      </c>
      <c r="F60">
        <v>5</v>
      </c>
      <c r="G60" t="s">
        <v>176</v>
      </c>
      <c r="H60">
        <v>1</v>
      </c>
      <c r="I60" t="s">
        <v>183</v>
      </c>
      <c r="J60" t="s">
        <v>51</v>
      </c>
      <c r="K60">
        <v>2</v>
      </c>
      <c r="L60" t="s">
        <v>144</v>
      </c>
      <c r="M60">
        <v>25</v>
      </c>
      <c r="N60" s="130">
        <v>43831</v>
      </c>
      <c r="O60" s="130"/>
      <c r="Q60" t="s">
        <v>51</v>
      </c>
      <c r="R60">
        <v>2</v>
      </c>
    </row>
    <row r="61" spans="1:18" x14ac:dyDescent="0.25">
      <c r="A61" t="str">
        <f>TableMCENVCLM[[#This Row],[Study Package Code]]</f>
        <v>SUST5018</v>
      </c>
      <c r="B61" s="3">
        <f>TableMCENVCLM[[#This Row],[Ver]]</f>
        <v>2</v>
      </c>
      <c r="D61" t="str">
        <f>TableMCENVCLM[[#This Row],[Structure Line]]</f>
        <v>People and Planet</v>
      </c>
      <c r="E61" s="70">
        <f>TableMCENVCLM[[#This Row],[Credit Points]]</f>
        <v>25</v>
      </c>
      <c r="F61">
        <v>6</v>
      </c>
      <c r="G61" t="s">
        <v>176</v>
      </c>
      <c r="H61">
        <v>1</v>
      </c>
      <c r="I61" t="s">
        <v>183</v>
      </c>
      <c r="J61" t="s">
        <v>59</v>
      </c>
      <c r="K61">
        <v>2</v>
      </c>
      <c r="L61" t="s">
        <v>149</v>
      </c>
      <c r="M61">
        <v>25</v>
      </c>
      <c r="N61" s="130">
        <v>43831</v>
      </c>
      <c r="O61" s="130"/>
      <c r="Q61" t="s">
        <v>59</v>
      </c>
      <c r="R61">
        <v>2</v>
      </c>
    </row>
    <row r="62" spans="1:18" x14ac:dyDescent="0.25">
      <c r="A62" t="str">
        <f>TableMCENVCLM[[#This Row],[Study Package Code]]</f>
        <v>SUST5024</v>
      </c>
      <c r="B62" s="3">
        <f>TableMCENVCLM[[#This Row],[Ver]]</f>
        <v>1</v>
      </c>
      <c r="D62" t="str">
        <f>TableMCENVCLM[[#This Row],[Structure Line]]</f>
        <v>Sustainable Waste Management</v>
      </c>
      <c r="E62" s="70">
        <f>TableMCENVCLM[[#This Row],[Credit Points]]</f>
        <v>25</v>
      </c>
      <c r="F62">
        <v>7</v>
      </c>
      <c r="G62" t="s">
        <v>176</v>
      </c>
      <c r="H62">
        <v>1</v>
      </c>
      <c r="I62" t="s">
        <v>183</v>
      </c>
      <c r="J62" t="s">
        <v>48</v>
      </c>
      <c r="K62">
        <v>1</v>
      </c>
      <c r="L62" t="s">
        <v>151</v>
      </c>
      <c r="M62">
        <v>25</v>
      </c>
      <c r="N62" s="130">
        <v>44197</v>
      </c>
      <c r="O62" s="130"/>
      <c r="Q62" t="s">
        <v>48</v>
      </c>
      <c r="R62">
        <v>1</v>
      </c>
    </row>
    <row r="63" spans="1:18" x14ac:dyDescent="0.25">
      <c r="A63" t="str">
        <f>TableMCENVCLM[[#This Row],[Study Package Code]]</f>
        <v>SUST5004</v>
      </c>
      <c r="B63" s="3">
        <f>TableMCENVCLM[[#This Row],[Ver]]</f>
        <v>1</v>
      </c>
      <c r="D63" t="str">
        <f>TableMCENVCLM[[#This Row],[Structure Line]]</f>
        <v>Leadership in Sustainability</v>
      </c>
      <c r="E63" s="70">
        <f>TableMCENVCLM[[#This Row],[Credit Points]]</f>
        <v>25</v>
      </c>
      <c r="F63">
        <v>8</v>
      </c>
      <c r="G63" t="s">
        <v>176</v>
      </c>
      <c r="H63">
        <v>2</v>
      </c>
      <c r="I63" t="s">
        <v>183</v>
      </c>
      <c r="J63" t="s">
        <v>80</v>
      </c>
      <c r="K63">
        <v>1</v>
      </c>
      <c r="L63" t="s">
        <v>145</v>
      </c>
      <c r="M63">
        <v>25</v>
      </c>
      <c r="N63" s="130">
        <v>42005</v>
      </c>
      <c r="O63" s="130"/>
      <c r="Q63" t="s">
        <v>80</v>
      </c>
      <c r="R63">
        <v>1</v>
      </c>
    </row>
    <row r="64" spans="1:18" x14ac:dyDescent="0.25">
      <c r="A64" t="str">
        <f>TableMCENVCLM[[#This Row],[Study Package Code]]</f>
        <v>SUST5020</v>
      </c>
      <c r="B64" s="3">
        <f>TableMCENVCLM[[#This Row],[Ver]]</f>
        <v>1</v>
      </c>
      <c r="D64" t="str">
        <f>TableMCENVCLM[[#This Row],[Structure Line]]</f>
        <v>Sustainability, Climate Change and Economics</v>
      </c>
      <c r="E64" s="70">
        <f>TableMCENVCLM[[#This Row],[Credit Points]]</f>
        <v>25</v>
      </c>
      <c r="F64">
        <v>9</v>
      </c>
      <c r="G64" t="s">
        <v>176</v>
      </c>
      <c r="H64">
        <v>2</v>
      </c>
      <c r="I64" t="s">
        <v>183</v>
      </c>
      <c r="J64" t="s">
        <v>78</v>
      </c>
      <c r="K64">
        <v>1</v>
      </c>
      <c r="L64" t="s">
        <v>150</v>
      </c>
      <c r="M64">
        <v>25</v>
      </c>
      <c r="N64" s="130">
        <v>42736</v>
      </c>
      <c r="O64" s="130"/>
      <c r="Q64" t="s">
        <v>78</v>
      </c>
      <c r="R64">
        <v>1</v>
      </c>
    </row>
    <row r="65" spans="1:18" x14ac:dyDescent="0.25">
      <c r="A65" t="str">
        <f>TableMCENVCLM[[#This Row],[Study Package Code]]</f>
        <v>SUST6004</v>
      </c>
      <c r="B65" s="3">
        <f>TableMCENVCLM[[#This Row],[Ver]]</f>
        <v>1</v>
      </c>
      <c r="D65" t="str">
        <f>TableMCENVCLM[[#This Row],[Structure Line]]</f>
        <v>Sustainability Dissertation 1</v>
      </c>
      <c r="E65" s="70">
        <f>TableMCENVCLM[[#This Row],[Credit Points]]</f>
        <v>25</v>
      </c>
      <c r="F65">
        <v>10</v>
      </c>
      <c r="G65" t="s">
        <v>176</v>
      </c>
      <c r="H65">
        <v>2</v>
      </c>
      <c r="I65" t="s">
        <v>183</v>
      </c>
      <c r="J65" t="s">
        <v>84</v>
      </c>
      <c r="K65">
        <v>1</v>
      </c>
      <c r="L65" t="s">
        <v>155</v>
      </c>
      <c r="M65">
        <v>25</v>
      </c>
      <c r="N65" s="130">
        <v>44562</v>
      </c>
      <c r="O65" s="130"/>
      <c r="Q65" t="s">
        <v>84</v>
      </c>
      <c r="R65">
        <v>1</v>
      </c>
    </row>
    <row r="66" spans="1:18" x14ac:dyDescent="0.25">
      <c r="A66" t="str">
        <f>TableMCENVCLM[[#This Row],[Study Package Code]]</f>
        <v>SUST6003</v>
      </c>
      <c r="B66" s="3">
        <f>TableMCENVCLM[[#This Row],[Ver]]</f>
        <v>1</v>
      </c>
      <c r="D66" t="str">
        <f>TableMCENVCLM[[#This Row],[Structure Line]]</f>
        <v>Sustainability Dissertation 2</v>
      </c>
      <c r="E66" s="70">
        <f>TableMCENVCLM[[#This Row],[Credit Points]]</f>
        <v>50</v>
      </c>
      <c r="F66">
        <v>11</v>
      </c>
      <c r="G66" t="s">
        <v>176</v>
      </c>
      <c r="H66">
        <v>2</v>
      </c>
      <c r="I66" t="s">
        <v>183</v>
      </c>
      <c r="J66" t="s">
        <v>87</v>
      </c>
      <c r="K66">
        <v>1</v>
      </c>
      <c r="L66" t="s">
        <v>152</v>
      </c>
      <c r="M66">
        <v>50</v>
      </c>
      <c r="N66" s="130">
        <v>42370</v>
      </c>
      <c r="O66" s="130"/>
      <c r="Q66" t="s">
        <v>87</v>
      </c>
      <c r="R66">
        <v>1</v>
      </c>
    </row>
    <row r="67" spans="1:18" x14ac:dyDescent="0.25">
      <c r="A67" t="str">
        <f>TableMCENVCLM[[#This Row],[Study Package Code]]</f>
        <v>Elective</v>
      </c>
      <c r="B67" s="3">
        <f>TableMCENVCLM[[#This Row],[Ver]]</f>
        <v>0</v>
      </c>
      <c r="D67" t="str">
        <f>TableMCENVCLM[[#This Row],[Structure Line]]</f>
        <v>Choose an Elective</v>
      </c>
      <c r="E67" s="70">
        <f>TableMCENVCLM[[#This Row],[Credit Points]]</f>
        <v>25</v>
      </c>
      <c r="F67">
        <v>12</v>
      </c>
      <c r="G67" t="s">
        <v>86</v>
      </c>
      <c r="H67">
        <v>2</v>
      </c>
      <c r="I67" t="s">
        <v>183</v>
      </c>
      <c r="J67" t="s">
        <v>86</v>
      </c>
      <c r="K67">
        <v>0</v>
      </c>
      <c r="L67" t="s">
        <v>184</v>
      </c>
      <c r="M67">
        <v>25</v>
      </c>
      <c r="N67" s="130"/>
      <c r="O67" s="130"/>
      <c r="Q67" t="s">
        <v>86</v>
      </c>
      <c r="R67">
        <v>0</v>
      </c>
    </row>
    <row r="68" spans="1:18" x14ac:dyDescent="0.25">
      <c r="A68" t="str">
        <f>TableMCENVCLM[[#This Row],[Study Package Code]]</f>
        <v>Option</v>
      </c>
      <c r="B68" s="3">
        <f>TableMCENVCLM[[#This Row],[Ver]]</f>
        <v>0</v>
      </c>
      <c r="D68" t="str">
        <f>TableMCENVCLM[[#This Row],[Structure Line]]</f>
        <v>Choose Options</v>
      </c>
      <c r="E68" s="70">
        <f>TableMCENVCLM[[#This Row],[Credit Points]]</f>
        <v>75</v>
      </c>
      <c r="F68">
        <v>13</v>
      </c>
      <c r="G68" t="s">
        <v>65</v>
      </c>
      <c r="H68">
        <v>0</v>
      </c>
      <c r="I68" t="s">
        <v>183</v>
      </c>
      <c r="J68" t="s">
        <v>65</v>
      </c>
      <c r="K68">
        <v>0</v>
      </c>
      <c r="L68" t="s">
        <v>185</v>
      </c>
      <c r="M68">
        <v>75</v>
      </c>
      <c r="N68" s="130"/>
      <c r="O68" s="130"/>
      <c r="Q68" t="s">
        <v>65</v>
      </c>
      <c r="R68">
        <v>0</v>
      </c>
    </row>
    <row r="69" spans="1:18" x14ac:dyDescent="0.25">
      <c r="A69" t="str">
        <f>TableMCENVCLM[[#This Row],[Study Package Code]]</f>
        <v>ENST5005</v>
      </c>
      <c r="B69" s="3">
        <f>TableMCENVCLM[[#This Row],[Ver]]</f>
        <v>2</v>
      </c>
      <c r="D69" t="str">
        <f>TableMCENVCLM[[#This Row],[Structure Line]]</f>
        <v>Global Environmental Challenges</v>
      </c>
      <c r="E69" s="70">
        <f>TableMCENVCLM[[#This Row],[Credit Points]]</f>
        <v>25</v>
      </c>
      <c r="F69">
        <v>13</v>
      </c>
      <c r="G69" t="s">
        <v>65</v>
      </c>
      <c r="H69">
        <v>0</v>
      </c>
      <c r="I69" t="s">
        <v>183</v>
      </c>
      <c r="J69" t="s">
        <v>108</v>
      </c>
      <c r="K69">
        <v>2</v>
      </c>
      <c r="L69" t="s">
        <v>126</v>
      </c>
      <c r="M69">
        <v>25</v>
      </c>
      <c r="N69" s="130">
        <v>43831</v>
      </c>
      <c r="O69" s="130"/>
      <c r="Q69" t="s">
        <v>108</v>
      </c>
      <c r="R69">
        <v>2</v>
      </c>
    </row>
    <row r="70" spans="1:18" x14ac:dyDescent="0.25">
      <c r="A70" t="str">
        <f>TableMCENVCLM[[#This Row],[Study Package Code]]</f>
        <v>GRDE5013</v>
      </c>
      <c r="B70" s="3">
        <f>TableMCENVCLM[[#This Row],[Ver]]</f>
        <v>1</v>
      </c>
      <c r="D70" t="str">
        <f>TableMCENVCLM[[#This Row],[Structure Line]]</f>
        <v>Design Entrepreneurship</v>
      </c>
      <c r="E70" s="70">
        <f>TableMCENVCLM[[#This Row],[Credit Points]]</f>
        <v>25</v>
      </c>
      <c r="F70">
        <v>13</v>
      </c>
      <c r="G70" t="s">
        <v>65</v>
      </c>
      <c r="H70">
        <v>0</v>
      </c>
      <c r="I70" t="s">
        <v>183</v>
      </c>
      <c r="J70" t="s">
        <v>100</v>
      </c>
      <c r="K70">
        <v>1</v>
      </c>
      <c r="L70" t="s">
        <v>128</v>
      </c>
      <c r="M70">
        <v>25</v>
      </c>
      <c r="N70" s="130">
        <v>44197</v>
      </c>
      <c r="O70" s="130"/>
      <c r="Q70" t="s">
        <v>100</v>
      </c>
      <c r="R70">
        <v>1</v>
      </c>
    </row>
    <row r="71" spans="1:18" x14ac:dyDescent="0.25">
      <c r="A71" t="str">
        <f>TableMCENVCLM[[#This Row],[Study Package Code]]</f>
        <v>HRIG5001</v>
      </c>
      <c r="B71" s="3">
        <f>TableMCENVCLM[[#This Row],[Ver]]</f>
        <v>2</v>
      </c>
      <c r="D71" t="str">
        <f>TableMCENVCLM[[#This Row],[Structure Line]]</f>
        <v>Social Justice and Development</v>
      </c>
      <c r="E71" s="70">
        <f>TableMCENVCLM[[#This Row],[Credit Points]]</f>
        <v>25</v>
      </c>
      <c r="F71">
        <v>13</v>
      </c>
      <c r="G71" t="s">
        <v>65</v>
      </c>
      <c r="H71">
        <v>0</v>
      </c>
      <c r="I71" t="s">
        <v>183</v>
      </c>
      <c r="J71" t="s">
        <v>109</v>
      </c>
      <c r="K71">
        <v>2</v>
      </c>
      <c r="L71" t="s">
        <v>129</v>
      </c>
      <c r="M71">
        <v>25</v>
      </c>
      <c r="N71" s="130">
        <v>45292</v>
      </c>
      <c r="O71" s="130"/>
      <c r="Q71" t="s">
        <v>109</v>
      </c>
      <c r="R71">
        <v>2</v>
      </c>
    </row>
    <row r="72" spans="1:18" x14ac:dyDescent="0.25">
      <c r="A72" t="str">
        <f>TableMCENVCLM[[#This Row],[Study Package Code]]</f>
        <v>INCD5000</v>
      </c>
      <c r="B72" s="3">
        <f>TableMCENVCLM[[#This Row],[Ver]]</f>
        <v>1</v>
      </c>
      <c r="D72" t="str">
        <f>TableMCENVCLM[[#This Row],[Structure Line]]</f>
        <v>Social, Cultural and Historical Contexts of Indigenous Australians</v>
      </c>
      <c r="E72" s="70">
        <f>TableMCENVCLM[[#This Row],[Credit Points]]</f>
        <v>25</v>
      </c>
      <c r="F72">
        <v>13</v>
      </c>
      <c r="G72" t="s">
        <v>65</v>
      </c>
      <c r="H72">
        <v>0</v>
      </c>
      <c r="I72" t="s">
        <v>183</v>
      </c>
      <c r="J72" t="s">
        <v>110</v>
      </c>
      <c r="K72">
        <v>1</v>
      </c>
      <c r="L72" t="s">
        <v>134</v>
      </c>
      <c r="M72">
        <v>25</v>
      </c>
      <c r="N72" s="130">
        <v>42005</v>
      </c>
      <c r="O72" s="130"/>
      <c r="Q72" t="s">
        <v>110</v>
      </c>
      <c r="R72">
        <v>1</v>
      </c>
    </row>
    <row r="73" spans="1:18" x14ac:dyDescent="0.25">
      <c r="A73" t="str">
        <f>TableMCENVCLM[[#This Row],[Study Package Code]]</f>
        <v>INDS5009</v>
      </c>
      <c r="B73" s="3">
        <f>TableMCENVCLM[[#This Row],[Ver]]</f>
        <v>1</v>
      </c>
      <c r="D73" t="str">
        <f>TableMCENVCLM[[#This Row],[Structure Line]]</f>
        <v>Indigenous Research Methodologies</v>
      </c>
      <c r="E73" s="70">
        <f>TableMCENVCLM[[#This Row],[Credit Points]]</f>
        <v>25</v>
      </c>
      <c r="F73">
        <v>13</v>
      </c>
      <c r="G73" t="s">
        <v>65</v>
      </c>
      <c r="H73">
        <v>0</v>
      </c>
      <c r="I73" t="s">
        <v>183</v>
      </c>
      <c r="J73" t="s">
        <v>112</v>
      </c>
      <c r="K73">
        <v>1</v>
      </c>
      <c r="L73" t="s">
        <v>135</v>
      </c>
      <c r="M73">
        <v>25</v>
      </c>
      <c r="N73" s="130">
        <v>44197</v>
      </c>
      <c r="O73" s="130"/>
      <c r="Q73" t="s">
        <v>112</v>
      </c>
      <c r="R73">
        <v>1</v>
      </c>
    </row>
    <row r="74" spans="1:18" x14ac:dyDescent="0.25">
      <c r="A74" t="str">
        <f>TableMCENVCLM[[#This Row],[Study Package Code]]</f>
        <v>ISYS5009</v>
      </c>
      <c r="B74" s="3">
        <f>TableMCENVCLM[[#This Row],[Ver]]</f>
        <v>1</v>
      </c>
      <c r="D74" t="str">
        <f>TableMCENVCLM[[#This Row],[Structure Line]]</f>
        <v>Societal Impact of Technological Innovation</v>
      </c>
      <c r="E74" s="70">
        <f>TableMCENVCLM[[#This Row],[Credit Points]]</f>
        <v>25</v>
      </c>
      <c r="F74">
        <v>13</v>
      </c>
      <c r="G74" t="s">
        <v>65</v>
      </c>
      <c r="H74">
        <v>0</v>
      </c>
      <c r="I74" t="s">
        <v>183</v>
      </c>
      <c r="J74" t="s">
        <v>111</v>
      </c>
      <c r="K74">
        <v>1</v>
      </c>
      <c r="L74" t="s">
        <v>136</v>
      </c>
      <c r="M74">
        <v>25</v>
      </c>
      <c r="N74" s="130">
        <v>44197</v>
      </c>
      <c r="O74" s="130"/>
      <c r="Q74" t="s">
        <v>111</v>
      </c>
      <c r="R74">
        <v>1</v>
      </c>
    </row>
    <row r="75" spans="1:18" x14ac:dyDescent="0.25">
      <c r="A75" t="str">
        <f>TableMCENVCLM[[#This Row],[Study Package Code]]</f>
        <v>ISYS6004</v>
      </c>
      <c r="B75" s="3">
        <f>TableMCENVCLM[[#This Row],[Ver]]</f>
        <v>2</v>
      </c>
      <c r="D75" t="str">
        <f>TableMCENVCLM[[#This Row],[Structure Line]]</f>
        <v>Green Information Technology and Sustainability</v>
      </c>
      <c r="E75" s="70">
        <f>TableMCENVCLM[[#This Row],[Credit Points]]</f>
        <v>25</v>
      </c>
      <c r="F75">
        <v>13</v>
      </c>
      <c r="G75" t="s">
        <v>65</v>
      </c>
      <c r="H75">
        <v>0</v>
      </c>
      <c r="I75" t="s">
        <v>183</v>
      </c>
      <c r="J75" t="s">
        <v>113</v>
      </c>
      <c r="K75">
        <v>2</v>
      </c>
      <c r="L75" t="s">
        <v>137</v>
      </c>
      <c r="M75">
        <v>25</v>
      </c>
      <c r="N75" s="130">
        <v>42736</v>
      </c>
      <c r="O75" s="130"/>
      <c r="Q75" t="s">
        <v>113</v>
      </c>
      <c r="R75">
        <v>2</v>
      </c>
    </row>
    <row r="76" spans="1:18" x14ac:dyDescent="0.25">
      <c r="A76" t="str">
        <f>TableMCENVCLM[[#This Row],[Study Package Code]]</f>
        <v>MKTG6003</v>
      </c>
      <c r="B76" s="3">
        <f>TableMCENVCLM[[#This Row],[Ver]]</f>
        <v>2</v>
      </c>
      <c r="D76" t="str">
        <f>TableMCENVCLM[[#This Row],[Structure Line]]</f>
        <v>Sustainable and Societal Marketing</v>
      </c>
      <c r="E76" s="70">
        <f>TableMCENVCLM[[#This Row],[Credit Points]]</f>
        <v>25</v>
      </c>
      <c r="F76">
        <v>13</v>
      </c>
      <c r="G76" t="s">
        <v>65</v>
      </c>
      <c r="H76">
        <v>0</v>
      </c>
      <c r="I76" t="s">
        <v>183</v>
      </c>
      <c r="J76" t="s">
        <v>114</v>
      </c>
      <c r="K76">
        <v>2</v>
      </c>
      <c r="L76" t="s">
        <v>139</v>
      </c>
      <c r="M76">
        <v>25</v>
      </c>
      <c r="N76" s="130">
        <v>44562</v>
      </c>
      <c r="O76" s="130"/>
      <c r="Q76" t="s">
        <v>114</v>
      </c>
      <c r="R76">
        <v>2</v>
      </c>
    </row>
    <row r="77" spans="1:18" x14ac:dyDescent="0.25">
      <c r="A77" t="str">
        <f>TableMCENVCLM[[#This Row],[Study Package Code]]</f>
        <v>PRJM6000</v>
      </c>
      <c r="B77" s="3">
        <f>TableMCENVCLM[[#This Row],[Ver]]</f>
        <v>1</v>
      </c>
      <c r="D77" t="str">
        <f>TableMCENVCLM[[#This Row],[Structure Line]]</f>
        <v>Project Management Overview</v>
      </c>
      <c r="E77" s="70">
        <f>TableMCENVCLM[[#This Row],[Credit Points]]</f>
        <v>25</v>
      </c>
      <c r="F77">
        <v>13</v>
      </c>
      <c r="G77" t="s">
        <v>65</v>
      </c>
      <c r="H77">
        <v>0</v>
      </c>
      <c r="I77" t="s">
        <v>183</v>
      </c>
      <c r="J77" t="s">
        <v>101</v>
      </c>
      <c r="K77">
        <v>1</v>
      </c>
      <c r="L77" t="s">
        <v>142</v>
      </c>
      <c r="M77">
        <v>25</v>
      </c>
      <c r="N77" s="130">
        <v>42005</v>
      </c>
      <c r="O77" s="130"/>
      <c r="Q77" t="s">
        <v>101</v>
      </c>
      <c r="R77">
        <v>1</v>
      </c>
    </row>
    <row r="78" spans="1:18" x14ac:dyDescent="0.25">
      <c r="A78" t="str">
        <f>TableMCENVCLM[[#This Row],[Study Package Code]]</f>
        <v>PRJM6010</v>
      </c>
      <c r="B78" s="3">
        <f>TableMCENVCLM[[#This Row],[Ver]]</f>
        <v>1</v>
      </c>
      <c r="D78" t="str">
        <f>TableMCENVCLM[[#This Row],[Structure Line]]</f>
        <v>Project and People</v>
      </c>
      <c r="E78" s="70">
        <f>TableMCENVCLM[[#This Row],[Credit Points]]</f>
        <v>25</v>
      </c>
      <c r="F78">
        <v>13</v>
      </c>
      <c r="G78" t="s">
        <v>65</v>
      </c>
      <c r="H78">
        <v>0</v>
      </c>
      <c r="I78" t="s">
        <v>183</v>
      </c>
      <c r="J78" t="s">
        <v>102</v>
      </c>
      <c r="K78">
        <v>1</v>
      </c>
      <c r="L78" t="s">
        <v>143</v>
      </c>
      <c r="M78">
        <v>25</v>
      </c>
      <c r="N78" s="130">
        <v>42005</v>
      </c>
      <c r="O78" s="130"/>
      <c r="Q78" t="s">
        <v>102</v>
      </c>
      <c r="R78">
        <v>1</v>
      </c>
    </row>
    <row r="79" spans="1:18" x14ac:dyDescent="0.25">
      <c r="A79" t="str">
        <f>TableMCENVCLM[[#This Row],[Study Package Code]]</f>
        <v>URDE5002</v>
      </c>
      <c r="B79" s="3">
        <f>TableMCENVCLM[[#This Row],[Ver]]</f>
        <v>2</v>
      </c>
      <c r="D79" t="str">
        <f>TableMCENVCLM[[#This Row],[Structure Line]]</f>
        <v>Planning for Regions</v>
      </c>
      <c r="E79" s="70">
        <f>TableMCENVCLM[[#This Row],[Credit Points]]</f>
        <v>25</v>
      </c>
      <c r="F79">
        <v>13</v>
      </c>
      <c r="G79" t="s">
        <v>65</v>
      </c>
      <c r="H79">
        <v>0</v>
      </c>
      <c r="I79" t="s">
        <v>183</v>
      </c>
      <c r="J79" t="s">
        <v>103</v>
      </c>
      <c r="K79">
        <v>2</v>
      </c>
      <c r="L79" t="s">
        <v>159</v>
      </c>
      <c r="M79">
        <v>25</v>
      </c>
      <c r="N79" s="130">
        <v>44197</v>
      </c>
      <c r="O79" s="130"/>
      <c r="Q79" t="s">
        <v>103</v>
      </c>
      <c r="R79">
        <v>2</v>
      </c>
    </row>
    <row r="80" spans="1:18" x14ac:dyDescent="0.25">
      <c r="A80" t="str">
        <f>TableMCENVCLM[[#This Row],[Study Package Code]]</f>
        <v>URDE5009</v>
      </c>
      <c r="B80" s="3">
        <f>TableMCENVCLM[[#This Row],[Ver]]</f>
        <v>1</v>
      </c>
      <c r="D80" t="str">
        <f>TableMCENVCLM[[#This Row],[Structure Line]]</f>
        <v>Participatory Planning</v>
      </c>
      <c r="E80" s="70">
        <f>TableMCENVCLM[[#This Row],[Credit Points]]</f>
        <v>25</v>
      </c>
      <c r="F80">
        <v>13</v>
      </c>
      <c r="G80" t="s">
        <v>65</v>
      </c>
      <c r="H80">
        <v>0</v>
      </c>
      <c r="I80" t="s">
        <v>183</v>
      </c>
      <c r="J80" t="s">
        <v>104</v>
      </c>
      <c r="K80">
        <v>1</v>
      </c>
      <c r="L80" t="s">
        <v>160</v>
      </c>
      <c r="M80">
        <v>25</v>
      </c>
      <c r="N80" s="130">
        <v>42005</v>
      </c>
      <c r="O80" s="130"/>
      <c r="Q80" t="s">
        <v>104</v>
      </c>
      <c r="R80">
        <v>1</v>
      </c>
    </row>
    <row r="81" spans="1:18" x14ac:dyDescent="0.25">
      <c r="A81" t="str">
        <f>TableMCENVCLM[[#This Row],[Study Package Code]]</f>
        <v>URDE5013</v>
      </c>
      <c r="B81" s="3">
        <f>TableMCENVCLM[[#This Row],[Ver]]</f>
        <v>3</v>
      </c>
      <c r="D81" t="str">
        <f>TableMCENVCLM[[#This Row],[Structure Line]]</f>
        <v>Planning Theory and Context</v>
      </c>
      <c r="E81" s="70">
        <f>TableMCENVCLM[[#This Row],[Credit Points]]</f>
        <v>25</v>
      </c>
      <c r="F81">
        <v>13</v>
      </c>
      <c r="G81" t="s">
        <v>65</v>
      </c>
      <c r="H81">
        <v>0</v>
      </c>
      <c r="I81" t="s">
        <v>183</v>
      </c>
      <c r="J81" t="s">
        <v>105</v>
      </c>
      <c r="K81">
        <v>3</v>
      </c>
      <c r="L81" t="s">
        <v>161</v>
      </c>
      <c r="M81">
        <v>25</v>
      </c>
      <c r="N81" s="130">
        <v>44562</v>
      </c>
      <c r="O81" s="130"/>
      <c r="Q81" t="s">
        <v>105</v>
      </c>
      <c r="R81">
        <v>3</v>
      </c>
    </row>
    <row r="82" spans="1:18" x14ac:dyDescent="0.25">
      <c r="A82" t="str">
        <f>TableMCENVCLM[[#This Row],[Study Package Code]]</f>
        <v>URDE5025</v>
      </c>
      <c r="B82" s="3">
        <f>TableMCENVCLM[[#This Row],[Ver]]</f>
        <v>1</v>
      </c>
      <c r="D82" t="str">
        <f>TableMCENVCLM[[#This Row],[Structure Line]]</f>
        <v>Planning Law</v>
      </c>
      <c r="E82" s="70">
        <f>TableMCENVCLM[[#This Row],[Credit Points]]</f>
        <v>25</v>
      </c>
      <c r="F82">
        <v>13</v>
      </c>
      <c r="G82" t="s">
        <v>65</v>
      </c>
      <c r="H82">
        <v>0</v>
      </c>
      <c r="I82" t="s">
        <v>183</v>
      </c>
      <c r="J82" t="s">
        <v>106</v>
      </c>
      <c r="K82">
        <v>1</v>
      </c>
      <c r="L82" t="s">
        <v>162</v>
      </c>
      <c r="M82">
        <v>25</v>
      </c>
      <c r="N82" s="130">
        <v>42005</v>
      </c>
      <c r="O82" s="130"/>
      <c r="Q82" t="s">
        <v>106</v>
      </c>
      <c r="R82">
        <v>1</v>
      </c>
    </row>
    <row r="83" spans="1:18" x14ac:dyDescent="0.25">
      <c r="A83" t="str">
        <f>TableMCENVCLM[[#This Row],[Study Package Code]]</f>
        <v>WORK5000</v>
      </c>
      <c r="B83" s="3">
        <f>TableMCENVCLM[[#This Row],[Ver]]</f>
        <v>1</v>
      </c>
      <c r="D83" t="str">
        <f>TableMCENVCLM[[#This Row],[Structure Line]]</f>
        <v>Work Based Project</v>
      </c>
      <c r="E83" s="70">
        <f>TableMCENVCLM[[#This Row],[Credit Points]]</f>
        <v>25</v>
      </c>
      <c r="F83">
        <v>13</v>
      </c>
      <c r="G83" t="s">
        <v>65</v>
      </c>
      <c r="H83">
        <v>0</v>
      </c>
      <c r="I83" t="s">
        <v>183</v>
      </c>
      <c r="J83" t="s">
        <v>107</v>
      </c>
      <c r="K83">
        <v>1</v>
      </c>
      <c r="L83" t="s">
        <v>179</v>
      </c>
      <c r="M83">
        <v>25</v>
      </c>
      <c r="N83" s="130">
        <v>43101</v>
      </c>
      <c r="O83" s="130"/>
      <c r="Q83" t="s">
        <v>107</v>
      </c>
      <c r="R83">
        <v>1</v>
      </c>
    </row>
    <row r="84" spans="1:18" x14ac:dyDescent="0.25">
      <c r="A84">
        <f>TableMCENVCLM[[#This Row],[Study Package Code]]</f>
        <v>0</v>
      </c>
      <c r="B84" s="3">
        <f>TableMCENVCLM[[#This Row],[Ver]]</f>
        <v>0</v>
      </c>
      <c r="D84">
        <f>TableMCENVCLM[[#This Row],[Structure Line]]</f>
        <v>0</v>
      </c>
      <c r="E84" s="70">
        <f>TableMCENVCLM[[#This Row],[Credit Points]]</f>
        <v>0</v>
      </c>
      <c r="N84" s="130"/>
      <c r="O84" s="130"/>
      <c r="Q84" t="s">
        <v>109</v>
      </c>
      <c r="R84">
        <v>1</v>
      </c>
    </row>
  </sheetData>
  <conditionalFormatting sqref="O3:O26 O56:O84">
    <cfRule type="notContainsBlanks" dxfId="37" priority="13">
      <formula>LEN(TRIM(O3))&gt;0</formula>
    </cfRule>
  </conditionalFormatting>
  <conditionalFormatting sqref="O29:O53">
    <cfRule type="notContainsBlanks" dxfId="36" priority="12">
      <formula>LEN(TRIM(O29))&gt;0</formula>
    </cfRule>
  </conditionalFormatting>
  <conditionalFormatting sqref="J29:J53">
    <cfRule type="duplicateValues" dxfId="35" priority="10"/>
    <cfRule type="duplicateValues" dxfId="34" priority="4"/>
  </conditionalFormatting>
  <conditionalFormatting sqref="J56:J68 J84">
    <cfRule type="duplicateValues" dxfId="33" priority="9"/>
    <cfRule type="duplicateValues" dxfId="32" priority="3"/>
  </conditionalFormatting>
  <conditionalFormatting sqref="Q2:R26">
    <cfRule type="expression" dxfId="31" priority="8">
      <formula>Q2&lt;&gt;J2</formula>
    </cfRule>
  </conditionalFormatting>
  <conditionalFormatting sqref="Q28:R53">
    <cfRule type="expression" dxfId="30" priority="7">
      <formula>Q28&lt;&gt;J28</formula>
    </cfRule>
  </conditionalFormatting>
  <conditionalFormatting sqref="Q55:R84">
    <cfRule type="expression" dxfId="29" priority="6">
      <formula>Q55&lt;&gt;J55</formula>
    </cfRule>
  </conditionalFormatting>
  <conditionalFormatting sqref="J3:J26">
    <cfRule type="duplicateValues" dxfId="28" priority="5"/>
  </conditionalFormatting>
  <conditionalFormatting sqref="J69:J83">
    <cfRule type="duplicateValues" dxfId="27" priority="1"/>
    <cfRule type="duplicateValues" dxfId="26" priority="2"/>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9"/>
  <sheetViews>
    <sheetView workbookViewId="0">
      <selection activeCell="C26" sqref="C26"/>
    </sheetView>
  </sheetViews>
  <sheetFormatPr defaultRowHeight="15.75" x14ac:dyDescent="0.25"/>
  <cols>
    <col min="1" max="1" width="39.625" bestFit="1" customWidth="1"/>
    <col min="2" max="2" width="9.875" bestFit="1" customWidth="1"/>
    <col min="3" max="3" width="8.5" bestFit="1" customWidth="1"/>
    <col min="4" max="4" width="10.625" bestFit="1" customWidth="1"/>
    <col min="5" max="5" width="9.5" bestFit="1" customWidth="1"/>
    <col min="6" max="6" width="16.125" bestFit="1" customWidth="1"/>
    <col min="7" max="7" width="10.375" bestFit="1" customWidth="1"/>
  </cols>
  <sheetData>
    <row r="1" spans="1:7" x14ac:dyDescent="0.25">
      <c r="A1" t="s">
        <v>186</v>
      </c>
      <c r="F1" s="131" t="s">
        <v>187</v>
      </c>
      <c r="G1" s="141">
        <v>45316</v>
      </c>
    </row>
    <row r="2" spans="1:7" x14ac:dyDescent="0.25">
      <c r="B2" t="s">
        <v>177</v>
      </c>
      <c r="D2" t="s">
        <v>182</v>
      </c>
    </row>
    <row r="3" spans="1:7" x14ac:dyDescent="0.25">
      <c r="A3" t="s">
        <v>188</v>
      </c>
      <c r="B3" t="s">
        <v>189</v>
      </c>
      <c r="C3" t="s">
        <v>190</v>
      </c>
      <c r="D3" t="s">
        <v>191</v>
      </c>
      <c r="E3" t="s">
        <v>192</v>
      </c>
    </row>
    <row r="4" spans="1:7" x14ac:dyDescent="0.25">
      <c r="A4" t="s">
        <v>108</v>
      </c>
      <c r="D4">
        <v>1</v>
      </c>
    </row>
    <row r="5" spans="1:7" x14ac:dyDescent="0.25">
      <c r="A5" t="s">
        <v>100</v>
      </c>
      <c r="D5">
        <v>1</v>
      </c>
    </row>
    <row r="6" spans="1:7" x14ac:dyDescent="0.25">
      <c r="A6" t="s">
        <v>109</v>
      </c>
      <c r="B6">
        <v>1</v>
      </c>
      <c r="C6">
        <v>1</v>
      </c>
    </row>
    <row r="7" spans="1:7" x14ac:dyDescent="0.25">
      <c r="A7" t="s">
        <v>110</v>
      </c>
      <c r="B7">
        <v>1</v>
      </c>
      <c r="C7">
        <v>1</v>
      </c>
      <c r="D7">
        <v>1</v>
      </c>
      <c r="E7">
        <v>1</v>
      </c>
    </row>
    <row r="8" spans="1:7" x14ac:dyDescent="0.25">
      <c r="A8" t="s">
        <v>112</v>
      </c>
      <c r="B8">
        <v>1</v>
      </c>
      <c r="C8">
        <v>1</v>
      </c>
      <c r="E8">
        <v>1</v>
      </c>
    </row>
    <row r="9" spans="1:7" x14ac:dyDescent="0.25">
      <c r="A9" t="s">
        <v>111</v>
      </c>
      <c r="B9">
        <v>1</v>
      </c>
      <c r="D9">
        <v>1</v>
      </c>
      <c r="E9">
        <v>1</v>
      </c>
    </row>
    <row r="10" spans="1:7" x14ac:dyDescent="0.25">
      <c r="A10" t="s">
        <v>113</v>
      </c>
      <c r="B10">
        <v>1</v>
      </c>
    </row>
    <row r="11" spans="1:7" x14ac:dyDescent="0.25">
      <c r="A11" t="s">
        <v>114</v>
      </c>
      <c r="B11">
        <v>1</v>
      </c>
    </row>
    <row r="12" spans="1:7" x14ac:dyDescent="0.25">
      <c r="A12" t="s">
        <v>101</v>
      </c>
      <c r="B12">
        <v>1</v>
      </c>
      <c r="C12">
        <v>1</v>
      </c>
      <c r="D12">
        <v>1</v>
      </c>
      <c r="E12">
        <v>1</v>
      </c>
    </row>
    <row r="13" spans="1:7" x14ac:dyDescent="0.25">
      <c r="A13" t="s">
        <v>102</v>
      </c>
      <c r="B13">
        <v>1</v>
      </c>
      <c r="C13">
        <v>1</v>
      </c>
      <c r="D13">
        <v>1</v>
      </c>
      <c r="E13">
        <v>1</v>
      </c>
    </row>
    <row r="14" spans="1:7" x14ac:dyDescent="0.25">
      <c r="A14" t="s">
        <v>51</v>
      </c>
      <c r="D14">
        <v>1</v>
      </c>
      <c r="E14">
        <v>1</v>
      </c>
    </row>
    <row r="15" spans="1:7" x14ac:dyDescent="0.25">
      <c r="A15" t="s">
        <v>80</v>
      </c>
      <c r="D15">
        <v>1</v>
      </c>
      <c r="E15">
        <v>1</v>
      </c>
    </row>
    <row r="16" spans="1:7" x14ac:dyDescent="0.25">
      <c r="A16" t="s">
        <v>52</v>
      </c>
      <c r="B16">
        <v>1</v>
      </c>
      <c r="C16">
        <v>1</v>
      </c>
    </row>
    <row r="17" spans="1:5" x14ac:dyDescent="0.25">
      <c r="A17" t="s">
        <v>53</v>
      </c>
      <c r="D17">
        <v>1</v>
      </c>
      <c r="E17">
        <v>1</v>
      </c>
    </row>
    <row r="18" spans="1:5" x14ac:dyDescent="0.25">
      <c r="A18" t="s">
        <v>59</v>
      </c>
      <c r="D18">
        <v>1</v>
      </c>
      <c r="E18">
        <v>1</v>
      </c>
    </row>
    <row r="19" spans="1:5" x14ac:dyDescent="0.25">
      <c r="A19" t="s">
        <v>78</v>
      </c>
      <c r="B19">
        <v>1</v>
      </c>
      <c r="C19">
        <v>1</v>
      </c>
    </row>
    <row r="20" spans="1:5" x14ac:dyDescent="0.25">
      <c r="A20" t="s">
        <v>48</v>
      </c>
      <c r="B20">
        <v>1</v>
      </c>
      <c r="C20">
        <v>1</v>
      </c>
    </row>
    <row r="21" spans="1:5" x14ac:dyDescent="0.25">
      <c r="A21" t="s">
        <v>87</v>
      </c>
      <c r="B21">
        <v>1</v>
      </c>
      <c r="D21">
        <v>1</v>
      </c>
      <c r="E21">
        <v>1</v>
      </c>
    </row>
    <row r="22" spans="1:5" x14ac:dyDescent="0.25">
      <c r="A22" t="s">
        <v>84</v>
      </c>
      <c r="B22">
        <v>1</v>
      </c>
      <c r="D22">
        <v>1</v>
      </c>
    </row>
    <row r="23" spans="1:5" x14ac:dyDescent="0.25">
      <c r="A23" t="s">
        <v>58</v>
      </c>
      <c r="B23">
        <v>1</v>
      </c>
      <c r="C23">
        <v>1</v>
      </c>
      <c r="E23">
        <v>1</v>
      </c>
    </row>
    <row r="24" spans="1:5" x14ac:dyDescent="0.25">
      <c r="A24" t="s">
        <v>103</v>
      </c>
      <c r="B24">
        <v>1</v>
      </c>
    </row>
    <row r="25" spans="1:5" x14ac:dyDescent="0.25">
      <c r="A25" t="s">
        <v>104</v>
      </c>
      <c r="D25">
        <v>1</v>
      </c>
    </row>
    <row r="26" spans="1:5" x14ac:dyDescent="0.25">
      <c r="A26" t="s">
        <v>105</v>
      </c>
      <c r="B26">
        <v>1</v>
      </c>
    </row>
    <row r="27" spans="1:5" x14ac:dyDescent="0.25">
      <c r="A27" t="s">
        <v>106</v>
      </c>
      <c r="B27">
        <v>1</v>
      </c>
      <c r="D27">
        <v>1</v>
      </c>
    </row>
    <row r="28" spans="1:5" x14ac:dyDescent="0.25">
      <c r="A28" t="s">
        <v>73</v>
      </c>
      <c r="B28">
        <v>1</v>
      </c>
      <c r="C28">
        <v>1</v>
      </c>
      <c r="D28">
        <v>1</v>
      </c>
      <c r="E28">
        <v>1</v>
      </c>
    </row>
    <row r="29" spans="1:5" x14ac:dyDescent="0.25">
      <c r="A29" t="s">
        <v>107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54F43E1E-923A-475B-A6F8-9AD075119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ba69df13-0c3c-4942-8695-6ca01564010c"/>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2380bd5d-8f09-40a9-a9cb-2482ec2cd2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Planner ECE</vt:lpstr>
      <vt:lpstr>Unitsets</vt:lpstr>
      <vt:lpstr>Handbook</vt:lpstr>
      <vt:lpstr>Structures</vt:lpstr>
      <vt:lpstr>Availabilities</vt:lpstr>
      <vt:lpstr>'Planner ECE'!Print_Area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2024-02-12T08:17:52Z</cp:lastPrinted>
  <dcterms:created xsi:type="dcterms:W3CDTF">2022-02-28T04:48:12Z</dcterms:created>
  <dcterms:modified xsi:type="dcterms:W3CDTF">2024-02-12T08:21:02Z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