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ujD7OnkszyOETVf3NNvWgtTPueozzztWafa/+p6FWRpceynD6vEuohdrR2pc01XLb0DrkRdvTcfbGzGpDoYCng==" workbookSaltValue="0rRR01ozMKQiCMulHHl+2w==" workbookSpinCount="100000" lockStructure="1"/>
  <bookViews>
    <workbookView xWindow="0" yWindow="0" windowWidth="28740" windowHeight="11940"/>
  </bookViews>
  <sheets>
    <sheet name="GC-GD-MSc Project Managment" sheetId="5" r:id="rId1"/>
    <sheet name="Master of Project Management"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Handbook!$A$2:$I$2</definedName>
    <definedName name="_xlnm.Print_Area" localSheetId="0">'GC-GD-MSc Project Managment'!$A$3:$L$32</definedName>
    <definedName name="_xlnm.Print_Area" localSheetId="1">'Master of Project Management'!$A$3:$L$37</definedName>
    <definedName name="RangeAltCores">Unitsets!$J$24:$AG$28</definedName>
    <definedName name="RangeUnitsets">Unitsets!$J$3:$AG$19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 l="1"/>
  <c r="J5" i="3"/>
  <c r="J6" i="3"/>
  <c r="J7" i="3"/>
  <c r="J8" i="3"/>
  <c r="J9" i="3"/>
  <c r="J10" i="3"/>
  <c r="J11" i="3"/>
  <c r="J12" i="3"/>
  <c r="J13" i="3"/>
  <c r="J14" i="3"/>
  <c r="J15" i="3"/>
  <c r="J16" i="3"/>
  <c r="J17" i="3"/>
  <c r="J18" i="3"/>
  <c r="J19" i="3"/>
  <c r="J20" i="3"/>
  <c r="J21" i="3"/>
  <c r="J22" i="3"/>
  <c r="J23" i="3"/>
  <c r="J24" i="3"/>
  <c r="J25" i="3"/>
  <c r="J26" i="3"/>
  <c r="J27" i="3"/>
  <c r="I4" i="3"/>
  <c r="I5" i="3"/>
  <c r="I6" i="3"/>
  <c r="I7" i="3"/>
  <c r="I8" i="3"/>
  <c r="I9" i="3"/>
  <c r="I10" i="3"/>
  <c r="I11" i="3"/>
  <c r="I12" i="3"/>
  <c r="I13" i="3"/>
  <c r="I14" i="3"/>
  <c r="I15" i="3"/>
  <c r="I16" i="3"/>
  <c r="I17" i="3"/>
  <c r="I18" i="3"/>
  <c r="I19" i="3"/>
  <c r="I20" i="3"/>
  <c r="I21" i="3"/>
  <c r="I22" i="3"/>
  <c r="I23" i="3"/>
  <c r="I24" i="3"/>
  <c r="I25" i="3"/>
  <c r="I26" i="3"/>
  <c r="I27" i="3"/>
  <c r="H27" i="3"/>
  <c r="H26" i="3"/>
  <c r="H25" i="3"/>
  <c r="H24" i="3"/>
  <c r="H23" i="3"/>
  <c r="H22" i="3"/>
  <c r="H21" i="3"/>
  <c r="H20" i="3"/>
  <c r="H19" i="3"/>
  <c r="H18" i="3"/>
  <c r="H17" i="3"/>
  <c r="H16" i="3"/>
  <c r="H15" i="3"/>
  <c r="H14" i="3"/>
  <c r="H13" i="3"/>
  <c r="H12" i="3"/>
  <c r="H11" i="3"/>
  <c r="H10" i="3"/>
  <c r="H9" i="3"/>
  <c r="H8" i="3"/>
  <c r="H7" i="3"/>
  <c r="H6" i="3"/>
  <c r="H5" i="3"/>
  <c r="H4" i="3"/>
  <c r="G4" i="3"/>
  <c r="G5" i="3"/>
  <c r="G6" i="3"/>
  <c r="G7" i="3"/>
  <c r="G8" i="3"/>
  <c r="G9" i="3"/>
  <c r="G10" i="3"/>
  <c r="G11" i="3"/>
  <c r="G12" i="3"/>
  <c r="G13" i="3"/>
  <c r="G14" i="3"/>
  <c r="G15" i="3"/>
  <c r="G16" i="3"/>
  <c r="G17" i="3"/>
  <c r="G18" i="3"/>
  <c r="G19" i="3"/>
  <c r="G20" i="3"/>
  <c r="G21" i="3"/>
  <c r="G22" i="3"/>
  <c r="G23" i="3"/>
  <c r="G24" i="3"/>
  <c r="G25" i="3"/>
  <c r="G26" i="3"/>
  <c r="G27" i="3"/>
  <c r="A95" i="8" l="1"/>
  <c r="B95" i="8"/>
  <c r="D95" i="8"/>
  <c r="E95" i="8"/>
  <c r="A73" i="8" l="1"/>
  <c r="B73" i="8"/>
  <c r="D73" i="8"/>
  <c r="E73" i="8"/>
  <c r="A18" i="8" l="1"/>
  <c r="B18" i="8"/>
  <c r="D18" i="8"/>
  <c r="E18" i="8"/>
  <c r="A19" i="8"/>
  <c r="B19" i="8"/>
  <c r="D19" i="8"/>
  <c r="E19" i="8"/>
  <c r="A20" i="8"/>
  <c r="B20" i="8"/>
  <c r="D20" i="8"/>
  <c r="E20" i="8"/>
  <c r="G6" i="10" l="1"/>
  <c r="G5" i="10"/>
  <c r="L4" i="10"/>
  <c r="A27" i="10" s="1"/>
  <c r="H27" i="10" l="1"/>
  <c r="K27" i="10"/>
  <c r="J27" i="10"/>
  <c r="I27" i="10"/>
  <c r="A11" i="10"/>
  <c r="A33" i="10"/>
  <c r="A10" i="10"/>
  <c r="A32" i="10"/>
  <c r="A20" i="10"/>
  <c r="A12" i="10"/>
  <c r="A14" i="10"/>
  <c r="A21" i="10"/>
  <c r="A22" i="10"/>
  <c r="A24" i="10"/>
  <c r="A9" i="10"/>
  <c r="A16" i="10"/>
  <c r="A26" i="10"/>
  <c r="A19" i="10"/>
  <c r="A31" i="10"/>
  <c r="A15" i="10"/>
  <c r="A25" i="10"/>
  <c r="D27" i="10"/>
  <c r="G27" i="10"/>
  <c r="C27" i="10"/>
  <c r="B27" i="10"/>
  <c r="F27" i="10"/>
  <c r="A17" i="10"/>
  <c r="G5" i="5"/>
  <c r="K32" i="10" l="1"/>
  <c r="J32" i="10"/>
  <c r="I32" i="10"/>
  <c r="H32" i="10"/>
  <c r="K33" i="10"/>
  <c r="J33" i="10"/>
  <c r="I33" i="10"/>
  <c r="H33" i="10"/>
  <c r="K31" i="10"/>
  <c r="J31" i="10"/>
  <c r="I31" i="10"/>
  <c r="H31" i="10"/>
  <c r="K16" i="10"/>
  <c r="J16" i="10"/>
  <c r="I16" i="10"/>
  <c r="H16" i="10"/>
  <c r="H10" i="10"/>
  <c r="I10" i="10"/>
  <c r="K10" i="10"/>
  <c r="J10" i="10"/>
  <c r="K24" i="10"/>
  <c r="J24" i="10"/>
  <c r="H24" i="10"/>
  <c r="I24" i="10"/>
  <c r="K9" i="10"/>
  <c r="J9" i="10"/>
  <c r="I9" i="10"/>
  <c r="C25" i="10"/>
  <c r="H25" i="10"/>
  <c r="I25" i="10"/>
  <c r="K25" i="10"/>
  <c r="J25" i="10"/>
  <c r="F22" i="10"/>
  <c r="H22" i="10"/>
  <c r="J22" i="10"/>
  <c r="I22" i="10"/>
  <c r="K22" i="10"/>
  <c r="K11" i="10"/>
  <c r="J11" i="10"/>
  <c r="I11" i="10"/>
  <c r="H11" i="10"/>
  <c r="H15" i="10"/>
  <c r="J15" i="10"/>
  <c r="K15" i="10"/>
  <c r="I15" i="10"/>
  <c r="K21" i="10"/>
  <c r="J21" i="10"/>
  <c r="H21" i="10"/>
  <c r="I21" i="10"/>
  <c r="H17" i="10"/>
  <c r="I17" i="10"/>
  <c r="J17" i="10"/>
  <c r="K17" i="10"/>
  <c r="C14" i="10"/>
  <c r="K14" i="10"/>
  <c r="J14" i="10"/>
  <c r="H14" i="10"/>
  <c r="I14" i="10"/>
  <c r="K19" i="10"/>
  <c r="J19" i="10"/>
  <c r="H19" i="10"/>
  <c r="I19" i="10"/>
  <c r="F12" i="10"/>
  <c r="H12" i="10"/>
  <c r="I12" i="10"/>
  <c r="K12" i="10"/>
  <c r="J12" i="10"/>
  <c r="K26" i="10"/>
  <c r="J26" i="10"/>
  <c r="I26" i="10"/>
  <c r="H26" i="10"/>
  <c r="D20" i="10"/>
  <c r="H20" i="10"/>
  <c r="K20" i="10"/>
  <c r="I20" i="10"/>
  <c r="J20" i="10"/>
  <c r="G9" i="10"/>
  <c r="H9" i="10"/>
  <c r="F26" i="10"/>
  <c r="B20" i="10"/>
  <c r="E9" i="10"/>
  <c r="E10" i="10" s="1"/>
  <c r="E11" i="10" s="1"/>
  <c r="E12" i="10" s="1"/>
  <c r="C10" i="10"/>
  <c r="F10" i="10"/>
  <c r="F9" i="10"/>
  <c r="B9" i="10"/>
  <c r="D10" i="10"/>
  <c r="B10" i="10"/>
  <c r="G26" i="10"/>
  <c r="C20" i="10"/>
  <c r="F20" i="10"/>
  <c r="D26" i="10"/>
  <c r="C26" i="10"/>
  <c r="B26" i="10"/>
  <c r="F19" i="10"/>
  <c r="G19" i="10"/>
  <c r="E24" i="10"/>
  <c r="E25" i="10" s="1"/>
  <c r="E26" i="10" s="1"/>
  <c r="E27" i="10" s="1"/>
  <c r="E19" i="10"/>
  <c r="E20" i="10" s="1"/>
  <c r="E21" i="10" s="1"/>
  <c r="E22" i="10" s="1"/>
  <c r="B19" i="10"/>
  <c r="G25" i="10"/>
  <c r="G32" i="10"/>
  <c r="C33" i="10"/>
  <c r="D16" i="10"/>
  <c r="C32" i="10"/>
  <c r="C16" i="10"/>
  <c r="E14" i="10"/>
  <c r="E15" i="10" s="1"/>
  <c r="E16" i="10" s="1"/>
  <c r="E17" i="10" s="1"/>
  <c r="D24" i="10"/>
  <c r="B14" i="10"/>
  <c r="B32" i="10"/>
  <c r="C24" i="10"/>
  <c r="B24" i="10"/>
  <c r="F33" i="10"/>
  <c r="D33" i="10"/>
  <c r="B16" i="10"/>
  <c r="B33" i="10"/>
  <c r="G16" i="10"/>
  <c r="F32" i="10"/>
  <c r="D32" i="10"/>
  <c r="F16" i="10"/>
  <c r="D21" i="10"/>
  <c r="C21" i="10"/>
  <c r="B21" i="10"/>
  <c r="F21" i="10"/>
  <c r="G21" i="10"/>
  <c r="C31" i="10"/>
  <c r="F31" i="10"/>
  <c r="D31" i="10"/>
  <c r="F14" i="10"/>
  <c r="G14" i="10"/>
  <c r="C19" i="10"/>
  <c r="D19" i="10"/>
  <c r="D12" i="10"/>
  <c r="C12" i="10"/>
  <c r="B12" i="10"/>
  <c r="G12" i="10"/>
  <c r="B15" i="10"/>
  <c r="F15" i="10"/>
  <c r="D15" i="10"/>
  <c r="G31" i="10"/>
  <c r="G20" i="10"/>
  <c r="C15" i="10"/>
  <c r="D9" i="10"/>
  <c r="C9" i="10"/>
  <c r="G10" i="10"/>
  <c r="B31" i="10"/>
  <c r="D14" i="10"/>
  <c r="F24" i="10"/>
  <c r="G24" i="10"/>
  <c r="G33" i="10"/>
  <c r="G15" i="10"/>
  <c r="D25" i="10"/>
  <c r="B25" i="10"/>
  <c r="F25" i="10"/>
  <c r="D22" i="10"/>
  <c r="C22" i="10"/>
  <c r="B22" i="10"/>
  <c r="G22" i="10"/>
  <c r="D11" i="10"/>
  <c r="C11" i="10"/>
  <c r="B11" i="10"/>
  <c r="F11" i="10"/>
  <c r="G11" i="10"/>
  <c r="D17" i="10"/>
  <c r="F17" i="10"/>
  <c r="C17" i="10"/>
  <c r="G17" i="10"/>
  <c r="B17" i="10"/>
  <c r="AI19" i="2" l="1"/>
  <c r="AN19" i="2" s="1"/>
  <c r="AI18" i="2"/>
  <c r="AN18" i="2" s="1"/>
  <c r="AI17" i="2"/>
  <c r="AN17" i="2" s="1"/>
  <c r="AI16" i="2"/>
  <c r="AN16" i="2" s="1"/>
  <c r="AI15" i="2"/>
  <c r="AN15" i="2" s="1"/>
  <c r="AI14" i="2"/>
  <c r="AN14" i="2" s="1"/>
  <c r="AI13" i="2"/>
  <c r="AN13" i="2" s="1"/>
  <c r="AI12" i="2"/>
  <c r="AN12" i="2" s="1"/>
  <c r="AI11" i="2"/>
  <c r="AN11" i="2" s="1"/>
  <c r="AI10" i="2"/>
  <c r="AN10" i="2" s="1"/>
  <c r="AI9" i="2"/>
  <c r="AN9" i="2" s="1"/>
  <c r="AI8" i="2"/>
  <c r="AN8" i="2" s="1"/>
  <c r="AI7" i="2"/>
  <c r="AN7" i="2" s="1"/>
  <c r="AI6" i="2"/>
  <c r="AN6" i="2" s="1"/>
  <c r="AI5" i="2"/>
  <c r="AN5" i="2" s="1"/>
  <c r="AI4" i="2"/>
  <c r="AN4" i="2" s="1"/>
  <c r="E88" i="8"/>
  <c r="E89" i="8"/>
  <c r="E85" i="8"/>
  <c r="E84" i="8"/>
  <c r="E87" i="8"/>
  <c r="E86" i="8"/>
  <c r="E82" i="8"/>
  <c r="E83" i="8"/>
  <c r="E97" i="8"/>
  <c r="E98" i="8"/>
  <c r="E96" i="8"/>
  <c r="E94" i="8"/>
  <c r="E92" i="8"/>
  <c r="E93" i="8"/>
  <c r="E90" i="8"/>
  <c r="E91" i="8"/>
  <c r="E66" i="8"/>
  <c r="E70" i="8"/>
  <c r="E64" i="8"/>
  <c r="E63" i="8"/>
  <c r="E68" i="8"/>
  <c r="E67" i="8"/>
  <c r="E69" i="8"/>
  <c r="E65" i="8"/>
  <c r="E78" i="8"/>
  <c r="E79" i="8"/>
  <c r="E74" i="8"/>
  <c r="E77" i="8"/>
  <c r="E72" i="8"/>
  <c r="E75" i="8"/>
  <c r="E71" i="8"/>
  <c r="E76" i="8"/>
  <c r="E58" i="8"/>
  <c r="E59" i="8"/>
  <c r="E60" i="8"/>
  <c r="E43" i="8"/>
  <c r="E46" i="8"/>
  <c r="E45" i="8"/>
  <c r="E44" i="8"/>
  <c r="E49" i="8"/>
  <c r="E48" i="8"/>
  <c r="E47" i="8"/>
  <c r="E50" i="8"/>
  <c r="E52" i="8"/>
  <c r="E53" i="8"/>
  <c r="E51" i="8"/>
  <c r="E34" i="8"/>
  <c r="E33" i="8"/>
  <c r="E37" i="8"/>
  <c r="E36" i="8"/>
  <c r="E35" i="8"/>
  <c r="E31" i="8"/>
  <c r="E32" i="8"/>
  <c r="E30" i="8"/>
  <c r="E40" i="8"/>
  <c r="E39" i="8"/>
  <c r="E38" i="8"/>
  <c r="E25" i="8"/>
  <c r="E26" i="8"/>
  <c r="E27" i="8"/>
  <c r="D88" i="8"/>
  <c r="D89" i="8"/>
  <c r="D85" i="8"/>
  <c r="D84" i="8"/>
  <c r="D87" i="8"/>
  <c r="D86" i="8"/>
  <c r="D82" i="8"/>
  <c r="D83" i="8"/>
  <c r="D97" i="8"/>
  <c r="D98" i="8"/>
  <c r="D96" i="8"/>
  <c r="D94" i="8"/>
  <c r="D92" i="8"/>
  <c r="D93" i="8"/>
  <c r="D90" i="8"/>
  <c r="D91" i="8"/>
  <c r="D66" i="8"/>
  <c r="D70" i="8"/>
  <c r="D64" i="8"/>
  <c r="D63" i="8"/>
  <c r="D68" i="8"/>
  <c r="D67" i="8"/>
  <c r="D69" i="8"/>
  <c r="D65" i="8"/>
  <c r="D78" i="8"/>
  <c r="D79" i="8"/>
  <c r="D74" i="8"/>
  <c r="D77" i="8"/>
  <c r="D72" i="8"/>
  <c r="D75" i="8"/>
  <c r="D71" i="8"/>
  <c r="D76" i="8"/>
  <c r="D58" i="8"/>
  <c r="D59" i="8"/>
  <c r="D60" i="8"/>
  <c r="D43" i="8"/>
  <c r="D46" i="8"/>
  <c r="D45" i="8"/>
  <c r="D44" i="8"/>
  <c r="D49" i="8"/>
  <c r="D48" i="8"/>
  <c r="D47" i="8"/>
  <c r="D50" i="8"/>
  <c r="D52" i="8"/>
  <c r="D53" i="8"/>
  <c r="D51" i="8"/>
  <c r="D34" i="8"/>
  <c r="D33" i="8"/>
  <c r="D37" i="8"/>
  <c r="D36" i="8"/>
  <c r="D35" i="8"/>
  <c r="D31" i="8"/>
  <c r="D32" i="8"/>
  <c r="D30" i="8"/>
  <c r="D40" i="8"/>
  <c r="D39" i="8"/>
  <c r="D38" i="8"/>
  <c r="D25" i="8"/>
  <c r="D26" i="8"/>
  <c r="D27" i="8"/>
  <c r="A88" i="8"/>
  <c r="A89" i="8"/>
  <c r="A85" i="8"/>
  <c r="A84" i="8"/>
  <c r="A87" i="8"/>
  <c r="A86" i="8"/>
  <c r="A82" i="8"/>
  <c r="A83" i="8"/>
  <c r="A97" i="8"/>
  <c r="A98" i="8"/>
  <c r="A96" i="8"/>
  <c r="A94" i="8"/>
  <c r="A92" i="8"/>
  <c r="A93" i="8"/>
  <c r="A90" i="8"/>
  <c r="A91" i="8"/>
  <c r="B88" i="8"/>
  <c r="B89" i="8"/>
  <c r="B85" i="8"/>
  <c r="B84" i="8"/>
  <c r="B87" i="8"/>
  <c r="B86" i="8"/>
  <c r="B82" i="8"/>
  <c r="B83" i="8"/>
  <c r="B97" i="8"/>
  <c r="B98" i="8"/>
  <c r="B96" i="8"/>
  <c r="B94" i="8"/>
  <c r="B92" i="8"/>
  <c r="B93" i="8"/>
  <c r="B90" i="8"/>
  <c r="B91" i="8"/>
  <c r="B66" i="8"/>
  <c r="B70" i="8"/>
  <c r="B64" i="8"/>
  <c r="B63" i="8"/>
  <c r="B68" i="8"/>
  <c r="B67" i="8"/>
  <c r="B69" i="8"/>
  <c r="B65" i="8"/>
  <c r="B78" i="8"/>
  <c r="B79" i="8"/>
  <c r="B74" i="8"/>
  <c r="B77" i="8"/>
  <c r="B72" i="8"/>
  <c r="B75" i="8"/>
  <c r="B71" i="8"/>
  <c r="B76" i="8"/>
  <c r="B58" i="8"/>
  <c r="B59" i="8"/>
  <c r="B60" i="8"/>
  <c r="B43" i="8"/>
  <c r="B46" i="8"/>
  <c r="B45" i="8"/>
  <c r="B44" i="8"/>
  <c r="B49" i="8"/>
  <c r="B48" i="8"/>
  <c r="B47" i="8"/>
  <c r="B50" i="8"/>
  <c r="B52" i="8"/>
  <c r="B53" i="8"/>
  <c r="B51" i="8"/>
  <c r="B34" i="8"/>
  <c r="B33" i="8"/>
  <c r="B37" i="8"/>
  <c r="B36" i="8"/>
  <c r="B35" i="8"/>
  <c r="B31" i="8"/>
  <c r="B32" i="8"/>
  <c r="B30" i="8"/>
  <c r="B40" i="8"/>
  <c r="B39" i="8"/>
  <c r="B38" i="8"/>
  <c r="B25" i="8"/>
  <c r="B26" i="8"/>
  <c r="B27" i="8"/>
  <c r="B13" i="8"/>
  <c r="A66" i="8"/>
  <c r="A70" i="8"/>
  <c r="A64" i="8"/>
  <c r="A63" i="8"/>
  <c r="A68" i="8"/>
  <c r="A67" i="8"/>
  <c r="A69" i="8"/>
  <c r="A65" i="8"/>
  <c r="A78" i="8"/>
  <c r="A79" i="8"/>
  <c r="A74" i="8"/>
  <c r="A77" i="8"/>
  <c r="A72" i="8"/>
  <c r="A75" i="8"/>
  <c r="A71" i="8"/>
  <c r="A76" i="8"/>
  <c r="A58" i="8"/>
  <c r="A59" i="8"/>
  <c r="A60" i="8"/>
  <c r="A43" i="8"/>
  <c r="A46" i="8"/>
  <c r="A45" i="8"/>
  <c r="A44" i="8"/>
  <c r="A49" i="8"/>
  <c r="A48" i="8"/>
  <c r="A47" i="8"/>
  <c r="A50" i="8"/>
  <c r="A52" i="8"/>
  <c r="A53" i="8"/>
  <c r="A51" i="8"/>
  <c r="A34" i="8"/>
  <c r="A33" i="8"/>
  <c r="A37" i="8"/>
  <c r="A36" i="8"/>
  <c r="A35" i="8"/>
  <c r="A31" i="8"/>
  <c r="A32" i="8"/>
  <c r="A30" i="8"/>
  <c r="A40" i="8"/>
  <c r="A39" i="8"/>
  <c r="A38" i="8"/>
  <c r="A25" i="8"/>
  <c r="A26" i="8"/>
  <c r="A27" i="8"/>
  <c r="E13" i="8"/>
  <c r="E14" i="8"/>
  <c r="E16" i="8"/>
  <c r="E11" i="8"/>
  <c r="E15" i="8"/>
  <c r="E12" i="8"/>
  <c r="E17" i="8"/>
  <c r="D13" i="8"/>
  <c r="D14" i="8"/>
  <c r="D16" i="8"/>
  <c r="D11" i="8"/>
  <c r="D15" i="8"/>
  <c r="D12" i="8"/>
  <c r="D17" i="8"/>
  <c r="B14" i="8"/>
  <c r="B16" i="8"/>
  <c r="B11" i="8"/>
  <c r="B15" i="8"/>
  <c r="B12" i="8"/>
  <c r="B17" i="8"/>
  <c r="A13" i="8"/>
  <c r="A14" i="8"/>
  <c r="A16" i="8"/>
  <c r="A11" i="8"/>
  <c r="A15" i="8"/>
  <c r="A12" i="8"/>
  <c r="A17" i="8"/>
  <c r="E3" i="8"/>
  <c r="E5" i="8"/>
  <c r="E6" i="8"/>
  <c r="E4" i="8"/>
  <c r="D3" i="8"/>
  <c r="D5" i="8"/>
  <c r="D6" i="8"/>
  <c r="D4" i="8"/>
  <c r="B3" i="8"/>
  <c r="B5" i="8"/>
  <c r="B6" i="8"/>
  <c r="B4" i="8"/>
  <c r="A3" i="8"/>
  <c r="A5" i="8"/>
  <c r="A6" i="8"/>
  <c r="A4" i="8"/>
  <c r="L23" i="3" l="1"/>
  <c r="L26" i="3"/>
  <c r="L24" i="3"/>
  <c r="L25" i="3"/>
  <c r="L13" i="3"/>
  <c r="M23" i="3"/>
  <c r="M26" i="3"/>
  <c r="M24" i="3"/>
  <c r="M25" i="3"/>
  <c r="M13" i="3"/>
  <c r="N23" i="3"/>
  <c r="N26" i="3"/>
  <c r="N24" i="3"/>
  <c r="N25" i="3"/>
  <c r="N4" i="3"/>
  <c r="N5" i="3"/>
  <c r="N6" i="3"/>
  <c r="N7" i="3"/>
  <c r="N8" i="3"/>
  <c r="N9" i="3"/>
  <c r="N10" i="3"/>
  <c r="N11" i="3"/>
  <c r="N12" i="3"/>
  <c r="N14" i="3"/>
  <c r="N13" i="3"/>
  <c r="N15" i="3"/>
  <c r="N16" i="3"/>
  <c r="N17" i="3"/>
  <c r="N18" i="3"/>
  <c r="N19" i="3"/>
  <c r="N20" i="3"/>
  <c r="N21" i="3"/>
  <c r="N22" i="3"/>
  <c r="N27" i="3"/>
  <c r="O23" i="3"/>
  <c r="O26" i="3"/>
  <c r="O24" i="3"/>
  <c r="O25" i="3"/>
  <c r="O13" i="3"/>
  <c r="P23" i="3"/>
  <c r="P26" i="3"/>
  <c r="P24" i="3"/>
  <c r="P25" i="3"/>
  <c r="P13" i="3"/>
  <c r="Q4" i="3"/>
  <c r="Q5" i="3"/>
  <c r="Q6" i="3"/>
  <c r="Q7" i="3"/>
  <c r="Q8" i="3"/>
  <c r="Q9" i="3"/>
  <c r="Q10" i="3"/>
  <c r="Q11" i="3"/>
  <c r="Q12" i="3"/>
  <c r="Q13" i="3"/>
  <c r="Q14" i="3"/>
  <c r="Q15" i="3"/>
  <c r="Q16" i="3"/>
  <c r="Q17" i="3"/>
  <c r="Q18" i="3"/>
  <c r="Q19" i="3"/>
  <c r="Q20" i="3"/>
  <c r="Q21" i="3"/>
  <c r="Q22" i="3"/>
  <c r="Q23" i="3"/>
  <c r="Q24" i="3"/>
  <c r="Q25" i="3"/>
  <c r="Q26" i="3"/>
  <c r="Q27" i="3"/>
  <c r="R23" i="3"/>
  <c r="R26" i="3"/>
  <c r="R24" i="3"/>
  <c r="R25" i="3"/>
  <c r="R13" i="3"/>
  <c r="S23" i="3"/>
  <c r="S26" i="3"/>
  <c r="S24" i="3"/>
  <c r="S25" i="3"/>
  <c r="S13" i="3"/>
  <c r="L5" i="3"/>
  <c r="M5" i="3"/>
  <c r="O5" i="3"/>
  <c r="P5" i="3"/>
  <c r="S5" i="3"/>
  <c r="R5" i="3"/>
  <c r="L4" i="3"/>
  <c r="L9" i="3"/>
  <c r="L10" i="3"/>
  <c r="L11" i="3"/>
  <c r="L12" i="3"/>
  <c r="L14" i="3"/>
  <c r="L15" i="3"/>
  <c r="L16" i="3"/>
  <c r="L17" i="3"/>
  <c r="L18" i="3"/>
  <c r="L19" i="3"/>
  <c r="L20" i="3"/>
  <c r="L21" i="3"/>
  <c r="L22" i="3"/>
  <c r="L27" i="3"/>
  <c r="L7" i="3"/>
  <c r="L8" i="3"/>
  <c r="L6" i="3"/>
  <c r="M4" i="3"/>
  <c r="M6" i="3"/>
  <c r="M7" i="3"/>
  <c r="M8" i="3"/>
  <c r="M9" i="3"/>
  <c r="M10" i="3"/>
  <c r="M11" i="3"/>
  <c r="M12" i="3"/>
  <c r="M14" i="3"/>
  <c r="M15" i="3"/>
  <c r="M16" i="3"/>
  <c r="M17" i="3"/>
  <c r="M18" i="3"/>
  <c r="M19" i="3"/>
  <c r="M20" i="3"/>
  <c r="M21" i="3"/>
  <c r="M22" i="3"/>
  <c r="M27" i="3"/>
  <c r="O4" i="3"/>
  <c r="O9" i="3"/>
  <c r="O10" i="3"/>
  <c r="O11" i="3"/>
  <c r="O12" i="3"/>
  <c r="O14" i="3"/>
  <c r="O15" i="3"/>
  <c r="O16" i="3"/>
  <c r="O17" i="3"/>
  <c r="O18" i="3"/>
  <c r="O19" i="3"/>
  <c r="O20" i="3"/>
  <c r="O21" i="3"/>
  <c r="O22" i="3"/>
  <c r="O27" i="3"/>
  <c r="O7" i="3"/>
  <c r="O8" i="3"/>
  <c r="O6" i="3"/>
  <c r="P4" i="3"/>
  <c r="P6" i="3"/>
  <c r="P7" i="3"/>
  <c r="P8" i="3"/>
  <c r="P9" i="3"/>
  <c r="P10" i="3"/>
  <c r="P11" i="3"/>
  <c r="P12" i="3"/>
  <c r="P14" i="3"/>
  <c r="P15" i="3"/>
  <c r="P16" i="3"/>
  <c r="P17" i="3"/>
  <c r="P18" i="3"/>
  <c r="P19" i="3"/>
  <c r="P20" i="3"/>
  <c r="P21" i="3"/>
  <c r="P22" i="3"/>
  <c r="P27" i="3"/>
  <c r="R4" i="3"/>
  <c r="R6" i="3"/>
  <c r="R7" i="3"/>
  <c r="R8" i="3"/>
  <c r="R9" i="3"/>
  <c r="R10" i="3"/>
  <c r="R11" i="3"/>
  <c r="R12" i="3"/>
  <c r="R14" i="3"/>
  <c r="R15" i="3"/>
  <c r="R16" i="3"/>
  <c r="R17" i="3"/>
  <c r="R18" i="3"/>
  <c r="R19" i="3"/>
  <c r="R20" i="3"/>
  <c r="R21" i="3"/>
  <c r="R22" i="3"/>
  <c r="R27" i="3"/>
  <c r="S4" i="3"/>
  <c r="S6" i="3"/>
  <c r="S7" i="3"/>
  <c r="S8" i="3"/>
  <c r="S9" i="3"/>
  <c r="S10" i="3"/>
  <c r="S11" i="3"/>
  <c r="S12" i="3"/>
  <c r="S14" i="3"/>
  <c r="S15" i="3"/>
  <c r="S16" i="3"/>
  <c r="S17" i="3"/>
  <c r="S18" i="3"/>
  <c r="S19" i="3"/>
  <c r="S20" i="3"/>
  <c r="S21" i="3"/>
  <c r="S22" i="3"/>
  <c r="S27" i="3"/>
  <c r="L4" i="5"/>
  <c r="G6" i="5"/>
  <c r="A15" i="5" l="1"/>
  <c r="A9" i="5"/>
  <c r="A17" i="5"/>
  <c r="A14" i="5"/>
  <c r="A19" i="5"/>
  <c r="A16" i="5"/>
  <c r="A22" i="5"/>
  <c r="A12" i="5"/>
  <c r="A26" i="5"/>
  <c r="A21" i="5"/>
  <c r="A11" i="5"/>
  <c r="A28" i="5"/>
  <c r="A20" i="5"/>
  <c r="A10" i="5"/>
  <c r="A27" i="5"/>
  <c r="AR19" i="2"/>
  <c r="AQ19" i="2"/>
  <c r="AP19" i="2"/>
  <c r="AO19" i="2"/>
  <c r="AM19" i="2"/>
  <c r="AL19" i="2"/>
  <c r="AK19" i="2"/>
  <c r="AJ19" i="2"/>
  <c r="AM18" i="2"/>
  <c r="AL18" i="2"/>
  <c r="AK18" i="2"/>
  <c r="AJ18" i="2"/>
  <c r="AM17" i="2"/>
  <c r="AL17" i="2"/>
  <c r="AK17" i="2"/>
  <c r="AJ17" i="2"/>
  <c r="AM16" i="2"/>
  <c r="AL16" i="2"/>
  <c r="AK16" i="2"/>
  <c r="AJ16" i="2"/>
  <c r="AM15" i="2"/>
  <c r="AL15" i="2"/>
  <c r="AK15" i="2"/>
  <c r="AJ15" i="2"/>
  <c r="K27" i="5" l="1"/>
  <c r="J27" i="5"/>
  <c r="I27" i="5"/>
  <c r="H27" i="5"/>
  <c r="I9" i="5"/>
  <c r="K9" i="5"/>
  <c r="J9" i="5"/>
  <c r="J26" i="5"/>
  <c r="K26" i="5"/>
  <c r="I26" i="5"/>
  <c r="H26" i="5"/>
  <c r="J12" i="5"/>
  <c r="I12" i="5"/>
  <c r="H12" i="5"/>
  <c r="K12" i="5"/>
  <c r="J22" i="5"/>
  <c r="I22" i="5"/>
  <c r="H22" i="5"/>
  <c r="K22" i="5"/>
  <c r="J10" i="5"/>
  <c r="I10" i="5"/>
  <c r="H10" i="5"/>
  <c r="K10" i="5"/>
  <c r="K16" i="5"/>
  <c r="J16" i="5"/>
  <c r="I16" i="5"/>
  <c r="H16" i="5"/>
  <c r="J20" i="5"/>
  <c r="I20" i="5"/>
  <c r="H20" i="5"/>
  <c r="K20" i="5"/>
  <c r="E19" i="5"/>
  <c r="E20" i="5" s="1"/>
  <c r="E21" i="5" s="1"/>
  <c r="E22" i="5" s="1"/>
  <c r="K19" i="5"/>
  <c r="I19" i="5"/>
  <c r="J19" i="5"/>
  <c r="H19" i="5"/>
  <c r="K28" i="5"/>
  <c r="J28" i="5"/>
  <c r="I28" i="5"/>
  <c r="H28" i="5"/>
  <c r="E14" i="5"/>
  <c r="E15" i="5" s="1"/>
  <c r="E16" i="5" s="1"/>
  <c r="E17" i="5" s="1"/>
  <c r="K14" i="5"/>
  <c r="J14" i="5"/>
  <c r="H14" i="5"/>
  <c r="I14" i="5"/>
  <c r="K11" i="5"/>
  <c r="J11" i="5"/>
  <c r="I11" i="5"/>
  <c r="H11" i="5"/>
  <c r="J17" i="5"/>
  <c r="I17" i="5"/>
  <c r="H17" i="5"/>
  <c r="K17" i="5"/>
  <c r="J21" i="5"/>
  <c r="K21" i="5"/>
  <c r="I21" i="5"/>
  <c r="H21" i="5"/>
  <c r="J15" i="5"/>
  <c r="I15" i="5"/>
  <c r="H15" i="5"/>
  <c r="K15" i="5"/>
  <c r="E9" i="5"/>
  <c r="E10" i="5" s="1"/>
  <c r="E11" i="5" s="1"/>
  <c r="E12" i="5" s="1"/>
  <c r="H9" i="5"/>
  <c r="D28" i="5"/>
  <c r="F28" i="5"/>
  <c r="C28" i="5"/>
  <c r="G28" i="5"/>
  <c r="B28" i="5"/>
  <c r="G26" i="5"/>
  <c r="F26" i="5"/>
  <c r="D26" i="5"/>
  <c r="C26" i="5"/>
  <c r="B26" i="5"/>
  <c r="D27" i="5"/>
  <c r="B27" i="5"/>
  <c r="F27" i="5"/>
  <c r="G27" i="5"/>
  <c r="C27" i="5"/>
  <c r="AJ4" i="2"/>
  <c r="AK4" i="2"/>
  <c r="AJ14" i="2"/>
  <c r="AJ13" i="2"/>
  <c r="AJ12" i="2"/>
  <c r="AJ11" i="2"/>
  <c r="AJ10" i="2"/>
  <c r="AJ9" i="2"/>
  <c r="AJ8" i="2"/>
  <c r="AJ7" i="2"/>
  <c r="AJ6" i="2"/>
  <c r="AJ5" i="2"/>
  <c r="AR14" i="2"/>
  <c r="AQ14" i="2"/>
  <c r="AP14" i="2"/>
  <c r="AO14" i="2"/>
  <c r="AM14" i="2"/>
  <c r="AL14" i="2"/>
  <c r="AK14" i="2"/>
  <c r="AM13" i="2"/>
  <c r="AL13" i="2"/>
  <c r="AK13" i="2"/>
  <c r="AM12" i="2"/>
  <c r="AL12" i="2"/>
  <c r="AK12" i="2"/>
  <c r="AM11" i="2"/>
  <c r="AL11" i="2"/>
  <c r="AK11" i="2"/>
  <c r="AM10" i="2"/>
  <c r="AL10" i="2"/>
  <c r="AK10" i="2"/>
  <c r="AM9" i="2"/>
  <c r="AL9" i="2"/>
  <c r="AK9" i="2"/>
  <c r="AM8" i="2"/>
  <c r="AL8" i="2"/>
  <c r="AK8" i="2"/>
  <c r="AM7" i="2"/>
  <c r="AL7" i="2"/>
  <c r="AK7" i="2"/>
  <c r="AM6" i="2"/>
  <c r="AL6" i="2"/>
  <c r="AK6" i="2"/>
  <c r="AM5" i="2"/>
  <c r="AL5" i="2"/>
  <c r="AK5" i="2"/>
  <c r="AM4" i="2"/>
  <c r="AL4" i="2"/>
  <c r="AR4" i="2"/>
  <c r="AR5" i="2"/>
  <c r="AR8" i="2"/>
  <c r="AR9" i="2"/>
  <c r="AR13" i="2"/>
  <c r="AR18" i="2"/>
  <c r="AR6" i="2"/>
  <c r="AR16" i="2"/>
  <c r="AQ4" i="2"/>
  <c r="AQ5" i="2"/>
  <c r="AQ8" i="2"/>
  <c r="AQ9" i="2"/>
  <c r="AQ18" i="2"/>
  <c r="AQ6" i="2"/>
  <c r="AQ16" i="2"/>
  <c r="AP4" i="2"/>
  <c r="AP5" i="2"/>
  <c r="AP8" i="2"/>
  <c r="AP9" i="2"/>
  <c r="AP18" i="2"/>
  <c r="AP6" i="2"/>
  <c r="AP16" i="2"/>
  <c r="AO4" i="2"/>
  <c r="AO5" i="2"/>
  <c r="AO8" i="2"/>
  <c r="AO9" i="2"/>
  <c r="AO18" i="2"/>
  <c r="AO6" i="2"/>
  <c r="AO16" i="2"/>
  <c r="F21" i="5" l="1"/>
  <c r="C21" i="5"/>
  <c r="G21" i="5"/>
  <c r="D21" i="5"/>
  <c r="B21" i="5"/>
  <c r="G14" i="5"/>
  <c r="F14" i="5"/>
  <c r="D14" i="5"/>
  <c r="C14" i="5"/>
  <c r="B14" i="5"/>
  <c r="G19" i="5"/>
  <c r="F19" i="5"/>
  <c r="D19" i="5"/>
  <c r="C19" i="5"/>
  <c r="B19" i="5"/>
  <c r="G12" i="5"/>
  <c r="F12" i="5"/>
  <c r="D12" i="5"/>
  <c r="C12" i="5"/>
  <c r="B12"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B10" i="5"/>
  <c r="C10" i="5"/>
  <c r="G10" i="5"/>
  <c r="D10" i="5"/>
  <c r="F10" i="5"/>
  <c r="G17" i="5"/>
  <c r="F17" i="5"/>
  <c r="D17" i="5"/>
  <c r="C17" i="5"/>
  <c r="B17" i="5"/>
  <c r="AO13" i="2"/>
  <c r="AQ13" i="2"/>
  <c r="AP13" i="2"/>
  <c r="AO10" i="2"/>
  <c r="AP10" i="2"/>
  <c r="AQ10" i="2"/>
  <c r="AR10" i="2"/>
  <c r="AO12" i="2"/>
  <c r="AO17" i="2"/>
  <c r="AO15" i="2"/>
  <c r="AO11" i="2"/>
  <c r="AO7" i="2"/>
  <c r="AP17" i="2"/>
  <c r="AP15" i="2"/>
  <c r="AP11" i="2"/>
  <c r="AP7" i="2"/>
  <c r="AP12" i="2"/>
  <c r="AQ12" i="2"/>
  <c r="AQ17" i="2"/>
  <c r="AQ15" i="2"/>
  <c r="AQ11" i="2"/>
  <c r="AQ7" i="2"/>
  <c r="AR12" i="2"/>
  <c r="AR17" i="2"/>
  <c r="AR15" i="2"/>
  <c r="AR11" i="2"/>
  <c r="AR7" i="2"/>
</calcChain>
</file>

<file path=xl/sharedStrings.xml><?xml version="1.0" encoding="utf-8"?>
<sst xmlns="http://schemas.openxmlformats.org/spreadsheetml/2006/main" count="1246" uniqueCount="203">
  <si>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</si>
  <si>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</si>
  <si>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</si>
  <si>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</si>
  <si>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</si>
  <si>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</si>
  <si>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</si>
  <si>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</si>
  <si>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</si>
  <si>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</si>
  <si>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2024 Enrolment Planner</t>
  </si>
  <si>
    <t>Course:</t>
  </si>
  <si>
    <t>Master of Science (Project Management) (Professional Stream)</t>
  </si>
  <si>
    <t>Course version:</t>
  </si>
  <si>
    <t>Commencing:</t>
  </si>
  <si>
    <t>Semester 1 (February - June)</t>
  </si>
  <si>
    <t>Credits to Complete:</t>
  </si>
  <si>
    <t>2024 Availabilities</t>
  </si>
  <si>
    <t>Year 1</t>
  </si>
  <si>
    <t>Study Period</t>
  </si>
  <si>
    <t>Pre Requisite(s)</t>
  </si>
  <si>
    <t>CP</t>
  </si>
  <si>
    <t>Sem1 BEN</t>
  </si>
  <si>
    <t>Sem1 FO</t>
  </si>
  <si>
    <t>Sem2 BEN</t>
  </si>
  <si>
    <t>Sem2 FO</t>
  </si>
  <si>
    <t>Progress</t>
  </si>
  <si>
    <t>Year 2</t>
  </si>
  <si>
    <t>Alternate Core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</si>
  <si>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</si>
  <si>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</si>
  <si>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</si>
  <si>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</si>
  <si>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Choose your Master of Project Management Stream (drop-down list)</t>
  </si>
  <si>
    <t>Choose your commencing study period (drop-down list)</t>
  </si>
  <si>
    <t>Project Management</t>
  </si>
  <si>
    <t>Approved by Brad Carey 27/04/2023</t>
  </si>
  <si>
    <t>MSc Bentley only</t>
  </si>
  <si>
    <t>Same seq as Sem1 commencing</t>
  </si>
  <si>
    <t>MPM (Bentley only)</t>
  </si>
  <si>
    <t>GC-PROJMSem2</t>
  </si>
  <si>
    <t>RangeUnitSets</t>
  </si>
  <si>
    <t>GC-PROJMSem1</t>
  </si>
  <si>
    <t>GD-PROJMSem1</t>
  </si>
  <si>
    <t>GD-PROJMSem2</t>
  </si>
  <si>
    <t>MC-PROJM / STRP-PROFLSem1</t>
  </si>
  <si>
    <t>MC-PROJM / STRP-RESCHSem1</t>
  </si>
  <si>
    <t>MC-PROJM / STRP-PROFLSem2</t>
  </si>
  <si>
    <t>MC-PROJM / STRP-RESCHSem2</t>
  </si>
  <si>
    <t>MC-PROJM2 / STRP-PROF2Sem1</t>
  </si>
  <si>
    <t>MC-PROJM2 / STRP-RSCH2Sem1</t>
  </si>
  <si>
    <t>MC-PROJM2 / STRP-PROF2Sem2</t>
  </si>
  <si>
    <t>MC-PROJM2 / STRP-RSCH2Sem2</t>
  </si>
  <si>
    <t>Spk Cd</t>
  </si>
  <si>
    <t>Structure Line</t>
  </si>
  <si>
    <t>Pre Reqs</t>
  </si>
  <si>
    <t>2023 S1Int</t>
  </si>
  <si>
    <t>2023 S1FO</t>
  </si>
  <si>
    <t>2023 S2Int</t>
  </si>
  <si>
    <t>2023 S2FO</t>
  </si>
  <si>
    <t>Y1Sem1</t>
  </si>
  <si>
    <t>PRJM6000</t>
  </si>
  <si>
    <t>Y1Sem2</t>
  </si>
  <si>
    <t>TableCourses1</t>
  </si>
  <si>
    <t>PRJM6001</t>
  </si>
  <si>
    <t>Choose your Project Management Course (drop-down list)</t>
  </si>
  <si>
    <t>Version</t>
  </si>
  <si>
    <t>Credit Points</t>
  </si>
  <si>
    <t>Effective Date</t>
  </si>
  <si>
    <t>Akari Update</t>
  </si>
  <si>
    <t>Availabilities2</t>
  </si>
  <si>
    <t>PRJM6002</t>
  </si>
  <si>
    <t>PRJM6010</t>
  </si>
  <si>
    <t>Graduate Certificate in Project Management</t>
  </si>
  <si>
    <t>GC-PROJM</t>
  </si>
  <si>
    <t>v.1</t>
  </si>
  <si>
    <t xml:space="preserve">100 credit points required </t>
  </si>
  <si>
    <t>Sem1 &amp; Sem2 - INT, FO, Miri</t>
  </si>
  <si>
    <t>Elective</t>
  </si>
  <si>
    <t>Graduate Diploma in Project Management</t>
  </si>
  <si>
    <t>GD-PROJM</t>
  </si>
  <si>
    <t>v.3</t>
  </si>
  <si>
    <t xml:space="preserve">200 credit points required </t>
  </si>
  <si>
    <t>PRJM6003</t>
  </si>
  <si>
    <t>PRJM6005</t>
  </si>
  <si>
    <t>MC-PROJM / STRP-PROFL</t>
  </si>
  <si>
    <t>v.3 / v.2</t>
  </si>
  <si>
    <t>300 credit points required</t>
  </si>
  <si>
    <t>PRJM6004</t>
  </si>
  <si>
    <t>Master of Science (Project Management) (Research Stream)</t>
  </si>
  <si>
    <t>MC-PROJM / STRP-RESCH</t>
  </si>
  <si>
    <t>URDE6006</t>
  </si>
  <si>
    <t>PRJM6025</t>
  </si>
  <si>
    <t>AltCore1</t>
  </si>
  <si>
    <t>TableCourses2</t>
  </si>
  <si>
    <t>Y2Sem1</t>
  </si>
  <si>
    <t>Y2Sem2</t>
  </si>
  <si>
    <t>PRJM6012</t>
  </si>
  <si>
    <t>Master of Project Management (Professional Stream)</t>
  </si>
  <si>
    <t>MC-PROJM2 / STRP-PROF2</t>
  </si>
  <si>
    <t>v.1 / v.2</t>
  </si>
  <si>
    <t>400 credit points required</t>
  </si>
  <si>
    <t>Sem1 - INT; Sem 2 - INT &amp; FO</t>
  </si>
  <si>
    <t>PRJM6009</t>
  </si>
  <si>
    <t>AltCore2</t>
  </si>
  <si>
    <t>Master of Project Management (Research Stream)</t>
  </si>
  <si>
    <t>MC-PROJM2 / STRP-RSCH2</t>
  </si>
  <si>
    <t>-</t>
  </si>
  <si>
    <t>TableStudyPeriod</t>
  </si>
  <si>
    <t>START</t>
  </si>
  <si>
    <t>Next</t>
  </si>
  <si>
    <t>Sem1</t>
  </si>
  <si>
    <t>Sem2</t>
  </si>
  <si>
    <t>50CP Unit</t>
  </si>
  <si>
    <t>Semester 2 (July - November)</t>
  </si>
  <si>
    <t>TableStreams</t>
  </si>
  <si>
    <t>Choose your Stream</t>
  </si>
  <si>
    <t>RangeAltCores</t>
  </si>
  <si>
    <t>Professional Stream (MSc Proj Mngmt)</t>
  </si>
  <si>
    <t>STRP-PROFL</t>
  </si>
  <si>
    <t>v.2</t>
  </si>
  <si>
    <t>--</t>
  </si>
  <si>
    <t>Research Stream (MSc Proj Mngmt)</t>
  </si>
  <si>
    <t>STRP-RESCH</t>
  </si>
  <si>
    <t>ACCT5021</t>
  </si>
  <si>
    <t>Professional Stream (Master Proj Mngmt)</t>
  </si>
  <si>
    <t>STRP-PROF2</t>
  </si>
  <si>
    <t>FNCE5008</t>
  </si>
  <si>
    <t>Research Stream (Master Proj Mngmt)</t>
  </si>
  <si>
    <t>STRP-RSCH2</t>
  </si>
  <si>
    <t>Master of Project Management not available Sem1 FO</t>
  </si>
  <si>
    <t>8/09/2023 - Confirm sequencing with CC</t>
  </si>
  <si>
    <t>Title</t>
  </si>
  <si>
    <t>S1INT</t>
  </si>
  <si>
    <t>S1FO</t>
  </si>
  <si>
    <t>S2INT</t>
  </si>
  <si>
    <t>S2FO</t>
  </si>
  <si>
    <t>Notes</t>
  </si>
  <si>
    <t>MC-PROJM</t>
  </si>
  <si>
    <t>MC-PROJM2</t>
  </si>
  <si>
    <t>Please note this is a 50CP Unit</t>
  </si>
  <si>
    <t>Not relevant to this study sequence</t>
  </si>
  <si>
    <t>Accounting for Managers</t>
  </si>
  <si>
    <t>None</t>
  </si>
  <si>
    <t>Study either PRJM6025 OR URDE6006 (see below)</t>
  </si>
  <si>
    <t>See below</t>
  </si>
  <si>
    <t>Study either ACCT5021 OR FNCE5008 (see below)</t>
  </si>
  <si>
    <t>Study a Postgraduate level Elective Unit</t>
  </si>
  <si>
    <t>See Handbook</t>
  </si>
  <si>
    <t>Financial Principles and Analysis</t>
  </si>
  <si>
    <t>Project Management Overview</t>
  </si>
  <si>
    <t>Project Cost Management</t>
  </si>
  <si>
    <t>Project Planning and Schedule Management</t>
  </si>
  <si>
    <t>New Version</t>
  </si>
  <si>
    <t>PRJM6002.PO</t>
  </si>
  <si>
    <t>Project Time Management</t>
  </si>
  <si>
    <t>Phasing out</t>
  </si>
  <si>
    <t>Project Risk Management</t>
  </si>
  <si>
    <t>Project Procurement Management</t>
  </si>
  <si>
    <t>Program and Portfolio Management</t>
  </si>
  <si>
    <t>PRJM6008.PO</t>
  </si>
  <si>
    <t>Project Quality Management</t>
  </si>
  <si>
    <t>Deactivated 30 June 2023</t>
  </si>
  <si>
    <t>Project Management Integrated Project</t>
  </si>
  <si>
    <t>Project and People</t>
  </si>
  <si>
    <t>Project Management Dissertation</t>
  </si>
  <si>
    <t>URDE6006 or PRJM6006</t>
  </si>
  <si>
    <t>Agile Management</t>
  </si>
  <si>
    <t>Design and Built Environment Research Methods</t>
  </si>
  <si>
    <t>Effective:</t>
  </si>
  <si>
    <t>Downloaded:</t>
  </si>
  <si>
    <t>OUA Code</t>
  </si>
  <si>
    <t>CPs</t>
  </si>
  <si>
    <t>No.</t>
  </si>
  <si>
    <t>Component Type</t>
  </si>
  <si>
    <t>Year Level</t>
  </si>
  <si>
    <t>Study Package Code</t>
  </si>
  <si>
    <t>Effective</t>
  </si>
  <si>
    <t>Discont.</t>
  </si>
  <si>
    <t>SPK</t>
  </si>
  <si>
    <t>Core</t>
  </si>
  <si>
    <t>Semester 1</t>
  </si>
  <si>
    <t>Semester 2</t>
  </si>
  <si>
    <t>AltCore</t>
  </si>
  <si>
    <t>Choose PRJM6025 or URDE6006</t>
  </si>
  <si>
    <t>Master of Science (Project Management)</t>
  </si>
  <si>
    <t>NA</t>
  </si>
  <si>
    <t>Stream</t>
  </si>
  <si>
    <t>Choose a Stream</t>
  </si>
  <si>
    <t>Choose Electives</t>
  </si>
  <si>
    <t>Master of Project Management</t>
  </si>
  <si>
    <t>Choose your stream</t>
  </si>
  <si>
    <t>Choose an Elective</t>
  </si>
  <si>
    <t>Choose ACCT5021 or FNCE5008</t>
  </si>
  <si>
    <t/>
  </si>
  <si>
    <t>Count of Availability Available to Students Flag</t>
  </si>
  <si>
    <t>Column Labels</t>
  </si>
  <si>
    <t>Downloaded 2024:</t>
  </si>
  <si>
    <t>Row Labels</t>
  </si>
  <si>
    <t>Internal</t>
  </si>
  <si>
    <t>Online</t>
  </si>
  <si>
    <t>Internal2</t>
  </si>
  <si>
    <t>Online3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</si>
</sst>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i/>
      <sz val="10"/>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12"/>
      <color rgb="FFFF0000"/>
      <name val="Calibri"/>
      <family val="2"/>
      <scheme val="minor"/>
    </font>
    <font>
      <b/>
      <sz val="9"/>
      <color rgb="FF000000"/>
      <name val="Arial"/>
      <family val="2"/>
    </font>
    <font>
      <i/>
      <sz val="10"/>
      <color rgb="FFA6A6A6"/>
      <name val="Arial"/>
      <family val="2"/>
    </font>
    <font>
      <sz val="12"/>
      <color rgb="FF000000"/>
      <name val="Calibri"/>
      <family val="2"/>
      <scheme val="minor"/>
    </font>
    <font>
      <b/>
      <sz val="10"/>
      <color theme="1"/>
      <name val="Segoe UI"/>
      <family val="2"/>
    </font>
    <font>
      <b/>
      <i/>
      <sz val="12"/>
      <color rgb="FFC00000"/>
      <name val="Calibri"/>
      <family val="2"/>
      <scheme val="minor"/>
    </font>
    <font>
      <b/>
      <sz val="18"/>
      <color theme="1"/>
      <name val="Segoe UI"/>
      <family val="2"/>
    </font>
    <font>
      <b/>
      <sz val="11"/>
      <color theme="0" tint="-0.34998626667073579"/>
      <name val="Segoe UI"/>
      <family val="2"/>
    </font>
    <font>
      <sz val="10"/>
      <color theme="1"/>
      <name val="Arial"/>
      <family val="2"/>
    </font>
    <font>
      <sz val="12"/>
      <name val="Calibri"/>
      <family val="2"/>
      <scheme val="minor"/>
    </font>
    <font>
      <b/>
      <sz val="11"/>
      <name val="Segoe UI"/>
      <family val="2"/>
    </font>
    <font>
      <sz val="10"/>
      <color rgb="FF000000"/>
      <name val="Arial"/>
      <family val="2"/>
    </font>
  </fonts>
  <fills count="16">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D9D9D9"/>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8" tint="-0.499984740745262"/>
        <bgColor indexed="64"/>
      </patternFill>
    </fill>
    <fill>
      <patternFill patternType="solid">
        <fgColor theme="0" tint="-0.14999847407452621"/>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medium">
        <color indexed="64"/>
      </left>
      <right style="medium">
        <color indexed="64"/>
      </right>
      <top style="medium">
        <color indexed="64"/>
      </top>
      <bottom style="medium">
        <color indexed="64"/>
      </bottom>
      <diagonal/>
    </border>
    <border>
      <left style="thin">
        <color rgb="FF999999"/>
      </left>
      <right/>
      <top style="thin">
        <color rgb="FF999999"/>
      </top>
      <bottom/>
      <diagonal/>
    </border>
  </borders>
  <cellStyleXfs count="3">
    <xf numFmtId="0" fontId="0" fillId="0" borderId="0"/>
    <xf numFmtId="0" fontId="1" fillId="0" borderId="0"/>
    <xf numFmtId="0" fontId="28" fillId="0" borderId="0" applyNumberFormat="0" applyFill="0" applyBorder="0" applyAlignment="0" applyProtection="0"/>
  </cellStyleXfs>
  <cellXfs count="257">
    <xf numFmtId="0" fontId="0" fillId="0" borderId="0" xfId="0"/>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5" fillId="0" borderId="0" xfId="0" applyFont="1" applyAlignment="1">
      <alignment horizontal="center"/>
    </xf>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11"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13" fillId="0" borderId="0" xfId="0" applyFont="1"/>
    <xf numFmtId="0" fontId="3" fillId="0" borderId="0" xfId="0" applyFont="1"/>
    <xf numFmtId="0" fontId="16" fillId="0" borderId="0" xfId="0" applyFont="1"/>
    <xf numFmtId="0" fontId="14" fillId="0" borderId="0" xfId="0" applyFont="1"/>
    <xf numFmtId="0" fontId="12" fillId="0" borderId="0" xfId="0" applyFont="1" applyAlignment="1">
      <alignment horizontal="center" vertical="center"/>
    </xf>
    <xf numFmtId="0" fontId="5" fillId="3" borderId="0" xfId="0" applyFont="1" applyFill="1"/>
    <xf numFmtId="0" fontId="5" fillId="3" borderId="0" xfId="0" applyFont="1" applyFill="1" applyAlignment="1">
      <alignment horizontal="center"/>
    </xf>
    <xf numFmtId="0" fontId="7" fillId="0" borderId="0" xfId="0" applyFont="1" applyAlignment="1">
      <alignment horizontal="center"/>
    </xf>
    <xf numFmtId="0" fontId="17" fillId="0" borderId="0" xfId="0" applyFont="1"/>
    <xf numFmtId="14" fontId="11" fillId="0" borderId="0" xfId="0" applyNumberFormat="1" applyFont="1"/>
    <xf numFmtId="0" fontId="4" fillId="0" borderId="5" xfId="0" applyFont="1" applyBorder="1" applyAlignment="1">
      <alignment horizontal="center" vertical="center"/>
    </xf>
    <xf numFmtId="0" fontId="3" fillId="0" borderId="8"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0" fillId="0" borderId="8" xfId="0" applyFont="1" applyBorder="1" applyAlignment="1">
      <alignment horizontal="center" vertical="center"/>
    </xf>
    <xf numFmtId="0" fontId="4" fillId="0" borderId="10" xfId="0" applyFont="1" applyBorder="1" applyAlignment="1">
      <alignment horizontal="center" vertical="center"/>
    </xf>
    <xf numFmtId="0" fontId="3" fillId="0" borderId="11"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center" vertical="center"/>
    </xf>
    <xf numFmtId="0" fontId="3" fillId="0" borderId="9" xfId="0" applyFont="1" applyBorder="1" applyAlignment="1">
      <alignment horizontal="center" vertical="center"/>
    </xf>
    <xf numFmtId="0" fontId="5" fillId="3" borderId="0" xfId="0" applyFont="1" applyFill="1" applyAlignment="1">
      <alignment horizontal="left"/>
    </xf>
    <xf numFmtId="0" fontId="5" fillId="3" borderId="8" xfId="0" applyFont="1" applyFill="1" applyBorder="1" applyAlignment="1">
      <alignment horizontal="center"/>
    </xf>
    <xf numFmtId="0" fontId="5" fillId="3" borderId="7" xfId="0" applyFont="1" applyFill="1" applyBorder="1" applyAlignment="1">
      <alignment horizontal="left"/>
    </xf>
    <xf numFmtId="0" fontId="19" fillId="0" borderId="0" xfId="0" applyFont="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18" fillId="0" borderId="0" xfId="0" applyFont="1"/>
    <xf numFmtId="0" fontId="2" fillId="0" borderId="0" xfId="0" applyFont="1"/>
    <xf numFmtId="0" fontId="3" fillId="0" borderId="1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38" fillId="0" borderId="0" xfId="0" applyFont="1" applyAlignment="1">
      <alignment horizontal="left"/>
    </xf>
    <xf numFmtId="0" fontId="6" fillId="0" borderId="0" xfId="0" applyFont="1" applyAlignment="1">
      <alignment horizontal="center" vertical="center"/>
    </xf>
    <xf numFmtId="0" fontId="0" fillId="0" borderId="11" xfId="0" applyBorder="1"/>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39" fillId="4" borderId="0" xfId="0" applyFont="1" applyFill="1"/>
    <xf numFmtId="0" fontId="3" fillId="4" borderId="0" xfId="0" applyFont="1" applyFill="1" applyAlignment="1">
      <alignment horizontal="center" vertical="center"/>
    </xf>
    <xf numFmtId="0" fontId="39" fillId="4" borderId="0" xfId="0" applyFont="1" applyFill="1" applyAlignment="1">
      <alignment horizontal="center" vertical="center" wrapText="1"/>
    </xf>
    <xf numFmtId="0" fontId="2" fillId="0" borderId="0" xfId="0" applyFont="1" applyAlignment="1">
      <alignment horizontal="left" vertical="center"/>
    </xf>
    <xf numFmtId="0" fontId="8" fillId="0" borderId="0" xfId="0" applyFont="1" applyAlignment="1">
      <alignment horizontal="center"/>
    </xf>
    <xf numFmtId="14" fontId="0" fillId="0" borderId="0" xfId="0" applyNumberFormat="1"/>
    <xf numFmtId="0" fontId="5" fillId="3" borderId="11" xfId="0" applyFont="1" applyFill="1" applyBorder="1" applyAlignment="1">
      <alignment horizontal="left"/>
    </xf>
    <xf numFmtId="0" fontId="0" fillId="4" borderId="0" xfId="0" applyFill="1" applyAlignment="1">
      <alignment wrapText="1"/>
    </xf>
    <xf numFmtId="0" fontId="11" fillId="6" borderId="7" xfId="0" applyFont="1" applyFill="1" applyBorder="1" applyAlignment="1">
      <alignment horizontal="center"/>
    </xf>
    <xf numFmtId="0" fontId="11" fillId="6" borderId="0" xfId="0" applyFont="1" applyFill="1" applyAlignment="1">
      <alignment horizontal="center"/>
    </xf>
    <xf numFmtId="0" fontId="6" fillId="6" borderId="0" xfId="0" applyFont="1" applyFill="1" applyAlignment="1">
      <alignment horizontal="center"/>
    </xf>
    <xf numFmtId="0" fontId="11" fillId="6" borderId="8" xfId="0" applyFont="1" applyFill="1" applyBorder="1" applyAlignment="1">
      <alignment horizontal="center"/>
    </xf>
    <xf numFmtId="0" fontId="3" fillId="5" borderId="0" xfId="0" applyFont="1" applyFill="1" applyAlignment="1">
      <alignment horizontal="center" vertical="center"/>
    </xf>
    <xf numFmtId="0" fontId="4" fillId="5" borderId="8" xfId="0" applyFont="1" applyFill="1" applyBorder="1" applyAlignment="1">
      <alignment horizontal="center" vertical="center"/>
    </xf>
    <xf numFmtId="0" fontId="6" fillId="0" borderId="25" xfId="0" applyFont="1" applyBorder="1"/>
    <xf numFmtId="0" fontId="6" fillId="0" borderId="26" xfId="0" applyFont="1" applyBorder="1" applyAlignment="1">
      <alignment horizontal="center"/>
    </xf>
    <xf numFmtId="0" fontId="0" fillId="0" borderId="26" xfId="0" applyBorder="1"/>
    <xf numFmtId="0" fontId="6" fillId="0" borderId="26" xfId="0" applyFont="1" applyBorder="1"/>
    <xf numFmtId="0" fontId="6" fillId="0" borderId="26" xfId="0" applyFont="1" applyBorder="1" applyAlignment="1">
      <alignment horizontal="center" vertical="center"/>
    </xf>
    <xf numFmtId="0" fontId="0" fillId="0" borderId="26" xfId="0" applyBorder="1" applyAlignment="1">
      <alignment horizontal="center"/>
    </xf>
    <xf numFmtId="0" fontId="0" fillId="0" borderId="27" xfId="0" applyBorder="1" applyAlignment="1">
      <alignment horizontal="center"/>
    </xf>
    <xf numFmtId="0" fontId="6" fillId="0" borderId="28" xfId="0" applyFont="1" applyBorder="1"/>
    <xf numFmtId="0" fontId="0" fillId="0" borderId="29" xfId="0" applyBorder="1" applyAlignment="1">
      <alignment horizontal="center"/>
    </xf>
    <xf numFmtId="0" fontId="6" fillId="0" borderId="31" xfId="0" applyFont="1" applyBorder="1" applyAlignment="1">
      <alignment horizontal="center"/>
    </xf>
    <xf numFmtId="0" fontId="0" fillId="0" borderId="31" xfId="0" applyBorder="1"/>
    <xf numFmtId="0" fontId="6" fillId="0" borderId="31" xfId="0" applyFont="1" applyBorder="1"/>
    <xf numFmtId="0" fontId="6" fillId="0" borderId="31" xfId="0" applyFont="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0" xfId="0" applyBorder="1"/>
    <xf numFmtId="0" fontId="0" fillId="0" borderId="28" xfId="0" applyBorder="1"/>
    <xf numFmtId="0" fontId="5" fillId="3" borderId="1" xfId="0" applyFont="1" applyFill="1" applyBorder="1" applyAlignment="1">
      <alignment horizontal="left"/>
    </xf>
    <xf numFmtId="0" fontId="5" fillId="3" borderId="3" xfId="0" applyFont="1" applyFill="1" applyBorder="1" applyAlignment="1">
      <alignment horizontal="left"/>
    </xf>
    <xf numFmtId="0" fontId="5" fillId="3" borderId="2" xfId="0" applyFont="1" applyFill="1" applyBorder="1" applyAlignment="1">
      <alignment horizontal="left"/>
    </xf>
    <xf numFmtId="0" fontId="11" fillId="6" borderId="10" xfId="0" applyFont="1" applyFill="1" applyBorder="1" applyAlignment="1">
      <alignment horizontal="center"/>
    </xf>
    <xf numFmtId="0" fontId="11" fillId="6" borderId="11" xfId="0" applyFont="1" applyFill="1" applyBorder="1" applyAlignment="1">
      <alignment horizontal="center"/>
    </xf>
    <xf numFmtId="0" fontId="6" fillId="6" borderId="11" xfId="0" applyFont="1" applyFill="1" applyBorder="1" applyAlignment="1">
      <alignment horizontal="center"/>
    </xf>
    <xf numFmtId="0" fontId="11" fillId="6" borderId="9" xfId="0" applyFont="1" applyFill="1" applyBorder="1" applyAlignment="1">
      <alignment horizontal="center"/>
    </xf>
    <xf numFmtId="0" fontId="3" fillId="0" borderId="6" xfId="0" applyFont="1" applyBorder="1" applyAlignment="1">
      <alignment horizontal="center" vertical="center"/>
    </xf>
    <xf numFmtId="0" fontId="2" fillId="8" borderId="1" xfId="0" applyFont="1" applyFill="1" applyBorder="1"/>
    <xf numFmtId="0" fontId="2" fillId="8" borderId="3" xfId="0" applyFont="1" applyFill="1" applyBorder="1" applyAlignment="1">
      <alignment horizontal="right" vertical="center"/>
    </xf>
    <xf numFmtId="0" fontId="2" fillId="8" borderId="2" xfId="0" applyFont="1" applyFill="1" applyBorder="1" applyAlignment="1">
      <alignment horizontal="right" vertical="center"/>
    </xf>
    <xf numFmtId="0" fontId="2" fillId="8" borderId="1" xfId="0" applyFont="1" applyFill="1" applyBorder="1" applyAlignment="1">
      <alignment horizontal="right" vertical="center"/>
    </xf>
    <xf numFmtId="0" fontId="2" fillId="10" borderId="1" xfId="0" applyFont="1" applyFill="1" applyBorder="1" applyAlignment="1">
      <alignment horizontal="center" vertical="center"/>
    </xf>
    <xf numFmtId="0" fontId="2" fillId="10" borderId="2" xfId="0" applyFont="1" applyFill="1" applyBorder="1" applyAlignment="1">
      <alignment horizontal="right" vertical="center"/>
    </xf>
    <xf numFmtId="0" fontId="2" fillId="10" borderId="3" xfId="0" applyFont="1" applyFill="1" applyBorder="1" applyAlignment="1">
      <alignment horizontal="center" vertical="center"/>
    </xf>
    <xf numFmtId="0" fontId="2" fillId="10" borderId="3" xfId="0" applyFont="1" applyFill="1" applyBorder="1" applyAlignment="1">
      <alignment horizontal="right" vertical="center"/>
    </xf>
    <xf numFmtId="0" fontId="4" fillId="5"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xf>
    <xf numFmtId="0" fontId="2" fillId="8" borderId="4" xfId="0" applyFont="1" applyFill="1" applyBorder="1"/>
    <xf numFmtId="0" fontId="2" fillId="10" borderId="5" xfId="0" applyFont="1" applyFill="1" applyBorder="1" applyAlignment="1">
      <alignment horizontal="right" vertical="center"/>
    </xf>
    <xf numFmtId="0" fontId="5" fillId="0" borderId="0" xfId="0" applyFont="1" applyAlignment="1">
      <alignment horizontal="left"/>
    </xf>
    <xf numFmtId="0" fontId="45" fillId="0" borderId="0" xfId="0" applyFont="1" applyAlignment="1">
      <alignment horizontal="left"/>
    </xf>
    <xf numFmtId="0" fontId="45" fillId="0" borderId="0" xfId="0" applyFont="1"/>
    <xf numFmtId="0" fontId="46" fillId="0" borderId="0" xfId="0" applyFont="1" applyAlignment="1">
      <alignment horizontal="right"/>
    </xf>
    <xf numFmtId="0" fontId="47" fillId="0" borderId="0" xfId="0" applyFont="1"/>
    <xf numFmtId="0" fontId="4" fillId="0" borderId="6" xfId="0" quotePrefix="1" applyFont="1" applyBorder="1" applyAlignment="1">
      <alignment horizontal="center" vertical="center"/>
    </xf>
    <xf numFmtId="0" fontId="5" fillId="9" borderId="34" xfId="0" applyFont="1" applyFill="1" applyBorder="1" applyAlignment="1">
      <alignment horizontal="right"/>
    </xf>
    <xf numFmtId="0" fontId="0" fillId="0" borderId="33" xfId="0" applyBorder="1" applyAlignment="1">
      <alignment horizontal="center"/>
    </xf>
    <xf numFmtId="0" fontId="0" fillId="0" borderId="0" xfId="0" applyAlignment="1">
      <alignment horizontal="left"/>
    </xf>
    <xf numFmtId="0" fontId="49" fillId="0" borderId="0" xfId="0" applyFont="1"/>
    <xf numFmtId="0" fontId="49" fillId="0" borderId="0" xfId="0" applyFont="1" applyAlignment="1">
      <alignment horizontal="center"/>
    </xf>
    <xf numFmtId="0" fontId="49" fillId="0" borderId="0" xfId="0" applyFont="1" applyAlignment="1">
      <alignment horizontal="right"/>
    </xf>
    <xf numFmtId="14" fontId="49" fillId="0" borderId="0" xfId="0" applyNumberFormat="1" applyFont="1"/>
    <xf numFmtId="0" fontId="5" fillId="3" borderId="11" xfId="0" applyFont="1" applyFill="1" applyBorder="1" applyAlignment="1">
      <alignment horizontal="left" textRotation="90"/>
    </xf>
    <xf numFmtId="0" fontId="11" fillId="7" borderId="0" xfId="0" applyFont="1" applyFill="1"/>
    <xf numFmtId="0" fontId="6" fillId="7" borderId="0" xfId="0" applyFont="1" applyFill="1"/>
    <xf numFmtId="0" fontId="8" fillId="7" borderId="0" xfId="0" applyFont="1" applyFill="1"/>
    <xf numFmtId="0" fontId="46" fillId="0" borderId="0" xfId="0" applyFont="1" applyAlignment="1">
      <alignment horizontal="left"/>
    </xf>
    <xf numFmtId="0" fontId="2" fillId="8" borderId="6" xfId="0" applyFont="1" applyFill="1" applyBorder="1" applyAlignment="1">
      <alignment horizontal="right" vertical="center" wrapText="1"/>
    </xf>
    <xf numFmtId="0" fontId="2" fillId="10" borderId="6" xfId="0" applyFont="1" applyFill="1" applyBorder="1" applyAlignment="1">
      <alignment horizontal="right" vertical="center" wrapText="1"/>
    </xf>
    <xf numFmtId="0" fontId="2" fillId="10" borderId="5" xfId="0" applyFont="1" applyFill="1" applyBorder="1" applyAlignment="1">
      <alignment horizontal="right" vertical="center" wrapText="1"/>
    </xf>
    <xf numFmtId="0" fontId="2" fillId="8" borderId="3" xfId="0" applyFont="1" applyFill="1" applyBorder="1" applyAlignment="1">
      <alignment horizontal="right" vertical="center" wrapText="1"/>
    </xf>
    <xf numFmtId="0" fontId="2" fillId="8" borderId="2"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4" xfId="0" applyFont="1" applyFill="1" applyBorder="1" applyAlignment="1">
      <alignment wrapText="1"/>
    </xf>
    <xf numFmtId="0" fontId="2" fillId="10" borderId="4" xfId="0" applyFont="1" applyFill="1" applyBorder="1" applyAlignment="1">
      <alignment horizontal="right" vertical="center" wrapText="1"/>
    </xf>
    <xf numFmtId="0" fontId="2" fillId="8" borderId="1" xfId="0" applyFont="1" applyFill="1" applyBorder="1" applyAlignment="1">
      <alignment horizontal="right" vertical="center" wrapText="1"/>
    </xf>
    <xf numFmtId="0" fontId="2" fillId="10" borderId="1" xfId="0" applyFont="1" applyFill="1" applyBorder="1" applyAlignment="1">
      <alignment horizontal="right" vertical="center" wrapText="1"/>
    </xf>
    <xf numFmtId="0" fontId="29" fillId="11" borderId="0" xfId="2" applyFont="1" applyFill="1" applyAlignment="1" applyProtection="1">
      <alignment vertical="center"/>
    </xf>
    <xf numFmtId="0" fontId="28" fillId="11" borderId="0" xfId="2" applyFill="1" applyAlignment="1" applyProtection="1">
      <alignment vertical="center"/>
    </xf>
    <xf numFmtId="0" fontId="48" fillId="2" borderId="0" xfId="1" applyFont="1" applyFill="1" applyAlignment="1" applyProtection="1">
      <alignment vertical="center"/>
      <protection locked="0"/>
    </xf>
    <xf numFmtId="0" fontId="11" fillId="6" borderId="1" xfId="0" applyFont="1" applyFill="1" applyBorder="1" applyAlignment="1">
      <alignment horizontal="center"/>
    </xf>
    <xf numFmtId="0" fontId="11" fillId="6" borderId="3" xfId="0" applyFont="1" applyFill="1" applyBorder="1" applyAlignment="1">
      <alignment horizontal="center"/>
    </xf>
    <xf numFmtId="0" fontId="6" fillId="6" borderId="3" xfId="0" applyFont="1" applyFill="1" applyBorder="1" applyAlignment="1">
      <alignment horizontal="center"/>
    </xf>
    <xf numFmtId="0" fontId="11" fillId="6" borderId="2" xfId="0" applyFont="1" applyFill="1" applyBorder="1" applyAlignment="1">
      <alignment horizontal="center"/>
    </xf>
    <xf numFmtId="0" fontId="52" fillId="0" borderId="0" xfId="0" applyFont="1"/>
    <xf numFmtId="0" fontId="11" fillId="13" borderId="0" xfId="0" applyFont="1" applyFill="1" applyAlignment="1">
      <alignment horizontal="left"/>
    </xf>
    <xf numFmtId="0" fontId="0" fillId="12" borderId="0" xfId="0" applyFill="1"/>
    <xf numFmtId="0" fontId="44" fillId="12" borderId="0" xfId="0" applyFont="1" applyFill="1"/>
    <xf numFmtId="0" fontId="6" fillId="13" borderId="0" xfId="0" applyFont="1" applyFill="1"/>
    <xf numFmtId="0" fontId="11" fillId="12" borderId="0" xfId="0" applyFont="1" applyFill="1"/>
    <xf numFmtId="0" fontId="53" fillId="0" borderId="0" xfId="0" applyFont="1"/>
    <xf numFmtId="14" fontId="53" fillId="0" borderId="0" xfId="0" applyNumberFormat="1" applyFont="1"/>
    <xf numFmtId="0" fontId="11" fillId="6" borderId="4" xfId="0" applyFont="1" applyFill="1" applyBorder="1" applyAlignment="1">
      <alignment horizontal="center"/>
    </xf>
    <xf numFmtId="0" fontId="11" fillId="6" borderId="5" xfId="0" applyFont="1" applyFill="1" applyBorder="1" applyAlignment="1">
      <alignment horizontal="center"/>
    </xf>
    <xf numFmtId="0" fontId="6" fillId="6" borderId="5" xfId="0" applyFont="1" applyFill="1" applyBorder="1" applyAlignment="1">
      <alignment horizontal="center"/>
    </xf>
    <xf numFmtId="0" fontId="11" fillId="6" borderId="6" xfId="0" applyFont="1" applyFill="1" applyBorder="1" applyAlignment="1">
      <alignment horizontal="center"/>
    </xf>
    <xf numFmtId="0" fontId="11" fillId="7" borderId="0" xfId="0" applyFont="1" applyFill="1" applyAlignment="1">
      <alignment wrapText="1"/>
    </xf>
    <xf numFmtId="0" fontId="5" fillId="3" borderId="1" xfId="0" applyFont="1" applyFill="1" applyBorder="1" applyAlignment="1">
      <alignment horizontal="left" textRotation="90"/>
    </xf>
    <xf numFmtId="0" fontId="5" fillId="3" borderId="3" xfId="0" applyFont="1" applyFill="1" applyBorder="1" applyAlignment="1">
      <alignment horizontal="left" textRotation="90"/>
    </xf>
    <xf numFmtId="0" fontId="5" fillId="3" borderId="2" xfId="0" applyFont="1" applyFill="1" applyBorder="1" applyAlignment="1">
      <alignment horizontal="left" textRotation="90"/>
    </xf>
    <xf numFmtId="0" fontId="6" fillId="6" borderId="8" xfId="0" applyFont="1" applyFill="1" applyBorder="1" applyAlignment="1">
      <alignment horizontal="center"/>
    </xf>
    <xf numFmtId="0" fontId="8" fillId="6" borderId="8" xfId="0" applyFont="1" applyFill="1" applyBorder="1" applyAlignment="1">
      <alignment horizontal="center"/>
    </xf>
    <xf numFmtId="0" fontId="6" fillId="6" borderId="7" xfId="0" applyFont="1" applyFill="1" applyBorder="1" applyAlignment="1">
      <alignment horizontal="center"/>
    </xf>
    <xf numFmtId="0" fontId="8" fillId="6" borderId="7" xfId="0" applyFont="1" applyFill="1" applyBorder="1" applyAlignment="1">
      <alignment horizontal="center"/>
    </xf>
    <xf numFmtId="0" fontId="8" fillId="6" borderId="0" xfId="0" applyFont="1" applyFill="1" applyAlignment="1">
      <alignment horizontal="center"/>
    </xf>
    <xf numFmtId="0" fontId="22" fillId="15" borderId="18" xfId="1" applyFont="1" applyFill="1" applyBorder="1" applyAlignment="1" applyProtection="1">
      <alignment horizontal="center" vertical="center" wrapText="1"/>
      <protection locked="0"/>
    </xf>
    <xf numFmtId="0" fontId="54" fillId="2" borderId="0" xfId="1" applyFont="1" applyFill="1" applyAlignment="1" applyProtection="1">
      <alignment vertical="center"/>
      <protection locked="0"/>
    </xf>
    <xf numFmtId="14" fontId="0" fillId="12" borderId="0" xfId="0" applyNumberFormat="1" applyFill="1"/>
    <xf numFmtId="0" fontId="49" fillId="13" borderId="0" xfId="0" applyFont="1" applyFill="1"/>
    <xf numFmtId="14" fontId="11" fillId="0" borderId="0" xfId="0" applyNumberFormat="1" applyFont="1" applyAlignment="1">
      <alignment horizontal="center"/>
    </xf>
    <xf numFmtId="14" fontId="6" fillId="0" borderId="0" xfId="0" applyNumberFormat="1" applyFont="1" applyAlignment="1">
      <alignment horizontal="center"/>
    </xf>
    <xf numFmtId="14" fontId="55" fillId="0" borderId="0" xfId="0" applyNumberFormat="1" applyFont="1" applyAlignment="1">
      <alignment horizontal="center"/>
    </xf>
    <xf numFmtId="0" fontId="53" fillId="0" borderId="0" xfId="0" applyFont="1" applyAlignment="1">
      <alignment horizontal="right"/>
    </xf>
    <xf numFmtId="0" fontId="19" fillId="0" borderId="12" xfId="1" applyFont="1" applyBorder="1" applyAlignment="1" applyProtection="1">
      <alignment horizontal="center"/>
    </xf>
    <xf numFmtId="0" fontId="19" fillId="0" borderId="13" xfId="1" applyFont="1" applyBorder="1" applyAlignment="1" applyProtection="1">
      <alignment horizontal="center"/>
    </xf>
    <xf numFmtId="0" fontId="19" fillId="0" borderId="13" xfId="1" applyFont="1" applyBorder="1" applyProtection="1"/>
    <xf numFmtId="0" fontId="19" fillId="0" borderId="14" xfId="1" applyFont="1" applyBorder="1" applyProtection="1"/>
    <xf numFmtId="0" fontId="1" fillId="0" borderId="0" xfId="1" applyProtection="1"/>
    <xf numFmtId="0" fontId="19" fillId="0" borderId="0" xfId="1" applyFont="1" applyAlignment="1" applyProtection="1">
      <alignment horizontal="center"/>
    </xf>
    <xf numFmtId="0" fontId="9" fillId="0" borderId="0" xfId="1" applyFont="1" applyAlignment="1" applyProtection="1">
      <alignment horizontal="center" vertical="center"/>
    </xf>
    <xf numFmtId="0" fontId="40" fillId="14" borderId="0" xfId="1" applyFont="1" applyFill="1" applyAlignment="1" applyProtection="1">
      <alignment vertical="center" wrapText="1"/>
    </xf>
    <xf numFmtId="0" fontId="20" fillId="11" borderId="35" xfId="1" applyFont="1" applyFill="1" applyBorder="1" applyAlignment="1" applyProtection="1">
      <alignment vertical="center"/>
    </xf>
    <xf numFmtId="0" fontId="20" fillId="11" borderId="16" xfId="1" applyFont="1" applyFill="1" applyBorder="1" applyAlignment="1" applyProtection="1">
      <alignment vertical="center"/>
    </xf>
    <xf numFmtId="0" fontId="50" fillId="11" borderId="16" xfId="1" applyFont="1" applyFill="1" applyBorder="1" applyAlignment="1" applyProtection="1">
      <alignment horizontal="right" vertical="center"/>
    </xf>
    <xf numFmtId="0" fontId="50" fillId="11" borderId="16" xfId="1" applyFont="1" applyFill="1" applyBorder="1" applyAlignment="1" applyProtection="1">
      <alignment horizontal="center" vertical="center"/>
    </xf>
    <xf numFmtId="0" fontId="43" fillId="11" borderId="16" xfId="1" applyFont="1" applyFill="1" applyBorder="1" applyAlignment="1" applyProtection="1">
      <alignment vertical="center"/>
    </xf>
    <xf numFmtId="0" fontId="51" fillId="11" borderId="17" xfId="1" applyFont="1" applyFill="1" applyBorder="1" applyAlignment="1" applyProtection="1">
      <alignment horizontal="right" vertical="center"/>
    </xf>
    <xf numFmtId="0" fontId="1" fillId="0" borderId="0" xfId="1" applyAlignment="1" applyProtection="1">
      <alignment horizontal="center"/>
    </xf>
    <xf numFmtId="0" fontId="21"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21" fillId="2" borderId="0" xfId="1" applyFont="1" applyFill="1" applyAlignment="1" applyProtection="1">
      <alignment vertical="center"/>
    </xf>
    <xf numFmtId="14" fontId="22" fillId="2" borderId="0" xfId="1" applyNumberFormat="1" applyFont="1" applyFill="1" applyAlignment="1" applyProtection="1">
      <alignment vertical="center"/>
    </xf>
    <xf numFmtId="0" fontId="21" fillId="2" borderId="0" xfId="1" applyFont="1" applyFill="1" applyAlignment="1" applyProtection="1">
      <alignment horizontal="left" vertical="center"/>
    </xf>
    <xf numFmtId="0" fontId="21"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14" borderId="0" xfId="1" applyFont="1" applyFill="1" applyAlignment="1" applyProtection="1">
      <alignment horizontal="center" vertical="center"/>
    </xf>
    <xf numFmtId="0" fontId="23" fillId="14" borderId="0" xfId="1" applyFont="1" applyFill="1" applyAlignment="1" applyProtection="1">
      <alignment horizontal="left" vertical="center" indent="1"/>
    </xf>
    <xf numFmtId="0" fontId="23" fillId="14" borderId="0" xfId="1" applyFont="1" applyFill="1" applyAlignment="1" applyProtection="1">
      <alignment vertical="center"/>
    </xf>
    <xf numFmtId="0" fontId="23" fillId="14" borderId="22" xfId="1" applyFont="1" applyFill="1" applyBorder="1" applyAlignment="1" applyProtection="1">
      <alignment horizontal="left" vertical="center"/>
    </xf>
    <xf numFmtId="0" fontId="23" fillId="14" borderId="0" xfId="1" applyFont="1" applyFill="1" applyAlignment="1" applyProtection="1">
      <alignment horizontal="left" vertical="center"/>
    </xf>
    <xf numFmtId="0" fontId="23" fillId="14"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4" borderId="0" xfId="1" applyFont="1" applyFill="1" applyAlignment="1" applyProtection="1">
      <alignment horizontal="center" vertical="center" wrapText="1"/>
    </xf>
    <xf numFmtId="0" fontId="23" fillId="14" borderId="22" xfId="1" applyFont="1" applyFill="1" applyBorder="1" applyAlignment="1" applyProtection="1">
      <alignment horizontal="center" vertical="center" wrapText="1"/>
    </xf>
    <xf numFmtId="0" fontId="23" fillId="14"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22" fillId="15" borderId="22" xfId="1" applyFont="1" applyFill="1" applyBorder="1" applyAlignment="1" applyProtection="1">
      <alignment horizontal="center" vertical="center" wrapText="1"/>
    </xf>
    <xf numFmtId="0" fontId="22" fillId="15"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3" fillId="2" borderId="0" xfId="1" applyFont="1" applyFill="1" applyAlignment="1" applyProtection="1">
      <alignment horizontal="center"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Alignment="1" applyProtection="1">
      <alignment horizontal="center" vertical="center"/>
    </xf>
    <xf numFmtId="0" fontId="36" fillId="2" borderId="0" xfId="1" applyFont="1" applyFill="1" applyProtection="1"/>
    <xf numFmtId="0" fontId="13" fillId="2" borderId="0" xfId="1" applyFont="1" applyFill="1" applyProtection="1"/>
    <xf numFmtId="0" fontId="42" fillId="14" borderId="0" xfId="1" applyFont="1" applyFill="1" applyAlignment="1" applyProtection="1">
      <alignment horizontal="lef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7" fillId="0" borderId="19" xfId="1" applyFont="1" applyBorder="1" applyAlignment="1" applyProtection="1">
      <alignment horizontal="left" vertical="center"/>
    </xf>
    <xf numFmtId="0" fontId="37" fillId="0" borderId="20" xfId="1" applyFont="1" applyBorder="1" applyAlignment="1" applyProtection="1">
      <alignment horizontal="left" vertical="center"/>
    </xf>
    <xf numFmtId="0" fontId="37" fillId="0" borderId="20" xfId="1" applyFont="1" applyBorder="1" applyAlignment="1" applyProtection="1">
      <alignment vertical="center"/>
    </xf>
    <xf numFmtId="0" fontId="37" fillId="0" borderId="20" xfId="1" applyFont="1" applyBorder="1" applyAlignment="1" applyProtection="1">
      <alignment horizontal="center" vertical="center" wrapText="1"/>
    </xf>
    <xf numFmtId="0" fontId="37" fillId="0" borderId="0" xfId="1" applyFont="1" applyAlignment="1" applyProtection="1">
      <alignment horizontal="left" vertical="center"/>
    </xf>
    <xf numFmtId="0" fontId="37" fillId="0" borderId="0" xfId="1" applyFont="1" applyAlignment="1" applyProtection="1">
      <alignment vertical="center"/>
    </xf>
    <xf numFmtId="0" fontId="22"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3" fillId="2" borderId="0" xfId="1" applyFont="1" applyFill="1" applyAlignment="1" applyProtection="1">
      <alignment vertical="center"/>
    </xf>
    <xf numFmtId="0" fontId="35" fillId="2" borderId="0" xfId="1" applyFont="1" applyFill="1" applyAlignment="1" applyProtection="1">
      <alignment horizontal="right" vertical="center"/>
    </xf>
    <xf numFmtId="0" fontId="40" fillId="14"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cellXfs>
  <cellStyles count="3">
    <cellStyle name="Hyperlink" xfId="2" builtinId="8"/>
    <cellStyle name="Normal" xfId="0" builtinId="0"/>
    <cellStyle name="Normal 2" xfId="1"/>
  </cellStyles>
  <dxfs count="115">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10"/>
        <color theme="1"/>
        <name val="Arial"/>
        <scheme val="none"/>
      </font>
      <fill>
        <patternFill patternType="solid">
          <fgColor indexed="64"/>
          <bgColor rgb="FFFFFF00"/>
        </patternFill>
      </fill>
    </dxf>
    <dxf>
      <font>
        <b val="0"/>
        <i val="0"/>
        <strike val="0"/>
        <condense val="0"/>
        <extend val="0"/>
        <outline val="0"/>
        <shadow val="0"/>
        <u val="none"/>
        <vertAlign val="baseline"/>
        <sz val="10"/>
        <color theme="1"/>
        <name val="Arial"/>
        <scheme val="none"/>
      </font>
      <numFmt numFmtId="19" formatCode="d/mm/yyyy"/>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solid">
          <fgColor indexed="64"/>
          <bgColor rgb="FF92D050"/>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i/>
      </font>
      <fill>
        <patternFill>
          <bgColor theme="0" tint="-0.14996795556505021"/>
        </patternFill>
      </fill>
    </dxf>
    <dxf>
      <font>
        <b/>
        <i/>
        <color rgb="FFFF0000"/>
      </font>
    </dxf>
    <dxf>
      <fill>
        <patternFill>
          <bgColor theme="0" tint="-0.14996795556505021"/>
        </patternFill>
      </fill>
    </dxf>
    <dxf>
      <font>
        <b val="0"/>
        <i/>
      </font>
      <fill>
        <patternFill>
          <bgColor theme="0" tint="-0.24994659260841701"/>
        </patternFill>
      </fill>
    </dxf>
    <dxf>
      <font>
        <b/>
        <i/>
        <color rgb="FFFF0000"/>
      </font>
    </dxf>
  </dxfs>
  <tableStyles count="0" defaultTableStyle="TableStyleMedium2" defaultPivotStyle="PivotStyleLight16"/>
  <colors>
    <mruColors>
      <color rgb="FFB4FFFF"/>
      <color rgb="FF0D4B6D"/>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95251</xdr:colOff>
      <xdr:row>6</xdr:row>
      <xdr:rowOff>38102</xdr:rowOff>
    </xdr:from>
    <xdr:to>
      <xdr:col>21</xdr:col>
      <xdr:colOff>238126</xdr:colOff>
      <xdr:row>25</xdr:row>
      <xdr:rowOff>161926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39451" y="1371602"/>
          <a:ext cx="5629275" cy="45053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AU" sz="1100" b="1" i="0">
              <a:solidFill>
                <a:schemeClr val="dk1"/>
              </a:solidFill>
              <a:effectLst/>
              <a:latin typeface="+mn-lt"/>
              <a:ea typeface="+mn-ea"/>
              <a:cs typeface="+mn-cs"/>
            </a:rPr>
            <a:t>Enrolment Guidelines</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 The standard full-time study load is 100 credit points per semester.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 </a:t>
          </a:r>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 </a:t>
          </a:r>
        </a:p>
        <a:p>
          <a:endParaRPr lang="en-AU" b="1"/>
        </a:p>
        <a:p>
          <a:r>
            <a:rPr lang="en-AU" b="1"/>
            <a:t>Note:</a:t>
          </a:r>
        </a:p>
        <a:p>
          <a:r>
            <a:rPr lang="en-AU" sz="900" b="0"/>
            <a:t>CP = Credit Points; Sem1 = Semester 1; Sem2 = Semester 2; BEN = unit available face-to-face at Curtin University, Bentley Campus; FO = unit available Fully Online</a:t>
          </a:r>
        </a:p>
      </xdr:txBody>
    </xdr:sp>
    <xdr:clientData/>
  </xdr:twoCellAnchor>
  <xdr:twoCellAnchor>
    <xdr:from>
      <xdr:col>17</xdr:col>
      <xdr:colOff>504826</xdr:colOff>
      <xdr:row>21</xdr:row>
      <xdr:rowOff>209550</xdr:rowOff>
    </xdr:from>
    <xdr:to>
      <xdr:col>21</xdr:col>
      <xdr:colOff>180976</xdr:colOff>
      <xdr:row>23</xdr:row>
      <xdr:rowOff>104775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92226" y="5029200"/>
          <a:ext cx="2419350" cy="31432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677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95251</xdr:colOff>
      <xdr:row>6</xdr:row>
      <xdr:rowOff>38101</xdr:rowOff>
    </xdr:from>
    <xdr:to>
      <xdr:col>21</xdr:col>
      <xdr:colOff>238126</xdr:colOff>
      <xdr:row>26</xdr:row>
      <xdr:rowOff>209550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715501" y="1752601"/>
          <a:ext cx="5629275" cy="46958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AU" sz="1100" b="1" i="0">
              <a:solidFill>
                <a:schemeClr val="dk1"/>
              </a:solidFill>
              <a:effectLst/>
              <a:latin typeface="+mn-lt"/>
              <a:ea typeface="+mn-ea"/>
              <a:cs typeface="+mn-cs"/>
            </a:rPr>
            <a:t>Enrolment Guidelines</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shows the recommended sequence of full-time study based on your study period of commencement. The standard full-time study load is 100 credit points per semester.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 </a:t>
          </a:r>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a:t>
          </a:r>
        </a:p>
        <a:p>
          <a:pPr rtl="0" fontAlgn="base"/>
          <a:r>
            <a:rPr lang="en-AU" sz="1100" b="0" i="0">
              <a:solidFill>
                <a:schemeClr val="dk1"/>
              </a:solidFill>
              <a:effectLst/>
              <a:latin typeface="+mn-lt"/>
              <a:ea typeface="+mn-ea"/>
              <a:cs typeface="+mn-cs"/>
            </a:rPr>
            <a:t>If you have any questions regarding your enrolment, please contact Curtin Connect. </a:t>
          </a:r>
        </a:p>
        <a:p>
          <a:endParaRPr lang="en-AU" sz="1100" b="1">
            <a:solidFill>
              <a:schemeClr val="dk1"/>
            </a:solidFill>
            <a:effectLst/>
            <a:latin typeface="+mn-lt"/>
            <a:ea typeface="+mn-ea"/>
            <a:cs typeface="+mn-cs"/>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Note:</a:t>
          </a:r>
          <a:endParaRPr lang="en-AU">
            <a:effectLst/>
          </a:endParaRPr>
        </a:p>
        <a:p>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 BEN = unit available face-to-face at Curtin University, Bentley Campus; FO = unit available Fully Online</a:t>
          </a:r>
          <a:endParaRPr lang="en-AU" sz="900">
            <a:effectLst/>
          </a:endParaRPr>
        </a:p>
      </xdr:txBody>
    </xdr:sp>
    <xdr:clientData/>
  </xdr:twoCellAnchor>
  <xdr:twoCellAnchor>
    <xdr:from>
      <xdr:col>17</xdr:col>
      <xdr:colOff>561976</xdr:colOff>
      <xdr:row>23</xdr:row>
      <xdr:rowOff>142875</xdr:rowOff>
    </xdr:from>
    <xdr:to>
      <xdr:col>21</xdr:col>
      <xdr:colOff>238126</xdr:colOff>
      <xdr:row>24</xdr:row>
      <xdr:rowOff>209550</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100-000005000000}"/>
            </a:ext>
          </a:extLst>
        </xdr:cNvPr>
        <xdr:cNvSpPr txBox="1"/>
      </xdr:nvSpPr>
      <xdr:spPr>
        <a:xfrm>
          <a:off x="12925426" y="5638800"/>
          <a:ext cx="2419350" cy="31432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1" displayName="TableCourses1" ref="A6:G10" totalsRowShown="0" headerRowDxfId="109">
  <autoFilter ref="A6:G10"/>
  <tableColumns count="7">
    <tableColumn id="3" name="Choose your Project Management Course (drop-down list)" dataDxfId="108"/>
    <tableColumn id="1" name="UDC" dataDxfId="107"/>
    <tableColumn id="2" name="Version" dataDxfId="106"/>
    <tableColumn id="5" name="Credit Points" dataDxfId="105"/>
    <tableColumn id="4" name="Effective Date" dataDxfId="104"/>
    <tableColumn id="6" name="Akari Update" dataDxfId="103"/>
    <tableColumn id="8" name="Availabilities2" dataDxfId="102"/>
  </tableColumns>
  <tableStyleInfo name="TableStyleLight8" showFirstColumn="0" showLastColumn="0" showRowStripes="1" showColumnStripes="0"/>
</table>
</file>

<file path=xl/tables/table10.xml><?xml version="1.0" encoding="utf-8"?>
<table xmlns="http://schemas.openxmlformats.org/spreadsheetml/2006/main" id="9" name="TableSTRPRESCH1.5" displayName="TableSTRPRESCH1.5" ref="A42:O53" totalsRowShown="0">
  <autoFilter ref="A42:O53"/>
  <sortState ref="A43:O53">
    <sortCondition ref="F42:F53"/>
  </sortState>
  <tableColumns count="15">
    <tableColumn id="9" name="UDC" dataDxfId="24">
      <calculatedColumnFormula>TableSTRPRESCH1.5[[#This Row],[Study Package Code]]</calculatedColumnFormula>
    </tableColumn>
    <tableColumn id="10" name="Version" dataDxfId="23">
      <calculatedColumnFormula>TableSTRPRESCH1.5[[#This Row],[Ver]]</calculatedColumnFormula>
    </tableColumn>
    <tableColumn id="11" name="OUA Code"/>
    <tableColumn id="12" name="Unit Title" dataDxfId="22">
      <calculatedColumnFormula>TableSTRPRESCH1.5[[#This Row],[Structure Line]]</calculatedColumnFormula>
    </tableColumn>
    <tableColumn id="13" name="CPs" dataDxfId="21">
      <calculatedColumnFormula>TableSTRPRESCH1.5[[#This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0"/>
    <tableColumn id="15" name="Discont." dataDxfId="19"/>
  </tableColumns>
  <tableStyleInfo name="TableStyleLight1" showFirstColumn="0" showLastColumn="0" showRowStripes="1" showColumnStripes="0"/>
</table>
</file>

<file path=xl/tables/table11.xml><?xml version="1.0" encoding="utf-8"?>
<table xmlns="http://schemas.openxmlformats.org/spreadsheetml/2006/main" id="10" name="TableMCPROJM2" displayName="TableMCPROJM2" ref="A57:O60" totalsRowShown="0">
  <autoFilter ref="A57:O60"/>
  <sortState ref="Q56:AW63">
    <sortCondition ref="U10:U18"/>
  </sortState>
  <tableColumns count="15">
    <tableColumn id="9" name="UDC" dataDxfId="18">
      <calculatedColumnFormula>TableMCPROJM2[[#This Row],[Study Package Code]]</calculatedColumnFormula>
    </tableColumn>
    <tableColumn id="10" name="Version" dataDxfId="17">
      <calculatedColumnFormula>TableMCPROJM2[[#This Row],[Ver]]</calculatedColumnFormula>
    </tableColumn>
    <tableColumn id="11" name="OUA Code"/>
    <tableColumn id="12" name="Unit Title" dataDxfId="16">
      <calculatedColumnFormula>TableMCPROJM2[[#This Row],[Structure Line]]</calculatedColumnFormula>
    </tableColumn>
    <tableColumn id="13" name="CPs" dataDxfId="15">
      <calculatedColumnFormula>TableMCPROJM2[[#This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4"/>
    <tableColumn id="15" name="Discont." dataDxfId="13"/>
  </tableColumns>
  <tableStyleInfo name="TableStyleLight1" showFirstColumn="0" showLastColumn="0" showRowStripes="1" showColumnStripes="0"/>
</table>
</file>

<file path=xl/tables/table12.xml><?xml version="1.0" encoding="utf-8"?>
<table xmlns="http://schemas.openxmlformats.org/spreadsheetml/2006/main" id="11" name="TableSTRPPROF2" displayName="TableSTRPPROF2" ref="A62:O79" totalsRowShown="0">
  <autoFilter ref="A62:O79"/>
  <sortState ref="A62:M77">
    <sortCondition ref="F61:F77"/>
  </sortState>
  <tableColumns count="15">
    <tableColumn id="9" name="UDC" dataDxfId="12">
      <calculatedColumnFormula>TableSTRPPROF2[[#This Row],[Study Package Code]]</calculatedColumnFormula>
    </tableColumn>
    <tableColumn id="10" name="Version" dataDxfId="11">
      <calculatedColumnFormula>TableSTRPPROF2[[#This Row],[Ver]]</calculatedColumnFormula>
    </tableColumn>
    <tableColumn id="11" name="OUA Code"/>
    <tableColumn id="12" name="Unit Title" dataDxfId="10">
      <calculatedColumnFormula>TableSTRPPROF2[[#This Row],[Structure Line]]</calculatedColumnFormula>
    </tableColumn>
    <tableColumn id="13" name="CPs" dataDxfId="9">
      <calculatedColumnFormula>TableSTRPPROF2[[#This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dataDxfId="8"/>
    <tableColumn id="14" name="Effective" dataDxfId="7"/>
    <tableColumn id="15" name="Discont." dataDxfId="6"/>
  </tableColumns>
  <tableStyleInfo name="TableStyleLight1" showFirstColumn="0" showLastColumn="0" showRowStripes="1" showColumnStripes="0"/>
</table>
</file>

<file path=xl/tables/table13.xml><?xml version="1.0" encoding="utf-8"?>
<table xmlns="http://schemas.openxmlformats.org/spreadsheetml/2006/main" id="12" name="TableSTRPRSCH2" displayName="TableSTRPRSCH2" ref="A81:O98" totalsRowShown="0">
  <autoFilter ref="A81:O98"/>
  <sortState ref="A82:O97">
    <sortCondition ref="F81:F97"/>
  </sortState>
  <tableColumns count="15">
    <tableColumn id="9" name="UDC" dataDxfId="5">
      <calculatedColumnFormula>TableSTRPRSCH2[[#This Row],[Study Package Code]]</calculatedColumnFormula>
    </tableColumn>
    <tableColumn id="10" name="Version" dataDxfId="4">
      <calculatedColumnFormula>TableSTRPRSCH2[[#This Row],[Ver]]</calculatedColumnFormula>
    </tableColumn>
    <tableColumn id="11" name="OUA Code"/>
    <tableColumn id="12" name="Unit Title" dataDxfId="3">
      <calculatedColumnFormula>TableSTRPRSCH2[[#This Row],[Structure Line]]</calculatedColumnFormula>
    </tableColumn>
    <tableColumn id="13" name="CPs" dataDxfId="2">
      <calculatedColumnFormula>TableSTRPRSCH2[[#This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1"/>
    <tableColumn id="15" name="Discont." dataDxfId="0"/>
  </tableColumns>
  <tableStyleInfo name="TableStyleLight1" showFirstColumn="0" showLastColumn="0" showRowStripes="1" showColumnStripes="0"/>
</table>
</file>

<file path=xl/tables/table14.xml><?xml version="1.0" encoding="utf-8"?>
<table xmlns="http://schemas.openxmlformats.org/spreadsheetml/2006/main" id="15" name="Table15" displayName="Table15" ref="Q2:R6" totalsRowShown="0">
  <autoFilter ref="Q2:R6"/>
  <tableColumns count="2">
    <tableColumn id="5" name="SPK"/>
    <tableColumn id="6" name="Ver"/>
  </tableColumns>
  <tableStyleInfo name="TableStyleLight4" showFirstColumn="0" showLastColumn="0" showRowStripes="1" showColumnStripes="0"/>
</table>
</file>

<file path=xl/tables/table15.xml><?xml version="1.0" encoding="utf-8"?>
<table xmlns="http://schemas.openxmlformats.org/spreadsheetml/2006/main" id="16" name="Table1517" displayName="Table1517" ref="Q10:R20" totalsRowShown="0">
  <autoFilter ref="Q10:R20"/>
  <tableColumns count="2">
    <tableColumn id="5" name="SPK"/>
    <tableColumn id="6" name="Ver"/>
  </tableColumns>
  <tableStyleInfo name="TableStyleLight4" showFirstColumn="0" showLastColumn="0" showRowStripes="1" showColumnStripes="0"/>
</table>
</file>

<file path=xl/tables/table16.xml><?xml version="1.0" encoding="utf-8"?>
<table xmlns="http://schemas.openxmlformats.org/spreadsheetml/2006/main" id="17" name="Table1518" displayName="Table1518" ref="Q24:R27" totalsRowShown="0">
  <autoFilter ref="Q24:R27"/>
  <tableColumns count="2">
    <tableColumn id="5" name="SPK"/>
    <tableColumn id="6" name="Ver"/>
  </tableColumns>
  <tableStyleInfo name="TableStyleLight4" showFirstColumn="0" showLastColumn="0" showRowStripes="1" showColumnStripes="0"/>
</table>
</file>

<file path=xl/tables/table17.xml><?xml version="1.0" encoding="utf-8"?>
<table xmlns="http://schemas.openxmlformats.org/spreadsheetml/2006/main" id="18" name="Table151719" displayName="Table151719" ref="Q29:R40" totalsRowShown="0">
  <autoFilter ref="Q29:R40"/>
  <tableColumns count="2">
    <tableColumn id="5" name="SPK"/>
    <tableColumn id="6" name="Ver"/>
  </tableColumns>
  <tableStyleInfo name="TableStyleLight4" showFirstColumn="0" showLastColumn="0" showRowStripes="1" showColumnStripes="0"/>
</table>
</file>

<file path=xl/tables/table18.xml><?xml version="1.0" encoding="utf-8"?>
<table xmlns="http://schemas.openxmlformats.org/spreadsheetml/2006/main" id="19" name="Table15171920" displayName="Table15171920" ref="Q42:R53" totalsRowShown="0">
  <autoFilter ref="Q42:R53"/>
  <tableColumns count="2">
    <tableColumn id="5" name="SPK"/>
    <tableColumn id="6" name="Ver"/>
  </tableColumns>
  <tableStyleInfo name="TableStyleLight4" showFirstColumn="0" showLastColumn="0" showRowStripes="1" showColumnStripes="0"/>
</table>
</file>

<file path=xl/tables/table19.xml><?xml version="1.0" encoding="utf-8"?>
<table xmlns="http://schemas.openxmlformats.org/spreadsheetml/2006/main" id="23" name="Table151824" displayName="Table151824" ref="Q57:R60" totalsRowShown="0">
  <autoFilter ref="Q57:R60"/>
  <tableColumns count="2">
    <tableColumn id="5" name="SPK"/>
    <tableColumn id="6" name="Ver"/>
  </tableColumns>
  <tableStyleInfo name="TableStyleLight4" showFirstColumn="0" showLastColumn="0" showRowStripes="1" showColumnStripes="0"/>
</table>
</file>

<file path=xl/tables/table2.xml><?xml version="1.0" encoding="utf-8"?>
<table xmlns="http://schemas.openxmlformats.org/spreadsheetml/2006/main" id="4" name="TableStudyPeriod" displayName="TableStudyPeriod" ref="A19:C21" totalsRowShown="0" dataDxfId="101">
  <autoFilter ref="A19:C21"/>
  <tableColumns count="3">
    <tableColumn id="1" name="Choose your commencing study period (drop-down list)" dataDxfId="100"/>
    <tableColumn id="2" name="START" dataDxfId="99"/>
    <tableColumn id="3" name="Next" dataDxfId="98"/>
  </tableColumns>
  <tableStyleInfo name="TableStyleLight8" showFirstColumn="0" showLastColumn="0" showRowStripes="1" showColumnStripes="0"/>
</table>
</file>

<file path=xl/tables/table20.xml><?xml version="1.0" encoding="utf-8"?>
<table xmlns="http://schemas.openxmlformats.org/spreadsheetml/2006/main" id="24" name="Table1517192025" displayName="Table1517192025" ref="Q62:R79" totalsRowShown="0">
  <autoFilter ref="Q62:R79"/>
  <tableColumns count="2">
    <tableColumn id="5" name="SPK"/>
    <tableColumn id="6" name="Ver"/>
  </tableColumns>
  <tableStyleInfo name="TableStyleLight4" showFirstColumn="0" showLastColumn="0" showRowStripes="1" showColumnStripes="0"/>
</table>
</file>

<file path=xl/tables/table21.xml><?xml version="1.0" encoding="utf-8"?>
<table xmlns="http://schemas.openxmlformats.org/spreadsheetml/2006/main" id="25" name="Table151719202526" displayName="Table151719202526" ref="Q81:R98" totalsRowShown="0">
  <autoFilter ref="Q81:R98"/>
  <tableColumns count="2">
    <tableColumn id="5" name="SPK"/>
    <tableColumn id="6" name="Ver"/>
  </tableColumns>
  <tableStyleInfo name="TableStyleLight4" showFirstColumn="0" showLastColumn="0" showRowStripes="1" showColumnStripes="0"/>
</table>
</file>

<file path=xl/tables/table22.xml><?xml version="1.0" encoding="utf-8"?>
<table xmlns="http://schemas.openxmlformats.org/spreadsheetml/2006/main" id="13" name="TableAvailabilities" displayName="TableAvailabilities" ref="A3:E16" totalsRowShown="0">
  <autoFilter ref="A3:E16"/>
  <tableColumns count="5">
    <tableColumn id="1" name="Row Labels"/>
    <tableColumn id="2" name="Internal"/>
    <tableColumn id="3" name="Online"/>
    <tableColumn id="4" name="Internal2"/>
    <tableColumn id="5" name="Online3"/>
  </tableColumns>
  <tableStyleInfo name="TableStyleLight7" showFirstColumn="0" showLastColumn="0" showRowStripes="1" showColumnStripes="0"/>
</table>
</file>

<file path=xl/tables/table3.xml><?xml version="1.0" encoding="utf-8"?>
<table xmlns="http://schemas.openxmlformats.org/spreadsheetml/2006/main" id="5" name="TableStreams" displayName="TableStreams" ref="A24:F28" totalsRowShown="0" dataDxfId="97">
  <autoFilter ref="A24:F28"/>
  <tableColumns count="6">
    <tableColumn id="1" name="Choose your Stream" dataDxfId="96"/>
    <tableColumn id="2" name="START" dataDxfId="95"/>
    <tableColumn id="3" name="Version" dataDxfId="94"/>
    <tableColumn id="4" name="Credit Points" dataDxfId="93"/>
    <tableColumn id="5" name="Effective Date" dataDxfId="92"/>
    <tableColumn id="6" name="Akari Update" dataDxfId="91"/>
  </tableColumns>
  <tableStyleInfo name="TableStyleLight8" showFirstColumn="0" showLastColumn="0" showRowStripes="1" showColumnStripes="0"/>
</table>
</file>

<file path=xl/tables/table4.xml><?xml version="1.0" encoding="utf-8"?>
<table xmlns="http://schemas.openxmlformats.org/spreadsheetml/2006/main" id="14" name="TableCourses2" displayName="TableCourses2" ref="A13:G15" totalsRowShown="0" headerRowDxfId="90">
  <autoFilter ref="A13:G15"/>
  <tableColumns count="7">
    <tableColumn id="3" name="Choose your Master of Project Management Stream (drop-down list)" dataDxfId="89"/>
    <tableColumn id="1" name="UDC" dataDxfId="88"/>
    <tableColumn id="2" name="Version" dataDxfId="87"/>
    <tableColumn id="5" name="Credit Points" dataDxfId="86"/>
    <tableColumn id="4" name="Effective Date" dataDxfId="85"/>
    <tableColumn id="6" name="Akari Update" dataDxfId="84"/>
    <tableColumn id="7" name="Availabilities2" dataDxfId="83"/>
  </tableColumns>
  <tableStyleInfo name="TableStyleLight8" showFirstColumn="0" showLastColumn="0" showRowStripes="1" showColumnStripes="0"/>
</table>
</file>

<file path=xl/tables/table5.xml><?xml version="1.0" encoding="utf-8"?>
<table xmlns="http://schemas.openxmlformats.org/spreadsheetml/2006/main" id="2" name="TableHandbook" displayName="TableHandbook" ref="A3:S27" totalsRowShown="0" headerRowDxfId="81" dataDxfId="79" headerRowBorderDxfId="80" tableBorderDxfId="78">
  <autoFilter ref="A3:S27"/>
  <sortState ref="A4:S28">
    <sortCondition ref="A3:A28"/>
  </sortState>
  <tableColumns count="19">
    <tableColumn id="1" name="UDC" dataDxfId="77"/>
    <tableColumn id="2" name="Ver" dataDxfId="76"/>
    <tableColumn id="3" name="OUA Cd" dataDxfId="75"/>
    <tableColumn id="4" name="Title" dataDxfId="74"/>
    <tableColumn id="5" name="Credits" dataDxfId="73"/>
    <tableColumn id="6" name="Pre-reqs" dataDxfId="72"/>
    <tableColumn id="12" name="S1INT" dataDxfId="71">
      <calculatedColumnFormula>IFERROR(IF(VLOOKUP(TableHandbook[[#This Row],[UDC]],TableAvailabilities[],2,FALSE)&gt;0,"Y",""),"")</calculatedColumnFormula>
    </tableColumn>
    <tableColumn id="13" name="S1FO" dataDxfId="70">
      <calculatedColumnFormula>IFERROR(IF(VLOOKUP(TableHandbook[[#This Row],[UDC]],TableAvailabilities[],3,FALSE)&gt;0,"Y",""),"")</calculatedColumnFormula>
    </tableColumn>
    <tableColumn id="14" name="S2INT" dataDxfId="69">
      <calculatedColumnFormula>IFERROR(IF(VLOOKUP(TableHandbook[[#This Row],[UDC]],TableAvailabilities[],4,FALSE)&gt;0,"Y",""),"")</calculatedColumnFormula>
    </tableColumn>
    <tableColumn id="15" name="S2FO" dataDxfId="68">
      <calculatedColumnFormula>IFERROR(IF(VLOOKUP(TableHandbook[[#This Row],[UDC]],TableAvailabilities[],5,FALSE)&gt;0,"Y",""),"")</calculatedColumnFormula>
    </tableColumn>
    <tableColumn id="16" name="Notes" dataDxfId="67"/>
    <tableColumn id="8" name="GC-PROJM" dataDxfId="66">
      <calculatedColumnFormula>IFERROR(VLOOKUP(TableHandbook[[#This Row],[UDC]],TableGCPROJM[],7,FALSE),"")</calculatedColumnFormula>
    </tableColumn>
    <tableColumn id="9" name="GD-PROJM" dataDxfId="65">
      <calculatedColumnFormula>IFERROR(VLOOKUP(TableHandbook[[#This Row],[UDC]],TableGDPROJM[],7,FALSE),"")</calculatedColumnFormula>
    </tableColumn>
    <tableColumn id="7" name="MC-PROJM" dataDxfId="64">
      <calculatedColumnFormula>IFERROR(VLOOKUP(TableHandbook[[#This Row],[UDC]],TableMCPROJM1.5[],7,FALSE),"")</calculatedColumnFormula>
    </tableColumn>
    <tableColumn id="10" name="STRP-PROFL" dataDxfId="63">
      <calculatedColumnFormula>IFERROR(VLOOKUP(TableHandbook[[#This Row],[UDC]],TableSTRPPROFL1.5[],7,FALSE),"")</calculatedColumnFormula>
    </tableColumn>
    <tableColumn id="20" name="STRP-RESCH" dataDxfId="62">
      <calculatedColumnFormula>IFERROR(VLOOKUP(TableHandbook[[#This Row],[UDC]],TableSTRPRESCH1.5[],7,FALSE),"")</calculatedColumnFormula>
    </tableColumn>
    <tableColumn id="17" name="MC-PROJM2" dataDxfId="61">
      <calculatedColumnFormula>IFERROR(VLOOKUP(TableHandbook[[#This Row],[UDC]],TableMCPROJM2[],7,FALSE),"")</calculatedColumnFormula>
    </tableColumn>
    <tableColumn id="21" name="STRP-PROF2" dataDxfId="60">
      <calculatedColumnFormula>IFERROR(VLOOKUP(TableHandbook[[#This Row],[UDC]],TableSTRPPROF2[],7,FALSE),"")</calculatedColumnFormula>
    </tableColumn>
    <tableColumn id="11" name="STRP-RSCH2" dataDxfId="59">
      <calculatedColumnFormula>IFERROR(VLOOKUP(TableHandbook[[#This Row],[UDC]],TableSTRPRSCH2[],7,FALSE),"")</calculatedColumnFormula>
    </tableColumn>
  </tableColumns>
  <tableStyleInfo name="TableStyleLight8" showFirstColumn="0" showLastColumn="0" showRowStripes="1" showColumnStripes="0"/>
</table>
</file>

<file path=xl/tables/table6.xml><?xml version="1.0" encoding="utf-8"?>
<table xmlns="http://schemas.openxmlformats.org/spreadsheetml/2006/main" id="1" name="TableGCPROJM" displayName="TableGCPROJM" ref="A2:O6" totalsRowShown="0">
  <autoFilter ref="A2:O6"/>
  <sortState ref="A3:O6">
    <sortCondition ref="F2:F6"/>
  </sortState>
  <tableColumns count="15">
    <tableColumn id="1" name="UDC" dataDxfId="48">
      <calculatedColumnFormula>TableGCPROJM[[#This Row],[Study Package Code]]</calculatedColumnFormula>
    </tableColumn>
    <tableColumn id="9" name="Version" dataDxfId="47">
      <calculatedColumnFormula>TableGCPROJM[[#This Row],[Ver]]</calculatedColumnFormula>
    </tableColumn>
    <tableColumn id="10" name="OUA Code"/>
    <tableColumn id="11" name="Unit Title" dataDxfId="46">
      <calculatedColumnFormula>TableGCPROJM[[#This Row],[Structure Line]]</calculatedColumnFormula>
    </tableColumn>
    <tableColumn id="12" name="CPs" dataDxfId="45">
      <calculatedColumnFormula>TableGCPROJM[[#This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44"/>
    <tableColumn id="15" name="Discont." dataDxfId="43"/>
  </tableColumns>
  <tableStyleInfo name="TableStyleLight1" showFirstColumn="0" showLastColumn="0" showRowStripes="1" showColumnStripes="0"/>
</table>
</file>

<file path=xl/tables/table7.xml><?xml version="1.0" encoding="utf-8"?>
<table xmlns="http://schemas.openxmlformats.org/spreadsheetml/2006/main" id="6" name="TableGDPROJM" displayName="TableGDPROJM" ref="A10:O20" totalsRowShown="0">
  <autoFilter ref="A10:O20"/>
  <sortState ref="A11:O19">
    <sortCondition ref="F10:F19"/>
  </sortState>
  <tableColumns count="15">
    <tableColumn id="1" name="UDC" dataDxfId="42">
      <calculatedColumnFormula>TableGDPROJM[[#This Row],[Study Package Code]]</calculatedColumnFormula>
    </tableColumn>
    <tableColumn id="9" name="Version" dataDxfId="41">
      <calculatedColumnFormula>TableGDPROJM[[#This Row],[Ver]]</calculatedColumnFormula>
    </tableColumn>
    <tableColumn id="10" name="OUA Code"/>
    <tableColumn id="11" name="Unit Title" dataDxfId="40">
      <calculatedColumnFormula>TableGDPROJM[[#This Row],[Structure Line]]</calculatedColumnFormula>
    </tableColumn>
    <tableColumn id="12" name="CPs" dataDxfId="39">
      <calculatedColumnFormula>TableGDPROJM[[#This Row],[Credit Points]]</calculatedColumnFormula>
    </tableColumn>
    <tableColumn id="13" name="No."/>
    <tableColumn id="2" name="Component Type"/>
    <tableColumn id="3" name="Year Level"/>
    <tableColumn id="4" name="Study Period"/>
    <tableColumn id="5" name="Study Package Code"/>
    <tableColumn id="6" name="Ver"/>
    <tableColumn id="7" name="Structure Line"/>
    <tableColumn id="8" name="Credit Points"/>
    <tableColumn id="14" name="Effective" dataDxfId="38"/>
    <tableColumn id="15" name="Discont." dataDxfId="37"/>
  </tableColumns>
  <tableStyleInfo name="TableStyleLight1" showFirstColumn="0" showLastColumn="0" showRowStripes="1" showColumnStripes="0"/>
</table>
</file>

<file path=xl/tables/table8.xml><?xml version="1.0" encoding="utf-8"?>
<table xmlns="http://schemas.openxmlformats.org/spreadsheetml/2006/main" id="7" name="TableMCPROJM1.5" displayName="TableMCPROJM1.5" ref="A24:O27" totalsRowShown="0">
  <autoFilter ref="A24:O27"/>
  <sortState ref="Q23:AW30">
    <sortCondition ref="U10:U18"/>
  </sortState>
  <tableColumns count="15">
    <tableColumn id="15" name="UDC" dataDxfId="36">
      <calculatedColumnFormula>TableMCPROJM1.5[[#This Row],[Study Package Code]]</calculatedColumnFormula>
    </tableColumn>
    <tableColumn id="16" name="Version" dataDxfId="35">
      <calculatedColumnFormula>TableMCPROJM1.5[[#This Row],[Ver]]</calculatedColumnFormula>
    </tableColumn>
    <tableColumn id="17" name="OUA Code"/>
    <tableColumn id="18" name="Unit Title" dataDxfId="34">
      <calculatedColumnFormula>TableMCPROJM1.5[[#This Row],[Structure Line]]</calculatedColumnFormula>
    </tableColumn>
    <tableColumn id="19" name="CPs" dataDxfId="33">
      <calculatedColumnFormula>TableMCPROJM1.5[[#This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9" name="Effective" dataDxfId="32"/>
    <tableColumn id="10" name="Discont." dataDxfId="31"/>
  </tableColumns>
  <tableStyleInfo name="TableStyleLight1" showFirstColumn="0" showLastColumn="0" showRowStripes="1" showColumnStripes="0"/>
</table>
</file>

<file path=xl/tables/table9.xml><?xml version="1.0" encoding="utf-8"?>
<table xmlns="http://schemas.openxmlformats.org/spreadsheetml/2006/main" id="8" name="TableSTRPPROFL1.5" displayName="TableSTRPPROFL1.5" ref="A29:O40" totalsRowShown="0">
  <autoFilter ref="A29:O40"/>
  <sortState ref="A30:O40">
    <sortCondition ref="F29:F40"/>
  </sortState>
  <tableColumns count="15">
    <tableColumn id="9" name="UDC" dataDxfId="30">
      <calculatedColumnFormula>TableSTRPPROFL1.5[[#This Row],[Study Package Code]]</calculatedColumnFormula>
    </tableColumn>
    <tableColumn id="10" name="Version" dataDxfId="29">
      <calculatedColumnFormula>TableSTRPPROFL1.5[[#This Row],[Ver]]</calculatedColumnFormula>
    </tableColumn>
    <tableColumn id="11" name="OUA Code"/>
    <tableColumn id="12" name="Unit Title" dataDxfId="28">
      <calculatedColumnFormula>TableSTRPPROFL1.5[[#This Row],[Structure Line]]</calculatedColumnFormula>
    </tableColumn>
    <tableColumn id="13" name="CPs" dataDxfId="27">
      <calculatedColumnFormula>TableSTRPPROFL1.5[[#This Row],[Credit Points]]</calculatedColumnFormula>
    </tableColumn>
    <tableColumn id="1" name="No."/>
    <tableColumn id="2" name="Component Type"/>
    <tableColumn id="3" name="Year Level"/>
    <tableColumn id="4" name="Study Period"/>
    <tableColumn id="5" name="Study Package Code"/>
    <tableColumn id="6" name="Ver"/>
    <tableColumn id="7" name="Structure Line"/>
    <tableColumn id="8" name="Credit Points"/>
    <tableColumn id="14" name="Effective" dataDxfId="26"/>
    <tableColumn id="15" name="Discont." dataDxfId="2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5.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showGridLines="0" tabSelected="1" topLeftCell="A3" workbookViewId="0">
      <selection activeCell="D5" sqref="D5"/>
    </sheetView>
  </sheetViews>
  <sheetFormatPr defaultRowHeight="15" x14ac:dyDescent="0.25"/>
  <cols>
    <col min="1" max="1" width="8.5" style="190" customWidth="1"/>
    <col min="2" max="2" width="3.25" style="190" customWidth="1"/>
    <col min="3" max="3" width="5.875" style="190" customWidth="1"/>
    <col min="4" max="4" width="57.625" style="180" bestFit="1" customWidth="1"/>
    <col min="5" max="5" width="7" style="180" customWidth="1"/>
    <col min="6" max="6" width="19" style="180" customWidth="1"/>
    <col min="7" max="7" width="5.625" style="180" customWidth="1"/>
    <col min="8" max="11" width="4.625" style="180" customWidth="1"/>
    <col min="12" max="12" width="15.625" style="180" customWidth="1"/>
    <col min="13" max="13" width="2.5" style="180" hidden="1" customWidth="1"/>
    <col min="14" max="16384" width="9" style="180"/>
  </cols>
  <sheetData>
    <row r="1" spans="1:16" hidden="1" x14ac:dyDescent="0.25">
      <c r="A1" s="176" t="s">
        <v>0</v>
      </c>
      <c r="B1" s="177" t="s">
        <v>1</v>
      </c>
      <c r="C1" s="177" t="s">
        <v>2</v>
      </c>
      <c r="D1" s="178" t="s">
        <v>3</v>
      </c>
      <c r="E1" s="178" t="s">
        <v>4</v>
      </c>
      <c r="F1" s="178" t="s">
        <v>5</v>
      </c>
      <c r="G1" s="178" t="s">
        <v>6</v>
      </c>
      <c r="H1" s="179" t="s">
        <v>7</v>
      </c>
      <c r="I1" s="178"/>
      <c r="J1" s="178"/>
      <c r="K1" s="178"/>
      <c r="L1" s="178" t="s">
        <v>8</v>
      </c>
    </row>
    <row r="2" spans="1:16" hidden="1" x14ac:dyDescent="0.25">
      <c r="A2" s="181"/>
      <c r="B2" s="182">
        <v>2</v>
      </c>
      <c r="C2" s="182">
        <v>3</v>
      </c>
      <c r="D2" s="182">
        <v>4</v>
      </c>
      <c r="E2" s="182"/>
      <c r="F2" s="182">
        <v>6</v>
      </c>
      <c r="G2" s="182">
        <v>5</v>
      </c>
      <c r="H2" s="182">
        <v>7</v>
      </c>
      <c r="I2" s="182">
        <v>8</v>
      </c>
      <c r="J2" s="182">
        <v>9</v>
      </c>
      <c r="K2" s="182">
        <v>10</v>
      </c>
      <c r="L2" s="182"/>
    </row>
    <row r="3" spans="1:16" ht="39.950000000000003" customHeight="1" x14ac:dyDescent="0.25">
      <c r="A3" s="255" t="s">
        <v>9</v>
      </c>
      <c r="B3" s="255"/>
      <c r="C3" s="255"/>
      <c r="D3" s="255"/>
      <c r="E3" s="183"/>
      <c r="F3" s="183"/>
      <c r="G3" s="183"/>
      <c r="H3" s="183"/>
      <c r="I3" s="183"/>
      <c r="J3" s="183"/>
      <c r="K3" s="183"/>
      <c r="L3" s="183"/>
    </row>
    <row r="4" spans="1:16" ht="26.25" x14ac:dyDescent="0.25">
      <c r="A4" s="184"/>
      <c r="B4" s="185"/>
      <c r="C4" s="185"/>
      <c r="D4" s="186"/>
      <c r="E4" s="187" t="s">
        <v>10</v>
      </c>
      <c r="F4" s="185"/>
      <c r="G4" s="188"/>
      <c r="H4" s="188"/>
      <c r="I4" s="188"/>
      <c r="J4" s="188"/>
      <c r="K4" s="188"/>
      <c r="L4" s="189" t="e">
        <f>CONCATENATE(VLOOKUP(D5,TableCourses1[],2,FALSE),VLOOKUP(D6,TableStudyPeriod[],2,FALSE))</f>
        <v>#N/A</v>
      </c>
    </row>
    <row r="5" spans="1:16" ht="20.100000000000001" customHeight="1" x14ac:dyDescent="0.25">
      <c r="B5" s="191"/>
      <c r="C5" s="192" t="s">
        <v>11</v>
      </c>
      <c r="D5" s="169" t="s">
        <v>65</v>
      </c>
      <c r="E5" s="193"/>
      <c r="F5" s="192" t="s">
        <v>13</v>
      </c>
      <c r="G5" s="193" t="str">
        <f>IFERROR(CONCATENATE(VLOOKUP(D5,TableCourses1[],2,FALSE)," ",VLOOKUP(D5,TableCourses1[],3,FALSE)),"")</f>
        <v/>
      </c>
      <c r="H5" s="193"/>
      <c r="I5" s="193"/>
      <c r="J5" s="193"/>
      <c r="K5" s="193"/>
      <c r="L5" s="194"/>
    </row>
    <row r="6" spans="1:16" ht="20.100000000000001" customHeight="1" x14ac:dyDescent="0.25">
      <c r="A6" s="195"/>
      <c r="B6" s="196"/>
      <c r="C6" s="192" t="s">
        <v>14</v>
      </c>
      <c r="D6" s="142" t="s">
        <v>34</v>
      </c>
      <c r="E6" s="197"/>
      <c r="F6" s="192" t="s">
        <v>16</v>
      </c>
      <c r="G6" s="193" t="str">
        <f>IFERROR(VLOOKUP($D$5,TableCourses1[],4,FALSE),"")</f>
        <v/>
      </c>
      <c r="H6" s="198"/>
      <c r="I6" s="198"/>
      <c r="J6" s="198"/>
      <c r="K6" s="198"/>
      <c r="L6" s="198"/>
    </row>
    <row r="7" spans="1:16" s="206" customFormat="1" ht="14.1" customHeight="1" x14ac:dyDescent="0.25">
      <c r="A7" s="199"/>
      <c r="B7" s="199"/>
      <c r="C7" s="199"/>
      <c r="D7" s="200"/>
      <c r="E7" s="201"/>
      <c r="F7" s="199"/>
      <c r="G7" s="199"/>
      <c r="H7" s="202" t="s">
        <v>17</v>
      </c>
      <c r="I7" s="203"/>
      <c r="J7" s="203"/>
      <c r="K7" s="204"/>
      <c r="L7" s="201"/>
      <c r="M7" s="205"/>
      <c r="N7" s="205"/>
      <c r="O7" s="205"/>
    </row>
    <row r="8" spans="1:16" s="206" customFormat="1" ht="21" x14ac:dyDescent="0.25">
      <c r="A8" s="199" t="s">
        <v>18</v>
      </c>
      <c r="B8" s="199"/>
      <c r="C8" s="199"/>
      <c r="D8" s="200" t="s">
        <v>3</v>
      </c>
      <c r="E8" s="207" t="s">
        <v>19</v>
      </c>
      <c r="F8" s="207" t="s">
        <v>20</v>
      </c>
      <c r="G8" s="199" t="s">
        <v>21</v>
      </c>
      <c r="H8" s="208" t="s">
        <v>22</v>
      </c>
      <c r="I8" s="207" t="s">
        <v>23</v>
      </c>
      <c r="J8" s="207" t="s">
        <v>24</v>
      </c>
      <c r="K8" s="209" t="s">
        <v>25</v>
      </c>
      <c r="L8" s="199" t="s">
        <v>26</v>
      </c>
      <c r="M8" s="205"/>
      <c r="N8" s="205"/>
      <c r="O8" s="205"/>
    </row>
    <row r="9" spans="1:16" s="218" customFormat="1" ht="20.100000000000001" customHeight="1" x14ac:dyDescent="0.15">
      <c r="A9" s="210" t="str">
        <f>IFERROR(IF(HLOOKUP($L$4,RangeUnitsets,M9,FALSE)=0,"",HLOOKUP($L$4,RangeUnitsets,M9,FALSE)),"")</f>
        <v/>
      </c>
      <c r="B9" s="211" t="str">
        <f>IFERROR(IF(VLOOKUP($A9,TableHandbook[],2,FALSE)=0,"",VLOOKUP($A9,TableHandbook[],2,FALSE)),"")</f>
        <v/>
      </c>
      <c r="C9" s="211" t="str">
        <f>IFERROR(IF(VLOOKUP($A9,TableHandbook[],3,FALSE)=0,"",VLOOKUP($A9,TableHandbook[],3,FALSE)),"")</f>
        <v/>
      </c>
      <c r="D9" s="212" t="str">
        <f>IFERROR(IF(VLOOKUP($A9,TableHandbook[],4,FALSE)=0,"",VLOOKUP($A9,TableHandbook[],4,FALSE)),"")</f>
        <v/>
      </c>
      <c r="E9" s="211" t="str">
        <f>IF(A9="","",VLOOKUP($D$6,TableStudyPeriod[],2,FALSE))</f>
        <v/>
      </c>
      <c r="F9" s="213" t="str">
        <f>IFERROR(IF(VLOOKUP($A9,TableHandbook[],6,FALSE)=0,"",VLOOKUP($A9,TableHandbook[],6,FALSE)),"")</f>
        <v/>
      </c>
      <c r="G9" s="211" t="str">
        <f>IFERROR(IF(VLOOKUP($A9,TableHandbook[],5,FALSE)=0,"",VLOOKUP($A9,TableHandbook[],5,FALSE)),"")</f>
        <v/>
      </c>
      <c r="H9" s="214" t="str">
        <f>IFERROR(VLOOKUP($A9,TableHandbook[],H$2,FALSE),"")</f>
        <v/>
      </c>
      <c r="I9" s="211" t="str">
        <f>IFERROR(VLOOKUP($A9,TableHandbook[],I$2,FALSE),"")</f>
        <v/>
      </c>
      <c r="J9" s="211" t="str">
        <f>IFERROR(VLOOKUP($A9,TableHandbook[],J$2,FALSE),"")</f>
        <v/>
      </c>
      <c r="K9" s="215" t="str">
        <f>IFERROR(VLOOKUP($A9,TableHandbook[],K$2,FALSE),"")</f>
        <v/>
      </c>
      <c r="L9" s="58"/>
      <c r="M9" s="216">
        <v>2</v>
      </c>
      <c r="N9" s="217"/>
      <c r="O9" s="217"/>
    </row>
    <row r="10" spans="1:16" s="218" customFormat="1" ht="20.100000000000001" customHeight="1" x14ac:dyDescent="0.15">
      <c r="A10" s="210" t="str">
        <f>IFERROR(IF(HLOOKUP($L$4,RangeUnitsets,M10,FALSE)=0,"",HLOOKUP($L$4,RangeUnitsets,M10,FALSE)),"")</f>
        <v/>
      </c>
      <c r="B10" s="211" t="str">
        <f>IFERROR(IF(VLOOKUP($A10,TableHandbook[],2,FALSE)=0,"",VLOOKUP($A10,TableHandbook[],2,FALSE)),"")</f>
        <v/>
      </c>
      <c r="C10" s="211" t="str">
        <f>IFERROR(IF(VLOOKUP($A10,TableHandbook[],3,FALSE)=0,"",VLOOKUP($A10,TableHandbook[],3,FALSE)),"")</f>
        <v/>
      </c>
      <c r="D10" s="212" t="str">
        <f>IFERROR(IF(VLOOKUP($A10,TableHandbook[],4,FALSE)=0,"",VLOOKUP($A10,TableHandbook[],4,FALSE)),"")</f>
        <v/>
      </c>
      <c r="E10" s="211" t="str">
        <f>IF(A10="","",E9)</f>
        <v/>
      </c>
      <c r="F10" s="213" t="str">
        <f>IFERROR(IF(VLOOKUP($A10,TableHandbook[],6,FALSE)=0,"",VLOOKUP($A10,TableHandbook[],6,FALSE)),"")</f>
        <v/>
      </c>
      <c r="G10" s="211" t="str">
        <f>IFERROR(IF(VLOOKUP($A10,TableHandbook[],5,FALSE)=0,"",VLOOKUP($A10,TableHandbook[],5,FALSE)),"")</f>
        <v/>
      </c>
      <c r="H10" s="214" t="str">
        <f>IFERROR(VLOOKUP($A10,TableHandbook[],H$2,FALSE),"")</f>
        <v/>
      </c>
      <c r="I10" s="211" t="str">
        <f>IFERROR(VLOOKUP($A10,TableHandbook[],I$2,FALSE),"")</f>
        <v/>
      </c>
      <c r="J10" s="211" t="str">
        <f>IFERROR(VLOOKUP($A10,TableHandbook[],J$2,FALSE),"")</f>
        <v/>
      </c>
      <c r="K10" s="215" t="str">
        <f>IFERROR(VLOOKUP($A10,TableHandbook[],K$2,FALSE),"")</f>
        <v/>
      </c>
      <c r="L10" s="58"/>
      <c r="M10" s="216">
        <v>3</v>
      </c>
      <c r="N10" s="217"/>
      <c r="O10" s="217"/>
    </row>
    <row r="11" spans="1:16" s="218" customFormat="1" ht="20.100000000000001" customHeight="1" x14ac:dyDescent="0.15">
      <c r="A11" s="210" t="str">
        <f>IFERROR(IF(HLOOKUP($L$4,RangeUnitsets,M11,FALSE)=0,"",HLOOKUP($L$4,RangeUnitsets,M11,FALSE)),"")</f>
        <v/>
      </c>
      <c r="B11" s="211" t="str">
        <f>IFERROR(IF(VLOOKUP($A11,TableHandbook[],2,FALSE)=0,"",VLOOKUP($A11,TableHandbook[],2,FALSE)),"")</f>
        <v/>
      </c>
      <c r="C11" s="211" t="str">
        <f>IFERROR(IF(VLOOKUP($A11,TableHandbook[],3,FALSE)=0,"",VLOOKUP($A11,TableHandbook[],3,FALSE)),"")</f>
        <v/>
      </c>
      <c r="D11" s="212" t="str">
        <f>IFERROR(IF(VLOOKUP($A11,TableHandbook[],4,FALSE)=0,"",VLOOKUP($A11,TableHandbook[],4,FALSE)),"")</f>
        <v/>
      </c>
      <c r="E11" s="211" t="str">
        <f t="shared" ref="E11:E12" si="0">IF(A11="","",E10)</f>
        <v/>
      </c>
      <c r="F11" s="213" t="str">
        <f>IFERROR(IF(VLOOKUP($A11,TableHandbook[],6,FALSE)=0,"",VLOOKUP($A11,TableHandbook[],6,FALSE)),"")</f>
        <v/>
      </c>
      <c r="G11" s="211" t="str">
        <f>IFERROR(IF(VLOOKUP($A11,TableHandbook[],5,FALSE)=0,"",VLOOKUP($A11,TableHandbook[],5,FALSE)),"")</f>
        <v/>
      </c>
      <c r="H11" s="214" t="str">
        <f>IFERROR(VLOOKUP($A11,TableHandbook[],H$2,FALSE),"")</f>
        <v/>
      </c>
      <c r="I11" s="211" t="str">
        <f>IFERROR(VLOOKUP($A11,TableHandbook[],I$2,FALSE),"")</f>
        <v/>
      </c>
      <c r="J11" s="211" t="str">
        <f>IFERROR(VLOOKUP($A11,TableHandbook[],J$2,FALSE),"")</f>
        <v/>
      </c>
      <c r="K11" s="215" t="str">
        <f>IFERROR(VLOOKUP($A11,TableHandbook[],K$2,FALSE),"")</f>
        <v/>
      </c>
      <c r="L11" s="59"/>
      <c r="M11" s="216">
        <v>4</v>
      </c>
      <c r="N11" s="217"/>
      <c r="O11" s="217"/>
    </row>
    <row r="12" spans="1:16" s="218" customFormat="1" ht="20.100000000000001" customHeight="1" x14ac:dyDescent="0.15">
      <c r="A12" s="210" t="str">
        <f>IFERROR(IF(HLOOKUP($L$4,RangeUnitsets,M12,FALSE)=0,"",HLOOKUP($L$4,RangeUnitsets,M12,FALSE)),"")</f>
        <v/>
      </c>
      <c r="B12" s="211" t="str">
        <f>IFERROR(IF(VLOOKUP($A12,TableHandbook[],2,FALSE)=0,"",VLOOKUP($A12,TableHandbook[],2,FALSE)),"")</f>
        <v/>
      </c>
      <c r="C12" s="211" t="str">
        <f>IFERROR(IF(VLOOKUP($A12,TableHandbook[],3,FALSE)=0,"",VLOOKUP($A12,TableHandbook[],3,FALSE)),"")</f>
        <v/>
      </c>
      <c r="D12" s="212" t="str">
        <f>IFERROR(IF(VLOOKUP($A12,TableHandbook[],4,FALSE)=0,"",VLOOKUP($A12,TableHandbook[],4,FALSE)),"")</f>
        <v/>
      </c>
      <c r="E12" s="211" t="str">
        <f t="shared" si="0"/>
        <v/>
      </c>
      <c r="F12" s="213" t="str">
        <f>IFERROR(IF(VLOOKUP($A12,TableHandbook[],6,FALSE)=0,"",VLOOKUP($A12,TableHandbook[],6,FALSE)),"")</f>
        <v/>
      </c>
      <c r="G12" s="211" t="str">
        <f>IFERROR(IF(VLOOKUP($A12,TableHandbook[],5,FALSE)=0,"",VLOOKUP($A12,TableHandbook[],5,FALSE)),"")</f>
        <v/>
      </c>
      <c r="H12" s="214" t="str">
        <f>IFERROR(VLOOKUP($A12,TableHandbook[],H$2,FALSE),"")</f>
        <v/>
      </c>
      <c r="I12" s="211" t="str">
        <f>IFERROR(VLOOKUP($A12,TableHandbook[],I$2,FALSE),"")</f>
        <v/>
      </c>
      <c r="J12" s="211" t="str">
        <f>IFERROR(VLOOKUP($A12,TableHandbook[],J$2,FALSE),"")</f>
        <v/>
      </c>
      <c r="K12" s="215" t="str">
        <f>IFERROR(VLOOKUP($A12,TableHandbook[],K$2,FALSE),"")</f>
        <v/>
      </c>
      <c r="L12" s="58"/>
      <c r="M12" s="216">
        <v>5</v>
      </c>
      <c r="N12" s="217"/>
      <c r="O12" s="217"/>
    </row>
    <row r="13" spans="1:16" s="218" customFormat="1" ht="5.0999999999999996" customHeight="1" x14ac:dyDescent="0.15">
      <c r="A13" s="219"/>
      <c r="B13" s="220"/>
      <c r="C13" s="220"/>
      <c r="D13" s="221"/>
      <c r="E13" s="220"/>
      <c r="F13" s="222"/>
      <c r="G13" s="220"/>
      <c r="H13" s="223"/>
      <c r="I13" s="220"/>
      <c r="J13" s="220"/>
      <c r="K13" s="224"/>
      <c r="L13" s="168"/>
      <c r="M13" s="216"/>
      <c r="N13" s="217"/>
      <c r="O13" s="217"/>
      <c r="P13" s="217"/>
    </row>
    <row r="14" spans="1:16" s="218" customFormat="1" ht="20.100000000000001" customHeight="1" x14ac:dyDescent="0.15">
      <c r="A14" s="210" t="str">
        <f>IFERROR(IF(HLOOKUP($L$4,RangeUnitsets,M14,FALSE)=0,"",HLOOKUP($L$4,RangeUnitsets,M14,FALSE)),"")</f>
        <v/>
      </c>
      <c r="B14" s="225" t="str">
        <f>IFERROR(IF(VLOOKUP($A14,TableHandbook[],2,FALSE)=0,"",VLOOKUP($A14,TableHandbook[],2,FALSE)),"")</f>
        <v/>
      </c>
      <c r="C14" s="225" t="str">
        <f>IFERROR(IF(VLOOKUP($A14,TableHandbook[],3,FALSE)=0,"",VLOOKUP($A14,TableHandbook[],3,FALSE)),"")</f>
        <v/>
      </c>
      <c r="D14" s="212" t="str">
        <f>IFERROR(IF(VLOOKUP($A14,TableHandbook[],4,FALSE)=0,"",VLOOKUP($A14,TableHandbook[],4,FALSE)),"")</f>
        <v/>
      </c>
      <c r="E14" s="211" t="str">
        <f>IF(A14="","",VLOOKUP($D$6,TableStudyPeriod[],3,FALSE))</f>
        <v/>
      </c>
      <c r="F14" s="213" t="str">
        <f>IFERROR(IF(VLOOKUP($A14,TableHandbook[],6,FALSE)=0,"",VLOOKUP($A14,TableHandbook[],6,FALSE)),"")</f>
        <v/>
      </c>
      <c r="G14" s="225" t="str">
        <f>IFERROR(IF(VLOOKUP($A14,TableHandbook[],5,FALSE)=0,"",VLOOKUP($A14,TableHandbook[],5,FALSE)),"")</f>
        <v/>
      </c>
      <c r="H14" s="226" t="str">
        <f>IFERROR(VLOOKUP($A14,TableHandbook[],H$2,FALSE),"")</f>
        <v/>
      </c>
      <c r="I14" s="225" t="str">
        <f>IFERROR(VLOOKUP($A14,TableHandbook[],I$2,FALSE),"")</f>
        <v/>
      </c>
      <c r="J14" s="225" t="str">
        <f>IFERROR(VLOOKUP($A14,TableHandbook[],J$2,FALSE),"")</f>
        <v/>
      </c>
      <c r="K14" s="227" t="str">
        <f>IFERROR(VLOOKUP($A14,TableHandbook[],K$2,FALSE),"")</f>
        <v/>
      </c>
      <c r="L14" s="59"/>
      <c r="M14" s="216">
        <v>6</v>
      </c>
      <c r="N14" s="217"/>
      <c r="O14" s="217"/>
    </row>
    <row r="15" spans="1:16" s="229" customFormat="1" ht="20.100000000000001" customHeight="1" x14ac:dyDescent="0.15">
      <c r="A15" s="210" t="str">
        <f>IFERROR(IF(HLOOKUP($L$4,RangeUnitsets,M15,FALSE)=0,"",HLOOKUP($L$4,RangeUnitsets,M15,FALSE)),"")</f>
        <v/>
      </c>
      <c r="B15" s="225" t="str">
        <f>IFERROR(IF(VLOOKUP($A15,TableHandbook[],2,FALSE)=0,"",VLOOKUP($A15,TableHandbook[],2,FALSE)),"")</f>
        <v/>
      </c>
      <c r="C15" s="225" t="str">
        <f>IFERROR(IF(VLOOKUP($A15,TableHandbook[],3,FALSE)=0,"",VLOOKUP($A15,TableHandbook[],3,FALSE)),"")</f>
        <v/>
      </c>
      <c r="D15" s="212" t="str">
        <f>IFERROR(IF(VLOOKUP($A15,TableHandbook[],4,FALSE)=0,"",VLOOKUP($A15,TableHandbook[],4,FALSE)),"")</f>
        <v/>
      </c>
      <c r="E15" s="211" t="str">
        <f>IF(A15="","",E14)</f>
        <v/>
      </c>
      <c r="F15" s="213" t="str">
        <f>IFERROR(IF(VLOOKUP($A15,TableHandbook[],6,FALSE)=0,"",VLOOKUP($A15,TableHandbook[],6,FALSE)),"")</f>
        <v/>
      </c>
      <c r="G15" s="225" t="str">
        <f>IFERROR(IF(VLOOKUP($A15,TableHandbook[],5,FALSE)=0,"",VLOOKUP($A15,TableHandbook[],5,FALSE)),"")</f>
        <v/>
      </c>
      <c r="H15" s="226" t="str">
        <f>IFERROR(VLOOKUP($A15,TableHandbook[],H$2,FALSE),"")</f>
        <v/>
      </c>
      <c r="I15" s="225" t="str">
        <f>IFERROR(VLOOKUP($A15,TableHandbook[],I$2,FALSE),"")</f>
        <v/>
      </c>
      <c r="J15" s="225" t="str">
        <f>IFERROR(VLOOKUP($A15,TableHandbook[],J$2,FALSE),"")</f>
        <v/>
      </c>
      <c r="K15" s="227" t="str">
        <f>IFERROR(VLOOKUP($A15,TableHandbook[],K$2,FALSE),"")</f>
        <v/>
      </c>
      <c r="L15" s="59"/>
      <c r="M15" s="216">
        <v>7</v>
      </c>
      <c r="N15" s="228"/>
      <c r="O15" s="228"/>
    </row>
    <row r="16" spans="1:16" s="229" customFormat="1" ht="20.100000000000001" customHeight="1" x14ac:dyDescent="0.15">
      <c r="A16" s="210" t="str">
        <f>IFERROR(IF(HLOOKUP($L$4,RangeUnitsets,M16,FALSE)=0,"",HLOOKUP($L$4,RangeUnitsets,M16,FALSE)),"")</f>
        <v/>
      </c>
      <c r="B16" s="225" t="str">
        <f>IFERROR(IF(VLOOKUP($A16,TableHandbook[],2,FALSE)=0,"",VLOOKUP($A16,TableHandbook[],2,FALSE)),"")</f>
        <v/>
      </c>
      <c r="C16" s="225" t="str">
        <f>IFERROR(IF(VLOOKUP($A16,TableHandbook[],3,FALSE)=0,"",VLOOKUP($A16,TableHandbook[],3,FALSE)),"")</f>
        <v/>
      </c>
      <c r="D16" s="212" t="str">
        <f>IFERROR(IF(VLOOKUP($A16,TableHandbook[],4,FALSE)=0,"",VLOOKUP($A16,TableHandbook[],4,FALSE)),"")</f>
        <v/>
      </c>
      <c r="E16" s="211" t="str">
        <f t="shared" ref="E16:E17" si="1">IF(A16="","",E15)</f>
        <v/>
      </c>
      <c r="F16" s="213" t="str">
        <f>IFERROR(IF(VLOOKUP($A16,TableHandbook[],6,FALSE)=0,"",VLOOKUP($A16,TableHandbook[],6,FALSE)),"")</f>
        <v/>
      </c>
      <c r="G16" s="225" t="str">
        <f>IFERROR(IF(VLOOKUP($A16,TableHandbook[],5,FALSE)=0,"",VLOOKUP($A16,TableHandbook[],5,FALSE)),"")</f>
        <v/>
      </c>
      <c r="H16" s="226" t="str">
        <f>IFERROR(VLOOKUP($A16,TableHandbook[],H$2,FALSE),"")</f>
        <v/>
      </c>
      <c r="I16" s="225" t="str">
        <f>IFERROR(VLOOKUP($A16,TableHandbook[],I$2,FALSE),"")</f>
        <v/>
      </c>
      <c r="J16" s="225" t="str">
        <f>IFERROR(VLOOKUP($A16,TableHandbook[],J$2,FALSE),"")</f>
        <v/>
      </c>
      <c r="K16" s="227" t="str">
        <f>IFERROR(VLOOKUP($A16,TableHandbook[],K$2,FALSE),"")</f>
        <v/>
      </c>
      <c r="L16" s="59"/>
      <c r="M16" s="216">
        <v>8</v>
      </c>
      <c r="N16" s="228"/>
      <c r="O16" s="228"/>
    </row>
    <row r="17" spans="1:15" s="229" customFormat="1" ht="20.100000000000001" customHeight="1" x14ac:dyDescent="0.15">
      <c r="A17" s="210" t="str">
        <f>IFERROR(IF(HLOOKUP($L$4,RangeUnitsets,M17,FALSE)=0,"",HLOOKUP($L$4,RangeUnitsets,M17,FALSE)),"")</f>
        <v/>
      </c>
      <c r="B17" s="225" t="str">
        <f>IFERROR(IF(VLOOKUP($A17,TableHandbook[],2,FALSE)=0,"",VLOOKUP($A17,TableHandbook[],2,FALSE)),"")</f>
        <v/>
      </c>
      <c r="C17" s="225" t="str">
        <f>IFERROR(IF(VLOOKUP($A17,TableHandbook[],3,FALSE)=0,"",VLOOKUP($A17,TableHandbook[],3,FALSE)),"")</f>
        <v/>
      </c>
      <c r="D17" s="230" t="str">
        <f>IFERROR(IF(VLOOKUP($A17,TableHandbook[],4,FALSE)=0,"",VLOOKUP($A17,TableHandbook[],4,FALSE)),"")</f>
        <v/>
      </c>
      <c r="E17" s="225" t="str">
        <f t="shared" si="1"/>
        <v/>
      </c>
      <c r="F17" s="213" t="str">
        <f>IFERROR(IF(VLOOKUP($A17,TableHandbook[],6,FALSE)=0,"",VLOOKUP($A17,TableHandbook[],6,FALSE)),"")</f>
        <v/>
      </c>
      <c r="G17" s="225" t="str">
        <f>IFERROR(IF(VLOOKUP($A17,TableHandbook[],5,FALSE)=0,"",VLOOKUP($A17,TableHandbook[],5,FALSE)),"")</f>
        <v/>
      </c>
      <c r="H17" s="226" t="str">
        <f>IFERROR(VLOOKUP($A17,TableHandbook[],H$2,FALSE),"")</f>
        <v/>
      </c>
      <c r="I17" s="225" t="str">
        <f>IFERROR(VLOOKUP($A17,TableHandbook[],I$2,FALSE),"")</f>
        <v/>
      </c>
      <c r="J17" s="225" t="str">
        <f>IFERROR(VLOOKUP($A17,TableHandbook[],J$2,FALSE),"")</f>
        <v/>
      </c>
      <c r="K17" s="227" t="str">
        <f>IFERROR(VLOOKUP($A17,TableHandbook[],K$2,FALSE),"")</f>
        <v/>
      </c>
      <c r="L17" s="59"/>
      <c r="M17" s="216">
        <v>9</v>
      </c>
      <c r="N17" s="228"/>
      <c r="O17" s="228"/>
    </row>
    <row r="18" spans="1:15" s="206" customFormat="1" ht="21" x14ac:dyDescent="0.25">
      <c r="A18" s="199" t="s">
        <v>27</v>
      </c>
      <c r="B18" s="199"/>
      <c r="C18" s="199"/>
      <c r="D18" s="200" t="s">
        <v>3</v>
      </c>
      <c r="E18" s="207" t="s">
        <v>19</v>
      </c>
      <c r="F18" s="207" t="s">
        <v>20</v>
      </c>
      <c r="G18" s="199" t="s">
        <v>21</v>
      </c>
      <c r="H18" s="208" t="s">
        <v>22</v>
      </c>
      <c r="I18" s="207" t="s">
        <v>23</v>
      </c>
      <c r="J18" s="207" t="s">
        <v>24</v>
      </c>
      <c r="K18" s="209" t="s">
        <v>25</v>
      </c>
      <c r="L18" s="199" t="s">
        <v>26</v>
      </c>
      <c r="M18" s="231"/>
      <c r="N18" s="205"/>
      <c r="O18" s="205"/>
    </row>
    <row r="19" spans="1:15" s="218" customFormat="1" ht="20.100000000000001" customHeight="1" x14ac:dyDescent="0.15">
      <c r="A19" s="210" t="str">
        <f>IFERROR(IF(HLOOKUP($L$4,RangeUnitsets,M19,FALSE)=0,"",HLOOKUP($L$4,RangeUnitsets,M19,FALSE)),"")</f>
        <v/>
      </c>
      <c r="B19" s="225" t="str">
        <f>IFERROR(IF(VLOOKUP($A19,TableHandbook[],2,FALSE)=0,"",VLOOKUP($A19,TableHandbook[],2,FALSE)),"")</f>
        <v/>
      </c>
      <c r="C19" s="225" t="str">
        <f>IFERROR(IF(VLOOKUP($A19,TableHandbook[],3,FALSE)=0,"",VLOOKUP($A19,TableHandbook[],3,FALSE)),"")</f>
        <v/>
      </c>
      <c r="D19" s="232" t="str">
        <f>IFERROR(IF(VLOOKUP($A19,TableHandbook[],4,FALSE)=0,"",VLOOKUP($A19,TableHandbook[],4,FALSE)),"")</f>
        <v/>
      </c>
      <c r="E19" s="225" t="str">
        <f>IF(A19="","",VLOOKUP($D$6,TableStudyPeriod[],2,FALSE))</f>
        <v/>
      </c>
      <c r="F19" s="213" t="str">
        <f>IFERROR(IF(VLOOKUP($A19,TableHandbook[],6,FALSE)=0,"",VLOOKUP($A19,TableHandbook[],6,FALSE)),"")</f>
        <v/>
      </c>
      <c r="G19" s="211" t="str">
        <f>IFERROR(IF(VLOOKUP($A19,TableHandbook[],5,FALSE)=0,"",VLOOKUP($A19,TableHandbook[],5,FALSE)),"")</f>
        <v/>
      </c>
      <c r="H19" s="214" t="str">
        <f>IFERROR(VLOOKUP($A19,TableHandbook[],H$2,FALSE),"")</f>
        <v/>
      </c>
      <c r="I19" s="211" t="str">
        <f>IFERROR(VLOOKUP($A19,TableHandbook[],I$2,FALSE),"")</f>
        <v/>
      </c>
      <c r="J19" s="211" t="str">
        <f>IFERROR(VLOOKUP($A19,TableHandbook[],J$2,FALSE),"")</f>
        <v/>
      </c>
      <c r="K19" s="215" t="str">
        <f>IFERROR(VLOOKUP($A19,TableHandbook[],K$2,FALSE),"")</f>
        <v/>
      </c>
      <c r="L19" s="57"/>
      <c r="M19" s="216">
        <v>10</v>
      </c>
      <c r="N19" s="217"/>
      <c r="O19" s="217"/>
    </row>
    <row r="20" spans="1:15" s="218" customFormat="1" ht="20.100000000000001" customHeight="1" x14ac:dyDescent="0.15">
      <c r="A20" s="210" t="str">
        <f>IFERROR(IF(HLOOKUP($L$4,RangeUnitsets,M20,FALSE)=0,"",HLOOKUP($L$4,RangeUnitsets,M20,FALSE)),"")</f>
        <v/>
      </c>
      <c r="B20" s="225" t="str">
        <f>IFERROR(IF(VLOOKUP($A20,TableHandbook[],2,FALSE)=0,"",VLOOKUP($A20,TableHandbook[],2,FALSE)),"")</f>
        <v/>
      </c>
      <c r="C20" s="225" t="str">
        <f>IFERROR(IF(VLOOKUP($A20,TableHandbook[],3,FALSE)=0,"",VLOOKUP($A20,TableHandbook[],3,FALSE)),"")</f>
        <v/>
      </c>
      <c r="D20" s="230" t="str">
        <f>IFERROR(IF(VLOOKUP($A20,TableHandbook[],4,FALSE)=0,"",VLOOKUP($A20,TableHandbook[],4,FALSE)),"")</f>
        <v/>
      </c>
      <c r="E20" s="225" t="str">
        <f>IF(A20="","",E19)</f>
        <v/>
      </c>
      <c r="F20" s="213" t="str">
        <f>IFERROR(IF(VLOOKUP($A20,TableHandbook[],6,FALSE)=0,"",VLOOKUP($A20,TableHandbook[],6,FALSE)),"")</f>
        <v/>
      </c>
      <c r="G20" s="211" t="str">
        <f>IFERROR(IF(VLOOKUP($A20,TableHandbook[],5,FALSE)=0,"",VLOOKUP($A20,TableHandbook[],5,FALSE)),"")</f>
        <v/>
      </c>
      <c r="H20" s="214" t="str">
        <f>IFERROR(VLOOKUP($A20,TableHandbook[],H$2,FALSE),"")</f>
        <v/>
      </c>
      <c r="I20" s="211" t="str">
        <f>IFERROR(VLOOKUP($A20,TableHandbook[],I$2,FALSE),"")</f>
        <v/>
      </c>
      <c r="J20" s="211" t="str">
        <f>IFERROR(VLOOKUP($A20,TableHandbook[],J$2,FALSE),"")</f>
        <v/>
      </c>
      <c r="K20" s="215" t="str">
        <f>IFERROR(VLOOKUP($A20,TableHandbook[],K$2,FALSE),"")</f>
        <v/>
      </c>
      <c r="L20" s="57"/>
      <c r="M20" s="216">
        <v>11</v>
      </c>
      <c r="N20" s="217"/>
      <c r="O20" s="217"/>
    </row>
    <row r="21" spans="1:15" s="218" customFormat="1" ht="20.100000000000001" customHeight="1" x14ac:dyDescent="0.15">
      <c r="A21" s="210" t="str">
        <f>IFERROR(IF(HLOOKUP($L$4,RangeUnitsets,M21,FALSE)=0,"",HLOOKUP($L$4,RangeUnitsets,M21,FALSE)),"")</f>
        <v/>
      </c>
      <c r="B21" s="225" t="str">
        <f>IFERROR(IF(VLOOKUP($A21,TableHandbook[],2,FALSE)=0,"",VLOOKUP($A21,TableHandbook[],2,FALSE)),"")</f>
        <v/>
      </c>
      <c r="C21" s="225" t="str">
        <f>IFERROR(IF(VLOOKUP($A21,TableHandbook[],3,FALSE)=0,"",VLOOKUP($A21,TableHandbook[],3,FALSE)),"")</f>
        <v/>
      </c>
      <c r="D21" s="230" t="str">
        <f>IFERROR(IF(VLOOKUP($A21,TableHandbook[],4,FALSE)=0,"",VLOOKUP($A21,TableHandbook[],4,FALSE)),"")</f>
        <v/>
      </c>
      <c r="E21" s="225" t="str">
        <f t="shared" ref="E21:E22" si="2">IF(A21="","",E20)</f>
        <v/>
      </c>
      <c r="F21" s="213" t="str">
        <f>IFERROR(IF(VLOOKUP($A21,TableHandbook[],6,FALSE)=0,"",VLOOKUP($A21,TableHandbook[],6,FALSE)),"")</f>
        <v/>
      </c>
      <c r="G21" s="211" t="str">
        <f>IFERROR(IF(VLOOKUP($A21,TableHandbook[],5,FALSE)=0,"",VLOOKUP($A21,TableHandbook[],5,FALSE)),"")</f>
        <v/>
      </c>
      <c r="H21" s="214" t="str">
        <f>IFERROR(VLOOKUP($A21,TableHandbook[],H$2,FALSE),"")</f>
        <v/>
      </c>
      <c r="I21" s="211" t="str">
        <f>IFERROR(VLOOKUP($A21,TableHandbook[],I$2,FALSE),"")</f>
        <v/>
      </c>
      <c r="J21" s="211" t="str">
        <f>IFERROR(VLOOKUP($A21,TableHandbook[],J$2,FALSE),"")</f>
        <v/>
      </c>
      <c r="K21" s="215" t="str">
        <f>IFERROR(VLOOKUP($A21,TableHandbook[],K$2,FALSE),"")</f>
        <v/>
      </c>
      <c r="L21" s="57"/>
      <c r="M21" s="216">
        <v>12</v>
      </c>
      <c r="N21" s="217"/>
      <c r="O21" s="217"/>
    </row>
    <row r="22" spans="1:15" s="218" customFormat="1" ht="20.100000000000001" customHeight="1" x14ac:dyDescent="0.15">
      <c r="A22" s="210" t="str">
        <f>IFERROR(IF(HLOOKUP($L$4,RangeUnitsets,M22,FALSE)=0,"",HLOOKUP($L$4,RangeUnitsets,M22,FALSE)),"")</f>
        <v/>
      </c>
      <c r="B22" s="225" t="str">
        <f>IFERROR(IF(VLOOKUP($A22,TableHandbook[],2,FALSE)=0,"",VLOOKUP($A22,TableHandbook[],2,FALSE)),"")</f>
        <v/>
      </c>
      <c r="C22" s="225" t="str">
        <f>IFERROR(IF(VLOOKUP($A22,TableHandbook[],3,FALSE)=0,"",VLOOKUP($A22,TableHandbook[],3,FALSE)),"")</f>
        <v/>
      </c>
      <c r="D22" s="230" t="str">
        <f>IFERROR(IF(VLOOKUP($A22,TableHandbook[],4,FALSE)=0,"",VLOOKUP($A22,TableHandbook[],4,FALSE)),"")</f>
        <v/>
      </c>
      <c r="E22" s="225" t="str">
        <f t="shared" si="2"/>
        <v/>
      </c>
      <c r="F22" s="213" t="str">
        <f>IFERROR(IF(VLOOKUP($A22,TableHandbook[],6,FALSE)=0,"",VLOOKUP($A22,TableHandbook[],6,FALSE)),"")</f>
        <v/>
      </c>
      <c r="G22" s="211" t="str">
        <f>IFERROR(IF(VLOOKUP($A22,TableHandbook[],5,FALSE)=0,"",VLOOKUP($A22,TableHandbook[],5,FALSE)),"")</f>
        <v/>
      </c>
      <c r="H22" s="214" t="str">
        <f>IFERROR(VLOOKUP($A22,TableHandbook[],H$2,FALSE),"")</f>
        <v/>
      </c>
      <c r="I22" s="211" t="str">
        <f>IFERROR(VLOOKUP($A22,TableHandbook[],I$2,FALSE),"")</f>
        <v/>
      </c>
      <c r="J22" s="211" t="str">
        <f>IFERROR(VLOOKUP($A22,TableHandbook[],J$2,FALSE),"")</f>
        <v/>
      </c>
      <c r="K22" s="215" t="str">
        <f>IFERROR(VLOOKUP($A22,TableHandbook[],K$2,FALSE),"")</f>
        <v/>
      </c>
      <c r="L22" s="57"/>
      <c r="M22" s="216">
        <v>13</v>
      </c>
      <c r="N22" s="217"/>
      <c r="O22" s="217"/>
    </row>
    <row r="23" spans="1:15" s="239" customFormat="1" ht="13.9" customHeight="1" x14ac:dyDescent="0.2">
      <c r="A23" s="233"/>
      <c r="B23" s="234"/>
      <c r="C23" s="234"/>
      <c r="D23" s="235"/>
      <c r="E23" s="235"/>
      <c r="F23" s="236"/>
      <c r="G23" s="236"/>
      <c r="H23" s="236"/>
      <c r="I23" s="236"/>
      <c r="J23" s="236"/>
      <c r="K23" s="236"/>
      <c r="L23" s="236"/>
      <c r="M23" s="237"/>
      <c r="N23" s="238"/>
      <c r="O23" s="238"/>
    </row>
    <row r="24" spans="1:15" ht="16.5" x14ac:dyDescent="0.25">
      <c r="A24" s="240" t="s">
        <v>28</v>
      </c>
      <c r="B24" s="199"/>
      <c r="C24" s="199"/>
      <c r="D24" s="200"/>
      <c r="E24" s="201"/>
      <c r="F24" s="199"/>
      <c r="G24" s="199"/>
      <c r="H24" s="202" t="s">
        <v>17</v>
      </c>
      <c r="I24" s="203"/>
      <c r="J24" s="203"/>
      <c r="K24" s="204"/>
      <c r="L24" s="201"/>
      <c r="M24" s="241"/>
    </row>
    <row r="25" spans="1:15" s="242" customFormat="1" ht="21" x14ac:dyDescent="0.25">
      <c r="A25" s="199"/>
      <c r="B25" s="199"/>
      <c r="C25" s="199"/>
      <c r="D25" s="200" t="s">
        <v>3</v>
      </c>
      <c r="E25" s="207"/>
      <c r="F25" s="199" t="s">
        <v>20</v>
      </c>
      <c r="G25" s="199" t="s">
        <v>21</v>
      </c>
      <c r="H25" s="208" t="s">
        <v>22</v>
      </c>
      <c r="I25" s="207" t="s">
        <v>23</v>
      </c>
      <c r="J25" s="207" t="s">
        <v>24</v>
      </c>
      <c r="K25" s="209" t="s">
        <v>25</v>
      </c>
      <c r="L25" s="199" t="s">
        <v>26</v>
      </c>
      <c r="M25" s="241"/>
    </row>
    <row r="26" spans="1:15" ht="18" customHeight="1" x14ac:dyDescent="0.25">
      <c r="A26" s="243" t="str">
        <f>IFERROR(IF(HLOOKUP($L$4,RangeAltCores,M26,FALSE)=0,"",HLOOKUP($L$4,RangeAltCores,M26,FALSE)),"")</f>
        <v/>
      </c>
      <c r="B26" s="244" t="str">
        <f>IFERROR(IF(VLOOKUP($A26,TableHandbook[],2,FALSE)=0,"",VLOOKUP($A26,TableHandbook[],2,FALSE)),"")</f>
        <v/>
      </c>
      <c r="C26" s="245" t="str">
        <f>IFERROR(IF(VLOOKUP($A26,TableHandbook[],3,FALSE)=0,"",VLOOKUP($A26,TableHandbook[],3,FALSE)),"")</f>
        <v/>
      </c>
      <c r="D26" s="245" t="str">
        <f>IFERROR(IF(VLOOKUP($A26,TableHandbook[],4,FALSE)=0,"",VLOOKUP($A26,TableHandbook[],4,FALSE)),"")</f>
        <v/>
      </c>
      <c r="E26" s="246"/>
      <c r="F26" s="246" t="str">
        <f>IFERROR(IF(VLOOKUP($A26,TableHandbook[],6,FALSE)=0,"",VLOOKUP($A26,TableHandbook[],6,FALSE)),"")</f>
        <v/>
      </c>
      <c r="G26" s="246" t="str">
        <f>IFERROR(IF(VLOOKUP($A26,TableHandbook[],5,FALSE)=0,"",VLOOKUP($A26,TableHandbook[],5,FALSE)),"")</f>
        <v/>
      </c>
      <c r="H26" s="214" t="str">
        <f>IFERROR(VLOOKUP($A26,TableHandbook[],H$2,FALSE),"")</f>
        <v/>
      </c>
      <c r="I26" s="211" t="str">
        <f>IFERROR(VLOOKUP($A26,TableHandbook[],I$2,FALSE),"")</f>
        <v/>
      </c>
      <c r="J26" s="211" t="str">
        <f>IFERROR(VLOOKUP($A26,TableHandbook[],J$2,FALSE),"")</f>
        <v/>
      </c>
      <c r="K26" s="215" t="str">
        <f>IFERROR(VLOOKUP($A26,TableHandbook[],K$2,FALSE),"")</f>
        <v/>
      </c>
      <c r="L26" s="59"/>
      <c r="M26" s="216">
        <v>2</v>
      </c>
    </row>
    <row r="27" spans="1:15" ht="18" customHeight="1" x14ac:dyDescent="0.25">
      <c r="A27" s="243" t="str">
        <f>IFERROR(IF(HLOOKUP($L$4,RangeAltCores,M27,FALSE)=0,"",HLOOKUP($L$4,RangeAltCores,M27,FALSE)),"")</f>
        <v/>
      </c>
      <c r="B27" s="244" t="str">
        <f>IFERROR(IF(VLOOKUP($A27,TableHandbook[],2,FALSE)=0,"",VLOOKUP($A27,TableHandbook[],2,FALSE)),"")</f>
        <v/>
      </c>
      <c r="C27" s="245" t="str">
        <f>IFERROR(IF(VLOOKUP($A27,TableHandbook[],3,FALSE)=0,"",VLOOKUP($A27,TableHandbook[],3,FALSE)),"")</f>
        <v/>
      </c>
      <c r="D27" s="245" t="str">
        <f>IFERROR(IF(VLOOKUP($A27,TableHandbook[],4,FALSE)=0,"",VLOOKUP($A27,TableHandbook[],4,FALSE)),"")</f>
        <v/>
      </c>
      <c r="E27" s="246"/>
      <c r="F27" s="246" t="str">
        <f>IFERROR(IF(VLOOKUP($A27,TableHandbook[],6,FALSE)=0,"",VLOOKUP($A27,TableHandbook[],6,FALSE)),"")</f>
        <v/>
      </c>
      <c r="G27" s="246" t="str">
        <f>IFERROR(IF(VLOOKUP($A27,TableHandbook[],5,FALSE)=0,"",VLOOKUP($A27,TableHandbook[],5,FALSE)),"")</f>
        <v/>
      </c>
      <c r="H27" s="214" t="str">
        <f>IFERROR(VLOOKUP($A27,TableHandbook[],H$2,FALSE),"")</f>
        <v/>
      </c>
      <c r="I27" s="211" t="str">
        <f>IFERROR(VLOOKUP($A27,TableHandbook[],I$2,FALSE),"")</f>
        <v/>
      </c>
      <c r="J27" s="211" t="str">
        <f>IFERROR(VLOOKUP($A27,TableHandbook[],J$2,FALSE),"")</f>
        <v/>
      </c>
      <c r="K27" s="215" t="str">
        <f>IFERROR(VLOOKUP($A27,TableHandbook[],K$2,FALSE),"")</f>
        <v/>
      </c>
      <c r="L27" s="59"/>
      <c r="M27" s="216">
        <v>3</v>
      </c>
    </row>
    <row r="28" spans="1:15" ht="18" customHeight="1" x14ac:dyDescent="0.25">
      <c r="A28" s="243" t="str">
        <f>IFERROR(IF(HLOOKUP($L$4,RangeAltCores,M28,FALSE)=0,"",HLOOKUP($L$4,RangeAltCores,M28,FALSE)),"")</f>
        <v/>
      </c>
      <c r="B28" s="244" t="str">
        <f>IFERROR(IF(VLOOKUP($A28,TableHandbook[],2,FALSE)=0,"",VLOOKUP($A28,TableHandbook[],2,FALSE)),"")</f>
        <v/>
      </c>
      <c r="C28" s="245" t="str">
        <f>IFERROR(IF(VLOOKUP($A28,TableHandbook[],3,FALSE)=0,"",VLOOKUP($A28,TableHandbook[],3,FALSE)),"")</f>
        <v/>
      </c>
      <c r="D28" s="245" t="str">
        <f>IFERROR(IF(VLOOKUP($A28,TableHandbook[],4,FALSE)=0,"",VLOOKUP($A28,TableHandbook[],4,FALSE)),"")</f>
        <v/>
      </c>
      <c r="E28" s="246"/>
      <c r="F28" s="246" t="str">
        <f>IFERROR(IF(VLOOKUP($A28,TableHandbook[],6,FALSE)=0,"",VLOOKUP($A28,TableHandbook[],6,FALSE)),"")</f>
        <v/>
      </c>
      <c r="G28" s="246" t="str">
        <f>IFERROR(IF(VLOOKUP($A28,TableHandbook[],5,FALSE)=0,"",VLOOKUP($A28,TableHandbook[],5,FALSE)),"")</f>
        <v/>
      </c>
      <c r="H28" s="214" t="str">
        <f>IFERROR(VLOOKUP($A28,TableHandbook[],H$2,FALSE),"")</f>
        <v/>
      </c>
      <c r="I28" s="211" t="str">
        <f>IFERROR(VLOOKUP($A28,TableHandbook[],I$2,FALSE),"")</f>
        <v/>
      </c>
      <c r="J28" s="211" t="str">
        <f>IFERROR(VLOOKUP($A28,TableHandbook[],J$2,FALSE),"")</f>
        <v/>
      </c>
      <c r="K28" s="215" t="str">
        <f>IFERROR(VLOOKUP($A28,TableHandbook[],K$2,FALSE),"")</f>
        <v/>
      </c>
      <c r="L28" s="59"/>
      <c r="M28" s="216">
        <v>4</v>
      </c>
    </row>
    <row r="30" spans="1:15" ht="32.25" customHeight="1" x14ac:dyDescent="0.25">
      <c r="A30" s="256" t="s">
        <v>29</v>
      </c>
      <c r="B30" s="256"/>
      <c r="C30" s="256"/>
      <c r="D30" s="256"/>
      <c r="E30" s="256"/>
      <c r="F30" s="256"/>
      <c r="G30" s="256"/>
      <c r="H30" s="256"/>
      <c r="I30" s="256"/>
      <c r="J30" s="256"/>
      <c r="K30" s="256"/>
      <c r="L30" s="256"/>
    </row>
    <row r="31" spans="1:15" s="251" customFormat="1" ht="17.25" x14ac:dyDescent="0.3">
      <c r="A31" s="140" t="s">
        <v>30</v>
      </c>
      <c r="B31" s="140"/>
      <c r="C31" s="140"/>
      <c r="D31" s="141"/>
      <c r="E31" s="141"/>
      <c r="F31" s="141"/>
      <c r="G31" s="141"/>
      <c r="H31" s="141"/>
      <c r="I31" s="141"/>
      <c r="J31" s="141"/>
      <c r="K31" s="141"/>
      <c r="L31" s="141"/>
      <c r="M31" s="250"/>
      <c r="N31" s="250"/>
      <c r="O31" s="250"/>
    </row>
    <row r="32" spans="1:15" ht="15" customHeight="1" x14ac:dyDescent="0.25">
      <c r="A32" s="252" t="s">
        <v>31</v>
      </c>
      <c r="B32" s="252"/>
      <c r="C32" s="252"/>
      <c r="D32" s="252"/>
      <c r="E32" s="253"/>
      <c r="F32" s="236"/>
      <c r="G32" s="254"/>
      <c r="H32" s="254"/>
      <c r="I32" s="254"/>
      <c r="J32" s="254"/>
      <c r="K32" s="254"/>
      <c r="L32" s="254" t="s">
        <v>32</v>
      </c>
    </row>
  </sheetData>
  <sheetProtection algorithmName="SHA-512" hashValue="BvFxzmCYMWJPjFVmRckLcFKMB/98TgQD3yAGQ9kUcItncfduha33sncRZMluU+ISFq4PRugE7qn+eLADOUBHXw==" saltValue="IY0lgQlgp3iFOHqIvTU1hw==" spinCount="100000" sheet="1" objects="1" scenarios="1" formatCells="0"/>
  <mergeCells count="2">
    <mergeCell ref="A3:D3"/>
    <mergeCell ref="A30:L30"/>
  </mergeCells>
  <conditionalFormatting sqref="D5:D6">
    <cfRule type="containsText" dxfId="114" priority="4" operator="containsText" text="Choose">
      <formula>NOT(ISERROR(SEARCH("Choose",D5)))</formula>
    </cfRule>
  </conditionalFormatting>
  <conditionalFormatting sqref="A26:L28">
    <cfRule type="expression" dxfId="113" priority="3">
      <formula>LEFT($D26,5)="Study"</formula>
    </cfRule>
  </conditionalFormatting>
  <conditionalFormatting sqref="A9:L22 A26:L28">
    <cfRule type="expression" dxfId="112" priority="2">
      <formula>$A9=""</formula>
    </cfRule>
  </conditionalFormatting>
  <dataValidations count="1">
    <dataValidation type="list" allowBlank="1" showInputMessage="1" showErrorMessage="1" sqref="L13"/>
  </dataValidations>
  <hyperlinks>
    <hyperlink ref="A31:L31"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Unitsets!$A$19:$A$21</xm:f>
          </x14:formula1>
          <xm:sqref>D6</xm:sqref>
        </x14:dataValidation>
        <x14:dataValidation type="list" showInputMessage="1" showErrorMessage="1">
          <x14:formula1>
            <xm:f>Unitsets!$A$6:$A$10</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topLeftCell="A3" workbookViewId="0">
      <selection activeCell="D6" sqref="D6"/>
    </sheetView>
  </sheetViews>
  <sheetFormatPr defaultRowHeight="15" x14ac:dyDescent="0.25"/>
  <cols>
    <col min="1" max="1" width="8.5" style="190" customWidth="1"/>
    <col min="2" max="2" width="3.25" style="190" customWidth="1"/>
    <col min="3" max="3" width="5.875" style="190" customWidth="1"/>
    <col min="4" max="4" width="64.375" style="180" bestFit="1" customWidth="1"/>
    <col min="5" max="5" width="7" style="180" customWidth="1"/>
    <col min="6" max="6" width="19" style="180" customWidth="1"/>
    <col min="7" max="7" width="5.625" style="180" customWidth="1"/>
    <col min="8" max="11" width="4.625" style="180" customWidth="1"/>
    <col min="12" max="12" width="15.625" style="180" customWidth="1"/>
    <col min="13" max="13" width="2.5" style="180" hidden="1" customWidth="1"/>
    <col min="14" max="16384" width="9" style="180"/>
  </cols>
  <sheetData>
    <row r="1" spans="1:16" hidden="1" x14ac:dyDescent="0.25">
      <c r="A1" s="176" t="s">
        <v>0</v>
      </c>
      <c r="B1" s="177" t="s">
        <v>1</v>
      </c>
      <c r="C1" s="177" t="s">
        <v>2</v>
      </c>
      <c r="D1" s="178" t="s">
        <v>3</v>
      </c>
      <c r="E1" s="178" t="s">
        <v>4</v>
      </c>
      <c r="F1" s="178" t="s">
        <v>5</v>
      </c>
      <c r="G1" s="178" t="s">
        <v>6</v>
      </c>
      <c r="H1" s="179" t="s">
        <v>7</v>
      </c>
      <c r="I1" s="178"/>
      <c r="J1" s="178"/>
      <c r="K1" s="178"/>
      <c r="L1" s="178" t="s">
        <v>8</v>
      </c>
    </row>
    <row r="2" spans="1:16" hidden="1" x14ac:dyDescent="0.25">
      <c r="A2" s="181"/>
      <c r="B2" s="182">
        <v>2</v>
      </c>
      <c r="C2" s="182">
        <v>3</v>
      </c>
      <c r="D2" s="182">
        <v>4</v>
      </c>
      <c r="E2" s="182"/>
      <c r="F2" s="182">
        <v>6</v>
      </c>
      <c r="G2" s="182">
        <v>5</v>
      </c>
      <c r="H2" s="182">
        <v>7</v>
      </c>
      <c r="I2" s="182">
        <v>8</v>
      </c>
      <c r="J2" s="182">
        <v>9</v>
      </c>
      <c r="K2" s="182">
        <v>10</v>
      </c>
      <c r="L2" s="182"/>
    </row>
    <row r="3" spans="1:16" ht="39.950000000000003" customHeight="1" x14ac:dyDescent="0.25">
      <c r="A3" s="255" t="s">
        <v>9</v>
      </c>
      <c r="B3" s="255"/>
      <c r="C3" s="255"/>
      <c r="D3" s="255"/>
      <c r="E3" s="183"/>
      <c r="F3" s="183"/>
      <c r="G3" s="183"/>
      <c r="H3" s="183"/>
      <c r="I3" s="183"/>
      <c r="J3" s="183"/>
      <c r="K3" s="183"/>
      <c r="L3" s="183"/>
    </row>
    <row r="4" spans="1:16" ht="26.25" x14ac:dyDescent="0.25">
      <c r="A4" s="184"/>
      <c r="B4" s="185"/>
      <c r="C4" s="185"/>
      <c r="D4" s="186"/>
      <c r="E4" s="187" t="s">
        <v>10</v>
      </c>
      <c r="F4" s="185"/>
      <c r="G4" s="188"/>
      <c r="H4" s="188"/>
      <c r="I4" s="188"/>
      <c r="J4" s="188"/>
      <c r="K4" s="188"/>
      <c r="L4" s="189" t="e">
        <f>CONCATENATE(VLOOKUP(D5,TableCourses2[],2,FALSE),VLOOKUP(D6,TableStudyPeriod[],2,FALSE))</f>
        <v>#N/A</v>
      </c>
    </row>
    <row r="5" spans="1:16" ht="20.100000000000001" customHeight="1" x14ac:dyDescent="0.25">
      <c r="B5" s="191"/>
      <c r="C5" s="192" t="s">
        <v>11</v>
      </c>
      <c r="D5" s="169" t="s">
        <v>33</v>
      </c>
      <c r="E5" s="193"/>
      <c r="F5" s="192" t="s">
        <v>13</v>
      </c>
      <c r="G5" s="193" t="str">
        <f>IFERROR(CONCATENATE(VLOOKUP(D5,TableCourses2[],2,FALSE)," ",VLOOKUP(D5,TableCourses2[],3,FALSE)),"")</f>
        <v/>
      </c>
      <c r="H5" s="193"/>
      <c r="I5" s="193"/>
      <c r="J5" s="193"/>
      <c r="K5" s="193"/>
      <c r="L5" s="194"/>
    </row>
    <row r="6" spans="1:16" ht="20.100000000000001" customHeight="1" x14ac:dyDescent="0.25">
      <c r="A6" s="195"/>
      <c r="B6" s="196"/>
      <c r="C6" s="192" t="s">
        <v>14</v>
      </c>
      <c r="D6" s="142" t="s">
        <v>34</v>
      </c>
      <c r="E6" s="197"/>
      <c r="F6" s="192" t="s">
        <v>16</v>
      </c>
      <c r="G6" s="193" t="str">
        <f>IFERROR(VLOOKUP($D$5,TableCourses2[],4,FALSE),"")</f>
        <v/>
      </c>
      <c r="H6" s="198"/>
      <c r="I6" s="198"/>
      <c r="J6" s="198"/>
      <c r="K6" s="198"/>
      <c r="L6" s="198"/>
    </row>
    <row r="7" spans="1:16" s="206" customFormat="1" ht="14.1" customHeight="1" x14ac:dyDescent="0.25">
      <c r="A7" s="199"/>
      <c r="B7" s="199"/>
      <c r="C7" s="199"/>
      <c r="D7" s="200"/>
      <c r="E7" s="201"/>
      <c r="F7" s="199"/>
      <c r="G7" s="199"/>
      <c r="H7" s="202" t="s">
        <v>17</v>
      </c>
      <c r="I7" s="203"/>
      <c r="J7" s="203"/>
      <c r="K7" s="204"/>
      <c r="L7" s="201"/>
      <c r="M7" s="205"/>
      <c r="N7" s="205"/>
      <c r="O7" s="205"/>
    </row>
    <row r="8" spans="1:16" s="206" customFormat="1" ht="21" x14ac:dyDescent="0.25">
      <c r="A8" s="199" t="s">
        <v>18</v>
      </c>
      <c r="B8" s="199"/>
      <c r="C8" s="199"/>
      <c r="D8" s="200" t="s">
        <v>3</v>
      </c>
      <c r="E8" s="207" t="s">
        <v>19</v>
      </c>
      <c r="F8" s="207" t="s">
        <v>20</v>
      </c>
      <c r="G8" s="199" t="s">
        <v>21</v>
      </c>
      <c r="H8" s="208" t="s">
        <v>22</v>
      </c>
      <c r="I8" s="207" t="s">
        <v>23</v>
      </c>
      <c r="J8" s="207" t="s">
        <v>24</v>
      </c>
      <c r="K8" s="209" t="s">
        <v>25</v>
      </c>
      <c r="L8" s="199" t="s">
        <v>26</v>
      </c>
      <c r="M8" s="205"/>
      <c r="N8" s="205"/>
      <c r="O8" s="205"/>
    </row>
    <row r="9" spans="1:16" s="218" customFormat="1" ht="20.100000000000001" customHeight="1" x14ac:dyDescent="0.15">
      <c r="A9" s="210" t="str">
        <f>IFERROR(IF(HLOOKUP($L$4,RangeUnitsets,M9,FALSE)=0,"",HLOOKUP($L$4,RangeUnitsets,M9,FALSE)),"")</f>
        <v/>
      </c>
      <c r="B9" s="211" t="str">
        <f>IFERROR(IF(VLOOKUP($A9,TableHandbook[],2,FALSE)=0,"",VLOOKUP($A9,TableHandbook[],2,FALSE)),"")</f>
        <v/>
      </c>
      <c r="C9" s="211" t="str">
        <f>IFERROR(IF(VLOOKUP($A9,TableHandbook[],3,FALSE)=0,"",VLOOKUP($A9,TableHandbook[],3,FALSE)),"")</f>
        <v/>
      </c>
      <c r="D9" s="212" t="str">
        <f>IFERROR(IF(VLOOKUP($A9,TableHandbook[],4,FALSE)=0,"",VLOOKUP($A9,TableHandbook[],4,FALSE)),"")</f>
        <v/>
      </c>
      <c r="E9" s="211" t="str">
        <f>IF(A9="","",VLOOKUP($D$6,TableStudyPeriod[],2,FALSE))</f>
        <v/>
      </c>
      <c r="F9" s="213" t="str">
        <f>IFERROR(IF(VLOOKUP($A9,TableHandbook[],6,FALSE)=0,"",VLOOKUP($A9,TableHandbook[],6,FALSE)),"")</f>
        <v/>
      </c>
      <c r="G9" s="211" t="str">
        <f>IFERROR(IF(VLOOKUP($A9,TableHandbook[],5,FALSE)=0,"",VLOOKUP($A9,TableHandbook[],5,FALSE)),"")</f>
        <v/>
      </c>
      <c r="H9" s="214" t="str">
        <f>IFERROR(VLOOKUP($A9,TableHandbook[],H$2,FALSE),"")</f>
        <v/>
      </c>
      <c r="I9" s="211" t="str">
        <f>IFERROR(VLOOKUP($A9,TableHandbook[],I$2,FALSE),"")</f>
        <v/>
      </c>
      <c r="J9" s="211" t="str">
        <f>IFERROR(VLOOKUP($A9,TableHandbook[],J$2,FALSE),"")</f>
        <v/>
      </c>
      <c r="K9" s="215" t="str">
        <f>IFERROR(VLOOKUP($A9,TableHandbook[],K$2,FALSE),"")</f>
        <v/>
      </c>
      <c r="L9" s="58"/>
      <c r="M9" s="216">
        <v>2</v>
      </c>
      <c r="N9" s="217"/>
      <c r="O9" s="217"/>
    </row>
    <row r="10" spans="1:16" s="218" customFormat="1" ht="20.100000000000001" customHeight="1" x14ac:dyDescent="0.15">
      <c r="A10" s="210" t="str">
        <f>IFERROR(IF(HLOOKUP($L$4,RangeUnitsets,M10,FALSE)=0,"",HLOOKUP($L$4,RangeUnitsets,M10,FALSE)),"")</f>
        <v/>
      </c>
      <c r="B10" s="211" t="str">
        <f>IFERROR(IF(VLOOKUP($A10,TableHandbook[],2,FALSE)=0,"",VLOOKUP($A10,TableHandbook[],2,FALSE)),"")</f>
        <v/>
      </c>
      <c r="C10" s="211" t="str">
        <f>IFERROR(IF(VLOOKUP($A10,TableHandbook[],3,FALSE)=0,"",VLOOKUP($A10,TableHandbook[],3,FALSE)),"")</f>
        <v/>
      </c>
      <c r="D10" s="212" t="str">
        <f>IFERROR(IF(VLOOKUP($A10,TableHandbook[],4,FALSE)=0,"",VLOOKUP($A10,TableHandbook[],4,FALSE)),"")</f>
        <v/>
      </c>
      <c r="E10" s="211" t="str">
        <f>IF(A10="","",E9)</f>
        <v/>
      </c>
      <c r="F10" s="213" t="str">
        <f>IFERROR(IF(VLOOKUP($A10,TableHandbook[],6,FALSE)=0,"",VLOOKUP($A10,TableHandbook[],6,FALSE)),"")</f>
        <v/>
      </c>
      <c r="G10" s="211" t="str">
        <f>IFERROR(IF(VLOOKUP($A10,TableHandbook[],5,FALSE)=0,"",VLOOKUP($A10,TableHandbook[],5,FALSE)),"")</f>
        <v/>
      </c>
      <c r="H10" s="214" t="str">
        <f>IFERROR(VLOOKUP($A10,TableHandbook[],H$2,FALSE),"")</f>
        <v/>
      </c>
      <c r="I10" s="211" t="str">
        <f>IFERROR(VLOOKUP($A10,TableHandbook[],I$2,FALSE),"")</f>
        <v/>
      </c>
      <c r="J10" s="211" t="str">
        <f>IFERROR(VLOOKUP($A10,TableHandbook[],J$2,FALSE),"")</f>
        <v/>
      </c>
      <c r="K10" s="215" t="str">
        <f>IFERROR(VLOOKUP($A10,TableHandbook[],K$2,FALSE),"")</f>
        <v/>
      </c>
      <c r="L10" s="58"/>
      <c r="M10" s="216">
        <v>3</v>
      </c>
      <c r="N10" s="217"/>
      <c r="O10" s="217"/>
    </row>
    <row r="11" spans="1:16" s="218" customFormat="1" ht="20.100000000000001" customHeight="1" x14ac:dyDescent="0.15">
      <c r="A11" s="210" t="str">
        <f>IFERROR(IF(HLOOKUP($L$4,RangeUnitsets,M11,FALSE)=0,"",HLOOKUP($L$4,RangeUnitsets,M11,FALSE)),"")</f>
        <v/>
      </c>
      <c r="B11" s="211" t="str">
        <f>IFERROR(IF(VLOOKUP($A11,TableHandbook[],2,FALSE)=0,"",VLOOKUP($A11,TableHandbook[],2,FALSE)),"")</f>
        <v/>
      </c>
      <c r="C11" s="211" t="str">
        <f>IFERROR(IF(VLOOKUP($A11,TableHandbook[],3,FALSE)=0,"",VLOOKUP($A11,TableHandbook[],3,FALSE)),"")</f>
        <v/>
      </c>
      <c r="D11" s="212" t="str">
        <f>IFERROR(IF(VLOOKUP($A11,TableHandbook[],4,FALSE)=0,"",VLOOKUP($A11,TableHandbook[],4,FALSE)),"")</f>
        <v/>
      </c>
      <c r="E11" s="211" t="str">
        <f t="shared" ref="E11:E12" si="0">IF(A11="","",E10)</f>
        <v/>
      </c>
      <c r="F11" s="213" t="str">
        <f>IFERROR(IF(VLOOKUP($A11,TableHandbook[],6,FALSE)=0,"",VLOOKUP($A11,TableHandbook[],6,FALSE)),"")</f>
        <v/>
      </c>
      <c r="G11" s="211" t="str">
        <f>IFERROR(IF(VLOOKUP($A11,TableHandbook[],5,FALSE)=0,"",VLOOKUP($A11,TableHandbook[],5,FALSE)),"")</f>
        <v/>
      </c>
      <c r="H11" s="214" t="str">
        <f>IFERROR(VLOOKUP($A11,TableHandbook[],H$2,FALSE),"")</f>
        <v/>
      </c>
      <c r="I11" s="211" t="str">
        <f>IFERROR(VLOOKUP($A11,TableHandbook[],I$2,FALSE),"")</f>
        <v/>
      </c>
      <c r="J11" s="211" t="str">
        <f>IFERROR(VLOOKUP($A11,TableHandbook[],J$2,FALSE),"")</f>
        <v/>
      </c>
      <c r="K11" s="215" t="str">
        <f>IFERROR(VLOOKUP($A11,TableHandbook[],K$2,FALSE),"")</f>
        <v/>
      </c>
      <c r="L11" s="59"/>
      <c r="M11" s="216">
        <v>4</v>
      </c>
      <c r="N11" s="217"/>
      <c r="O11" s="217"/>
    </row>
    <row r="12" spans="1:16" s="218" customFormat="1" ht="20.100000000000001" customHeight="1" x14ac:dyDescent="0.15">
      <c r="A12" s="210" t="str">
        <f>IFERROR(IF(HLOOKUP($L$4,RangeUnitsets,M12,FALSE)=0,"",HLOOKUP($L$4,RangeUnitsets,M12,FALSE)),"")</f>
        <v/>
      </c>
      <c r="B12" s="211" t="str">
        <f>IFERROR(IF(VLOOKUP($A12,TableHandbook[],2,FALSE)=0,"",VLOOKUP($A12,TableHandbook[],2,FALSE)),"")</f>
        <v/>
      </c>
      <c r="C12" s="211" t="str">
        <f>IFERROR(IF(VLOOKUP($A12,TableHandbook[],3,FALSE)=0,"",VLOOKUP($A12,TableHandbook[],3,FALSE)),"")</f>
        <v/>
      </c>
      <c r="D12" s="212" t="str">
        <f>IFERROR(IF(VLOOKUP($A12,TableHandbook[],4,FALSE)=0,"",VLOOKUP($A12,TableHandbook[],4,FALSE)),"")</f>
        <v/>
      </c>
      <c r="E12" s="211" t="str">
        <f t="shared" si="0"/>
        <v/>
      </c>
      <c r="F12" s="213" t="str">
        <f>IFERROR(IF(VLOOKUP($A12,TableHandbook[],6,FALSE)=0,"",VLOOKUP($A12,TableHandbook[],6,FALSE)),"")</f>
        <v/>
      </c>
      <c r="G12" s="211" t="str">
        <f>IFERROR(IF(VLOOKUP($A12,TableHandbook[],5,FALSE)=0,"",VLOOKUP($A12,TableHandbook[],5,FALSE)),"")</f>
        <v/>
      </c>
      <c r="H12" s="214" t="str">
        <f>IFERROR(VLOOKUP($A12,TableHandbook[],H$2,FALSE),"")</f>
        <v/>
      </c>
      <c r="I12" s="211" t="str">
        <f>IFERROR(VLOOKUP($A12,TableHandbook[],I$2,FALSE),"")</f>
        <v/>
      </c>
      <c r="J12" s="211" t="str">
        <f>IFERROR(VLOOKUP($A12,TableHandbook[],J$2,FALSE),"")</f>
        <v/>
      </c>
      <c r="K12" s="215" t="str">
        <f>IFERROR(VLOOKUP($A12,TableHandbook[],K$2,FALSE),"")</f>
        <v/>
      </c>
      <c r="L12" s="58"/>
      <c r="M12" s="216">
        <v>5</v>
      </c>
      <c r="N12" s="217"/>
      <c r="O12" s="217"/>
    </row>
    <row r="13" spans="1:16" s="218" customFormat="1" ht="5.0999999999999996" customHeight="1" x14ac:dyDescent="0.15">
      <c r="A13" s="219"/>
      <c r="B13" s="220"/>
      <c r="C13" s="220"/>
      <c r="D13" s="221"/>
      <c r="E13" s="220"/>
      <c r="F13" s="222"/>
      <c r="G13" s="220"/>
      <c r="H13" s="223"/>
      <c r="I13" s="220"/>
      <c r="J13" s="220"/>
      <c r="K13" s="224"/>
      <c r="L13" s="168"/>
      <c r="M13" s="216"/>
      <c r="N13" s="217"/>
      <c r="O13" s="217"/>
      <c r="P13" s="217"/>
    </row>
    <row r="14" spans="1:16" s="218" customFormat="1" ht="20.100000000000001" customHeight="1" x14ac:dyDescent="0.15">
      <c r="A14" s="210" t="str">
        <f>IFERROR(IF(HLOOKUP($L$4,RangeUnitsets,M14,FALSE)=0,"",HLOOKUP($L$4,RangeUnitsets,M14,FALSE)),"")</f>
        <v/>
      </c>
      <c r="B14" s="225" t="str">
        <f>IFERROR(IF(VLOOKUP($A14,TableHandbook[],2,FALSE)=0,"",VLOOKUP($A14,TableHandbook[],2,FALSE)),"")</f>
        <v/>
      </c>
      <c r="C14" s="225" t="str">
        <f>IFERROR(IF(VLOOKUP($A14,TableHandbook[],3,FALSE)=0,"",VLOOKUP($A14,TableHandbook[],3,FALSE)),"")</f>
        <v/>
      </c>
      <c r="D14" s="212" t="str">
        <f>IFERROR(IF(VLOOKUP($A14,TableHandbook[],4,FALSE)=0,"",VLOOKUP($A14,TableHandbook[],4,FALSE)),"")</f>
        <v/>
      </c>
      <c r="E14" s="211" t="str">
        <f>IF(A14="","",VLOOKUP($D$6,TableStudyPeriod[],3,FALSE))</f>
        <v/>
      </c>
      <c r="F14" s="213" t="str">
        <f>IFERROR(IF(VLOOKUP($A14,TableHandbook[],6,FALSE)=0,"",VLOOKUP($A14,TableHandbook[],6,FALSE)),"")</f>
        <v/>
      </c>
      <c r="G14" s="225" t="str">
        <f>IFERROR(IF(VLOOKUP($A14,TableHandbook[],5,FALSE)=0,"",VLOOKUP($A14,TableHandbook[],5,FALSE)),"")</f>
        <v/>
      </c>
      <c r="H14" s="226" t="str">
        <f>IFERROR(VLOOKUP($A14,TableHandbook[],H$2,FALSE),"")</f>
        <v/>
      </c>
      <c r="I14" s="225" t="str">
        <f>IFERROR(VLOOKUP($A14,TableHandbook[],I$2,FALSE),"")</f>
        <v/>
      </c>
      <c r="J14" s="225" t="str">
        <f>IFERROR(VLOOKUP($A14,TableHandbook[],J$2,FALSE),"")</f>
        <v/>
      </c>
      <c r="K14" s="227" t="str">
        <f>IFERROR(VLOOKUP($A14,TableHandbook[],K$2,FALSE),"")</f>
        <v/>
      </c>
      <c r="L14" s="59"/>
      <c r="M14" s="216">
        <v>6</v>
      </c>
      <c r="N14" s="217"/>
      <c r="O14" s="217"/>
    </row>
    <row r="15" spans="1:16" s="229" customFormat="1" ht="20.100000000000001" customHeight="1" x14ac:dyDescent="0.15">
      <c r="A15" s="210" t="str">
        <f>IFERROR(IF(HLOOKUP($L$4,RangeUnitsets,M15,FALSE)=0,"",HLOOKUP($L$4,RangeUnitsets,M15,FALSE)),"")</f>
        <v/>
      </c>
      <c r="B15" s="225" t="str">
        <f>IFERROR(IF(VLOOKUP($A15,TableHandbook[],2,FALSE)=0,"",VLOOKUP($A15,TableHandbook[],2,FALSE)),"")</f>
        <v/>
      </c>
      <c r="C15" s="225" t="str">
        <f>IFERROR(IF(VLOOKUP($A15,TableHandbook[],3,FALSE)=0,"",VLOOKUP($A15,TableHandbook[],3,FALSE)),"")</f>
        <v/>
      </c>
      <c r="D15" s="212" t="str">
        <f>IFERROR(IF(VLOOKUP($A15,TableHandbook[],4,FALSE)=0,"",VLOOKUP($A15,TableHandbook[],4,FALSE)),"")</f>
        <v/>
      </c>
      <c r="E15" s="211" t="str">
        <f>IF(A15="","",E14)</f>
        <v/>
      </c>
      <c r="F15" s="213" t="str">
        <f>IFERROR(IF(VLOOKUP($A15,TableHandbook[],6,FALSE)=0,"",VLOOKUP($A15,TableHandbook[],6,FALSE)),"")</f>
        <v/>
      </c>
      <c r="G15" s="225" t="str">
        <f>IFERROR(IF(VLOOKUP($A15,TableHandbook[],5,FALSE)=0,"",VLOOKUP($A15,TableHandbook[],5,FALSE)),"")</f>
        <v/>
      </c>
      <c r="H15" s="226" t="str">
        <f>IFERROR(VLOOKUP($A15,TableHandbook[],H$2,FALSE),"")</f>
        <v/>
      </c>
      <c r="I15" s="225" t="str">
        <f>IFERROR(VLOOKUP($A15,TableHandbook[],I$2,FALSE),"")</f>
        <v/>
      </c>
      <c r="J15" s="225" t="str">
        <f>IFERROR(VLOOKUP($A15,TableHandbook[],J$2,FALSE),"")</f>
        <v/>
      </c>
      <c r="K15" s="227" t="str">
        <f>IFERROR(VLOOKUP($A15,TableHandbook[],K$2,FALSE),"")</f>
        <v/>
      </c>
      <c r="L15" s="59"/>
      <c r="M15" s="216">
        <v>7</v>
      </c>
      <c r="N15" s="228"/>
      <c r="O15" s="228"/>
    </row>
    <row r="16" spans="1:16" s="229" customFormat="1" ht="20.100000000000001" customHeight="1" x14ac:dyDescent="0.15">
      <c r="A16" s="210" t="str">
        <f>IFERROR(IF(HLOOKUP($L$4,RangeUnitsets,M16,FALSE)=0,"",HLOOKUP($L$4,RangeUnitsets,M16,FALSE)),"")</f>
        <v/>
      </c>
      <c r="B16" s="225" t="str">
        <f>IFERROR(IF(VLOOKUP($A16,TableHandbook[],2,FALSE)=0,"",VLOOKUP($A16,TableHandbook[],2,FALSE)),"")</f>
        <v/>
      </c>
      <c r="C16" s="225" t="str">
        <f>IFERROR(IF(VLOOKUP($A16,TableHandbook[],3,FALSE)=0,"",VLOOKUP($A16,TableHandbook[],3,FALSE)),"")</f>
        <v/>
      </c>
      <c r="D16" s="212" t="str">
        <f>IFERROR(IF(VLOOKUP($A16,TableHandbook[],4,FALSE)=0,"",VLOOKUP($A16,TableHandbook[],4,FALSE)),"")</f>
        <v/>
      </c>
      <c r="E16" s="211" t="str">
        <f t="shared" ref="E16:E17" si="1">IF(A16="","",E15)</f>
        <v/>
      </c>
      <c r="F16" s="213" t="str">
        <f>IFERROR(IF(VLOOKUP($A16,TableHandbook[],6,FALSE)=0,"",VLOOKUP($A16,TableHandbook[],6,FALSE)),"")</f>
        <v/>
      </c>
      <c r="G16" s="225" t="str">
        <f>IFERROR(IF(VLOOKUP($A16,TableHandbook[],5,FALSE)=0,"",VLOOKUP($A16,TableHandbook[],5,FALSE)),"")</f>
        <v/>
      </c>
      <c r="H16" s="226" t="str">
        <f>IFERROR(VLOOKUP($A16,TableHandbook[],H$2,FALSE),"")</f>
        <v/>
      </c>
      <c r="I16" s="225" t="str">
        <f>IFERROR(VLOOKUP($A16,TableHandbook[],I$2,FALSE),"")</f>
        <v/>
      </c>
      <c r="J16" s="225" t="str">
        <f>IFERROR(VLOOKUP($A16,TableHandbook[],J$2,FALSE),"")</f>
        <v/>
      </c>
      <c r="K16" s="227" t="str">
        <f>IFERROR(VLOOKUP($A16,TableHandbook[],K$2,FALSE),"")</f>
        <v/>
      </c>
      <c r="L16" s="59"/>
      <c r="M16" s="216">
        <v>8</v>
      </c>
      <c r="N16" s="228"/>
      <c r="O16" s="228"/>
    </row>
    <row r="17" spans="1:16" s="229" customFormat="1" ht="20.100000000000001" customHeight="1" x14ac:dyDescent="0.15">
      <c r="A17" s="210" t="str">
        <f>IFERROR(IF(HLOOKUP($L$4,RangeUnitsets,M17,FALSE)=0,"",HLOOKUP($L$4,RangeUnitsets,M17,FALSE)),"")</f>
        <v/>
      </c>
      <c r="B17" s="225" t="str">
        <f>IFERROR(IF(VLOOKUP($A17,TableHandbook[],2,FALSE)=0,"",VLOOKUP($A17,TableHandbook[],2,FALSE)),"")</f>
        <v/>
      </c>
      <c r="C17" s="225" t="str">
        <f>IFERROR(IF(VLOOKUP($A17,TableHandbook[],3,FALSE)=0,"",VLOOKUP($A17,TableHandbook[],3,FALSE)),"")</f>
        <v/>
      </c>
      <c r="D17" s="230" t="str">
        <f>IFERROR(IF(VLOOKUP($A17,TableHandbook[],4,FALSE)=0,"",VLOOKUP($A17,TableHandbook[],4,FALSE)),"")</f>
        <v/>
      </c>
      <c r="E17" s="225" t="str">
        <f t="shared" si="1"/>
        <v/>
      </c>
      <c r="F17" s="213" t="str">
        <f>IFERROR(IF(VLOOKUP($A17,TableHandbook[],6,FALSE)=0,"",VLOOKUP($A17,TableHandbook[],6,FALSE)),"")</f>
        <v/>
      </c>
      <c r="G17" s="225" t="str">
        <f>IFERROR(IF(VLOOKUP($A17,TableHandbook[],5,FALSE)=0,"",VLOOKUP($A17,TableHandbook[],5,FALSE)),"")</f>
        <v/>
      </c>
      <c r="H17" s="226" t="str">
        <f>IFERROR(VLOOKUP($A17,TableHandbook[],H$2,FALSE),"")</f>
        <v/>
      </c>
      <c r="I17" s="225" t="str">
        <f>IFERROR(VLOOKUP($A17,TableHandbook[],I$2,FALSE),"")</f>
        <v/>
      </c>
      <c r="J17" s="225" t="str">
        <f>IFERROR(VLOOKUP($A17,TableHandbook[],J$2,FALSE),"")</f>
        <v/>
      </c>
      <c r="K17" s="227" t="str">
        <f>IFERROR(VLOOKUP($A17,TableHandbook[],K$2,FALSE),"")</f>
        <v/>
      </c>
      <c r="L17" s="59"/>
      <c r="M17" s="216">
        <v>9</v>
      </c>
      <c r="N17" s="228"/>
      <c r="O17" s="228"/>
    </row>
    <row r="18" spans="1:16" s="206" customFormat="1" ht="21" x14ac:dyDescent="0.25">
      <c r="A18" s="199" t="s">
        <v>27</v>
      </c>
      <c r="B18" s="199"/>
      <c r="C18" s="199"/>
      <c r="D18" s="200" t="s">
        <v>3</v>
      </c>
      <c r="E18" s="207" t="s">
        <v>19</v>
      </c>
      <c r="F18" s="207" t="s">
        <v>20</v>
      </c>
      <c r="G18" s="199" t="s">
        <v>21</v>
      </c>
      <c r="H18" s="208" t="s">
        <v>22</v>
      </c>
      <c r="I18" s="207" t="s">
        <v>23</v>
      </c>
      <c r="J18" s="207" t="s">
        <v>24</v>
      </c>
      <c r="K18" s="209" t="s">
        <v>25</v>
      </c>
      <c r="L18" s="199" t="s">
        <v>26</v>
      </c>
      <c r="M18" s="231"/>
      <c r="N18" s="205"/>
      <c r="O18" s="205"/>
    </row>
    <row r="19" spans="1:16" s="218" customFormat="1" ht="20.100000000000001" customHeight="1" x14ac:dyDescent="0.15">
      <c r="A19" s="210" t="str">
        <f>IFERROR(IF(HLOOKUP($L$4,RangeUnitsets,M19,FALSE)=0,"",HLOOKUP($L$4,RangeUnitsets,M19,FALSE)),"")</f>
        <v/>
      </c>
      <c r="B19" s="225" t="str">
        <f>IFERROR(IF(VLOOKUP($A19,TableHandbook[],2,FALSE)=0,"",VLOOKUP($A19,TableHandbook[],2,FALSE)),"")</f>
        <v/>
      </c>
      <c r="C19" s="225" t="str">
        <f>IFERROR(IF(VLOOKUP($A19,TableHandbook[],3,FALSE)=0,"",VLOOKUP($A19,TableHandbook[],3,FALSE)),"")</f>
        <v/>
      </c>
      <c r="D19" s="232" t="str">
        <f>IFERROR(IF(VLOOKUP($A19,TableHandbook[],4,FALSE)=0,"",VLOOKUP($A19,TableHandbook[],4,FALSE)),"")</f>
        <v/>
      </c>
      <c r="E19" s="225" t="str">
        <f>IF(A19="","",VLOOKUP($D$6,TableStudyPeriod[],2,FALSE))</f>
        <v/>
      </c>
      <c r="F19" s="213" t="str">
        <f>IFERROR(IF(VLOOKUP($A19,TableHandbook[],6,FALSE)=0,"",VLOOKUP($A19,TableHandbook[],6,FALSE)),"")</f>
        <v/>
      </c>
      <c r="G19" s="211" t="str">
        <f>IFERROR(IF(VLOOKUP($A19,TableHandbook[],5,FALSE)=0,"",VLOOKUP($A19,TableHandbook[],5,FALSE)),"")</f>
        <v/>
      </c>
      <c r="H19" s="214" t="str">
        <f>IFERROR(VLOOKUP($A19,TableHandbook[],H$2,FALSE),"")</f>
        <v/>
      </c>
      <c r="I19" s="211" t="str">
        <f>IFERROR(VLOOKUP($A19,TableHandbook[],I$2,FALSE),"")</f>
        <v/>
      </c>
      <c r="J19" s="211" t="str">
        <f>IFERROR(VLOOKUP($A19,TableHandbook[],J$2,FALSE),"")</f>
        <v/>
      </c>
      <c r="K19" s="215" t="str">
        <f>IFERROR(VLOOKUP($A19,TableHandbook[],K$2,FALSE),"")</f>
        <v/>
      </c>
      <c r="L19" s="57"/>
      <c r="M19" s="216">
        <v>10</v>
      </c>
      <c r="N19" s="217"/>
      <c r="O19" s="217"/>
    </row>
    <row r="20" spans="1:16" s="218" customFormat="1" ht="20.100000000000001" customHeight="1" x14ac:dyDescent="0.15">
      <c r="A20" s="210" t="str">
        <f>IFERROR(IF(HLOOKUP($L$4,RangeUnitsets,M20,FALSE)=0,"",HLOOKUP($L$4,RangeUnitsets,M20,FALSE)),"")</f>
        <v/>
      </c>
      <c r="B20" s="225" t="str">
        <f>IFERROR(IF(VLOOKUP($A20,TableHandbook[],2,FALSE)=0,"",VLOOKUP($A20,TableHandbook[],2,FALSE)),"")</f>
        <v/>
      </c>
      <c r="C20" s="225" t="str">
        <f>IFERROR(IF(VLOOKUP($A20,TableHandbook[],3,FALSE)=0,"",VLOOKUP($A20,TableHandbook[],3,FALSE)),"")</f>
        <v/>
      </c>
      <c r="D20" s="230" t="str">
        <f>IFERROR(IF(VLOOKUP($A20,TableHandbook[],4,FALSE)=0,"",VLOOKUP($A20,TableHandbook[],4,FALSE)),"")</f>
        <v/>
      </c>
      <c r="E20" s="225" t="str">
        <f>IF(A20="","",E19)</f>
        <v/>
      </c>
      <c r="F20" s="213" t="str">
        <f>IFERROR(IF(VLOOKUP($A20,TableHandbook[],6,FALSE)=0,"",VLOOKUP($A20,TableHandbook[],6,FALSE)),"")</f>
        <v/>
      </c>
      <c r="G20" s="211" t="str">
        <f>IFERROR(IF(VLOOKUP($A20,TableHandbook[],5,FALSE)=0,"",VLOOKUP($A20,TableHandbook[],5,FALSE)),"")</f>
        <v/>
      </c>
      <c r="H20" s="214" t="str">
        <f>IFERROR(VLOOKUP($A20,TableHandbook[],H$2,FALSE),"")</f>
        <v/>
      </c>
      <c r="I20" s="211" t="str">
        <f>IFERROR(VLOOKUP($A20,TableHandbook[],I$2,FALSE),"")</f>
        <v/>
      </c>
      <c r="J20" s="211" t="str">
        <f>IFERROR(VLOOKUP($A20,TableHandbook[],J$2,FALSE),"")</f>
        <v/>
      </c>
      <c r="K20" s="215" t="str">
        <f>IFERROR(VLOOKUP($A20,TableHandbook[],K$2,FALSE),"")</f>
        <v/>
      </c>
      <c r="L20" s="57"/>
      <c r="M20" s="216">
        <v>11</v>
      </c>
      <c r="N20" s="217"/>
      <c r="O20" s="217"/>
    </row>
    <row r="21" spans="1:16" s="218" customFormat="1" ht="20.100000000000001" customHeight="1" x14ac:dyDescent="0.15">
      <c r="A21" s="210" t="str">
        <f>IFERROR(IF(HLOOKUP($L$4,RangeUnitsets,M21,FALSE)=0,"",HLOOKUP($L$4,RangeUnitsets,M21,FALSE)),"")</f>
        <v/>
      </c>
      <c r="B21" s="225" t="str">
        <f>IFERROR(IF(VLOOKUP($A21,TableHandbook[],2,FALSE)=0,"",VLOOKUP($A21,TableHandbook[],2,FALSE)),"")</f>
        <v/>
      </c>
      <c r="C21" s="225" t="str">
        <f>IFERROR(IF(VLOOKUP($A21,TableHandbook[],3,FALSE)=0,"",VLOOKUP($A21,TableHandbook[],3,FALSE)),"")</f>
        <v/>
      </c>
      <c r="D21" s="230" t="str">
        <f>IFERROR(IF(VLOOKUP($A21,TableHandbook[],4,FALSE)=0,"",VLOOKUP($A21,TableHandbook[],4,FALSE)),"")</f>
        <v/>
      </c>
      <c r="E21" s="225" t="str">
        <f t="shared" ref="E21:E22" si="2">IF(A21="","",E20)</f>
        <v/>
      </c>
      <c r="F21" s="213" t="str">
        <f>IFERROR(IF(VLOOKUP($A21,TableHandbook[],6,FALSE)=0,"",VLOOKUP($A21,TableHandbook[],6,FALSE)),"")</f>
        <v/>
      </c>
      <c r="G21" s="211" t="str">
        <f>IFERROR(IF(VLOOKUP($A21,TableHandbook[],5,FALSE)=0,"",VLOOKUP($A21,TableHandbook[],5,FALSE)),"")</f>
        <v/>
      </c>
      <c r="H21" s="214" t="str">
        <f>IFERROR(VLOOKUP($A21,TableHandbook[],H$2,FALSE),"")</f>
        <v/>
      </c>
      <c r="I21" s="211" t="str">
        <f>IFERROR(VLOOKUP($A21,TableHandbook[],I$2,FALSE),"")</f>
        <v/>
      </c>
      <c r="J21" s="211" t="str">
        <f>IFERROR(VLOOKUP($A21,TableHandbook[],J$2,FALSE),"")</f>
        <v/>
      </c>
      <c r="K21" s="215" t="str">
        <f>IFERROR(VLOOKUP($A21,TableHandbook[],K$2,FALSE),"")</f>
        <v/>
      </c>
      <c r="L21" s="57"/>
      <c r="M21" s="216">
        <v>12</v>
      </c>
      <c r="N21" s="217"/>
      <c r="O21" s="217"/>
    </row>
    <row r="22" spans="1:16" s="218" customFormat="1" ht="20.100000000000001" customHeight="1" x14ac:dyDescent="0.15">
      <c r="A22" s="210" t="str">
        <f>IFERROR(IF(HLOOKUP($L$4,RangeUnitsets,M22,FALSE)=0,"",HLOOKUP($L$4,RangeUnitsets,M22,FALSE)),"")</f>
        <v/>
      </c>
      <c r="B22" s="225" t="str">
        <f>IFERROR(IF(VLOOKUP($A22,TableHandbook[],2,FALSE)=0,"",VLOOKUP($A22,TableHandbook[],2,FALSE)),"")</f>
        <v/>
      </c>
      <c r="C22" s="225" t="str">
        <f>IFERROR(IF(VLOOKUP($A22,TableHandbook[],3,FALSE)=0,"",VLOOKUP($A22,TableHandbook[],3,FALSE)),"")</f>
        <v/>
      </c>
      <c r="D22" s="230" t="str">
        <f>IFERROR(IF(VLOOKUP($A22,TableHandbook[],4,FALSE)=0,"",VLOOKUP($A22,TableHandbook[],4,FALSE)),"")</f>
        <v/>
      </c>
      <c r="E22" s="225" t="str">
        <f t="shared" si="2"/>
        <v/>
      </c>
      <c r="F22" s="213" t="str">
        <f>IFERROR(IF(VLOOKUP($A22,TableHandbook[],6,FALSE)=0,"",VLOOKUP($A22,TableHandbook[],6,FALSE)),"")</f>
        <v/>
      </c>
      <c r="G22" s="211" t="str">
        <f>IFERROR(IF(VLOOKUP($A22,TableHandbook[],5,FALSE)=0,"",VLOOKUP($A22,TableHandbook[],5,FALSE)),"")</f>
        <v/>
      </c>
      <c r="H22" s="214" t="str">
        <f>IFERROR(VLOOKUP($A22,TableHandbook[],H$2,FALSE),"")</f>
        <v/>
      </c>
      <c r="I22" s="211" t="str">
        <f>IFERROR(VLOOKUP($A22,TableHandbook[],I$2,FALSE),"")</f>
        <v/>
      </c>
      <c r="J22" s="211" t="str">
        <f>IFERROR(VLOOKUP($A22,TableHandbook[],J$2,FALSE),"")</f>
        <v/>
      </c>
      <c r="K22" s="215" t="str">
        <f>IFERROR(VLOOKUP($A22,TableHandbook[],K$2,FALSE),"")</f>
        <v/>
      </c>
      <c r="L22" s="57"/>
      <c r="M22" s="216">
        <v>13</v>
      </c>
      <c r="N22" s="217"/>
      <c r="O22" s="217"/>
    </row>
    <row r="23" spans="1:16" s="218" customFormat="1" ht="3.75" customHeight="1" x14ac:dyDescent="0.15">
      <c r="A23" s="219"/>
      <c r="B23" s="220"/>
      <c r="C23" s="220"/>
      <c r="D23" s="221"/>
      <c r="E23" s="220"/>
      <c r="F23" s="222"/>
      <c r="G23" s="220"/>
      <c r="H23" s="223"/>
      <c r="I23" s="220"/>
      <c r="J23" s="220"/>
      <c r="K23" s="224"/>
      <c r="L23" s="168"/>
      <c r="M23" s="216"/>
      <c r="N23" s="217"/>
      <c r="O23" s="217"/>
      <c r="P23" s="217"/>
    </row>
    <row r="24" spans="1:16" s="218" customFormat="1" ht="20.100000000000001" customHeight="1" x14ac:dyDescent="0.15">
      <c r="A24" s="210" t="str">
        <f>IFERROR(IF(HLOOKUP($L$4,RangeUnitsets,M24,FALSE)=0,"",HLOOKUP($L$4,RangeUnitsets,M24,FALSE)),"")</f>
        <v/>
      </c>
      <c r="B24" s="225" t="str">
        <f>IFERROR(IF(VLOOKUP($A24,TableHandbook[],2,FALSE)=0,"",VLOOKUP($A24,TableHandbook[],2,FALSE)),"")</f>
        <v/>
      </c>
      <c r="C24" s="225" t="str">
        <f>IFERROR(IF(VLOOKUP($A24,TableHandbook[],3,FALSE)=0,"",VLOOKUP($A24,TableHandbook[],3,FALSE)),"")</f>
        <v/>
      </c>
      <c r="D24" s="230" t="str">
        <f>IFERROR(IF(VLOOKUP($A24,TableHandbook[],4,FALSE)=0,"",VLOOKUP($A24,TableHandbook[],4,FALSE)),"")</f>
        <v/>
      </c>
      <c r="E24" s="225" t="str">
        <f>IF(A24="","",VLOOKUP($D$6,TableStudyPeriod[],3,FALSE))</f>
        <v/>
      </c>
      <c r="F24" s="213" t="str">
        <f>IFERROR(IF(VLOOKUP($A24,TableHandbook[],6,FALSE)=0,"",VLOOKUP($A24,TableHandbook[],6,FALSE)),"")</f>
        <v/>
      </c>
      <c r="G24" s="211" t="str">
        <f>IFERROR(IF(VLOOKUP($A24,TableHandbook[],5,FALSE)=0,"",VLOOKUP($A24,TableHandbook[],5,FALSE)),"")</f>
        <v/>
      </c>
      <c r="H24" s="214" t="str">
        <f>IFERROR(VLOOKUP($A24,TableHandbook[],H$2,FALSE),"")</f>
        <v/>
      </c>
      <c r="I24" s="211" t="str">
        <f>IFERROR(VLOOKUP($A24,TableHandbook[],I$2,FALSE),"")</f>
        <v/>
      </c>
      <c r="J24" s="211" t="str">
        <f>IFERROR(VLOOKUP($A24,TableHandbook[],J$2,FALSE),"")</f>
        <v/>
      </c>
      <c r="K24" s="215" t="str">
        <f>IFERROR(VLOOKUP($A24,TableHandbook[],K$2,FALSE),"")</f>
        <v/>
      </c>
      <c r="L24" s="57"/>
      <c r="M24" s="216">
        <v>14</v>
      </c>
      <c r="N24" s="217"/>
      <c r="O24" s="217"/>
    </row>
    <row r="25" spans="1:16" s="218" customFormat="1" ht="20.100000000000001" customHeight="1" x14ac:dyDescent="0.15">
      <c r="A25" s="210" t="str">
        <f>IFERROR(IF(HLOOKUP($L$4,RangeUnitsets,M25,FALSE)=0,"",HLOOKUP($L$4,RangeUnitsets,M25,FALSE)),"")</f>
        <v/>
      </c>
      <c r="B25" s="225" t="str">
        <f>IFERROR(IF(VLOOKUP($A25,TableHandbook[],2,FALSE)=0,"",VLOOKUP($A25,TableHandbook[],2,FALSE)),"")</f>
        <v/>
      </c>
      <c r="C25" s="225" t="str">
        <f>IFERROR(IF(VLOOKUP($A25,TableHandbook[],3,FALSE)=0,"",VLOOKUP($A25,TableHandbook[],3,FALSE)),"")</f>
        <v/>
      </c>
      <c r="D25" s="230" t="str">
        <f>IFERROR(IF(VLOOKUP($A25,TableHandbook[],4,FALSE)=0,"",VLOOKUP($A25,TableHandbook[],4,FALSE)),"")</f>
        <v/>
      </c>
      <c r="E25" s="225" t="str">
        <f>IF(A25="","",E24)</f>
        <v/>
      </c>
      <c r="F25" s="213" t="str">
        <f>IFERROR(IF(VLOOKUP($A25,TableHandbook[],6,FALSE)=0,"",VLOOKUP($A25,TableHandbook[],6,FALSE)),"")</f>
        <v/>
      </c>
      <c r="G25" s="211" t="str">
        <f>IFERROR(IF(VLOOKUP($A25,TableHandbook[],5,FALSE)=0,"",VLOOKUP($A25,TableHandbook[],5,FALSE)),"")</f>
        <v/>
      </c>
      <c r="H25" s="214" t="str">
        <f>IFERROR(VLOOKUP($A25,TableHandbook[],H$2,FALSE),"")</f>
        <v/>
      </c>
      <c r="I25" s="211" t="str">
        <f>IFERROR(VLOOKUP($A25,TableHandbook[],I$2,FALSE),"")</f>
        <v/>
      </c>
      <c r="J25" s="211" t="str">
        <f>IFERROR(VLOOKUP($A25,TableHandbook[],J$2,FALSE),"")</f>
        <v/>
      </c>
      <c r="K25" s="215" t="str">
        <f>IFERROR(VLOOKUP($A25,TableHandbook[],K$2,FALSE),"")</f>
        <v/>
      </c>
      <c r="L25" s="57"/>
      <c r="M25" s="216">
        <v>15</v>
      </c>
      <c r="N25" s="217"/>
      <c r="O25" s="217"/>
    </row>
    <row r="26" spans="1:16" s="229" customFormat="1" ht="20.100000000000001" customHeight="1" x14ac:dyDescent="0.15">
      <c r="A26" s="210" t="str">
        <f>IFERROR(IF(HLOOKUP($L$4,RangeUnitsets,M26,FALSE)=0,"",HLOOKUP($L$4,RangeUnitsets,M26,FALSE)),"")</f>
        <v/>
      </c>
      <c r="B26" s="225" t="str">
        <f>IFERROR(IF(VLOOKUP($A26,TableHandbook[],2,FALSE)=0,"",VLOOKUP($A26,TableHandbook[],2,FALSE)),"")</f>
        <v/>
      </c>
      <c r="C26" s="225" t="str">
        <f>IFERROR(IF(VLOOKUP($A26,TableHandbook[],3,FALSE)=0,"",VLOOKUP($A26,TableHandbook[],3,FALSE)),"")</f>
        <v/>
      </c>
      <c r="D26" s="230" t="str">
        <f>IFERROR(IF(VLOOKUP($A26,TableHandbook[],4,FALSE)=0,"",VLOOKUP($A26,TableHandbook[],4,FALSE)),"")</f>
        <v/>
      </c>
      <c r="E26" s="225" t="str">
        <f t="shared" ref="E26:E27" si="3">IF(A26="","",E25)</f>
        <v/>
      </c>
      <c r="F26" s="213" t="str">
        <f>IFERROR(IF(VLOOKUP($A26,TableHandbook[],6,FALSE)=0,"",VLOOKUP($A26,TableHandbook[],6,FALSE)),"")</f>
        <v/>
      </c>
      <c r="G26" s="211" t="str">
        <f>IFERROR(IF(VLOOKUP($A26,TableHandbook[],5,FALSE)=0,"",VLOOKUP($A26,TableHandbook[],5,FALSE)),"")</f>
        <v/>
      </c>
      <c r="H26" s="214" t="str">
        <f>IFERROR(VLOOKUP($A26,TableHandbook[],H$2,FALSE),"")</f>
        <v/>
      </c>
      <c r="I26" s="211" t="str">
        <f>IFERROR(VLOOKUP($A26,TableHandbook[],I$2,FALSE),"")</f>
        <v/>
      </c>
      <c r="J26" s="211" t="str">
        <f>IFERROR(VLOOKUP($A26,TableHandbook[],J$2,FALSE),"")</f>
        <v/>
      </c>
      <c r="K26" s="215" t="str">
        <f>IFERROR(VLOOKUP($A26,TableHandbook[],K$2,FALSE),"")</f>
        <v/>
      </c>
      <c r="L26" s="57"/>
      <c r="M26" s="216">
        <v>16</v>
      </c>
      <c r="N26" s="228"/>
      <c r="O26" s="228"/>
    </row>
    <row r="27" spans="1:16" s="229" customFormat="1" ht="20.100000000000001" customHeight="1" x14ac:dyDescent="0.15">
      <c r="A27" s="210" t="str">
        <f>IFERROR(IF(HLOOKUP($L$4,RangeUnitsets,M27,FALSE)=0,"",HLOOKUP($L$4,RangeUnitsets,M27,FALSE)),"")</f>
        <v/>
      </c>
      <c r="B27" s="225" t="str">
        <f>IFERROR(IF(VLOOKUP($A27,TableHandbook[],2,FALSE)=0,"",VLOOKUP($A27,TableHandbook[],2,FALSE)),"")</f>
        <v/>
      </c>
      <c r="C27" s="225" t="str">
        <f>IFERROR(IF(VLOOKUP($A27,TableHandbook[],3,FALSE)=0,"",VLOOKUP($A27,TableHandbook[],3,FALSE)),"")</f>
        <v/>
      </c>
      <c r="D27" s="230" t="str">
        <f>IFERROR(IF(VLOOKUP($A27,TableHandbook[],4,FALSE)=0,"",VLOOKUP($A27,TableHandbook[],4,FALSE)),"")</f>
        <v/>
      </c>
      <c r="E27" s="211" t="str">
        <f t="shared" si="3"/>
        <v/>
      </c>
      <c r="F27" s="213" t="str">
        <f>IFERROR(IF(VLOOKUP($A27,TableHandbook[],6,FALSE)=0,"",VLOOKUP($A27,TableHandbook[],6,FALSE)),"")</f>
        <v/>
      </c>
      <c r="G27" s="211" t="str">
        <f>IFERROR(IF(VLOOKUP($A27,TableHandbook[],5,FALSE)=0,"",VLOOKUP($A27,TableHandbook[],5,FALSE)),"")</f>
        <v/>
      </c>
      <c r="H27" s="214" t="str">
        <f>IFERROR(VLOOKUP($A27,TableHandbook[],H$2,FALSE),"")</f>
        <v/>
      </c>
      <c r="I27" s="211" t="str">
        <f>IFERROR(VLOOKUP($A27,TableHandbook[],I$2,FALSE),"")</f>
        <v/>
      </c>
      <c r="J27" s="211" t="str">
        <f>IFERROR(VLOOKUP($A27,TableHandbook[],J$2,FALSE),"")</f>
        <v/>
      </c>
      <c r="K27" s="215" t="str">
        <f>IFERROR(VLOOKUP($A27,TableHandbook[],K$2,FALSE),"")</f>
        <v/>
      </c>
      <c r="L27" s="57"/>
      <c r="M27" s="216">
        <v>17</v>
      </c>
      <c r="N27" s="228"/>
      <c r="O27" s="228"/>
    </row>
    <row r="28" spans="1:16" s="239" customFormat="1" ht="13.9" customHeight="1" x14ac:dyDescent="0.2">
      <c r="A28" s="233"/>
      <c r="B28" s="234"/>
      <c r="C28" s="234"/>
      <c r="D28" s="235"/>
      <c r="E28" s="235"/>
      <c r="F28" s="236"/>
      <c r="G28" s="236"/>
      <c r="H28" s="236"/>
      <c r="I28" s="236"/>
      <c r="J28" s="236"/>
      <c r="K28" s="236"/>
      <c r="L28" s="236"/>
      <c r="M28" s="237"/>
      <c r="N28" s="238"/>
      <c r="O28" s="238"/>
    </row>
    <row r="29" spans="1:16" ht="16.5" x14ac:dyDescent="0.25">
      <c r="A29" s="240" t="s">
        <v>28</v>
      </c>
      <c r="B29" s="199"/>
      <c r="C29" s="199"/>
      <c r="D29" s="200"/>
      <c r="E29" s="201"/>
      <c r="F29" s="199"/>
      <c r="G29" s="199"/>
      <c r="H29" s="202" t="s">
        <v>17</v>
      </c>
      <c r="I29" s="203"/>
      <c r="J29" s="203"/>
      <c r="K29" s="204"/>
      <c r="L29" s="201"/>
      <c r="M29" s="241"/>
    </row>
    <row r="30" spans="1:16" s="242" customFormat="1" ht="21" x14ac:dyDescent="0.25">
      <c r="A30" s="199"/>
      <c r="B30" s="199"/>
      <c r="C30" s="199"/>
      <c r="D30" s="200" t="s">
        <v>3</v>
      </c>
      <c r="E30" s="207"/>
      <c r="F30" s="199" t="s">
        <v>20</v>
      </c>
      <c r="G30" s="199" t="s">
        <v>21</v>
      </c>
      <c r="H30" s="208" t="s">
        <v>22</v>
      </c>
      <c r="I30" s="207" t="s">
        <v>23</v>
      </c>
      <c r="J30" s="207" t="s">
        <v>24</v>
      </c>
      <c r="K30" s="209" t="s">
        <v>25</v>
      </c>
      <c r="L30" s="199" t="s">
        <v>26</v>
      </c>
      <c r="M30" s="241"/>
    </row>
    <row r="31" spans="1:16" ht="18" customHeight="1" x14ac:dyDescent="0.25">
      <c r="A31" s="243" t="str">
        <f>IFERROR(IF(HLOOKUP($L$4,RangeAltCores,M31,FALSE)=0,"",HLOOKUP($L$4,RangeAltCores,M31,FALSE)),"")</f>
        <v/>
      </c>
      <c r="B31" s="244" t="str">
        <f>IFERROR(IF(VLOOKUP($A31,TableHandbook[],2,FALSE)=0,"",VLOOKUP($A31,TableHandbook[],2,FALSE)),"")</f>
        <v/>
      </c>
      <c r="C31" s="245" t="str">
        <f>IFERROR(IF(VLOOKUP($A31,TableHandbook[],3,FALSE)=0,"",VLOOKUP($A31,TableHandbook[],3,FALSE)),"")</f>
        <v/>
      </c>
      <c r="D31" s="245" t="str">
        <f>IFERROR(IF(VLOOKUP($A31,TableHandbook[],4,FALSE)=0,"",VLOOKUP($A31,TableHandbook[],4,FALSE)),"")</f>
        <v/>
      </c>
      <c r="E31" s="246"/>
      <c r="F31" s="246" t="str">
        <f>IFERROR(IF(VLOOKUP($A31,TableHandbook[],6,FALSE)=0,"",VLOOKUP($A31,TableHandbook[],6,FALSE)),"")</f>
        <v/>
      </c>
      <c r="G31" s="246" t="str">
        <f>IFERROR(IF(VLOOKUP($A31,TableHandbook[],5,FALSE)=0,"",VLOOKUP($A31,TableHandbook[],5,FALSE)),"")</f>
        <v/>
      </c>
      <c r="H31" s="214" t="str">
        <f>IFERROR(VLOOKUP($A31,TableHandbook[],H$2,FALSE),"")</f>
        <v/>
      </c>
      <c r="I31" s="211" t="str">
        <f>IFERROR(VLOOKUP($A31,TableHandbook[],I$2,FALSE),"")</f>
        <v/>
      </c>
      <c r="J31" s="211" t="str">
        <f>IFERROR(VLOOKUP($A31,TableHandbook[],J$2,FALSE),"")</f>
        <v/>
      </c>
      <c r="K31" s="215" t="str">
        <f>IFERROR(VLOOKUP($A31,TableHandbook[],K$2,FALSE),"")</f>
        <v/>
      </c>
      <c r="L31" s="59"/>
      <c r="M31" s="216">
        <v>2</v>
      </c>
    </row>
    <row r="32" spans="1:16" ht="18" customHeight="1" x14ac:dyDescent="0.25">
      <c r="A32" s="243" t="str">
        <f>IFERROR(IF(HLOOKUP($L$4,RangeAltCores,M32,FALSE)=0,"",HLOOKUP($L$4,RangeAltCores,M32,FALSE)),"")</f>
        <v/>
      </c>
      <c r="B32" s="244" t="str">
        <f>IFERROR(IF(VLOOKUP($A32,TableHandbook[],2,FALSE)=0,"",VLOOKUP($A32,TableHandbook[],2,FALSE)),"")</f>
        <v/>
      </c>
      <c r="C32" s="245" t="str">
        <f>IFERROR(IF(VLOOKUP($A32,TableHandbook[],3,FALSE)=0,"",VLOOKUP($A32,TableHandbook[],3,FALSE)),"")</f>
        <v/>
      </c>
      <c r="D32" s="245" t="str">
        <f>IFERROR(IF(VLOOKUP($A32,TableHandbook[],4,FALSE)=0,"",VLOOKUP($A32,TableHandbook[],4,FALSE)),"")</f>
        <v/>
      </c>
      <c r="E32" s="246"/>
      <c r="F32" s="246" t="str">
        <f>IFERROR(IF(VLOOKUP($A32,TableHandbook[],6,FALSE)=0,"",VLOOKUP($A32,TableHandbook[],6,FALSE)),"")</f>
        <v/>
      </c>
      <c r="G32" s="246" t="str">
        <f>IFERROR(IF(VLOOKUP($A32,TableHandbook[],5,FALSE)=0,"",VLOOKUP($A32,TableHandbook[],5,FALSE)),"")</f>
        <v/>
      </c>
      <c r="H32" s="214" t="str">
        <f>IFERROR(VLOOKUP($A32,TableHandbook[],H$2,FALSE),"")</f>
        <v/>
      </c>
      <c r="I32" s="211" t="str">
        <f>IFERROR(VLOOKUP($A32,TableHandbook[],I$2,FALSE),"")</f>
        <v/>
      </c>
      <c r="J32" s="211" t="str">
        <f>IFERROR(VLOOKUP($A32,TableHandbook[],J$2,FALSE),"")</f>
        <v/>
      </c>
      <c r="K32" s="215" t="str">
        <f>IFERROR(VLOOKUP($A32,TableHandbook[],K$2,FALSE),"")</f>
        <v/>
      </c>
      <c r="L32" s="59"/>
      <c r="M32" s="216">
        <v>3</v>
      </c>
    </row>
    <row r="33" spans="1:15" ht="18" customHeight="1" x14ac:dyDescent="0.25">
      <c r="A33" s="243" t="str">
        <f>IFERROR(IF(HLOOKUP($L$4,RangeAltCores,M33,FALSE)=0,"",HLOOKUP($L$4,RangeAltCores,M33,FALSE)),"")</f>
        <v/>
      </c>
      <c r="B33" s="244" t="str">
        <f>IFERROR(IF(VLOOKUP($A33,TableHandbook[],2,FALSE)=0,"",VLOOKUP($A33,TableHandbook[],2,FALSE)),"")</f>
        <v/>
      </c>
      <c r="C33" s="245" t="str">
        <f>IFERROR(IF(VLOOKUP($A33,TableHandbook[],3,FALSE)=0,"",VLOOKUP($A33,TableHandbook[],3,FALSE)),"")</f>
        <v/>
      </c>
      <c r="D33" s="245" t="str">
        <f>IFERROR(IF(VLOOKUP($A33,TableHandbook[],4,FALSE)=0,"",VLOOKUP($A33,TableHandbook[],4,FALSE)),"")</f>
        <v/>
      </c>
      <c r="E33" s="246"/>
      <c r="F33" s="246" t="str">
        <f>IFERROR(IF(VLOOKUP($A33,TableHandbook[],6,FALSE)=0,"",VLOOKUP($A33,TableHandbook[],6,FALSE)),"")</f>
        <v/>
      </c>
      <c r="G33" s="246" t="str">
        <f>IFERROR(IF(VLOOKUP($A33,TableHandbook[],5,FALSE)=0,"",VLOOKUP($A33,TableHandbook[],5,FALSE)),"")</f>
        <v/>
      </c>
      <c r="H33" s="214" t="str">
        <f>IFERROR(VLOOKUP($A33,TableHandbook[],H$2,FALSE),"")</f>
        <v/>
      </c>
      <c r="I33" s="211" t="str">
        <f>IFERROR(VLOOKUP($A33,TableHandbook[],I$2,FALSE),"")</f>
        <v/>
      </c>
      <c r="J33" s="211" t="str">
        <f>IFERROR(VLOOKUP($A33,TableHandbook[],J$2,FALSE),"")</f>
        <v/>
      </c>
      <c r="K33" s="215" t="str">
        <f>IFERROR(VLOOKUP($A33,TableHandbook[],K$2,FALSE),"")</f>
        <v/>
      </c>
      <c r="L33" s="59"/>
      <c r="M33" s="216">
        <v>4</v>
      </c>
    </row>
    <row r="34" spans="1:15" ht="18" customHeight="1" x14ac:dyDescent="0.25">
      <c r="A34" s="247"/>
      <c r="B34" s="247"/>
      <c r="C34" s="248"/>
      <c r="D34" s="248"/>
      <c r="E34" s="248"/>
      <c r="F34" s="248"/>
      <c r="G34" s="248"/>
      <c r="H34" s="249"/>
      <c r="I34" s="249"/>
      <c r="J34" s="249"/>
      <c r="K34" s="249"/>
      <c r="L34" s="249"/>
      <c r="M34" s="216"/>
    </row>
    <row r="35" spans="1:15" ht="32.25" customHeight="1" x14ac:dyDescent="0.25">
      <c r="A35" s="256" t="s">
        <v>29</v>
      </c>
      <c r="B35" s="256"/>
      <c r="C35" s="256"/>
      <c r="D35" s="256"/>
      <c r="E35" s="256"/>
      <c r="F35" s="256"/>
      <c r="G35" s="256"/>
      <c r="H35" s="256"/>
      <c r="I35" s="256"/>
      <c r="J35" s="256"/>
      <c r="K35" s="256"/>
      <c r="L35" s="256"/>
    </row>
    <row r="36" spans="1:15" s="251" customFormat="1" ht="17.25" x14ac:dyDescent="0.3">
      <c r="A36" s="140" t="s">
        <v>30</v>
      </c>
      <c r="B36" s="140"/>
      <c r="C36" s="140"/>
      <c r="D36" s="141"/>
      <c r="E36" s="141"/>
      <c r="F36" s="141"/>
      <c r="G36" s="141"/>
      <c r="H36" s="141"/>
      <c r="I36" s="141"/>
      <c r="J36" s="141"/>
      <c r="K36" s="141"/>
      <c r="L36" s="141"/>
      <c r="M36" s="250"/>
      <c r="N36" s="250"/>
      <c r="O36" s="250"/>
    </row>
    <row r="37" spans="1:15" ht="15" customHeight="1" x14ac:dyDescent="0.25">
      <c r="A37" s="252" t="s">
        <v>31</v>
      </c>
      <c r="B37" s="252"/>
      <c r="C37" s="252"/>
      <c r="D37" s="252"/>
      <c r="E37" s="253"/>
      <c r="F37" s="236"/>
      <c r="G37" s="254"/>
      <c r="H37" s="254"/>
      <c r="I37" s="254"/>
      <c r="J37" s="254"/>
      <c r="K37" s="254"/>
      <c r="L37" s="254" t="s">
        <v>32</v>
      </c>
    </row>
  </sheetData>
  <sheetProtection formatCells="0"/>
  <mergeCells count="2">
    <mergeCell ref="A3:D3"/>
    <mergeCell ref="A35:L35"/>
  </mergeCells>
  <conditionalFormatting sqref="D5:D6">
    <cfRule type="containsText" dxfId="111" priority="3" operator="containsText" text="Choose">
      <formula>NOT(ISERROR(SEARCH("Choose",D5)))</formula>
    </cfRule>
  </conditionalFormatting>
  <conditionalFormatting sqref="A31:L34">
    <cfRule type="expression" dxfId="110" priority="2">
      <formula>LEFT($D31,5)="Study"</formula>
    </cfRule>
  </conditionalFormatting>
  <dataValidations count="1">
    <dataValidation type="list" allowBlank="1" showInputMessage="1" showErrorMessage="1" sqref="L23 L13"/>
  </dataValidations>
  <hyperlinks>
    <hyperlink ref="A36:L36"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Unitsets!$A$19:$A$21</xm:f>
          </x14:formula1>
          <xm:sqref>D6</xm:sqref>
        </x14:dataValidation>
        <x14:dataValidation type="list" showInputMessage="1" showErrorMessage="1">
          <x14:formula1>
            <xm:f>Unitsets!$A$13:$A$15</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zoomScaleNormal="100" workbookViewId="0">
      <selection activeCell="D6" sqref="D6"/>
    </sheetView>
  </sheetViews>
  <sheetFormatPr defaultRowHeight="15.75" x14ac:dyDescent="0.25"/>
  <cols>
    <col min="1" max="1" width="47.75" style="18" bestFit="1" customWidth="1"/>
    <col min="2" max="2" width="22.375" style="13" bestFit="1" customWidth="1"/>
    <col min="3" max="3" width="8.875" style="13" bestFit="1" customWidth="1"/>
    <col min="4" max="4" width="19.375" style="13" bestFit="1" customWidth="1"/>
    <col min="5" max="5" width="13.75" style="13" bestFit="1" customWidth="1"/>
    <col min="6" max="6" width="13.125" style="13" bestFit="1" customWidth="1"/>
    <col min="7" max="7" width="23.125" style="13" customWidth="1"/>
    <col min="8" max="8" width="12.25" style="13" bestFit="1" customWidth="1"/>
    <col min="9" max="9" width="3.625" customWidth="1"/>
    <col min="10" max="10" width="6.625" customWidth="1"/>
    <col min="11" max="11" width="7.625" customWidth="1"/>
    <col min="12" max="12" width="6" customWidth="1"/>
    <col min="13" max="13" width="7.625" customWidth="1"/>
    <col min="14" max="14" width="6" customWidth="1"/>
    <col min="15" max="15" width="7.625" customWidth="1"/>
    <col min="16" max="16" width="6" customWidth="1"/>
    <col min="17" max="17" width="7.625" customWidth="1"/>
    <col min="18" max="18" width="6" customWidth="1"/>
    <col min="19" max="19" width="9.125" customWidth="1"/>
    <col min="20" max="20" width="6" customWidth="1"/>
    <col min="21" max="21" width="9.125" customWidth="1"/>
    <col min="22" max="22" width="6" customWidth="1"/>
    <col min="23" max="23" width="9.125" customWidth="1"/>
    <col min="24" max="24" width="6" customWidth="1"/>
    <col min="25" max="25" width="9.125" customWidth="1"/>
    <col min="26" max="26" width="6" customWidth="1"/>
    <col min="27" max="27" width="9.125" customWidth="1"/>
    <col min="28" max="28" width="6" customWidth="1"/>
    <col min="29" max="29" width="9.125" customWidth="1"/>
    <col min="30" max="30" width="6" customWidth="1"/>
    <col min="31" max="31" width="9.5" customWidth="1"/>
    <col min="32" max="32" width="6" customWidth="1"/>
    <col min="33" max="33" width="9.125" customWidth="1"/>
    <col min="34" max="34" width="6.625" customWidth="1"/>
    <col min="35" max="35" width="26.5" bestFit="1" customWidth="1"/>
    <col min="36" max="36" width="4.625" customWidth="1"/>
    <col min="37" max="37" width="7.625" customWidth="1"/>
    <col min="38" max="38" width="37" bestFit="1" customWidth="1"/>
    <col min="39" max="39" width="7.625" customWidth="1"/>
    <col min="40" max="40" width="20.375" bestFit="1" customWidth="1"/>
    <col min="41" max="44" width="5.625" customWidth="1"/>
    <col min="46" max="46" width="4.375" customWidth="1"/>
    <col min="47" max="47" width="34.5" bestFit="1" customWidth="1"/>
    <col min="49" max="49" width="20.875" bestFit="1" customWidth="1"/>
  </cols>
  <sheetData>
    <row r="1" spans="1:52" ht="16.5" thickBot="1" x14ac:dyDescent="0.3">
      <c r="A1" s="20" t="s">
        <v>35</v>
      </c>
      <c r="B1" s="21"/>
      <c r="C1" s="21"/>
      <c r="D1" s="21"/>
      <c r="J1" s="47"/>
      <c r="O1" t="s">
        <v>36</v>
      </c>
    </row>
    <row r="2" spans="1:52" ht="16.5" thickBot="1" x14ac:dyDescent="0.3">
      <c r="K2" s="16"/>
      <c r="L2" s="17"/>
      <c r="M2" s="16"/>
      <c r="N2" s="15"/>
      <c r="O2" s="16"/>
      <c r="P2" s="17"/>
      <c r="Q2" s="16"/>
      <c r="R2" s="52" t="s">
        <v>37</v>
      </c>
      <c r="S2" s="16"/>
      <c r="T2" s="15"/>
      <c r="U2" s="16"/>
      <c r="V2" s="113" t="s">
        <v>38</v>
      </c>
      <c r="W2" s="112"/>
      <c r="X2" s="17"/>
      <c r="Y2" s="16"/>
      <c r="Z2" s="52" t="s">
        <v>39</v>
      </c>
      <c r="AA2" s="16"/>
      <c r="AD2" s="114" t="s">
        <v>38</v>
      </c>
      <c r="AF2" s="9"/>
      <c r="AG2" s="9"/>
      <c r="AH2" s="17"/>
      <c r="AI2" s="118" t="s">
        <v>40</v>
      </c>
      <c r="AJ2">
        <v>2</v>
      </c>
      <c r="AK2">
        <v>3</v>
      </c>
      <c r="AL2">
        <v>4</v>
      </c>
      <c r="AM2">
        <v>5</v>
      </c>
      <c r="AN2">
        <v>6</v>
      </c>
      <c r="AO2">
        <v>7</v>
      </c>
      <c r="AP2">
        <v>8</v>
      </c>
      <c r="AQ2">
        <v>9</v>
      </c>
      <c r="AR2">
        <v>10</v>
      </c>
      <c r="AS2" s="29"/>
      <c r="AT2" s="29"/>
      <c r="AU2" s="29"/>
      <c r="AV2" s="29"/>
      <c r="AW2" s="29"/>
      <c r="AX2" s="29"/>
      <c r="AY2" s="29"/>
      <c r="AZ2" s="29"/>
    </row>
    <row r="3" spans="1:52" ht="33.75" x14ac:dyDescent="0.25">
      <c r="H3" s="115" t="s">
        <v>41</v>
      </c>
      <c r="I3" s="4">
        <v>1</v>
      </c>
      <c r="J3" s="99"/>
      <c r="K3" s="100" t="s">
        <v>42</v>
      </c>
      <c r="L3" s="103"/>
      <c r="M3" s="104" t="s">
        <v>40</v>
      </c>
      <c r="N3" s="99"/>
      <c r="O3" s="101" t="s">
        <v>43</v>
      </c>
      <c r="P3" s="105"/>
      <c r="Q3" s="104" t="s">
        <v>44</v>
      </c>
      <c r="R3" s="110"/>
      <c r="S3" s="130" t="s">
        <v>45</v>
      </c>
      <c r="T3" s="110"/>
      <c r="U3" s="130" t="s">
        <v>46</v>
      </c>
      <c r="V3" s="111"/>
      <c r="W3" s="131" t="s">
        <v>47</v>
      </c>
      <c r="X3" s="111"/>
      <c r="Y3" s="132" t="s">
        <v>48</v>
      </c>
      <c r="Z3" s="102"/>
      <c r="AA3" s="133" t="s">
        <v>49</v>
      </c>
      <c r="AB3" s="102"/>
      <c r="AC3" s="134" t="s">
        <v>50</v>
      </c>
      <c r="AD3" s="106"/>
      <c r="AE3" s="135" t="s">
        <v>51</v>
      </c>
      <c r="AF3" s="106"/>
      <c r="AG3" s="135" t="s">
        <v>52</v>
      </c>
      <c r="AH3" s="48"/>
      <c r="AI3" s="60" t="s">
        <v>53</v>
      </c>
      <c r="AJ3" s="60" t="s">
        <v>1</v>
      </c>
      <c r="AK3" s="61"/>
      <c r="AL3" s="60" t="s">
        <v>54</v>
      </c>
      <c r="AM3" s="62" t="s">
        <v>6</v>
      </c>
      <c r="AN3" s="62" t="s">
        <v>55</v>
      </c>
      <c r="AO3" s="67" t="s">
        <v>56</v>
      </c>
      <c r="AP3" s="67" t="s">
        <v>57</v>
      </c>
      <c r="AQ3" s="67" t="s">
        <v>58</v>
      </c>
      <c r="AR3" s="67" t="s">
        <v>59</v>
      </c>
      <c r="AS3" s="29"/>
      <c r="AT3" s="29"/>
      <c r="AU3" s="29"/>
      <c r="AV3" s="29"/>
      <c r="AW3" s="29"/>
      <c r="AX3" s="29"/>
      <c r="AY3" s="29"/>
      <c r="AZ3" s="29"/>
    </row>
    <row r="4" spans="1:52" x14ac:dyDescent="0.25">
      <c r="I4" s="25">
        <v>2</v>
      </c>
      <c r="J4" s="1" t="s">
        <v>60</v>
      </c>
      <c r="K4" s="31" t="s">
        <v>61</v>
      </c>
      <c r="L4" s="1" t="s">
        <v>62</v>
      </c>
      <c r="M4" s="31" t="s">
        <v>61</v>
      </c>
      <c r="N4" s="1" t="s">
        <v>60</v>
      </c>
      <c r="O4" s="31" t="s">
        <v>61</v>
      </c>
      <c r="P4" s="1" t="s">
        <v>62</v>
      </c>
      <c r="Q4" s="31" t="s">
        <v>61</v>
      </c>
      <c r="R4" s="1" t="s">
        <v>60</v>
      </c>
      <c r="S4" s="45" t="s">
        <v>61</v>
      </c>
      <c r="T4" s="1" t="s">
        <v>60</v>
      </c>
      <c r="U4" s="98" t="s">
        <v>61</v>
      </c>
      <c r="V4" s="1" t="s">
        <v>62</v>
      </c>
      <c r="W4" s="98" t="s">
        <v>61</v>
      </c>
      <c r="X4" s="1" t="s">
        <v>62</v>
      </c>
      <c r="Y4" s="98" t="s">
        <v>61</v>
      </c>
      <c r="Z4" s="2" t="s">
        <v>60</v>
      </c>
      <c r="AA4" s="45" t="s">
        <v>61</v>
      </c>
      <c r="AB4" s="1" t="s">
        <v>60</v>
      </c>
      <c r="AC4" s="45" t="s">
        <v>61</v>
      </c>
      <c r="AD4" s="1" t="s">
        <v>62</v>
      </c>
      <c r="AE4" s="98" t="s">
        <v>61</v>
      </c>
      <c r="AF4" s="1" t="s">
        <v>62</v>
      </c>
      <c r="AG4" s="98" t="s">
        <v>61</v>
      </c>
      <c r="AH4" s="4"/>
      <c r="AI4" s="74" t="str">
        <f t="shared" ref="AI4:AI19" si="0">HLOOKUP($AI$2,$J$3:$AG$19,I4,FALSE)</f>
        <v>PRJM6000</v>
      </c>
      <c r="AJ4" s="75">
        <f>VLOOKUP($AI4,TableHandbook[],AJ$2,FALSE)</f>
        <v>1</v>
      </c>
      <c r="AK4" s="76">
        <f>VLOOKUP($AI4,TableHandbook[],AK$2,FALSE)</f>
        <v>0</v>
      </c>
      <c r="AL4" s="77" t="str">
        <f>VLOOKUP($AI4,TableHandbook[],AL$2,FALSE)</f>
        <v>Project Management Overview</v>
      </c>
      <c r="AM4" s="78">
        <f>VLOOKUP($AI4,TableHandbook[],AM$2,FALSE)</f>
        <v>25</v>
      </c>
      <c r="AN4" s="78" t="str">
        <f>VLOOKUP($AI4,TableHandbook[],AN$2,FALSE)</f>
        <v>None</v>
      </c>
      <c r="AO4" s="79" t="str">
        <f>VLOOKUP($AI4,TableHandbook[],AO$2,FALSE)</f>
        <v>Y</v>
      </c>
      <c r="AP4" s="79" t="str">
        <f>VLOOKUP($AI4,TableHandbook[],AP$2,FALSE)</f>
        <v>Y</v>
      </c>
      <c r="AQ4" s="79" t="str">
        <f>VLOOKUP($AI4,TableHandbook[],AQ$2,FALSE)</f>
        <v>Y</v>
      </c>
      <c r="AR4" s="80" t="str">
        <f>VLOOKUP($AI4,TableHandbook[],AR$2,FALSE)</f>
        <v>Y</v>
      </c>
      <c r="AS4" s="29"/>
      <c r="AT4" s="29"/>
      <c r="AU4" s="29"/>
      <c r="AV4" s="29"/>
      <c r="AW4" s="29"/>
      <c r="AX4" s="29"/>
      <c r="AY4" s="29"/>
      <c r="AZ4" s="29"/>
    </row>
    <row r="5" spans="1:52" x14ac:dyDescent="0.25">
      <c r="A5" s="129" t="s">
        <v>63</v>
      </c>
      <c r="I5" s="25">
        <v>3</v>
      </c>
      <c r="J5" s="3" t="s">
        <v>60</v>
      </c>
      <c r="K5" s="4" t="s">
        <v>64</v>
      </c>
      <c r="L5" s="3" t="s">
        <v>62</v>
      </c>
      <c r="M5" s="4" t="s">
        <v>64</v>
      </c>
      <c r="N5" s="3" t="s">
        <v>60</v>
      </c>
      <c r="O5" s="4" t="s">
        <v>64</v>
      </c>
      <c r="P5" s="3" t="s">
        <v>62</v>
      </c>
      <c r="Q5" s="4" t="s">
        <v>64</v>
      </c>
      <c r="R5" s="3" t="s">
        <v>60</v>
      </c>
      <c r="S5" s="32" t="s">
        <v>64</v>
      </c>
      <c r="T5" s="3" t="s">
        <v>60</v>
      </c>
      <c r="U5" s="32" t="s">
        <v>64</v>
      </c>
      <c r="V5" s="3" t="s">
        <v>62</v>
      </c>
      <c r="W5" s="32" t="s">
        <v>64</v>
      </c>
      <c r="X5" s="3" t="s">
        <v>62</v>
      </c>
      <c r="Y5" s="32" t="s">
        <v>64</v>
      </c>
      <c r="Z5" s="4" t="s">
        <v>60</v>
      </c>
      <c r="AA5" s="46" t="s">
        <v>64</v>
      </c>
      <c r="AB5" s="3" t="s">
        <v>60</v>
      </c>
      <c r="AC5" s="46" t="s">
        <v>64</v>
      </c>
      <c r="AD5" s="3" t="s">
        <v>62</v>
      </c>
      <c r="AE5" s="32" t="s">
        <v>64</v>
      </c>
      <c r="AF5" s="3" t="s">
        <v>62</v>
      </c>
      <c r="AG5" s="32" t="s">
        <v>64</v>
      </c>
      <c r="AH5" s="4"/>
      <c r="AI5" s="81" t="str">
        <f t="shared" si="0"/>
        <v>PRJM6001</v>
      </c>
      <c r="AJ5" s="10">
        <f>VLOOKUP($AI5,TableHandbook[],AJ$2,FALSE)</f>
        <v>1</v>
      </c>
      <c r="AK5">
        <f>VLOOKUP($AI5,TableHandbook[],AK$2,FALSE)</f>
        <v>0</v>
      </c>
      <c r="AL5" s="9" t="str">
        <f>VLOOKUP($AI5,TableHandbook[],AL$2,FALSE)</f>
        <v>Project Cost Management</v>
      </c>
      <c r="AM5" s="53">
        <f>VLOOKUP($AI5,TableHandbook[],AM$2,FALSE)</f>
        <v>25</v>
      </c>
      <c r="AN5" s="53" t="str">
        <f>VLOOKUP($AI5,TableHandbook[],AN$2,FALSE)</f>
        <v>None</v>
      </c>
      <c r="AO5" s="6" t="str">
        <f>VLOOKUP($AI5,TableHandbook[],AO$2,FALSE)</f>
        <v>Y</v>
      </c>
      <c r="AP5" s="6" t="str">
        <f>VLOOKUP($AI5,TableHandbook[],AP$2,FALSE)</f>
        <v>Y</v>
      </c>
      <c r="AQ5" s="6" t="str">
        <f>VLOOKUP($AI5,TableHandbook[],AQ$2,FALSE)</f>
        <v>Y</v>
      </c>
      <c r="AR5" s="82" t="str">
        <f>VLOOKUP($AI5,TableHandbook[],AR$2,FALSE)</f>
        <v>Y</v>
      </c>
      <c r="AS5" s="29"/>
      <c r="AT5" s="29"/>
      <c r="AU5" s="29"/>
      <c r="AV5" s="29"/>
      <c r="AW5" s="29"/>
      <c r="AX5" s="29"/>
      <c r="AY5" s="29"/>
      <c r="AZ5" s="29"/>
    </row>
    <row r="6" spans="1:52" x14ac:dyDescent="0.25">
      <c r="A6" s="13" t="s">
        <v>65</v>
      </c>
      <c r="B6" s="18" t="s">
        <v>0</v>
      </c>
      <c r="C6" s="13" t="s">
        <v>66</v>
      </c>
      <c r="D6" s="13" t="s">
        <v>67</v>
      </c>
      <c r="E6" s="13" t="s">
        <v>68</v>
      </c>
      <c r="F6" s="147" t="s">
        <v>69</v>
      </c>
      <c r="G6" s="147" t="s">
        <v>70</v>
      </c>
      <c r="I6" s="25">
        <v>4</v>
      </c>
      <c r="J6" s="3" t="s">
        <v>60</v>
      </c>
      <c r="K6" s="4" t="s">
        <v>71</v>
      </c>
      <c r="L6" s="3" t="s">
        <v>62</v>
      </c>
      <c r="M6" s="4" t="s">
        <v>71</v>
      </c>
      <c r="N6" s="3" t="s">
        <v>60</v>
      </c>
      <c r="O6" s="4" t="s">
        <v>71</v>
      </c>
      <c r="P6" s="3" t="s">
        <v>62</v>
      </c>
      <c r="Q6" s="4" t="s">
        <v>71</v>
      </c>
      <c r="R6" s="3" t="s">
        <v>60</v>
      </c>
      <c r="S6" s="32" t="s">
        <v>71</v>
      </c>
      <c r="T6" s="3" t="s">
        <v>60</v>
      </c>
      <c r="U6" s="32" t="s">
        <v>71</v>
      </c>
      <c r="V6" s="3" t="s">
        <v>62</v>
      </c>
      <c r="W6" s="32" t="s">
        <v>71</v>
      </c>
      <c r="X6" s="3" t="s">
        <v>62</v>
      </c>
      <c r="Y6" s="32" t="s">
        <v>71</v>
      </c>
      <c r="Z6" s="4" t="s">
        <v>60</v>
      </c>
      <c r="AA6" s="46" t="s">
        <v>72</v>
      </c>
      <c r="AB6" s="3" t="s">
        <v>60</v>
      </c>
      <c r="AC6" s="46" t="s">
        <v>72</v>
      </c>
      <c r="AD6" s="3" t="s">
        <v>62</v>
      </c>
      <c r="AE6" s="32" t="s">
        <v>72</v>
      </c>
      <c r="AF6" s="3" t="s">
        <v>62</v>
      </c>
      <c r="AG6" s="32" t="s">
        <v>72</v>
      </c>
      <c r="AH6" s="4"/>
      <c r="AI6" s="81" t="str">
        <f t="shared" si="0"/>
        <v>PRJM6002</v>
      </c>
      <c r="AJ6" s="10">
        <f>VLOOKUP($AI6,TableHandbook[],AJ$2,FALSE)</f>
        <v>2</v>
      </c>
      <c r="AK6">
        <f>VLOOKUP($AI6,TableHandbook[],AK$2,FALSE)</f>
        <v>0</v>
      </c>
      <c r="AL6" s="9" t="str">
        <f>VLOOKUP($AI6,TableHandbook[],AL$2,FALSE)</f>
        <v>Project Planning and Schedule Management</v>
      </c>
      <c r="AM6" s="53">
        <f>VLOOKUP($AI6,TableHandbook[],AM$2,FALSE)</f>
        <v>25</v>
      </c>
      <c r="AN6" s="53" t="str">
        <f>VLOOKUP($AI6,TableHandbook[],AN$2,FALSE)</f>
        <v>None</v>
      </c>
      <c r="AO6" s="6" t="str">
        <f>VLOOKUP($AI6,TableHandbook[],AO$2,FALSE)</f>
        <v>Y</v>
      </c>
      <c r="AP6" s="6" t="str">
        <f>VLOOKUP($AI6,TableHandbook[],AP$2,FALSE)</f>
        <v>Y</v>
      </c>
      <c r="AQ6" s="6" t="str">
        <f>VLOOKUP($AI6,TableHandbook[],AQ$2,FALSE)</f>
        <v>Y</v>
      </c>
      <c r="AR6" s="82" t="str">
        <f>VLOOKUP($AI6,TableHandbook[],AR$2,FALSE)</f>
        <v>Y</v>
      </c>
      <c r="AS6" s="13"/>
      <c r="AT6" s="10"/>
      <c r="AU6" s="29"/>
      <c r="AV6" s="29"/>
      <c r="AW6" s="29"/>
      <c r="AX6" s="29"/>
      <c r="AY6" s="29"/>
      <c r="AZ6" s="29"/>
    </row>
    <row r="7" spans="1:52" x14ac:dyDescent="0.25">
      <c r="A7" s="13" t="s">
        <v>73</v>
      </c>
      <c r="B7" s="148" t="s">
        <v>74</v>
      </c>
      <c r="C7" s="14" t="s">
        <v>75</v>
      </c>
      <c r="D7" s="14" t="s">
        <v>76</v>
      </c>
      <c r="E7" s="172">
        <v>42005</v>
      </c>
      <c r="F7" s="172">
        <v>44013</v>
      </c>
      <c r="G7" s="147" t="s">
        <v>77</v>
      </c>
      <c r="I7" s="25">
        <v>5</v>
      </c>
      <c r="J7" s="3" t="s">
        <v>60</v>
      </c>
      <c r="K7" s="4" t="s">
        <v>72</v>
      </c>
      <c r="L7" s="3" t="s">
        <v>62</v>
      </c>
      <c r="M7" s="4" t="s">
        <v>72</v>
      </c>
      <c r="N7" s="3" t="s">
        <v>60</v>
      </c>
      <c r="O7" s="4" t="s">
        <v>72</v>
      </c>
      <c r="P7" s="3" t="s">
        <v>62</v>
      </c>
      <c r="Q7" s="4" t="s">
        <v>72</v>
      </c>
      <c r="R7" s="3" t="s">
        <v>60</v>
      </c>
      <c r="S7" s="32" t="s">
        <v>72</v>
      </c>
      <c r="T7" s="3" t="s">
        <v>60</v>
      </c>
      <c r="U7" s="32" t="s">
        <v>72</v>
      </c>
      <c r="V7" s="3" t="s">
        <v>62</v>
      </c>
      <c r="W7" s="32" t="s">
        <v>72</v>
      </c>
      <c r="X7" s="3" t="s">
        <v>62</v>
      </c>
      <c r="Y7" s="32" t="s">
        <v>72</v>
      </c>
      <c r="Z7" s="4" t="s">
        <v>60</v>
      </c>
      <c r="AA7" s="46" t="s">
        <v>78</v>
      </c>
      <c r="AB7" s="3" t="s">
        <v>60</v>
      </c>
      <c r="AC7" s="46" t="s">
        <v>78</v>
      </c>
      <c r="AD7" s="3" t="s">
        <v>62</v>
      </c>
      <c r="AE7" s="32" t="s">
        <v>78</v>
      </c>
      <c r="AF7" s="3" t="s">
        <v>62</v>
      </c>
      <c r="AG7" s="32" t="s">
        <v>78</v>
      </c>
      <c r="AH7" s="4"/>
      <c r="AI7" s="81" t="str">
        <f t="shared" si="0"/>
        <v>PRJM6010</v>
      </c>
      <c r="AJ7" s="10">
        <f>VLOOKUP($AI7,TableHandbook[],AJ$2,FALSE)</f>
        <v>1</v>
      </c>
      <c r="AK7">
        <f>VLOOKUP($AI7,TableHandbook[],AK$2,FALSE)</f>
        <v>0</v>
      </c>
      <c r="AL7" s="9" t="str">
        <f>VLOOKUP($AI7,TableHandbook[],AL$2,FALSE)</f>
        <v>Project and People</v>
      </c>
      <c r="AM7" s="53">
        <f>VLOOKUP($AI7,TableHandbook[],AM$2,FALSE)</f>
        <v>25</v>
      </c>
      <c r="AN7" s="53" t="str">
        <f>VLOOKUP($AI7,TableHandbook[],AN$2,FALSE)</f>
        <v>None</v>
      </c>
      <c r="AO7" s="6" t="str">
        <f>VLOOKUP($AI7,TableHandbook[],AO$2,FALSE)</f>
        <v>Y</v>
      </c>
      <c r="AP7" s="6" t="str">
        <f>VLOOKUP($AI7,TableHandbook[],AP$2,FALSE)</f>
        <v>Y</v>
      </c>
      <c r="AQ7" s="6" t="str">
        <f>VLOOKUP($AI7,TableHandbook[],AQ$2,FALSE)</f>
        <v>Y</v>
      </c>
      <c r="AR7" s="82" t="str">
        <f>VLOOKUP($AI7,TableHandbook[],AR$2,FALSE)</f>
        <v>Y</v>
      </c>
      <c r="AS7" s="13"/>
      <c r="AT7" s="10"/>
      <c r="AU7" s="9"/>
      <c r="AV7" s="10"/>
      <c r="AW7" s="9"/>
      <c r="AX7" s="10"/>
      <c r="AY7" s="10"/>
    </row>
    <row r="8" spans="1:52" x14ac:dyDescent="0.25">
      <c r="A8" s="13" t="s">
        <v>79</v>
      </c>
      <c r="B8" s="148" t="s">
        <v>80</v>
      </c>
      <c r="C8" s="14" t="s">
        <v>81</v>
      </c>
      <c r="D8" s="14" t="s">
        <v>82</v>
      </c>
      <c r="E8" s="172">
        <v>44562</v>
      </c>
      <c r="F8" s="172">
        <v>44562</v>
      </c>
      <c r="G8" s="147" t="s">
        <v>77</v>
      </c>
      <c r="I8" s="25">
        <v>6</v>
      </c>
      <c r="J8" s="1"/>
      <c r="K8" s="2"/>
      <c r="L8" s="2"/>
      <c r="M8" s="98"/>
      <c r="N8" s="3" t="s">
        <v>62</v>
      </c>
      <c r="O8" s="4" t="s">
        <v>83</v>
      </c>
      <c r="P8" s="3" t="s">
        <v>60</v>
      </c>
      <c r="Q8" s="4" t="s">
        <v>83</v>
      </c>
      <c r="R8" s="3" t="s">
        <v>62</v>
      </c>
      <c r="S8" s="32" t="s">
        <v>84</v>
      </c>
      <c r="T8" s="3" t="s">
        <v>62</v>
      </c>
      <c r="U8" s="32" t="s">
        <v>84</v>
      </c>
      <c r="V8" s="3" t="s">
        <v>60</v>
      </c>
      <c r="W8" s="32" t="s">
        <v>84</v>
      </c>
      <c r="X8" s="3" t="s">
        <v>60</v>
      </c>
      <c r="Y8" s="32" t="s">
        <v>84</v>
      </c>
      <c r="Z8" s="4" t="s">
        <v>62</v>
      </c>
      <c r="AA8" s="46" t="s">
        <v>71</v>
      </c>
      <c r="AB8" s="3" t="s">
        <v>62</v>
      </c>
      <c r="AC8" s="46" t="s">
        <v>71</v>
      </c>
      <c r="AD8" s="3" t="s">
        <v>60</v>
      </c>
      <c r="AE8" s="32" t="s">
        <v>71</v>
      </c>
      <c r="AF8" s="3" t="s">
        <v>60</v>
      </c>
      <c r="AG8" s="32" t="s">
        <v>71</v>
      </c>
      <c r="AH8" s="4"/>
      <c r="AI8" s="74">
        <f t="shared" si="0"/>
        <v>0</v>
      </c>
      <c r="AJ8" s="75" t="e">
        <f>VLOOKUP($AI8,TableHandbook[],AJ$2,FALSE)</f>
        <v>#N/A</v>
      </c>
      <c r="AK8" s="76" t="e">
        <f>VLOOKUP($AI8,TableHandbook[],AK$2,FALSE)</f>
        <v>#N/A</v>
      </c>
      <c r="AL8" s="77" t="e">
        <f>VLOOKUP($AI8,TableHandbook[],AL$2,FALSE)</f>
        <v>#N/A</v>
      </c>
      <c r="AM8" s="78" t="e">
        <f>VLOOKUP($AI8,TableHandbook[],AM$2,FALSE)</f>
        <v>#N/A</v>
      </c>
      <c r="AN8" s="78" t="e">
        <f>VLOOKUP($AI8,TableHandbook[],AN$2,FALSE)</f>
        <v>#N/A</v>
      </c>
      <c r="AO8" s="79" t="e">
        <f>VLOOKUP($AI8,TableHandbook[],AO$2,FALSE)</f>
        <v>#N/A</v>
      </c>
      <c r="AP8" s="79" t="e">
        <f>VLOOKUP($AI8,TableHandbook[],AP$2,FALSE)</f>
        <v>#N/A</v>
      </c>
      <c r="AQ8" s="79" t="e">
        <f>VLOOKUP($AI8,TableHandbook[],AQ$2,FALSE)</f>
        <v>#N/A</v>
      </c>
      <c r="AR8" s="80" t="e">
        <f>VLOOKUP($AI8,TableHandbook[],AR$2,FALSE)</f>
        <v>#N/A</v>
      </c>
      <c r="AT8" s="51"/>
      <c r="AU8" s="9"/>
      <c r="AV8" s="10"/>
      <c r="AW8" s="9"/>
      <c r="AX8" s="28"/>
      <c r="AY8" s="10"/>
    </row>
    <row r="9" spans="1:52" x14ac:dyDescent="0.25">
      <c r="A9" s="13" t="s">
        <v>12</v>
      </c>
      <c r="B9" s="148" t="s">
        <v>85</v>
      </c>
      <c r="C9" s="14" t="s">
        <v>86</v>
      </c>
      <c r="D9" s="14" t="s">
        <v>87</v>
      </c>
      <c r="E9" s="172">
        <v>42736</v>
      </c>
      <c r="F9" s="172">
        <v>44562</v>
      </c>
      <c r="G9" s="147" t="s">
        <v>77</v>
      </c>
      <c r="I9" s="25">
        <v>7</v>
      </c>
      <c r="J9" s="3"/>
      <c r="K9" s="4"/>
      <c r="L9" s="4"/>
      <c r="M9" s="32"/>
      <c r="N9" s="3" t="s">
        <v>62</v>
      </c>
      <c r="O9" s="4" t="s">
        <v>88</v>
      </c>
      <c r="P9" s="3" t="s">
        <v>60</v>
      </c>
      <c r="Q9" s="4" t="s">
        <v>88</v>
      </c>
      <c r="R9" s="3" t="s">
        <v>62</v>
      </c>
      <c r="S9" s="32" t="s">
        <v>88</v>
      </c>
      <c r="T9" s="3" t="s">
        <v>62</v>
      </c>
      <c r="U9" s="32" t="s">
        <v>88</v>
      </c>
      <c r="V9" s="3" t="s">
        <v>60</v>
      </c>
      <c r="W9" s="32" t="s">
        <v>88</v>
      </c>
      <c r="X9" s="3" t="s">
        <v>60</v>
      </c>
      <c r="Y9" s="32" t="s">
        <v>88</v>
      </c>
      <c r="Z9" s="4" t="s">
        <v>62</v>
      </c>
      <c r="AA9" s="46" t="s">
        <v>88</v>
      </c>
      <c r="AB9" s="3" t="s">
        <v>62</v>
      </c>
      <c r="AC9" s="46" t="s">
        <v>88</v>
      </c>
      <c r="AD9" s="3" t="s">
        <v>60</v>
      </c>
      <c r="AE9" s="32" t="s">
        <v>88</v>
      </c>
      <c r="AF9" s="3" t="s">
        <v>60</v>
      </c>
      <c r="AG9" s="32" t="s">
        <v>88</v>
      </c>
      <c r="AH9" s="4"/>
      <c r="AI9" s="81">
        <f t="shared" si="0"/>
        <v>0</v>
      </c>
      <c r="AJ9" s="10" t="e">
        <f>VLOOKUP($AI9,TableHandbook[],AJ$2,FALSE)</f>
        <v>#N/A</v>
      </c>
      <c r="AK9" t="e">
        <f>VLOOKUP($AI9,TableHandbook[],AK$2,FALSE)</f>
        <v>#N/A</v>
      </c>
      <c r="AL9" s="9" t="e">
        <f>VLOOKUP($AI9,TableHandbook[],AL$2,FALSE)</f>
        <v>#N/A</v>
      </c>
      <c r="AM9" s="53" t="e">
        <f>VLOOKUP($AI9,TableHandbook[],AM$2,FALSE)</f>
        <v>#N/A</v>
      </c>
      <c r="AN9" s="53" t="e">
        <f>VLOOKUP($AI9,TableHandbook[],AN$2,FALSE)</f>
        <v>#N/A</v>
      </c>
      <c r="AO9" s="6" t="e">
        <f>VLOOKUP($AI9,TableHandbook[],AO$2,FALSE)</f>
        <v>#N/A</v>
      </c>
      <c r="AP9" s="6" t="e">
        <f>VLOOKUP($AI9,TableHandbook[],AP$2,FALSE)</f>
        <v>#N/A</v>
      </c>
      <c r="AQ9" s="6" t="e">
        <f>VLOOKUP($AI9,TableHandbook[],AQ$2,FALSE)</f>
        <v>#N/A</v>
      </c>
      <c r="AR9" s="82" t="e">
        <f>VLOOKUP($AI9,TableHandbook[],AR$2,FALSE)</f>
        <v>#N/A</v>
      </c>
      <c r="AX9" s="10"/>
      <c r="AY9" s="10"/>
    </row>
    <row r="10" spans="1:52" x14ac:dyDescent="0.25">
      <c r="A10" s="13" t="s">
        <v>89</v>
      </c>
      <c r="B10" s="148" t="s">
        <v>90</v>
      </c>
      <c r="C10" s="14" t="s">
        <v>86</v>
      </c>
      <c r="D10" s="14" t="s">
        <v>87</v>
      </c>
      <c r="E10" s="172">
        <v>42736</v>
      </c>
      <c r="F10" s="172">
        <v>44562</v>
      </c>
      <c r="G10" s="147" t="s">
        <v>77</v>
      </c>
      <c r="I10" s="25">
        <v>8</v>
      </c>
      <c r="J10" s="3"/>
      <c r="K10" s="5"/>
      <c r="L10" s="4"/>
      <c r="M10" s="38"/>
      <c r="N10" s="3" t="s">
        <v>62</v>
      </c>
      <c r="O10" s="4" t="s">
        <v>84</v>
      </c>
      <c r="P10" s="3" t="s">
        <v>60</v>
      </c>
      <c r="Q10" s="4" t="s">
        <v>84</v>
      </c>
      <c r="R10" s="3" t="s">
        <v>62</v>
      </c>
      <c r="S10" s="32" t="s">
        <v>91</v>
      </c>
      <c r="T10" s="3" t="s">
        <v>62</v>
      </c>
      <c r="U10" s="32" t="s">
        <v>91</v>
      </c>
      <c r="V10" s="3" t="s">
        <v>60</v>
      </c>
      <c r="W10" s="32" t="s">
        <v>91</v>
      </c>
      <c r="X10" s="3" t="s">
        <v>60</v>
      </c>
      <c r="Y10" s="32" t="s">
        <v>91</v>
      </c>
      <c r="Z10" s="4" t="s">
        <v>62</v>
      </c>
      <c r="AA10" s="46" t="s">
        <v>92</v>
      </c>
      <c r="AB10" s="3" t="s">
        <v>62</v>
      </c>
      <c r="AC10" s="46" t="s">
        <v>92</v>
      </c>
      <c r="AD10" s="3" t="s">
        <v>60</v>
      </c>
      <c r="AE10" s="32" t="s">
        <v>92</v>
      </c>
      <c r="AF10" s="3" t="s">
        <v>60</v>
      </c>
      <c r="AG10" s="32" t="s">
        <v>92</v>
      </c>
      <c r="AH10" s="4"/>
      <c r="AI10" s="81">
        <f t="shared" si="0"/>
        <v>0</v>
      </c>
      <c r="AJ10" s="10" t="e">
        <f>VLOOKUP($AI10,TableHandbook[],AJ$2,FALSE)</f>
        <v>#N/A</v>
      </c>
      <c r="AK10" t="e">
        <f>VLOOKUP($AI10,TableHandbook[],AK$2,FALSE)</f>
        <v>#N/A</v>
      </c>
      <c r="AL10" s="9" t="e">
        <f>VLOOKUP($AI10,TableHandbook[],AL$2,FALSE)</f>
        <v>#N/A</v>
      </c>
      <c r="AM10" s="53" t="e">
        <f>VLOOKUP($AI10,TableHandbook[],AM$2,FALSE)</f>
        <v>#N/A</v>
      </c>
      <c r="AN10" s="53" t="e">
        <f>VLOOKUP($AI10,TableHandbook[],AN$2,FALSE)</f>
        <v>#N/A</v>
      </c>
      <c r="AO10" s="6" t="e">
        <f>VLOOKUP($AI10,TableHandbook[],AO$2,FALSE)</f>
        <v>#N/A</v>
      </c>
      <c r="AP10" s="6" t="e">
        <f>VLOOKUP($AI10,TableHandbook[],AP$2,FALSE)</f>
        <v>#N/A</v>
      </c>
      <c r="AQ10" s="6" t="e">
        <f>VLOOKUP($AI10,TableHandbook[],AQ$2,FALSE)</f>
        <v>#N/A</v>
      </c>
      <c r="AR10" s="82" t="e">
        <f>VLOOKUP($AI10,TableHandbook[],AR$2,FALSE)</f>
        <v>#N/A</v>
      </c>
      <c r="AX10" s="10"/>
      <c r="AY10" s="10"/>
    </row>
    <row r="11" spans="1:52" x14ac:dyDescent="0.25">
      <c r="A11" s="13"/>
      <c r="B11" s="18"/>
      <c r="E11" s="30"/>
      <c r="I11" s="25">
        <v>9</v>
      </c>
      <c r="J11" s="3"/>
      <c r="K11" s="4"/>
      <c r="L11" s="4"/>
      <c r="M11" s="35"/>
      <c r="N11" s="3" t="s">
        <v>62</v>
      </c>
      <c r="O11" s="4" t="s">
        <v>93</v>
      </c>
      <c r="P11" s="3" t="s">
        <v>60</v>
      </c>
      <c r="Q11" s="4" t="s">
        <v>93</v>
      </c>
      <c r="R11" s="49" t="s">
        <v>62</v>
      </c>
      <c r="S11" s="40" t="s">
        <v>92</v>
      </c>
      <c r="T11" s="49" t="s">
        <v>62</v>
      </c>
      <c r="U11" s="40" t="s">
        <v>92</v>
      </c>
      <c r="V11" s="49" t="s">
        <v>60</v>
      </c>
      <c r="W11" s="40" t="s">
        <v>92</v>
      </c>
      <c r="X11" s="49" t="s">
        <v>60</v>
      </c>
      <c r="Y11" s="40" t="s">
        <v>92</v>
      </c>
      <c r="Z11" s="37" t="s">
        <v>62</v>
      </c>
      <c r="AA11" s="56" t="s">
        <v>78</v>
      </c>
      <c r="AB11" s="49" t="s">
        <v>62</v>
      </c>
      <c r="AC11" s="56" t="s">
        <v>78</v>
      </c>
      <c r="AD11" s="49" t="s">
        <v>60</v>
      </c>
      <c r="AE11" s="40" t="s">
        <v>78</v>
      </c>
      <c r="AF11" s="49" t="s">
        <v>60</v>
      </c>
      <c r="AG11" s="40" t="s">
        <v>78</v>
      </c>
      <c r="AH11" s="4"/>
      <c r="AI11" s="81">
        <f t="shared" si="0"/>
        <v>0</v>
      </c>
      <c r="AJ11" s="10" t="e">
        <f>VLOOKUP($AI11,TableHandbook[],AJ$2,FALSE)</f>
        <v>#N/A</v>
      </c>
      <c r="AK11" t="e">
        <f>VLOOKUP($AI11,TableHandbook[],AK$2,FALSE)</f>
        <v>#N/A</v>
      </c>
      <c r="AL11" s="9" t="e">
        <f>VLOOKUP($AI11,TableHandbook[],AL$2,FALSE)</f>
        <v>#N/A</v>
      </c>
      <c r="AM11" s="53" t="e">
        <f>VLOOKUP($AI11,TableHandbook[],AM$2,FALSE)</f>
        <v>#N/A</v>
      </c>
      <c r="AN11" s="53" t="e">
        <f>VLOOKUP($AI11,TableHandbook[],AN$2,FALSE)</f>
        <v>#N/A</v>
      </c>
      <c r="AO11" s="6" t="e">
        <f>VLOOKUP($AI11,TableHandbook[],AO$2,FALSE)</f>
        <v>#N/A</v>
      </c>
      <c r="AP11" s="6" t="e">
        <f>VLOOKUP($AI11,TableHandbook[],AP$2,FALSE)</f>
        <v>#N/A</v>
      </c>
      <c r="AQ11" s="6" t="e">
        <f>VLOOKUP($AI11,TableHandbook[],AQ$2,FALSE)</f>
        <v>#N/A</v>
      </c>
      <c r="AR11" s="82" t="e">
        <f>VLOOKUP($AI11,TableHandbook[],AR$2,FALSE)</f>
        <v>#N/A</v>
      </c>
      <c r="AX11" s="10"/>
      <c r="AY11" s="10"/>
    </row>
    <row r="12" spans="1:52" x14ac:dyDescent="0.25">
      <c r="A12" s="129" t="s">
        <v>94</v>
      </c>
      <c r="I12" s="25">
        <v>10</v>
      </c>
      <c r="J12" s="34"/>
      <c r="K12" s="4"/>
      <c r="L12" s="5"/>
      <c r="M12" s="5"/>
      <c r="N12" s="31"/>
      <c r="O12" s="2"/>
      <c r="P12" s="31"/>
      <c r="Q12" s="2"/>
      <c r="R12" s="34" t="s">
        <v>95</v>
      </c>
      <c r="S12" s="32" t="s">
        <v>83</v>
      </c>
      <c r="T12" s="34" t="s">
        <v>95</v>
      </c>
      <c r="U12" s="32" t="s">
        <v>83</v>
      </c>
      <c r="V12" s="34" t="s">
        <v>96</v>
      </c>
      <c r="W12" s="32" t="s">
        <v>83</v>
      </c>
      <c r="X12" s="34" t="s">
        <v>96</v>
      </c>
      <c r="Y12" s="32" t="s">
        <v>83</v>
      </c>
      <c r="Z12" s="31" t="s">
        <v>95</v>
      </c>
      <c r="AA12" s="45" t="s">
        <v>91</v>
      </c>
      <c r="AB12" s="33" t="s">
        <v>95</v>
      </c>
      <c r="AC12" s="45" t="s">
        <v>91</v>
      </c>
      <c r="AD12" s="33" t="s">
        <v>96</v>
      </c>
      <c r="AE12" s="98" t="s">
        <v>91</v>
      </c>
      <c r="AF12" s="33" t="s">
        <v>96</v>
      </c>
      <c r="AG12" s="98" t="s">
        <v>91</v>
      </c>
      <c r="AH12" s="5"/>
      <c r="AI12" s="74">
        <f t="shared" si="0"/>
        <v>0</v>
      </c>
      <c r="AJ12" s="75" t="e">
        <f>VLOOKUP($AI12,TableHandbook[],AJ$2,FALSE)</f>
        <v>#N/A</v>
      </c>
      <c r="AK12" s="76" t="e">
        <f>VLOOKUP($AI12,TableHandbook[],AK$2,FALSE)</f>
        <v>#N/A</v>
      </c>
      <c r="AL12" s="77" t="e">
        <f>VLOOKUP($AI12,TableHandbook[],AL$2,FALSE)</f>
        <v>#N/A</v>
      </c>
      <c r="AM12" s="78" t="e">
        <f>VLOOKUP($AI12,TableHandbook[],AM$2,FALSE)</f>
        <v>#N/A</v>
      </c>
      <c r="AN12" s="78" t="e">
        <f>VLOOKUP($AI12,TableHandbook[],AN$2,FALSE)</f>
        <v>#N/A</v>
      </c>
      <c r="AO12" s="79" t="e">
        <f>VLOOKUP($AI12,TableHandbook[],AO$2,FALSE)</f>
        <v>#N/A</v>
      </c>
      <c r="AP12" s="79" t="e">
        <f>VLOOKUP($AI12,TableHandbook[],AP$2,FALSE)</f>
        <v>#N/A</v>
      </c>
      <c r="AQ12" s="79" t="e">
        <f>VLOOKUP($AI12,TableHandbook[],AQ$2,FALSE)</f>
        <v>#N/A</v>
      </c>
      <c r="AR12" s="80" t="e">
        <f>VLOOKUP($AI12,TableHandbook[],AR$2,FALSE)</f>
        <v>#N/A</v>
      </c>
      <c r="AX12" s="10"/>
      <c r="AY12" s="10"/>
    </row>
    <row r="13" spans="1:52" x14ac:dyDescent="0.25">
      <c r="A13" s="13" t="s">
        <v>33</v>
      </c>
      <c r="B13" s="18" t="s">
        <v>0</v>
      </c>
      <c r="C13" s="13" t="s">
        <v>66</v>
      </c>
      <c r="D13" s="13" t="s">
        <v>67</v>
      </c>
      <c r="E13" s="13" t="s">
        <v>68</v>
      </c>
      <c r="F13" s="13" t="s">
        <v>69</v>
      </c>
      <c r="G13" s="147" t="s">
        <v>70</v>
      </c>
      <c r="I13" s="25">
        <v>11</v>
      </c>
      <c r="J13" s="34"/>
      <c r="K13" s="5"/>
      <c r="L13" s="5"/>
      <c r="M13" s="39"/>
      <c r="P13" s="5"/>
      <c r="R13" s="34" t="s">
        <v>95</v>
      </c>
      <c r="S13" s="32" t="s">
        <v>78</v>
      </c>
      <c r="T13" s="34" t="s">
        <v>95</v>
      </c>
      <c r="U13" s="32" t="s">
        <v>97</v>
      </c>
      <c r="V13" s="34" t="s">
        <v>96</v>
      </c>
      <c r="W13" s="32" t="s">
        <v>78</v>
      </c>
      <c r="X13" s="34" t="s">
        <v>96</v>
      </c>
      <c r="Y13" s="32" t="s">
        <v>97</v>
      </c>
      <c r="Z13" s="5" t="s">
        <v>95</v>
      </c>
      <c r="AA13" s="46" t="s">
        <v>84</v>
      </c>
      <c r="AB13" s="34" t="s">
        <v>95</v>
      </c>
      <c r="AC13" s="46" t="s">
        <v>84</v>
      </c>
      <c r="AD13" s="34" t="s">
        <v>96</v>
      </c>
      <c r="AE13" s="32" t="s">
        <v>84</v>
      </c>
      <c r="AF13" s="34" t="s">
        <v>96</v>
      </c>
      <c r="AG13" s="32" t="s">
        <v>84</v>
      </c>
      <c r="AH13" s="5"/>
      <c r="AI13" s="81">
        <f t="shared" si="0"/>
        <v>0</v>
      </c>
      <c r="AJ13" s="10" t="e">
        <f>VLOOKUP($AI13,TableHandbook[],AJ$2,FALSE)</f>
        <v>#N/A</v>
      </c>
      <c r="AK13" t="e">
        <f>VLOOKUP($AI13,TableHandbook[],AK$2,FALSE)</f>
        <v>#N/A</v>
      </c>
      <c r="AL13" s="9" t="e">
        <f>VLOOKUP($AI13,TableHandbook[],AL$2,FALSE)</f>
        <v>#N/A</v>
      </c>
      <c r="AM13" s="53" t="e">
        <f>VLOOKUP($AI13,TableHandbook[],AM$2,FALSE)</f>
        <v>#N/A</v>
      </c>
      <c r="AN13" s="53" t="e">
        <f>VLOOKUP($AI13,TableHandbook[],AN$2,FALSE)</f>
        <v>#N/A</v>
      </c>
      <c r="AO13" s="6" t="e">
        <f>VLOOKUP($AI13,TableHandbook[],AO$2,FALSE)</f>
        <v>#N/A</v>
      </c>
      <c r="AP13" s="6" t="e">
        <f>VLOOKUP($AI13,TableHandbook[],AP$2,FALSE)</f>
        <v>#N/A</v>
      </c>
      <c r="AQ13" s="6" t="e">
        <f>VLOOKUP($AI13,TableHandbook[],AQ$2,FALSE)</f>
        <v>#N/A</v>
      </c>
      <c r="AR13" s="82" t="e">
        <f>VLOOKUP($AI13,TableHandbook[],AR$2,FALSE)</f>
        <v>#N/A</v>
      </c>
      <c r="AX13" s="10"/>
      <c r="AY13" s="10"/>
    </row>
    <row r="14" spans="1:52" x14ac:dyDescent="0.25">
      <c r="A14" s="13" t="s">
        <v>98</v>
      </c>
      <c r="B14" s="148" t="s">
        <v>99</v>
      </c>
      <c r="C14" s="14" t="s">
        <v>100</v>
      </c>
      <c r="D14" s="14" t="s">
        <v>101</v>
      </c>
      <c r="E14" s="172">
        <v>43466</v>
      </c>
      <c r="F14" s="172">
        <v>44562</v>
      </c>
      <c r="G14" s="152" t="s">
        <v>102</v>
      </c>
      <c r="I14" s="25">
        <v>12</v>
      </c>
      <c r="J14" s="34"/>
      <c r="K14" s="39"/>
      <c r="L14" s="5"/>
      <c r="M14" s="5"/>
      <c r="P14" s="5"/>
      <c r="Q14" s="4"/>
      <c r="R14" s="34" t="s">
        <v>95</v>
      </c>
      <c r="S14" s="73" t="s">
        <v>103</v>
      </c>
      <c r="T14" s="34" t="s">
        <v>95</v>
      </c>
      <c r="U14" s="109" t="s">
        <v>103</v>
      </c>
      <c r="V14" s="34" t="s">
        <v>96</v>
      </c>
      <c r="W14" s="109" t="s">
        <v>103</v>
      </c>
      <c r="X14" s="34" t="s">
        <v>96</v>
      </c>
      <c r="Y14" s="73" t="s">
        <v>103</v>
      </c>
      <c r="Z14" s="5" t="s">
        <v>95</v>
      </c>
      <c r="AA14" s="46" t="s">
        <v>104</v>
      </c>
      <c r="AB14" s="34" t="s">
        <v>95</v>
      </c>
      <c r="AC14" s="46" t="s">
        <v>104</v>
      </c>
      <c r="AD14" s="34" t="s">
        <v>96</v>
      </c>
      <c r="AE14" s="32" t="s">
        <v>104</v>
      </c>
      <c r="AF14" s="34" t="s">
        <v>96</v>
      </c>
      <c r="AG14" s="32" t="s">
        <v>104</v>
      </c>
      <c r="AH14" s="5"/>
      <c r="AI14" s="81">
        <f t="shared" si="0"/>
        <v>0</v>
      </c>
      <c r="AJ14" s="10" t="e">
        <f>VLOOKUP($AI14,TableHandbook[],AJ$2,FALSE)</f>
        <v>#N/A</v>
      </c>
      <c r="AK14" t="e">
        <f>VLOOKUP($AI14,TableHandbook[],AK$2,FALSE)</f>
        <v>#N/A</v>
      </c>
      <c r="AL14" s="9" t="e">
        <f>VLOOKUP($AI14,TableHandbook[],AL$2,FALSE)</f>
        <v>#N/A</v>
      </c>
      <c r="AM14" s="53" t="e">
        <f>VLOOKUP($AI14,TableHandbook[],AM$2,FALSE)</f>
        <v>#N/A</v>
      </c>
      <c r="AN14" s="53" t="e">
        <f>VLOOKUP($AI14,TableHandbook[],AN$2,FALSE)</f>
        <v>#N/A</v>
      </c>
      <c r="AO14" s="6" t="e">
        <f>VLOOKUP($AI14,TableHandbook[],AO$2,FALSE)</f>
        <v>#N/A</v>
      </c>
      <c r="AP14" s="6" t="e">
        <f>VLOOKUP($AI14,TableHandbook[],AP$2,FALSE)</f>
        <v>#N/A</v>
      </c>
      <c r="AQ14" s="6" t="e">
        <f>VLOOKUP($AI14,TableHandbook[],AQ$2,FALSE)</f>
        <v>#N/A</v>
      </c>
      <c r="AR14" s="82" t="e">
        <f>VLOOKUP($AI14,TableHandbook[],AR$2,FALSE)</f>
        <v>#N/A</v>
      </c>
      <c r="AX14" s="10"/>
      <c r="AY14" s="10"/>
    </row>
    <row r="15" spans="1:52" x14ac:dyDescent="0.25">
      <c r="A15" s="13" t="s">
        <v>105</v>
      </c>
      <c r="B15" s="148" t="s">
        <v>106</v>
      </c>
      <c r="C15" s="14" t="s">
        <v>100</v>
      </c>
      <c r="D15" s="14" t="s">
        <v>101</v>
      </c>
      <c r="E15" s="172">
        <v>43466</v>
      </c>
      <c r="F15" s="172">
        <v>44562</v>
      </c>
      <c r="G15" s="152" t="s">
        <v>102</v>
      </c>
      <c r="I15" s="25">
        <v>13</v>
      </c>
      <c r="J15" s="34"/>
      <c r="K15" s="4"/>
      <c r="L15" s="5"/>
      <c r="M15" s="4"/>
      <c r="P15" s="5"/>
      <c r="Q15" s="4"/>
      <c r="R15" s="36" t="s">
        <v>95</v>
      </c>
      <c r="S15" s="108" t="s">
        <v>107</v>
      </c>
      <c r="T15" s="36" t="s">
        <v>95</v>
      </c>
      <c r="U15" s="108" t="s">
        <v>107</v>
      </c>
      <c r="V15" s="36" t="s">
        <v>96</v>
      </c>
      <c r="W15" s="108" t="s">
        <v>107</v>
      </c>
      <c r="X15" s="36" t="s">
        <v>96</v>
      </c>
      <c r="Y15" s="107" t="s">
        <v>107</v>
      </c>
      <c r="Z15" s="5" t="s">
        <v>95</v>
      </c>
      <c r="AA15" s="46" t="s">
        <v>78</v>
      </c>
      <c r="AB15" s="34" t="s">
        <v>95</v>
      </c>
      <c r="AC15" s="46" t="s">
        <v>78</v>
      </c>
      <c r="AD15" s="34" t="s">
        <v>96</v>
      </c>
      <c r="AE15" s="32" t="s">
        <v>78</v>
      </c>
      <c r="AF15" s="34" t="s">
        <v>96</v>
      </c>
      <c r="AG15" s="32" t="s">
        <v>78</v>
      </c>
      <c r="AH15" s="5"/>
      <c r="AI15" s="89">
        <f t="shared" si="0"/>
        <v>0</v>
      </c>
      <c r="AJ15" s="83" t="e">
        <f>VLOOKUP($AI15,TableHandbook[],AJ$2,FALSE)</f>
        <v>#N/A</v>
      </c>
      <c r="AK15" s="84" t="e">
        <f>VLOOKUP($AI15,TableHandbook[],AK$2,FALSE)</f>
        <v>#N/A</v>
      </c>
      <c r="AL15" s="85" t="e">
        <f>VLOOKUP($AI15,TableHandbook[],AL$2,FALSE)</f>
        <v>#N/A</v>
      </c>
      <c r="AM15" s="86" t="e">
        <f>VLOOKUP($AI15,TableHandbook[],AM$2,FALSE)</f>
        <v>#N/A</v>
      </c>
      <c r="AN15" s="86" t="e">
        <f>VLOOKUP($AI15,TableHandbook[],AN$2,FALSE)</f>
        <v>#N/A</v>
      </c>
      <c r="AO15" s="87" t="e">
        <f>VLOOKUP($AI15,TableHandbook[],AO$2,FALSE)</f>
        <v>#N/A</v>
      </c>
      <c r="AP15" s="87" t="e">
        <f>VLOOKUP($AI15,TableHandbook[],AP$2,FALSE)</f>
        <v>#N/A</v>
      </c>
      <c r="AQ15" s="87" t="e">
        <f>VLOOKUP($AI15,TableHandbook[],AQ$2,FALSE)</f>
        <v>#N/A</v>
      </c>
      <c r="AR15" s="88" t="e">
        <f>VLOOKUP($AI15,TableHandbook[],AR$2,FALSE)</f>
        <v>#N/A</v>
      </c>
      <c r="AS15" s="13"/>
      <c r="AT15" s="10"/>
      <c r="AX15" s="10"/>
      <c r="AY15" s="10"/>
    </row>
    <row r="16" spans="1:52" x14ac:dyDescent="0.25">
      <c r="A16" s="13"/>
      <c r="B16" s="18"/>
      <c r="E16" s="30"/>
      <c r="F16" s="24"/>
      <c r="G16" s="24"/>
      <c r="I16" s="25">
        <v>14</v>
      </c>
      <c r="J16" s="34"/>
      <c r="K16" s="39"/>
      <c r="L16" s="5"/>
      <c r="M16" s="5"/>
      <c r="N16" s="5"/>
      <c r="O16" s="39"/>
      <c r="P16" s="5"/>
      <c r="R16" s="5"/>
      <c r="S16" s="4"/>
      <c r="T16" s="5"/>
      <c r="U16" s="4"/>
      <c r="V16" s="5"/>
      <c r="W16" s="4"/>
      <c r="X16" s="5"/>
      <c r="Y16" s="4"/>
      <c r="Z16" s="34" t="s">
        <v>96</v>
      </c>
      <c r="AA16" s="46" t="s">
        <v>83</v>
      </c>
      <c r="AB16" s="34" t="s">
        <v>96</v>
      </c>
      <c r="AC16" s="46" t="s">
        <v>83</v>
      </c>
      <c r="AD16" s="34" t="s">
        <v>95</v>
      </c>
      <c r="AE16" s="32" t="s">
        <v>83</v>
      </c>
      <c r="AF16" s="34" t="s">
        <v>95</v>
      </c>
      <c r="AG16" s="32" t="s">
        <v>83</v>
      </c>
      <c r="AH16" s="5"/>
      <c r="AI16" s="90">
        <f t="shared" si="0"/>
        <v>0</v>
      </c>
      <c r="AJ16" s="10" t="e">
        <f>VLOOKUP($AI16,TableHandbook[],AJ$2,FALSE)</f>
        <v>#N/A</v>
      </c>
      <c r="AK16" t="e">
        <f>VLOOKUP($AI16,TableHandbook[],AK$2,FALSE)</f>
        <v>#N/A</v>
      </c>
      <c r="AL16" s="9" t="e">
        <f>VLOOKUP($AI16,TableHandbook[],AL$2,FALSE)</f>
        <v>#N/A</v>
      </c>
      <c r="AM16" s="53" t="e">
        <f>VLOOKUP($AI16,TableHandbook[],AM$2,FALSE)</f>
        <v>#N/A</v>
      </c>
      <c r="AN16" s="53" t="e">
        <f>VLOOKUP($AI16,TableHandbook[],AN$2,FALSE)</f>
        <v>#N/A</v>
      </c>
      <c r="AO16" s="6" t="e">
        <f>VLOOKUP($AI16,TableHandbook[],AO$2,FALSE)</f>
        <v>#N/A</v>
      </c>
      <c r="AP16" s="6" t="e">
        <f>VLOOKUP($AI16,TableHandbook[],AP$2,FALSE)</f>
        <v>#N/A</v>
      </c>
      <c r="AQ16" s="6" t="e">
        <f>VLOOKUP($AI16,TableHandbook[],AQ$2,FALSE)</f>
        <v>#N/A</v>
      </c>
      <c r="AR16" s="82" t="e">
        <f>VLOOKUP($AI16,TableHandbook[],AR$2,FALSE)</f>
        <v>#N/A</v>
      </c>
      <c r="AS16" s="13"/>
      <c r="AT16" s="10"/>
      <c r="AU16" s="9"/>
      <c r="AV16" s="10"/>
      <c r="AW16" s="12"/>
      <c r="AX16" s="10"/>
      <c r="AY16" s="10"/>
    </row>
    <row r="17" spans="1:51" x14ac:dyDescent="0.25">
      <c r="I17" s="25">
        <v>15</v>
      </c>
      <c r="J17" s="34"/>
      <c r="K17" s="5"/>
      <c r="L17" s="5"/>
      <c r="M17" s="4"/>
      <c r="N17" s="5"/>
      <c r="O17" s="5"/>
      <c r="P17" s="5"/>
      <c r="R17" s="5"/>
      <c r="S17" s="4"/>
      <c r="T17" s="5"/>
      <c r="U17" s="4"/>
      <c r="V17" s="5"/>
      <c r="W17" s="4"/>
      <c r="X17" s="5"/>
      <c r="Y17" s="4"/>
      <c r="Z17" s="34" t="s">
        <v>96</v>
      </c>
      <c r="AA17" s="46" t="s">
        <v>78</v>
      </c>
      <c r="AB17" s="34" t="s">
        <v>96</v>
      </c>
      <c r="AC17" s="46" t="s">
        <v>97</v>
      </c>
      <c r="AD17" s="34" t="s">
        <v>95</v>
      </c>
      <c r="AE17" s="32" t="s">
        <v>78</v>
      </c>
      <c r="AF17" s="34" t="s">
        <v>95</v>
      </c>
      <c r="AG17" s="32" t="s">
        <v>97</v>
      </c>
      <c r="AH17" s="5"/>
      <c r="AI17" s="90">
        <f t="shared" si="0"/>
        <v>0</v>
      </c>
      <c r="AJ17" s="10" t="e">
        <f>VLOOKUP($AI17,TableHandbook[],AJ$2,FALSE)</f>
        <v>#N/A</v>
      </c>
      <c r="AK17" t="e">
        <f>VLOOKUP($AI17,TableHandbook[],AK$2,FALSE)</f>
        <v>#N/A</v>
      </c>
      <c r="AL17" s="9" t="e">
        <f>VLOOKUP($AI17,TableHandbook[],AL$2,FALSE)</f>
        <v>#N/A</v>
      </c>
      <c r="AM17" s="53" t="e">
        <f>VLOOKUP($AI17,TableHandbook[],AM$2,FALSE)</f>
        <v>#N/A</v>
      </c>
      <c r="AN17" s="53" t="e">
        <f>VLOOKUP($AI17,TableHandbook[],AN$2,FALSE)</f>
        <v>#N/A</v>
      </c>
      <c r="AO17" s="6" t="e">
        <f>VLOOKUP($AI17,TableHandbook[],AO$2,FALSE)</f>
        <v>#N/A</v>
      </c>
      <c r="AP17" s="6" t="e">
        <f>VLOOKUP($AI17,TableHandbook[],AP$2,FALSE)</f>
        <v>#N/A</v>
      </c>
      <c r="AQ17" s="6" t="e">
        <f>VLOOKUP($AI17,TableHandbook[],AQ$2,FALSE)</f>
        <v>#N/A</v>
      </c>
      <c r="AR17" s="82" t="e">
        <f>VLOOKUP($AI17,TableHandbook[],AR$2,FALSE)</f>
        <v>#N/A</v>
      </c>
      <c r="AS17" s="13"/>
      <c r="AT17" s="10"/>
      <c r="AU17" s="9"/>
      <c r="AV17" s="10"/>
      <c r="AW17" s="12"/>
      <c r="AX17" s="10"/>
      <c r="AY17" s="10"/>
    </row>
    <row r="18" spans="1:51" x14ac:dyDescent="0.25">
      <c r="A18" s="129" t="s">
        <v>108</v>
      </c>
      <c r="I18" s="25">
        <v>16</v>
      </c>
      <c r="J18" s="34"/>
      <c r="K18" s="4"/>
      <c r="L18" s="5"/>
      <c r="M18" s="4"/>
      <c r="N18" s="5"/>
      <c r="O18" s="4"/>
      <c r="P18" s="5"/>
      <c r="Q18" s="4"/>
      <c r="R18" s="5"/>
      <c r="S18" s="4"/>
      <c r="T18" s="5"/>
      <c r="Y18" s="4"/>
      <c r="Z18" s="34" t="s">
        <v>96</v>
      </c>
      <c r="AA18" s="73" t="s">
        <v>103</v>
      </c>
      <c r="AB18" s="34" t="s">
        <v>96</v>
      </c>
      <c r="AC18" s="73" t="s">
        <v>103</v>
      </c>
      <c r="AD18" s="34" t="s">
        <v>95</v>
      </c>
      <c r="AE18" s="109" t="s">
        <v>103</v>
      </c>
      <c r="AF18" s="34" t="s">
        <v>95</v>
      </c>
      <c r="AG18" s="109" t="s">
        <v>103</v>
      </c>
      <c r="AH18" s="5"/>
      <c r="AI18" s="90">
        <f t="shared" si="0"/>
        <v>0</v>
      </c>
      <c r="AJ18" s="10" t="e">
        <f>VLOOKUP($AI18,TableHandbook[],AJ$2,FALSE)</f>
        <v>#N/A</v>
      </c>
      <c r="AK18" t="e">
        <f>VLOOKUP($AI18,TableHandbook[],AK$2,FALSE)</f>
        <v>#N/A</v>
      </c>
      <c r="AL18" s="9" t="e">
        <f>VLOOKUP($AI18,TableHandbook[],AL$2,FALSE)</f>
        <v>#N/A</v>
      </c>
      <c r="AM18" s="53" t="e">
        <f>VLOOKUP($AI18,TableHandbook[],AM$2,FALSE)</f>
        <v>#N/A</v>
      </c>
      <c r="AN18" s="53" t="e">
        <f>VLOOKUP($AI18,TableHandbook[],AN$2,FALSE)</f>
        <v>#N/A</v>
      </c>
      <c r="AO18" s="6" t="e">
        <f>VLOOKUP($AI18,TableHandbook[],AO$2,FALSE)</f>
        <v>#N/A</v>
      </c>
      <c r="AP18" s="6" t="e">
        <f>VLOOKUP($AI18,TableHandbook[],AP$2,FALSE)</f>
        <v>#N/A</v>
      </c>
      <c r="AQ18" s="6" t="e">
        <f>VLOOKUP($AI18,TableHandbook[],AQ$2,FALSE)</f>
        <v>#N/A</v>
      </c>
      <c r="AR18" s="82" t="e">
        <f>VLOOKUP($AI18,TableHandbook[],AR$2,FALSE)</f>
        <v>#N/A</v>
      </c>
      <c r="AS18" s="13"/>
      <c r="AT18" s="10"/>
      <c r="AU18" s="9"/>
      <c r="AV18" s="10"/>
      <c r="AW18" s="12"/>
      <c r="AX18" s="10"/>
      <c r="AY18" s="10"/>
    </row>
    <row r="19" spans="1:51" x14ac:dyDescent="0.25">
      <c r="A19" s="19" t="s">
        <v>34</v>
      </c>
      <c r="B19" s="23" t="s">
        <v>109</v>
      </c>
      <c r="C19" s="13" t="s">
        <v>110</v>
      </c>
      <c r="I19" s="25">
        <v>17</v>
      </c>
      <c r="J19" s="36"/>
      <c r="K19" s="37"/>
      <c r="L19" s="55"/>
      <c r="M19" s="37"/>
      <c r="N19" s="55"/>
      <c r="O19" s="37"/>
      <c r="P19" s="55"/>
      <c r="Q19" s="37"/>
      <c r="R19" s="55"/>
      <c r="S19" s="37"/>
      <c r="T19" s="55"/>
      <c r="U19" s="54"/>
      <c r="V19" s="54"/>
      <c r="W19" s="54"/>
      <c r="X19" s="54"/>
      <c r="Y19" s="37"/>
      <c r="Z19" s="36" t="s">
        <v>96</v>
      </c>
      <c r="AA19" s="108" t="s">
        <v>107</v>
      </c>
      <c r="AB19" s="36" t="s">
        <v>96</v>
      </c>
      <c r="AC19" s="108" t="s">
        <v>107</v>
      </c>
      <c r="AD19" s="36" t="s">
        <v>95</v>
      </c>
      <c r="AE19" s="108" t="s">
        <v>107</v>
      </c>
      <c r="AF19" s="36" t="s">
        <v>95</v>
      </c>
      <c r="AG19" s="108" t="s">
        <v>107</v>
      </c>
      <c r="AH19" s="5"/>
      <c r="AI19" s="89">
        <f t="shared" si="0"/>
        <v>0</v>
      </c>
      <c r="AJ19" s="83" t="e">
        <f>VLOOKUP($AI19,TableHandbook[],AJ$2,FALSE)</f>
        <v>#N/A</v>
      </c>
      <c r="AK19" s="84" t="e">
        <f>VLOOKUP($AI19,TableHandbook[],AK$2,FALSE)</f>
        <v>#N/A</v>
      </c>
      <c r="AL19" s="85" t="e">
        <f>VLOOKUP($AI19,TableHandbook[],AL$2,FALSE)</f>
        <v>#N/A</v>
      </c>
      <c r="AM19" s="86" t="e">
        <f>VLOOKUP($AI19,TableHandbook[],AM$2,FALSE)</f>
        <v>#N/A</v>
      </c>
      <c r="AN19" s="86" t="e">
        <f>VLOOKUP($AI19,TableHandbook[],AN$2,FALSE)</f>
        <v>#N/A</v>
      </c>
      <c r="AO19" s="87" t="e">
        <f>VLOOKUP($AI19,TableHandbook[],AO$2,FALSE)</f>
        <v>#N/A</v>
      </c>
      <c r="AP19" s="87" t="e">
        <f>VLOOKUP($AI19,TableHandbook[],AP$2,FALSE)</f>
        <v>#N/A</v>
      </c>
      <c r="AQ19" s="87" t="e">
        <f>VLOOKUP($AI19,TableHandbook[],AQ$2,FALSE)</f>
        <v>#N/A</v>
      </c>
      <c r="AR19" s="88" t="e">
        <f>VLOOKUP($AI19,TableHandbook[],AR$2,FALSE)</f>
        <v>#N/A</v>
      </c>
      <c r="AU19" s="9"/>
      <c r="AV19" s="10"/>
      <c r="AW19" s="11"/>
      <c r="AX19" s="10"/>
      <c r="AY19" s="28"/>
    </row>
    <row r="20" spans="1:51" x14ac:dyDescent="0.25">
      <c r="A20" s="13" t="s">
        <v>15</v>
      </c>
      <c r="B20" s="13" t="s">
        <v>111</v>
      </c>
      <c r="C20" s="13" t="s">
        <v>112</v>
      </c>
      <c r="K20" s="25"/>
      <c r="L20" s="5"/>
      <c r="M20" s="4"/>
      <c r="N20" s="63"/>
      <c r="O20" s="39"/>
      <c r="P20" s="5"/>
      <c r="Q20" s="4"/>
      <c r="R20" s="5"/>
      <c r="S20" s="72" t="s">
        <v>113</v>
      </c>
      <c r="T20" s="5"/>
      <c r="U20" s="72" t="s">
        <v>113</v>
      </c>
      <c r="W20" s="72" t="s">
        <v>113</v>
      </c>
      <c r="X20" s="5"/>
      <c r="Y20" s="72" t="s">
        <v>113</v>
      </c>
      <c r="Z20" s="5"/>
      <c r="AA20" s="72" t="s">
        <v>113</v>
      </c>
      <c r="AB20" s="5"/>
      <c r="AC20" s="72" t="s">
        <v>113</v>
      </c>
      <c r="AE20" s="72" t="s">
        <v>113</v>
      </c>
      <c r="AF20" s="5"/>
      <c r="AG20" s="72" t="s">
        <v>113</v>
      </c>
      <c r="AH20" s="5"/>
      <c r="AI20" s="4"/>
      <c r="AJ20" s="5"/>
      <c r="AK20" s="4"/>
    </row>
    <row r="21" spans="1:51" x14ac:dyDescent="0.25">
      <c r="A21" s="13" t="s">
        <v>114</v>
      </c>
      <c r="B21" s="13" t="s">
        <v>112</v>
      </c>
      <c r="C21" s="13" t="s">
        <v>111</v>
      </c>
      <c r="K21" s="25"/>
      <c r="L21" s="5"/>
      <c r="M21" s="4"/>
      <c r="N21" s="5"/>
      <c r="O21" s="5"/>
      <c r="P21" s="5"/>
      <c r="Q21" s="4"/>
      <c r="R21" s="5"/>
      <c r="S21" s="50"/>
      <c r="T21" s="5"/>
      <c r="Y21" s="4"/>
      <c r="Z21" s="5"/>
      <c r="AA21" s="4"/>
      <c r="AB21" s="5"/>
      <c r="AC21" s="4"/>
      <c r="AF21" s="5"/>
      <c r="AG21" s="5"/>
      <c r="AH21" s="5"/>
    </row>
    <row r="22" spans="1:51" x14ac:dyDescent="0.25">
      <c r="E22" s="24"/>
      <c r="K22" s="25"/>
      <c r="L22" s="5"/>
      <c r="M22" s="4"/>
      <c r="N22" s="5"/>
      <c r="O22" s="5"/>
      <c r="P22" s="5"/>
      <c r="Q22" s="4"/>
      <c r="R22" s="51"/>
      <c r="T22" s="5"/>
      <c r="V22" s="5"/>
      <c r="X22" s="5"/>
      <c r="Z22" s="5"/>
      <c r="AA22" s="4"/>
      <c r="AB22" s="5"/>
      <c r="AC22" s="4"/>
      <c r="AF22" s="5"/>
      <c r="AG22" s="5"/>
      <c r="AH22" s="5"/>
    </row>
    <row r="23" spans="1:51" x14ac:dyDescent="0.25">
      <c r="A23" s="129" t="s">
        <v>115</v>
      </c>
      <c r="K23" s="25"/>
      <c r="L23" s="5"/>
      <c r="M23" s="4"/>
      <c r="N23" s="5"/>
      <c r="P23" s="5"/>
      <c r="Q23" s="4"/>
      <c r="R23" s="5"/>
      <c r="S23" s="4"/>
      <c r="T23" s="5"/>
      <c r="V23" s="5"/>
      <c r="X23" s="5"/>
      <c r="AH23" s="5"/>
    </row>
    <row r="24" spans="1:51" ht="33.75" x14ac:dyDescent="0.25">
      <c r="A24" s="19" t="s">
        <v>116</v>
      </c>
      <c r="B24" s="23" t="s">
        <v>109</v>
      </c>
      <c r="C24" s="13" t="s">
        <v>66</v>
      </c>
      <c r="D24" s="13" t="s">
        <v>67</v>
      </c>
      <c r="E24" s="13" t="s">
        <v>68</v>
      </c>
      <c r="F24" s="147" t="s">
        <v>69</v>
      </c>
      <c r="H24" s="115" t="s">
        <v>117</v>
      </c>
      <c r="I24" s="116"/>
      <c r="J24" s="99"/>
      <c r="K24" s="101" t="s">
        <v>42</v>
      </c>
      <c r="L24" s="103"/>
      <c r="M24" s="104" t="s">
        <v>40</v>
      </c>
      <c r="N24" s="99"/>
      <c r="O24" s="101" t="s">
        <v>43</v>
      </c>
      <c r="P24" s="103"/>
      <c r="Q24" s="104" t="s">
        <v>44</v>
      </c>
      <c r="R24" s="110"/>
      <c r="S24" s="130" t="s">
        <v>45</v>
      </c>
      <c r="T24" s="136"/>
      <c r="U24" s="130" t="s">
        <v>46</v>
      </c>
      <c r="V24" s="137"/>
      <c r="W24" s="131" t="s">
        <v>47</v>
      </c>
      <c r="X24" s="137"/>
      <c r="Y24" s="131" t="s">
        <v>48</v>
      </c>
      <c r="Z24" s="138"/>
      <c r="AA24" s="134" t="s">
        <v>49</v>
      </c>
      <c r="AB24" s="138"/>
      <c r="AC24" s="134" t="s">
        <v>50</v>
      </c>
      <c r="AD24" s="139"/>
      <c r="AE24" s="135" t="s">
        <v>51</v>
      </c>
      <c r="AF24" s="139"/>
      <c r="AG24" s="135" t="s">
        <v>52</v>
      </c>
      <c r="AH24" s="5"/>
      <c r="AI24" s="4"/>
      <c r="AJ24" s="5"/>
      <c r="AK24" s="4"/>
    </row>
    <row r="25" spans="1:51" x14ac:dyDescent="0.25">
      <c r="A25" s="9" t="s">
        <v>118</v>
      </c>
      <c r="B25" s="151" t="s">
        <v>119</v>
      </c>
      <c r="C25" s="10" t="s">
        <v>120</v>
      </c>
      <c r="D25" s="10" t="s">
        <v>87</v>
      </c>
      <c r="E25" s="173">
        <v>44562</v>
      </c>
      <c r="F25" s="173">
        <v>44562</v>
      </c>
      <c r="I25" s="5">
        <v>2</v>
      </c>
      <c r="J25" s="1" t="s">
        <v>60</v>
      </c>
      <c r="K25" s="117" t="s">
        <v>121</v>
      </c>
      <c r="L25" s="1" t="s">
        <v>62</v>
      </c>
      <c r="M25" s="117" t="s">
        <v>121</v>
      </c>
      <c r="N25" s="1" t="s">
        <v>60</v>
      </c>
      <c r="O25" s="45" t="s">
        <v>93</v>
      </c>
      <c r="P25" s="1" t="s">
        <v>62</v>
      </c>
      <c r="Q25" s="45" t="s">
        <v>93</v>
      </c>
      <c r="R25" s="1" t="s">
        <v>60</v>
      </c>
      <c r="S25" s="117" t="s">
        <v>121</v>
      </c>
      <c r="T25" s="1" t="s">
        <v>60</v>
      </c>
      <c r="U25" s="117" t="s">
        <v>121</v>
      </c>
      <c r="V25" s="1" t="s">
        <v>62</v>
      </c>
      <c r="W25" s="117" t="s">
        <v>121</v>
      </c>
      <c r="X25" s="1" t="s">
        <v>62</v>
      </c>
      <c r="Y25" s="117" t="s">
        <v>121</v>
      </c>
      <c r="Z25" s="1" t="s">
        <v>60</v>
      </c>
      <c r="AA25" s="45" t="s">
        <v>104</v>
      </c>
      <c r="AB25" s="1" t="s">
        <v>60</v>
      </c>
      <c r="AC25" s="45" t="s">
        <v>104</v>
      </c>
      <c r="AD25" s="1" t="s">
        <v>62</v>
      </c>
      <c r="AE25" s="45" t="s">
        <v>104</v>
      </c>
      <c r="AF25" s="1" t="s">
        <v>62</v>
      </c>
      <c r="AG25" s="45" t="s">
        <v>104</v>
      </c>
      <c r="AH25" s="5"/>
      <c r="AI25" s="4"/>
      <c r="AJ25" s="5"/>
      <c r="AK25" s="4"/>
    </row>
    <row r="26" spans="1:51" x14ac:dyDescent="0.25">
      <c r="A26" s="9" t="s">
        <v>122</v>
      </c>
      <c r="B26" s="151" t="s">
        <v>123</v>
      </c>
      <c r="C26" s="10" t="s">
        <v>120</v>
      </c>
      <c r="D26" s="10" t="s">
        <v>87</v>
      </c>
      <c r="E26" s="173">
        <v>44562</v>
      </c>
      <c r="F26" s="174">
        <v>44562</v>
      </c>
      <c r="I26" s="5">
        <v>3</v>
      </c>
      <c r="J26" s="3" t="s">
        <v>60</v>
      </c>
      <c r="K26" s="32"/>
      <c r="L26" s="3" t="s">
        <v>62</v>
      </c>
      <c r="M26" s="32"/>
      <c r="N26" s="3" t="s">
        <v>60</v>
      </c>
      <c r="O26" s="32" t="s">
        <v>92</v>
      </c>
      <c r="P26" s="3" t="s">
        <v>62</v>
      </c>
      <c r="Q26" s="32" t="s">
        <v>92</v>
      </c>
      <c r="R26" s="3" t="s">
        <v>60</v>
      </c>
      <c r="S26" s="32"/>
      <c r="T26" s="3" t="s">
        <v>60</v>
      </c>
      <c r="U26" s="32"/>
      <c r="V26" s="3" t="s">
        <v>62</v>
      </c>
      <c r="W26" s="32"/>
      <c r="X26" s="3" t="s">
        <v>62</v>
      </c>
      <c r="Y26" s="32"/>
      <c r="Z26" s="3" t="s">
        <v>60</v>
      </c>
      <c r="AA26" s="46" t="s">
        <v>124</v>
      </c>
      <c r="AB26" s="3" t="s">
        <v>60</v>
      </c>
      <c r="AC26" s="46" t="s">
        <v>124</v>
      </c>
      <c r="AD26" s="3" t="s">
        <v>62</v>
      </c>
      <c r="AE26" s="46" t="s">
        <v>124</v>
      </c>
      <c r="AF26" s="3" t="s">
        <v>62</v>
      </c>
      <c r="AG26" s="46" t="s">
        <v>124</v>
      </c>
      <c r="AH26" s="5"/>
      <c r="AI26" s="4"/>
      <c r="AJ26" s="5"/>
      <c r="AK26" s="4"/>
    </row>
    <row r="27" spans="1:51" x14ac:dyDescent="0.25">
      <c r="A27" s="9" t="s">
        <v>125</v>
      </c>
      <c r="B27" s="151" t="s">
        <v>126</v>
      </c>
      <c r="C27" s="10" t="s">
        <v>120</v>
      </c>
      <c r="D27" s="10" t="s">
        <v>101</v>
      </c>
      <c r="E27" s="173">
        <v>44562</v>
      </c>
      <c r="F27" s="174">
        <v>44562</v>
      </c>
      <c r="I27" s="5">
        <v>4</v>
      </c>
      <c r="J27" s="3" t="s">
        <v>60</v>
      </c>
      <c r="K27" s="32"/>
      <c r="L27" s="3" t="s">
        <v>62</v>
      </c>
      <c r="M27" s="32"/>
      <c r="N27" s="3" t="s">
        <v>60</v>
      </c>
      <c r="O27" s="32" t="s">
        <v>91</v>
      </c>
      <c r="P27" s="3" t="s">
        <v>62</v>
      </c>
      <c r="Q27" s="32" t="s">
        <v>91</v>
      </c>
      <c r="R27" s="3" t="s">
        <v>60</v>
      </c>
      <c r="S27" s="32"/>
      <c r="T27" s="3" t="s">
        <v>60</v>
      </c>
      <c r="U27" s="32"/>
      <c r="V27" s="3" t="s">
        <v>62</v>
      </c>
      <c r="W27" s="32"/>
      <c r="X27" s="3" t="s">
        <v>62</v>
      </c>
      <c r="Y27" s="32"/>
      <c r="Z27" s="3" t="s">
        <v>60</v>
      </c>
      <c r="AA27" s="46" t="s">
        <v>127</v>
      </c>
      <c r="AB27" s="3" t="s">
        <v>60</v>
      </c>
      <c r="AC27" s="46" t="s">
        <v>127</v>
      </c>
      <c r="AD27" s="3" t="s">
        <v>62</v>
      </c>
      <c r="AE27" s="46" t="s">
        <v>127</v>
      </c>
      <c r="AF27" s="3" t="s">
        <v>62</v>
      </c>
      <c r="AG27" s="46" t="s">
        <v>127</v>
      </c>
      <c r="AH27" s="13"/>
    </row>
    <row r="28" spans="1:51" x14ac:dyDescent="0.25">
      <c r="A28" s="9" t="s">
        <v>128</v>
      </c>
      <c r="B28" s="151" t="s">
        <v>129</v>
      </c>
      <c r="C28" s="10" t="s">
        <v>120</v>
      </c>
      <c r="D28" s="10" t="s">
        <v>101</v>
      </c>
      <c r="E28" s="173">
        <v>44562</v>
      </c>
      <c r="F28" s="174">
        <v>44562</v>
      </c>
      <c r="I28" s="5">
        <v>5</v>
      </c>
      <c r="J28" s="49" t="s">
        <v>60</v>
      </c>
      <c r="K28" s="40"/>
      <c r="L28" s="49" t="s">
        <v>62</v>
      </c>
      <c r="M28" s="40"/>
      <c r="N28" s="49" t="s">
        <v>60</v>
      </c>
      <c r="O28" s="40"/>
      <c r="P28" s="49" t="s">
        <v>62</v>
      </c>
      <c r="Q28" s="40"/>
      <c r="R28" s="49" t="s">
        <v>60</v>
      </c>
      <c r="S28" s="40"/>
      <c r="T28" s="49" t="s">
        <v>60</v>
      </c>
      <c r="U28" s="40"/>
      <c r="V28" s="49" t="s">
        <v>62</v>
      </c>
      <c r="W28" s="40"/>
      <c r="X28" s="49" t="s">
        <v>62</v>
      </c>
      <c r="Y28" s="40"/>
      <c r="Z28" s="49" t="s">
        <v>60</v>
      </c>
      <c r="AA28" s="56"/>
      <c r="AB28" s="49" t="s">
        <v>60</v>
      </c>
      <c r="AC28" s="56"/>
      <c r="AD28" s="49" t="s">
        <v>62</v>
      </c>
      <c r="AE28" s="56"/>
      <c r="AF28" s="49" t="s">
        <v>62</v>
      </c>
      <c r="AG28" s="56"/>
      <c r="AH28" s="13"/>
    </row>
    <row r="29" spans="1:51" x14ac:dyDescent="0.25">
      <c r="P29" s="5"/>
      <c r="Q29" s="4"/>
      <c r="V29" s="5"/>
      <c r="W29" s="4"/>
      <c r="X29" s="5"/>
      <c r="Y29" s="4"/>
      <c r="AH29" s="13"/>
    </row>
    <row r="30" spans="1:51" x14ac:dyDescent="0.25">
      <c r="A30" s="19"/>
      <c r="B30" s="23"/>
      <c r="P30" s="5"/>
      <c r="Q30" s="4"/>
      <c r="V30" s="5"/>
      <c r="W30" s="4"/>
      <c r="X30" s="5"/>
      <c r="Y30" s="4"/>
    </row>
    <row r="31" spans="1:51" x14ac:dyDescent="0.25">
      <c r="A31" s="9"/>
      <c r="B31" s="9"/>
      <c r="V31" s="5"/>
      <c r="W31" s="4"/>
      <c r="X31" s="5"/>
      <c r="Y31" s="4"/>
    </row>
    <row r="32" spans="1:51" x14ac:dyDescent="0.25">
      <c r="A32" s="9"/>
      <c r="B32" s="9"/>
      <c r="O32" s="22"/>
      <c r="V32" s="5"/>
      <c r="W32" s="4"/>
      <c r="X32" s="5"/>
      <c r="Y32" s="4"/>
      <c r="AH32" s="13"/>
    </row>
    <row r="33" spans="1:1" x14ac:dyDescent="0.25">
      <c r="A33" s="150" t="s">
        <v>130</v>
      </c>
    </row>
    <row r="34" spans="1:1" ht="15.75" customHeight="1" x14ac:dyDescent="0.25">
      <c r="A34" s="150" t="s">
        <v>131</v>
      </c>
    </row>
    <row r="36" spans="1:1" ht="15.75" customHeight="1" x14ac:dyDescent="0.25"/>
    <row r="37" spans="1:1" ht="15.75" customHeight="1" x14ac:dyDescent="0.25"/>
  </sheetData>
  <dataValidations count="1">
    <dataValidation type="list" allowBlank="1" showInputMessage="1" showErrorMessage="1" sqref="AI2">
      <formula1>$K$3:$AG$3</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90" zoomScaleNormal="90" workbookViewId="0">
      <selection activeCell="D6" sqref="D6"/>
    </sheetView>
  </sheetViews>
  <sheetFormatPr defaultRowHeight="15.75" x14ac:dyDescent="0.25"/>
  <cols>
    <col min="1" max="1" width="12.5" bestFit="1" customWidth="1"/>
    <col min="2" max="2" width="6" style="6" bestFit="1" customWidth="1"/>
    <col min="3" max="3" width="9.125" bestFit="1" customWidth="1"/>
    <col min="4" max="4" width="41.25" bestFit="1" customWidth="1"/>
    <col min="5" max="5" width="8.875" style="6" bestFit="1" customWidth="1"/>
    <col min="6" max="6" width="21.75" bestFit="1" customWidth="1"/>
    <col min="7" max="7" width="7.75" bestFit="1" customWidth="1"/>
    <col min="8" max="8" width="7.375" bestFit="1" customWidth="1"/>
    <col min="9" max="9" width="7.75" bestFit="1" customWidth="1"/>
    <col min="10" max="10" width="7.375" bestFit="1" customWidth="1"/>
    <col min="11" max="11" width="30.625" customWidth="1"/>
    <col min="12" max="12" width="8.5" bestFit="1" customWidth="1"/>
    <col min="13" max="13" width="7.875" style="6" bestFit="1" customWidth="1"/>
    <col min="14" max="14" width="7.875" style="6" customWidth="1"/>
    <col min="15" max="16" width="7.375" style="6" bestFit="1" customWidth="1"/>
    <col min="17" max="17" width="7.375" style="6" customWidth="1"/>
    <col min="18" max="18" width="6.75" style="6" bestFit="1" customWidth="1"/>
    <col min="19" max="19" width="6.75" bestFit="1" customWidth="1"/>
    <col min="20" max="20" width="8.5" bestFit="1" customWidth="1"/>
    <col min="21" max="21" width="7.875" bestFit="1" customWidth="1"/>
    <col min="22" max="23" width="7.375" bestFit="1" customWidth="1"/>
    <col min="24" max="25" width="6.875" bestFit="1" customWidth="1"/>
  </cols>
  <sheetData>
    <row r="1" spans="1:20" x14ac:dyDescent="0.25">
      <c r="A1" s="44">
        <v>1</v>
      </c>
      <c r="B1" s="44">
        <v>2</v>
      </c>
      <c r="C1" s="44">
        <v>3</v>
      </c>
      <c r="D1" s="44">
        <v>4</v>
      </c>
      <c r="E1" s="44">
        <v>5</v>
      </c>
      <c r="F1" s="44">
        <v>6</v>
      </c>
      <c r="G1" s="44">
        <v>7</v>
      </c>
      <c r="H1" s="44">
        <v>8</v>
      </c>
      <c r="I1" s="44">
        <v>9</v>
      </c>
      <c r="J1" s="44">
        <v>10</v>
      </c>
      <c r="K1" s="44">
        <v>11</v>
      </c>
      <c r="L1" s="44">
        <v>12</v>
      </c>
      <c r="M1" s="44">
        <v>13</v>
      </c>
      <c r="N1" s="44"/>
      <c r="O1" s="44">
        <v>14</v>
      </c>
      <c r="P1" s="44">
        <v>15</v>
      </c>
      <c r="Q1" s="44"/>
      <c r="R1" s="44">
        <v>16</v>
      </c>
      <c r="S1" s="44">
        <v>17</v>
      </c>
    </row>
    <row r="2" spans="1:20" x14ac:dyDescent="0.25">
      <c r="A2" s="26"/>
      <c r="B2" s="27"/>
      <c r="C2" s="27"/>
      <c r="D2" s="26"/>
      <c r="E2" s="27"/>
      <c r="F2" s="26"/>
      <c r="G2" s="43"/>
      <c r="H2" s="27"/>
      <c r="I2" s="41"/>
      <c r="J2" s="42"/>
      <c r="K2" s="7"/>
      <c r="L2" s="26"/>
      <c r="M2" s="26"/>
      <c r="N2" s="26"/>
      <c r="O2" s="26"/>
      <c r="P2" s="26"/>
      <c r="Q2" s="26"/>
      <c r="R2" s="26"/>
      <c r="S2" s="26"/>
      <c r="T2" s="7"/>
    </row>
    <row r="3" spans="1:20" ht="67.5" x14ac:dyDescent="0.25">
      <c r="A3" s="66" t="s">
        <v>0</v>
      </c>
      <c r="B3" s="66" t="s">
        <v>1</v>
      </c>
      <c r="C3" s="66" t="s">
        <v>2</v>
      </c>
      <c r="D3" s="66" t="s">
        <v>132</v>
      </c>
      <c r="E3" s="66" t="s">
        <v>6</v>
      </c>
      <c r="F3" s="66" t="s">
        <v>5</v>
      </c>
      <c r="G3" s="91" t="s">
        <v>133</v>
      </c>
      <c r="H3" s="92" t="s">
        <v>134</v>
      </c>
      <c r="I3" s="92" t="s">
        <v>135</v>
      </c>
      <c r="J3" s="93" t="s">
        <v>136</v>
      </c>
      <c r="K3" s="91" t="s">
        <v>137</v>
      </c>
      <c r="L3" s="125" t="s">
        <v>74</v>
      </c>
      <c r="M3" s="125" t="s">
        <v>80</v>
      </c>
      <c r="N3" s="160" t="s">
        <v>138</v>
      </c>
      <c r="O3" s="161" t="s">
        <v>119</v>
      </c>
      <c r="P3" s="162" t="s">
        <v>123</v>
      </c>
      <c r="Q3" s="160" t="s">
        <v>139</v>
      </c>
      <c r="R3" s="161" t="s">
        <v>126</v>
      </c>
      <c r="S3" s="162" t="s">
        <v>129</v>
      </c>
      <c r="T3" s="7"/>
    </row>
    <row r="4" spans="1:20" x14ac:dyDescent="0.25">
      <c r="A4" s="13" t="s">
        <v>107</v>
      </c>
      <c r="B4" s="14"/>
      <c r="C4" s="13"/>
      <c r="D4" s="13" t="s">
        <v>140</v>
      </c>
      <c r="E4" s="14"/>
      <c r="F4" s="126"/>
      <c r="G4" s="68" t="str">
        <f>IFERROR(IF(VLOOKUP(TableHandbook[[#This Row],[UDC]],TableAvailabilities[],2,FALSE)&gt;0,"Y",""),"")</f>
        <v/>
      </c>
      <c r="H4" s="69" t="str">
        <f>IFERROR(IF(VLOOKUP(TableHandbook[[#This Row],[UDC]],TableAvailabilities[],3,FALSE)&gt;0,"Y",""),"")</f>
        <v/>
      </c>
      <c r="I4" s="70" t="str">
        <f>IFERROR(IF(VLOOKUP(TableHandbook[[#This Row],[UDC]],TableAvailabilities[],4,FALSE)&gt;0,"Y",""),"")</f>
        <v/>
      </c>
      <c r="J4" s="71" t="str">
        <f>IFERROR(IF(VLOOKUP(TableHandbook[[#This Row],[UDC]],TableAvailabilities[],5,FALSE)&gt;0,"Y",""),"")</f>
        <v/>
      </c>
      <c r="K4" s="18"/>
      <c r="L4" s="69" t="str">
        <f>IFERROR(VLOOKUP(TableHandbook[[#This Row],[UDC]],TableGCPROJM[],7,FALSE),"")</f>
        <v/>
      </c>
      <c r="M4" s="69" t="str">
        <f>IFERROR(VLOOKUP(TableHandbook[[#This Row],[UDC]],TableGDPROJM[],7,FALSE),"")</f>
        <v/>
      </c>
      <c r="N4" s="68" t="str">
        <f>IFERROR(VLOOKUP(TableHandbook[[#This Row],[UDC]],TableMCPROJM1.5[],7,FALSE),"")</f>
        <v/>
      </c>
      <c r="O4" s="69" t="str">
        <f>IFERROR(VLOOKUP(TableHandbook[[#This Row],[UDC]],TableSTRPPROFL1.5[],7,FALSE),"")</f>
        <v/>
      </c>
      <c r="P4" s="71" t="str">
        <f>IFERROR(VLOOKUP(TableHandbook[[#This Row],[UDC]],TableSTRPRESCH1.5[],7,FALSE),"")</f>
        <v/>
      </c>
      <c r="Q4" s="68" t="str">
        <f>IFERROR(VLOOKUP(TableHandbook[[#This Row],[UDC]],TableMCPROJM2[],7,FALSE),"")</f>
        <v/>
      </c>
      <c r="R4" s="69" t="str">
        <f>IFERROR(VLOOKUP(TableHandbook[[#This Row],[UDC]],TableSTRPPROF2[],7,FALSE),"")</f>
        <v/>
      </c>
      <c r="S4" s="71" t="str">
        <f>IFERROR(VLOOKUP(TableHandbook[[#This Row],[UDC]],TableSTRPRSCH2[],7,FALSE),"")</f>
        <v/>
      </c>
      <c r="T4" s="7"/>
    </row>
    <row r="5" spans="1:20" x14ac:dyDescent="0.25">
      <c r="A5" s="13" t="s">
        <v>121</v>
      </c>
      <c r="B5" s="14"/>
      <c r="C5" s="13"/>
      <c r="D5" s="13" t="s">
        <v>141</v>
      </c>
      <c r="E5" s="14"/>
      <c r="F5" s="126"/>
      <c r="G5" s="143" t="str">
        <f>IFERROR(IF(VLOOKUP(TableHandbook[[#This Row],[UDC]],TableAvailabilities[],2,FALSE)&gt;0,"Y",""),"")</f>
        <v/>
      </c>
      <c r="H5" s="144" t="str">
        <f>IFERROR(IF(VLOOKUP(TableHandbook[[#This Row],[UDC]],TableAvailabilities[],3,FALSE)&gt;0,"Y",""),"")</f>
        <v/>
      </c>
      <c r="I5" s="145" t="str">
        <f>IFERROR(IF(VLOOKUP(TableHandbook[[#This Row],[UDC]],TableAvailabilities[],4,FALSE)&gt;0,"Y",""),"")</f>
        <v/>
      </c>
      <c r="J5" s="146" t="str">
        <f>IFERROR(IF(VLOOKUP(TableHandbook[[#This Row],[UDC]],TableAvailabilities[],5,FALSE)&gt;0,"Y",""),"")</f>
        <v/>
      </c>
      <c r="K5" s="18"/>
      <c r="L5" s="69" t="str">
        <f>IFERROR(VLOOKUP(TableHandbook[[#This Row],[UDC]],TableGCPROJM[],7,FALSE),"")</f>
        <v/>
      </c>
      <c r="M5" s="69" t="str">
        <f>IFERROR(VLOOKUP(TableHandbook[[#This Row],[UDC]],TableGDPROJM[],7,FALSE),"")</f>
        <v/>
      </c>
      <c r="N5" s="68" t="str">
        <f>IFERROR(VLOOKUP(TableHandbook[[#This Row],[UDC]],TableMCPROJM1.5[],7,FALSE),"")</f>
        <v/>
      </c>
      <c r="O5" s="69" t="str">
        <f>IFERROR(VLOOKUP(TableHandbook[[#This Row],[UDC]],TableSTRPPROFL1.5[],7,FALSE),"")</f>
        <v/>
      </c>
      <c r="P5" s="71" t="str">
        <f>IFERROR(VLOOKUP(TableHandbook[[#This Row],[UDC]],TableSTRPRESCH1.5[],7,FALSE),"")</f>
        <v/>
      </c>
      <c r="Q5" s="68" t="str">
        <f>IFERROR(VLOOKUP(TableHandbook[[#This Row],[UDC]],TableMCPROJM2[],7,FALSE),"")</f>
        <v/>
      </c>
      <c r="R5" s="69" t="str">
        <f>IFERROR(VLOOKUP(TableHandbook[[#This Row],[UDC]],TableSTRPPROF2[],7,FALSE),"")</f>
        <v/>
      </c>
      <c r="S5" s="71" t="str">
        <f>IFERROR(VLOOKUP(TableHandbook[[#This Row],[UDC]],TableSTRPRSCH2[],7,FALSE),"")</f>
        <v/>
      </c>
    </row>
    <row r="6" spans="1:20" x14ac:dyDescent="0.25">
      <c r="A6" s="13" t="s">
        <v>124</v>
      </c>
      <c r="B6" s="14">
        <v>1</v>
      </c>
      <c r="C6" s="13"/>
      <c r="D6" s="13" t="s">
        <v>142</v>
      </c>
      <c r="E6" s="14">
        <v>25</v>
      </c>
      <c r="F6" s="126" t="s">
        <v>143</v>
      </c>
      <c r="G6" s="68" t="str">
        <f>IFERROR(IF(VLOOKUP(TableHandbook[[#This Row],[UDC]],TableAvailabilities[],2,FALSE)&gt;0,"Y",""),"")</f>
        <v>Y</v>
      </c>
      <c r="H6" s="69" t="str">
        <f>IFERROR(IF(VLOOKUP(TableHandbook[[#This Row],[UDC]],TableAvailabilities[],3,FALSE)&gt;0,"Y",""),"")</f>
        <v/>
      </c>
      <c r="I6" s="70" t="str">
        <f>IFERROR(IF(VLOOKUP(TableHandbook[[#This Row],[UDC]],TableAvailabilities[],4,FALSE)&gt;0,"Y",""),"")</f>
        <v/>
      </c>
      <c r="J6" s="71" t="str">
        <f>IFERROR(IF(VLOOKUP(TableHandbook[[#This Row],[UDC]],TableAvailabilities[],5,FALSE)&gt;0,"Y",""),"")</f>
        <v/>
      </c>
      <c r="K6" s="18"/>
      <c r="L6" s="69" t="str">
        <f>IFERROR(VLOOKUP(TableHandbook[[#This Row],[UDC]],TableGCPROJM[],7,FALSE),"")</f>
        <v/>
      </c>
      <c r="M6" s="69" t="str">
        <f>IFERROR(VLOOKUP(TableHandbook[[#This Row],[UDC]],TableGDPROJM[],7,FALSE),"")</f>
        <v/>
      </c>
      <c r="N6" s="68" t="str">
        <f>IFERROR(VLOOKUP(TableHandbook[[#This Row],[UDC]],TableMCPROJM1.5[],7,FALSE),"")</f>
        <v/>
      </c>
      <c r="O6" s="69" t="str">
        <f>IFERROR(VLOOKUP(TableHandbook[[#This Row],[UDC]],TableSTRPPROFL1.5[],7,FALSE),"")</f>
        <v/>
      </c>
      <c r="P6" s="71" t="str">
        <f>IFERROR(VLOOKUP(TableHandbook[[#This Row],[UDC]],TableSTRPRESCH1.5[],7,FALSE),"")</f>
        <v/>
      </c>
      <c r="Q6" s="68" t="str">
        <f>IFERROR(VLOOKUP(TableHandbook[[#This Row],[UDC]],TableMCPROJM2[],7,FALSE),"")</f>
        <v/>
      </c>
      <c r="R6" s="69" t="str">
        <f>IFERROR(VLOOKUP(TableHandbook[[#This Row],[UDC]],TableSTRPPROF2[],7,FALSE),"")</f>
        <v>AltCore</v>
      </c>
      <c r="S6" s="71" t="str">
        <f>IFERROR(VLOOKUP(TableHandbook[[#This Row],[UDC]],TableSTRPRSCH2[],7,FALSE),"")</f>
        <v>AltCore</v>
      </c>
    </row>
    <row r="7" spans="1:20" x14ac:dyDescent="0.25">
      <c r="A7" s="13" t="s">
        <v>93</v>
      </c>
      <c r="B7" s="14"/>
      <c r="C7" s="13"/>
      <c r="D7" s="13" t="s">
        <v>144</v>
      </c>
      <c r="E7" s="14">
        <v>25</v>
      </c>
      <c r="F7" s="126" t="s">
        <v>145</v>
      </c>
      <c r="G7" s="68" t="str">
        <f>IFERROR(IF(VLOOKUP(TableHandbook[[#This Row],[UDC]],TableAvailabilities[],2,FALSE)&gt;0,"Y",""),"")</f>
        <v/>
      </c>
      <c r="H7" s="69" t="str">
        <f>IFERROR(IF(VLOOKUP(TableHandbook[[#This Row],[UDC]],TableAvailabilities[],3,FALSE)&gt;0,"Y",""),"")</f>
        <v/>
      </c>
      <c r="I7" s="70" t="str">
        <f>IFERROR(IF(VLOOKUP(TableHandbook[[#This Row],[UDC]],TableAvailabilities[],4,FALSE)&gt;0,"Y",""),"")</f>
        <v/>
      </c>
      <c r="J7" s="71" t="str">
        <f>IFERROR(IF(VLOOKUP(TableHandbook[[#This Row],[UDC]],TableAvailabilities[],5,FALSE)&gt;0,"Y",""),"")</f>
        <v/>
      </c>
      <c r="K7" s="18"/>
      <c r="L7" s="69" t="str">
        <f>IFERROR(VLOOKUP(TableHandbook[[#This Row],[UDC]],TableGCPROJM[],7,FALSE),"")</f>
        <v/>
      </c>
      <c r="M7" s="69" t="str">
        <f>IFERROR(VLOOKUP(TableHandbook[[#This Row],[UDC]],TableGDPROJM[],7,FALSE),"")</f>
        <v>AltCore</v>
      </c>
      <c r="N7" s="68" t="str">
        <f>IFERROR(VLOOKUP(TableHandbook[[#This Row],[UDC]],TableMCPROJM1.5[],7,FALSE),"")</f>
        <v/>
      </c>
      <c r="O7" s="69" t="str">
        <f>IFERROR(VLOOKUP(TableHandbook[[#This Row],[UDC]],TableSTRPPROFL1.5[],7,FALSE),"")</f>
        <v/>
      </c>
      <c r="P7" s="71" t="str">
        <f>IFERROR(VLOOKUP(TableHandbook[[#This Row],[UDC]],TableSTRPRESCH1.5[],7,FALSE),"")</f>
        <v/>
      </c>
      <c r="Q7" s="68" t="str">
        <f>IFERROR(VLOOKUP(TableHandbook[[#This Row],[UDC]],TableMCPROJM2[],7,FALSE),"")</f>
        <v/>
      </c>
      <c r="R7" s="69" t="str">
        <f>IFERROR(VLOOKUP(TableHandbook[[#This Row],[UDC]],TableSTRPPROF2[],7,FALSE),"")</f>
        <v/>
      </c>
      <c r="S7" s="71" t="str">
        <f>IFERROR(VLOOKUP(TableHandbook[[#This Row],[UDC]],TableSTRPRSCH2[],7,FALSE),"")</f>
        <v/>
      </c>
    </row>
    <row r="8" spans="1:20" x14ac:dyDescent="0.25">
      <c r="A8" s="13" t="s">
        <v>104</v>
      </c>
      <c r="B8" s="14"/>
      <c r="C8" s="13"/>
      <c r="D8" s="13" t="s">
        <v>146</v>
      </c>
      <c r="E8" s="14">
        <v>25</v>
      </c>
      <c r="F8" s="126" t="s">
        <v>145</v>
      </c>
      <c r="G8" s="68" t="str">
        <f>IFERROR(IF(VLOOKUP(TableHandbook[[#This Row],[UDC]],TableAvailabilities[],2,FALSE)&gt;0,"Y",""),"")</f>
        <v/>
      </c>
      <c r="H8" s="69" t="str">
        <f>IFERROR(IF(VLOOKUP(TableHandbook[[#This Row],[UDC]],TableAvailabilities[],3,FALSE)&gt;0,"Y",""),"")</f>
        <v/>
      </c>
      <c r="I8" s="69" t="str">
        <f>IFERROR(IF(VLOOKUP(TableHandbook[[#This Row],[UDC]],TableAvailabilities[],4,FALSE)&gt;0,"Y",""),"")</f>
        <v/>
      </c>
      <c r="J8" s="71" t="str">
        <f>IFERROR(IF(VLOOKUP(TableHandbook[[#This Row],[UDC]],TableAvailabilities[],5,FALSE)&gt;0,"Y",""),"")</f>
        <v/>
      </c>
      <c r="K8" s="18"/>
      <c r="L8" s="69" t="str">
        <f>IFERROR(VLOOKUP(TableHandbook[[#This Row],[UDC]],TableGCPROJM[],7,FALSE),"")</f>
        <v/>
      </c>
      <c r="M8" s="69" t="str">
        <f>IFERROR(VLOOKUP(TableHandbook[[#This Row],[UDC]],TableGDPROJM[],7,FALSE),"")</f>
        <v/>
      </c>
      <c r="N8" s="68" t="str">
        <f>IFERROR(VLOOKUP(TableHandbook[[#This Row],[UDC]],TableMCPROJM1.5[],7,FALSE),"")</f>
        <v/>
      </c>
      <c r="O8" s="69" t="str">
        <f>IFERROR(VLOOKUP(TableHandbook[[#This Row],[UDC]],TableSTRPPROFL1.5[],7,FALSE),"")</f>
        <v/>
      </c>
      <c r="P8" s="71" t="str">
        <f>IFERROR(VLOOKUP(TableHandbook[[#This Row],[UDC]],TableSTRPRESCH1.5[],7,FALSE),"")</f>
        <v/>
      </c>
      <c r="Q8" s="68" t="str">
        <f>IFERROR(VLOOKUP(TableHandbook[[#This Row],[UDC]],TableMCPROJM2[],7,FALSE),"")</f>
        <v/>
      </c>
      <c r="R8" s="69" t="str">
        <f>IFERROR(VLOOKUP(TableHandbook[[#This Row],[UDC]],TableSTRPPROF2[],7,FALSE),"")</f>
        <v>AltCore</v>
      </c>
      <c r="S8" s="71" t="str">
        <f>IFERROR(VLOOKUP(TableHandbook[[#This Row],[UDC]],TableSTRPRSCH2[],7,FALSE),"")</f>
        <v>AltCore</v>
      </c>
    </row>
    <row r="9" spans="1:20" x14ac:dyDescent="0.25">
      <c r="A9" s="9" t="s">
        <v>78</v>
      </c>
      <c r="B9" s="8"/>
      <c r="C9" s="8"/>
      <c r="D9" s="9" t="s">
        <v>147</v>
      </c>
      <c r="E9" s="10">
        <v>25</v>
      </c>
      <c r="F9" s="127" t="s">
        <v>148</v>
      </c>
      <c r="G9" s="68" t="str">
        <f>IFERROR(IF(VLOOKUP(TableHandbook[[#This Row],[UDC]],TableAvailabilities[],2,FALSE)&gt;0,"Y",""),"")</f>
        <v/>
      </c>
      <c r="H9" s="69" t="str">
        <f>IFERROR(IF(VLOOKUP(TableHandbook[[#This Row],[UDC]],TableAvailabilities[],3,FALSE)&gt;0,"Y",""),"")</f>
        <v/>
      </c>
      <c r="I9" s="70" t="str">
        <f>IFERROR(IF(VLOOKUP(TableHandbook[[#This Row],[UDC]],TableAvailabilities[],4,FALSE)&gt;0,"Y",""),"")</f>
        <v/>
      </c>
      <c r="J9" s="71" t="str">
        <f>IFERROR(IF(VLOOKUP(TableHandbook[[#This Row],[UDC]],TableAvailabilities[],5,FALSE)&gt;0,"Y",""),"")</f>
        <v/>
      </c>
      <c r="K9" s="18"/>
      <c r="L9" s="69" t="str">
        <f>IFERROR(VLOOKUP(TableHandbook[[#This Row],[UDC]],TableGCPROJM[],7,FALSE),"")</f>
        <v/>
      </c>
      <c r="M9" s="69" t="str">
        <f>IFERROR(VLOOKUP(TableHandbook[[#This Row],[UDC]],TableGDPROJM[],7,FALSE),"")</f>
        <v/>
      </c>
      <c r="N9" s="68" t="str">
        <f>IFERROR(VLOOKUP(TableHandbook[[#This Row],[UDC]],TableMCPROJM1.5[],7,FALSE),"")</f>
        <v/>
      </c>
      <c r="O9" s="69" t="str">
        <f>IFERROR(VLOOKUP(TableHandbook[[#This Row],[UDC]],TableSTRPPROFL1.5[],7,FALSE),"")</f>
        <v>Elective</v>
      </c>
      <c r="P9" s="163" t="str">
        <f>IFERROR(VLOOKUP(TableHandbook[[#This Row],[UDC]],TableSTRPRESCH1.5[],7,FALSE),"")</f>
        <v/>
      </c>
      <c r="Q9" s="165" t="str">
        <f>IFERROR(VLOOKUP(TableHandbook[[#This Row],[UDC]],TableMCPROJM2[],7,FALSE),"")</f>
        <v/>
      </c>
      <c r="R9" s="70" t="str">
        <f>IFERROR(VLOOKUP(TableHandbook[[#This Row],[UDC]],TableSTRPPROF2[],7,FALSE),"")</f>
        <v>Elective</v>
      </c>
      <c r="S9" s="163" t="str">
        <f>IFERROR(VLOOKUP(TableHandbook[[#This Row],[UDC]],TableSTRPRSCH2[],7,FALSE),"")</f>
        <v/>
      </c>
    </row>
    <row r="10" spans="1:20" x14ac:dyDescent="0.25">
      <c r="A10" s="13" t="s">
        <v>127</v>
      </c>
      <c r="B10" s="14">
        <v>1</v>
      </c>
      <c r="C10" s="13"/>
      <c r="D10" s="13" t="s">
        <v>149</v>
      </c>
      <c r="E10" s="14">
        <v>25</v>
      </c>
      <c r="F10" s="126" t="s">
        <v>143</v>
      </c>
      <c r="G10" s="68" t="str">
        <f>IFERROR(IF(VLOOKUP(TableHandbook[[#This Row],[UDC]],TableAvailabilities[],2,FALSE)&gt;0,"Y",""),"")</f>
        <v>Y</v>
      </c>
      <c r="H10" s="69" t="str">
        <f>IFERROR(IF(VLOOKUP(TableHandbook[[#This Row],[UDC]],TableAvailabilities[],3,FALSE)&gt;0,"Y",""),"")</f>
        <v>Y</v>
      </c>
      <c r="I10" s="70" t="str">
        <f>IFERROR(IF(VLOOKUP(TableHandbook[[#This Row],[UDC]],TableAvailabilities[],4,FALSE)&gt;0,"Y",""),"")</f>
        <v>Y</v>
      </c>
      <c r="J10" s="71" t="str">
        <f>IFERROR(IF(VLOOKUP(TableHandbook[[#This Row],[UDC]],TableAvailabilities[],5,FALSE)&gt;0,"Y",""),"")</f>
        <v>Y</v>
      </c>
      <c r="K10" s="18"/>
      <c r="L10" s="69" t="str">
        <f>IFERROR(VLOOKUP(TableHandbook[[#This Row],[UDC]],TableGCPROJM[],7,FALSE),"")</f>
        <v/>
      </c>
      <c r="M10" s="69" t="str">
        <f>IFERROR(VLOOKUP(TableHandbook[[#This Row],[UDC]],TableGDPROJM[],7,FALSE),"")</f>
        <v/>
      </c>
      <c r="N10" s="68" t="str">
        <f>IFERROR(VLOOKUP(TableHandbook[[#This Row],[UDC]],TableMCPROJM1.5[],7,FALSE),"")</f>
        <v/>
      </c>
      <c r="O10" s="69" t="str">
        <f>IFERROR(VLOOKUP(TableHandbook[[#This Row],[UDC]],TableSTRPPROFL1.5[],7,FALSE),"")</f>
        <v/>
      </c>
      <c r="P10" s="71" t="str">
        <f>IFERROR(VLOOKUP(TableHandbook[[#This Row],[UDC]],TableSTRPRESCH1.5[],7,FALSE),"")</f>
        <v/>
      </c>
      <c r="Q10" s="68" t="str">
        <f>IFERROR(VLOOKUP(TableHandbook[[#This Row],[UDC]],TableMCPROJM2[],7,FALSE),"")</f>
        <v/>
      </c>
      <c r="R10" s="69" t="str">
        <f>IFERROR(VLOOKUP(TableHandbook[[#This Row],[UDC]],TableSTRPPROF2[],7,FALSE),"")</f>
        <v>AltCore</v>
      </c>
      <c r="S10" s="71" t="str">
        <f>IFERROR(VLOOKUP(TableHandbook[[#This Row],[UDC]],TableSTRPRSCH2[],7,FALSE),"")</f>
        <v>AltCore</v>
      </c>
    </row>
    <row r="11" spans="1:20" x14ac:dyDescent="0.25">
      <c r="A11" s="13" t="s">
        <v>61</v>
      </c>
      <c r="B11" s="14">
        <v>1</v>
      </c>
      <c r="C11" s="13"/>
      <c r="D11" s="13" t="s">
        <v>150</v>
      </c>
      <c r="E11" s="14">
        <v>25</v>
      </c>
      <c r="F11" s="126" t="s">
        <v>143</v>
      </c>
      <c r="G11" s="68" t="str">
        <f>IFERROR(IF(VLOOKUP(TableHandbook[[#This Row],[UDC]],TableAvailabilities[],2,FALSE)&gt;0,"Y",""),"")</f>
        <v>Y</v>
      </c>
      <c r="H11" s="69" t="str">
        <f>IFERROR(IF(VLOOKUP(TableHandbook[[#This Row],[UDC]],TableAvailabilities[],3,FALSE)&gt;0,"Y",""),"")</f>
        <v>Y</v>
      </c>
      <c r="I11" s="70" t="str">
        <f>IFERROR(IF(VLOOKUP(TableHandbook[[#This Row],[UDC]],TableAvailabilities[],4,FALSE)&gt;0,"Y",""),"")</f>
        <v>Y</v>
      </c>
      <c r="J11" s="71" t="str">
        <f>IFERROR(IF(VLOOKUP(TableHandbook[[#This Row],[UDC]],TableAvailabilities[],5,FALSE)&gt;0,"Y",""),"")</f>
        <v>Y</v>
      </c>
      <c r="K11" s="18"/>
      <c r="L11" s="69" t="str">
        <f>IFERROR(VLOOKUP(TableHandbook[[#This Row],[UDC]],TableGCPROJM[],7,FALSE),"")</f>
        <v>Core</v>
      </c>
      <c r="M11" s="69" t="str">
        <f>IFERROR(VLOOKUP(TableHandbook[[#This Row],[UDC]],TableGDPROJM[],7,FALSE),"")</f>
        <v>Core</v>
      </c>
      <c r="N11" s="68" t="str">
        <f>IFERROR(VLOOKUP(TableHandbook[[#This Row],[UDC]],TableMCPROJM1.5[],7,FALSE),"")</f>
        <v/>
      </c>
      <c r="O11" s="69" t="str">
        <f>IFERROR(VLOOKUP(TableHandbook[[#This Row],[UDC]],TableSTRPPROFL1.5[],7,FALSE),"")</f>
        <v>Core</v>
      </c>
      <c r="P11" s="71" t="str">
        <f>IFERROR(VLOOKUP(TableHandbook[[#This Row],[UDC]],TableSTRPRESCH1.5[],7,FALSE),"")</f>
        <v>Core</v>
      </c>
      <c r="Q11" s="68" t="str">
        <f>IFERROR(VLOOKUP(TableHandbook[[#This Row],[UDC]],TableMCPROJM2[],7,FALSE),"")</f>
        <v/>
      </c>
      <c r="R11" s="69" t="str">
        <f>IFERROR(VLOOKUP(TableHandbook[[#This Row],[UDC]],TableSTRPPROF2[],7,FALSE),"")</f>
        <v>Core</v>
      </c>
      <c r="S11" s="71" t="str">
        <f>IFERROR(VLOOKUP(TableHandbook[[#This Row],[UDC]],TableSTRPRSCH2[],7,FALSE),"")</f>
        <v>Core</v>
      </c>
    </row>
    <row r="12" spans="1:20" x14ac:dyDescent="0.25">
      <c r="A12" s="13" t="s">
        <v>64</v>
      </c>
      <c r="B12" s="14">
        <v>1</v>
      </c>
      <c r="C12" s="13"/>
      <c r="D12" s="13" t="s">
        <v>151</v>
      </c>
      <c r="E12" s="14">
        <v>25</v>
      </c>
      <c r="F12" s="126" t="s">
        <v>143</v>
      </c>
      <c r="G12" s="68" t="str">
        <f>IFERROR(IF(VLOOKUP(TableHandbook[[#This Row],[UDC]],TableAvailabilities[],2,FALSE)&gt;0,"Y",""),"")</f>
        <v>Y</v>
      </c>
      <c r="H12" s="69" t="str">
        <f>IFERROR(IF(VLOOKUP(TableHandbook[[#This Row],[UDC]],TableAvailabilities[],3,FALSE)&gt;0,"Y",""),"")</f>
        <v>Y</v>
      </c>
      <c r="I12" s="70" t="str">
        <f>IFERROR(IF(VLOOKUP(TableHandbook[[#This Row],[UDC]],TableAvailabilities[],4,FALSE)&gt;0,"Y",""),"")</f>
        <v>Y</v>
      </c>
      <c r="J12" s="71" t="str">
        <f>IFERROR(IF(VLOOKUP(TableHandbook[[#This Row],[UDC]],TableAvailabilities[],5,FALSE)&gt;0,"Y",""),"")</f>
        <v>Y</v>
      </c>
      <c r="K12" s="18"/>
      <c r="L12" s="69" t="str">
        <f>IFERROR(VLOOKUP(TableHandbook[[#This Row],[UDC]],TableGCPROJM[],7,FALSE),"")</f>
        <v>Core</v>
      </c>
      <c r="M12" s="69" t="str">
        <f>IFERROR(VLOOKUP(TableHandbook[[#This Row],[UDC]],TableGDPROJM[],7,FALSE),"")</f>
        <v>Core</v>
      </c>
      <c r="N12" s="68" t="str">
        <f>IFERROR(VLOOKUP(TableHandbook[[#This Row],[UDC]],TableMCPROJM1.5[],7,FALSE),"")</f>
        <v/>
      </c>
      <c r="O12" s="69" t="str">
        <f>IFERROR(VLOOKUP(TableHandbook[[#This Row],[UDC]],TableSTRPPROFL1.5[],7,FALSE),"")</f>
        <v>Core</v>
      </c>
      <c r="P12" s="71" t="str">
        <f>IFERROR(VLOOKUP(TableHandbook[[#This Row],[UDC]],TableSTRPRESCH1.5[],7,FALSE),"")</f>
        <v>Core</v>
      </c>
      <c r="Q12" s="68" t="str">
        <f>IFERROR(VLOOKUP(TableHandbook[[#This Row],[UDC]],TableMCPROJM2[],7,FALSE),"")</f>
        <v/>
      </c>
      <c r="R12" s="69" t="str">
        <f>IFERROR(VLOOKUP(TableHandbook[[#This Row],[UDC]],TableSTRPPROF2[],7,FALSE),"")</f>
        <v>Core</v>
      </c>
      <c r="S12" s="71" t="str">
        <f>IFERROR(VLOOKUP(TableHandbook[[#This Row],[UDC]],TableSTRPRSCH2[],7,FALSE),"")</f>
        <v>Core</v>
      </c>
    </row>
    <row r="13" spans="1:20" x14ac:dyDescent="0.25">
      <c r="A13" s="13" t="s">
        <v>71</v>
      </c>
      <c r="B13" s="14">
        <v>2</v>
      </c>
      <c r="C13" s="13"/>
      <c r="D13" s="13" t="s">
        <v>152</v>
      </c>
      <c r="E13" s="14">
        <v>25</v>
      </c>
      <c r="F13" s="126" t="s">
        <v>143</v>
      </c>
      <c r="G13" s="68" t="str">
        <f>IFERROR(IF(VLOOKUP(TableHandbook[[#This Row],[UDC]],TableAvailabilities[],2,FALSE)&gt;0,"Y",""),"")</f>
        <v>Y</v>
      </c>
      <c r="H13" s="69" t="str">
        <f>IFERROR(IF(VLOOKUP(TableHandbook[[#This Row],[UDC]],TableAvailabilities[],3,FALSE)&gt;0,"Y",""),"")</f>
        <v>Y</v>
      </c>
      <c r="I13" s="70" t="str">
        <f>IFERROR(IF(VLOOKUP(TableHandbook[[#This Row],[UDC]],TableAvailabilities[],4,FALSE)&gt;0,"Y",""),"")</f>
        <v>Y</v>
      </c>
      <c r="J13" s="71" t="str">
        <f>IFERROR(IF(VLOOKUP(TableHandbook[[#This Row],[UDC]],TableAvailabilities[],5,FALSE)&gt;0,"Y",""),"")</f>
        <v>Y</v>
      </c>
      <c r="K13" s="18" t="s">
        <v>153</v>
      </c>
      <c r="L13" s="69" t="str">
        <f>IFERROR(VLOOKUP(TableHandbook[[#This Row],[UDC]],TableGCPROJM[],7,FALSE),"")</f>
        <v>Core</v>
      </c>
      <c r="M13" s="69" t="str">
        <f>IFERROR(VLOOKUP(TableHandbook[[#This Row],[UDC]],TableGDPROJM[],7,FALSE),"")</f>
        <v>Core</v>
      </c>
      <c r="N13" s="68" t="str">
        <f>IFERROR(VLOOKUP(TableHandbook[[#This Row],[UDC]],TableMCPROJM1.5[],7,FALSE),"")</f>
        <v/>
      </c>
      <c r="O13" s="69" t="str">
        <f>IFERROR(VLOOKUP(TableHandbook[[#This Row],[UDC]],TableSTRPPROFL1.5[],7,FALSE),"")</f>
        <v>Core</v>
      </c>
      <c r="P13" s="71" t="str">
        <f>IFERROR(VLOOKUP(TableHandbook[[#This Row],[UDC]],TableSTRPRESCH1.5[],7,FALSE),"")</f>
        <v>Core</v>
      </c>
      <c r="Q13" s="68" t="str">
        <f>IFERROR(VLOOKUP(TableHandbook[[#This Row],[UDC]],TableMCPROJM2[],7,FALSE),"")</f>
        <v/>
      </c>
      <c r="R13" s="69" t="str">
        <f>IFERROR(VLOOKUP(TableHandbook[[#This Row],[UDC]],TableSTRPPROF2[],7,FALSE),"")</f>
        <v>Core</v>
      </c>
      <c r="S13" s="71" t="str">
        <f>IFERROR(VLOOKUP(TableHandbook[[#This Row],[UDC]],TableSTRPRSCH2[],7,FALSE),"")</f>
        <v>Core</v>
      </c>
    </row>
    <row r="14" spans="1:20" x14ac:dyDescent="0.25">
      <c r="A14" s="13" t="s">
        <v>154</v>
      </c>
      <c r="B14" s="14">
        <v>1</v>
      </c>
      <c r="C14" s="13"/>
      <c r="D14" s="13" t="s">
        <v>155</v>
      </c>
      <c r="E14" s="14">
        <v>25</v>
      </c>
      <c r="F14" s="126" t="s">
        <v>143</v>
      </c>
      <c r="G14" s="68" t="str">
        <f>IFERROR(IF(VLOOKUP(TableHandbook[[#This Row],[UDC]],TableAvailabilities[],2,FALSE)&gt;0,"Y",""),"")</f>
        <v/>
      </c>
      <c r="H14" s="69" t="str">
        <f>IFERROR(IF(VLOOKUP(TableHandbook[[#This Row],[UDC]],TableAvailabilities[],3,FALSE)&gt;0,"Y",""),"")</f>
        <v/>
      </c>
      <c r="I14" s="70" t="str">
        <f>IFERROR(IF(VLOOKUP(TableHandbook[[#This Row],[UDC]],TableAvailabilities[],4,FALSE)&gt;0,"Y",""),"")</f>
        <v/>
      </c>
      <c r="J14" s="71" t="str">
        <f>IFERROR(IF(VLOOKUP(TableHandbook[[#This Row],[UDC]],TableAvailabilities[],5,FALSE)&gt;0,"Y",""),"")</f>
        <v/>
      </c>
      <c r="K14" s="18" t="s">
        <v>156</v>
      </c>
      <c r="L14" s="69" t="str">
        <f>IFERROR(VLOOKUP(TableHandbook[[#This Row],[UDC]],TableGCPROJM[],7,FALSE),"")</f>
        <v/>
      </c>
      <c r="M14" s="69" t="str">
        <f>IFERROR(VLOOKUP(TableHandbook[[#This Row],[UDC]],TableGDPROJM[],7,FALSE),"")</f>
        <v/>
      </c>
      <c r="N14" s="68" t="str">
        <f>IFERROR(VLOOKUP(TableHandbook[[#This Row],[UDC]],TableMCPROJM1.5[],7,FALSE),"")</f>
        <v/>
      </c>
      <c r="O14" s="69" t="str">
        <f>IFERROR(VLOOKUP(TableHandbook[[#This Row],[UDC]],TableSTRPPROFL1.5[],7,FALSE),"")</f>
        <v/>
      </c>
      <c r="P14" s="71" t="str">
        <f>IFERROR(VLOOKUP(TableHandbook[[#This Row],[UDC]],TableSTRPRESCH1.5[],7,FALSE),"")</f>
        <v/>
      </c>
      <c r="Q14" s="68" t="str">
        <f>IFERROR(VLOOKUP(TableHandbook[[#This Row],[UDC]],TableMCPROJM2[],7,FALSE),"")</f>
        <v/>
      </c>
      <c r="R14" s="69" t="str">
        <f>IFERROR(VLOOKUP(TableHandbook[[#This Row],[UDC]],TableSTRPPROF2[],7,FALSE),"")</f>
        <v/>
      </c>
      <c r="S14" s="71" t="str">
        <f>IFERROR(VLOOKUP(TableHandbook[[#This Row],[UDC]],TableSTRPRSCH2[],7,FALSE),"")</f>
        <v/>
      </c>
    </row>
    <row r="15" spans="1:20" x14ac:dyDescent="0.25">
      <c r="A15" s="13" t="s">
        <v>83</v>
      </c>
      <c r="B15" s="14">
        <v>1</v>
      </c>
      <c r="C15" s="13"/>
      <c r="D15" s="13" t="s">
        <v>157</v>
      </c>
      <c r="E15" s="14">
        <v>25</v>
      </c>
      <c r="F15" s="126" t="s">
        <v>143</v>
      </c>
      <c r="G15" s="68" t="str">
        <f>IFERROR(IF(VLOOKUP(TableHandbook[[#This Row],[UDC]],TableAvailabilities[],2,FALSE)&gt;0,"Y",""),"")</f>
        <v>Y</v>
      </c>
      <c r="H15" s="69" t="str">
        <f>IFERROR(IF(VLOOKUP(TableHandbook[[#This Row],[UDC]],TableAvailabilities[],3,FALSE)&gt;0,"Y",""),"")</f>
        <v>Y</v>
      </c>
      <c r="I15" s="70" t="str">
        <f>IFERROR(IF(VLOOKUP(TableHandbook[[#This Row],[UDC]],TableAvailabilities[],4,FALSE)&gt;0,"Y",""),"")</f>
        <v>Y</v>
      </c>
      <c r="J15" s="71" t="str">
        <f>IFERROR(IF(VLOOKUP(TableHandbook[[#This Row],[UDC]],TableAvailabilities[],5,FALSE)&gt;0,"Y",""),"")</f>
        <v>Y</v>
      </c>
      <c r="K15" s="18"/>
      <c r="L15" s="69" t="str">
        <f>IFERROR(VLOOKUP(TableHandbook[[#This Row],[UDC]],TableGCPROJM[],7,FALSE),"")</f>
        <v/>
      </c>
      <c r="M15" s="69" t="str">
        <f>IFERROR(VLOOKUP(TableHandbook[[#This Row],[UDC]],TableGDPROJM[],7,FALSE),"")</f>
        <v>Core</v>
      </c>
      <c r="N15" s="68" t="str">
        <f>IFERROR(VLOOKUP(TableHandbook[[#This Row],[UDC]],TableMCPROJM1.5[],7,FALSE),"")</f>
        <v/>
      </c>
      <c r="O15" s="69" t="str">
        <f>IFERROR(VLOOKUP(TableHandbook[[#This Row],[UDC]],TableSTRPPROFL1.5[],7,FALSE),"")</f>
        <v>Core</v>
      </c>
      <c r="P15" s="71" t="str">
        <f>IFERROR(VLOOKUP(TableHandbook[[#This Row],[UDC]],TableSTRPRESCH1.5[],7,FALSE),"")</f>
        <v>Core</v>
      </c>
      <c r="Q15" s="68" t="str">
        <f>IFERROR(VLOOKUP(TableHandbook[[#This Row],[UDC]],TableMCPROJM2[],7,FALSE),"")</f>
        <v/>
      </c>
      <c r="R15" s="69" t="str">
        <f>IFERROR(VLOOKUP(TableHandbook[[#This Row],[UDC]],TableSTRPPROF2[],7,FALSE),"")</f>
        <v>Core</v>
      </c>
      <c r="S15" s="71" t="str">
        <f>IFERROR(VLOOKUP(TableHandbook[[#This Row],[UDC]],TableSTRPRSCH2[],7,FALSE),"")</f>
        <v>Core</v>
      </c>
    </row>
    <row r="16" spans="1:20" x14ac:dyDescent="0.25">
      <c r="A16" s="13" t="s">
        <v>88</v>
      </c>
      <c r="B16" s="14">
        <v>1</v>
      </c>
      <c r="C16" s="13"/>
      <c r="D16" s="13" t="s">
        <v>158</v>
      </c>
      <c r="E16" s="14">
        <v>25</v>
      </c>
      <c r="F16" s="126" t="s">
        <v>143</v>
      </c>
      <c r="G16" s="68" t="str">
        <f>IFERROR(IF(VLOOKUP(TableHandbook[[#This Row],[UDC]],TableAvailabilities[],2,FALSE)&gt;0,"Y",""),"")</f>
        <v>Y</v>
      </c>
      <c r="H16" s="69" t="str">
        <f>IFERROR(IF(VLOOKUP(TableHandbook[[#This Row],[UDC]],TableAvailabilities[],3,FALSE)&gt;0,"Y",""),"")</f>
        <v>Y</v>
      </c>
      <c r="I16" s="70" t="str">
        <f>IFERROR(IF(VLOOKUP(TableHandbook[[#This Row],[UDC]],TableAvailabilities[],4,FALSE)&gt;0,"Y",""),"")</f>
        <v>Y</v>
      </c>
      <c r="J16" s="71" t="str">
        <f>IFERROR(IF(VLOOKUP(TableHandbook[[#This Row],[UDC]],TableAvailabilities[],5,FALSE)&gt;0,"Y",""),"")</f>
        <v>Y</v>
      </c>
      <c r="K16" s="18"/>
      <c r="L16" s="69" t="str">
        <f>IFERROR(VLOOKUP(TableHandbook[[#This Row],[UDC]],TableGCPROJM[],7,FALSE),"")</f>
        <v/>
      </c>
      <c r="M16" s="69" t="str">
        <f>IFERROR(VLOOKUP(TableHandbook[[#This Row],[UDC]],TableGDPROJM[],7,FALSE),"")</f>
        <v>Core</v>
      </c>
      <c r="N16" s="68" t="str">
        <f>IFERROR(VLOOKUP(TableHandbook[[#This Row],[UDC]],TableMCPROJM1.5[],7,FALSE),"")</f>
        <v/>
      </c>
      <c r="O16" s="69" t="str">
        <f>IFERROR(VLOOKUP(TableHandbook[[#This Row],[UDC]],TableSTRPPROFL1.5[],7,FALSE),"")</f>
        <v>Core</v>
      </c>
      <c r="P16" s="71" t="str">
        <f>IFERROR(VLOOKUP(TableHandbook[[#This Row],[UDC]],TableSTRPRESCH1.5[],7,FALSE),"")</f>
        <v>Core</v>
      </c>
      <c r="Q16" s="68" t="str">
        <f>IFERROR(VLOOKUP(TableHandbook[[#This Row],[UDC]],TableMCPROJM2[],7,FALSE),"")</f>
        <v/>
      </c>
      <c r="R16" s="69" t="str">
        <f>IFERROR(VLOOKUP(TableHandbook[[#This Row],[UDC]],TableSTRPPROF2[],7,FALSE),"")</f>
        <v>Core</v>
      </c>
      <c r="S16" s="71" t="str">
        <f>IFERROR(VLOOKUP(TableHandbook[[#This Row],[UDC]],TableSTRPRSCH2[],7,FALSE),"")</f>
        <v>Core</v>
      </c>
    </row>
    <row r="17" spans="1:19" x14ac:dyDescent="0.25">
      <c r="A17" s="13" t="s">
        <v>84</v>
      </c>
      <c r="B17" s="14">
        <v>1</v>
      </c>
      <c r="C17" s="13"/>
      <c r="D17" s="13" t="s">
        <v>159</v>
      </c>
      <c r="E17" s="14">
        <v>25</v>
      </c>
      <c r="F17" s="126" t="s">
        <v>143</v>
      </c>
      <c r="G17" s="68" t="str">
        <f>IFERROR(IF(VLOOKUP(TableHandbook[[#This Row],[UDC]],TableAvailabilities[],2,FALSE)&gt;0,"Y",""),"")</f>
        <v>Y</v>
      </c>
      <c r="H17" s="69" t="str">
        <f>IFERROR(IF(VLOOKUP(TableHandbook[[#This Row],[UDC]],TableAvailabilities[],3,FALSE)&gt;0,"Y",""),"")</f>
        <v>Y</v>
      </c>
      <c r="I17" s="70" t="str">
        <f>IFERROR(IF(VLOOKUP(TableHandbook[[#This Row],[UDC]],TableAvailabilities[],4,FALSE)&gt;0,"Y",""),"")</f>
        <v>Y</v>
      </c>
      <c r="J17" s="71" t="str">
        <f>IFERROR(IF(VLOOKUP(TableHandbook[[#This Row],[UDC]],TableAvailabilities[],5,FALSE)&gt;0,"Y",""),"")</f>
        <v>Y</v>
      </c>
      <c r="K17" s="18"/>
      <c r="L17" s="69" t="str">
        <f>IFERROR(VLOOKUP(TableHandbook[[#This Row],[UDC]],TableGCPROJM[],7,FALSE),"")</f>
        <v/>
      </c>
      <c r="M17" s="69" t="str">
        <f>IFERROR(VLOOKUP(TableHandbook[[#This Row],[UDC]],TableGDPROJM[],7,FALSE),"")</f>
        <v>Core</v>
      </c>
      <c r="N17" s="68" t="str">
        <f>IFERROR(VLOOKUP(TableHandbook[[#This Row],[UDC]],TableMCPROJM1.5[],7,FALSE),"")</f>
        <v/>
      </c>
      <c r="O17" s="69" t="str">
        <f>IFERROR(VLOOKUP(TableHandbook[[#This Row],[UDC]],TableSTRPPROFL1.5[],7,FALSE),"")</f>
        <v>Core</v>
      </c>
      <c r="P17" s="71" t="str">
        <f>IFERROR(VLOOKUP(TableHandbook[[#This Row],[UDC]],TableSTRPRESCH1.5[],7,FALSE),"")</f>
        <v>Core</v>
      </c>
      <c r="Q17" s="68" t="str">
        <f>IFERROR(VLOOKUP(TableHandbook[[#This Row],[UDC]],TableMCPROJM2[],7,FALSE),"")</f>
        <v/>
      </c>
      <c r="R17" s="69" t="str">
        <f>IFERROR(VLOOKUP(TableHandbook[[#This Row],[UDC]],TableSTRPPROF2[],7,FALSE),"")</f>
        <v>Core</v>
      </c>
      <c r="S17" s="71" t="str">
        <f>IFERROR(VLOOKUP(TableHandbook[[#This Row],[UDC]],TableSTRPRSCH2[],7,FALSE),"")</f>
        <v>Core</v>
      </c>
    </row>
    <row r="18" spans="1:19" x14ac:dyDescent="0.25">
      <c r="A18" s="11" t="s">
        <v>160</v>
      </c>
      <c r="B18" s="64">
        <v>1</v>
      </c>
      <c r="C18" s="11"/>
      <c r="D18" s="11" t="s">
        <v>161</v>
      </c>
      <c r="E18" s="64">
        <v>25</v>
      </c>
      <c r="F18" s="128" t="s">
        <v>143</v>
      </c>
      <c r="G18" s="68" t="str">
        <f>IFERROR(IF(VLOOKUP(TableHandbook[[#This Row],[UDC]],TableAvailabilities[],2,FALSE)&gt;0,"Y",""),"")</f>
        <v/>
      </c>
      <c r="H18" s="69" t="str">
        <f>IFERROR(IF(VLOOKUP(TableHandbook[[#This Row],[UDC]],TableAvailabilities[],3,FALSE)&gt;0,"Y",""),"")</f>
        <v/>
      </c>
      <c r="I18" s="70" t="str">
        <f>IFERROR(IF(VLOOKUP(TableHandbook[[#This Row],[UDC]],TableAvailabilities[],4,FALSE)&gt;0,"Y",""),"")</f>
        <v/>
      </c>
      <c r="J18" s="71" t="str">
        <f>IFERROR(IF(VLOOKUP(TableHandbook[[#This Row],[UDC]],TableAvailabilities[],5,FALSE)&gt;0,"Y",""),"")</f>
        <v/>
      </c>
      <c r="K18" s="18" t="s">
        <v>162</v>
      </c>
      <c r="L18" s="69" t="str">
        <f>IFERROR(VLOOKUP(TableHandbook[[#This Row],[UDC]],TableGCPROJM[],7,FALSE),"")</f>
        <v/>
      </c>
      <c r="M18" s="69" t="str">
        <f>IFERROR(VLOOKUP(TableHandbook[[#This Row],[UDC]],TableGDPROJM[],7,FALSE),"")</f>
        <v/>
      </c>
      <c r="N18" s="68" t="str">
        <f>IFERROR(VLOOKUP(TableHandbook[[#This Row],[UDC]],TableMCPROJM1.5[],7,FALSE),"")</f>
        <v/>
      </c>
      <c r="O18" s="69" t="str">
        <f>IFERROR(VLOOKUP(TableHandbook[[#This Row],[UDC]],TableSTRPPROFL1.5[],7,FALSE),"")</f>
        <v/>
      </c>
      <c r="P18" s="164" t="str">
        <f>IFERROR(VLOOKUP(TableHandbook[[#This Row],[UDC]],TableSTRPRESCH1.5[],7,FALSE),"")</f>
        <v/>
      </c>
      <c r="Q18" s="166" t="str">
        <f>IFERROR(VLOOKUP(TableHandbook[[#This Row],[UDC]],TableMCPROJM2[],7,FALSE),"")</f>
        <v/>
      </c>
      <c r="R18" s="167" t="str">
        <f>IFERROR(VLOOKUP(TableHandbook[[#This Row],[UDC]],TableSTRPPROF2[],7,FALSE),"")</f>
        <v/>
      </c>
      <c r="S18" s="164" t="str">
        <f>IFERROR(VLOOKUP(TableHandbook[[#This Row],[UDC]],TableSTRPRSCH2[],7,FALSE),"")</f>
        <v/>
      </c>
    </row>
    <row r="19" spans="1:19" x14ac:dyDescent="0.25">
      <c r="A19" s="13" t="s">
        <v>103</v>
      </c>
      <c r="B19" s="14">
        <v>2</v>
      </c>
      <c r="C19" s="13"/>
      <c r="D19" s="13" t="s">
        <v>163</v>
      </c>
      <c r="E19" s="14">
        <v>50</v>
      </c>
      <c r="F19" s="126" t="s">
        <v>143</v>
      </c>
      <c r="G19" s="68" t="str">
        <f>IFERROR(IF(VLOOKUP(TableHandbook[[#This Row],[UDC]],TableAvailabilities[],2,FALSE)&gt;0,"Y",""),"")</f>
        <v>Y</v>
      </c>
      <c r="H19" s="69" t="str">
        <f>IFERROR(IF(VLOOKUP(TableHandbook[[#This Row],[UDC]],TableAvailabilities[],3,FALSE)&gt;0,"Y",""),"")</f>
        <v>Y</v>
      </c>
      <c r="I19" s="70" t="str">
        <f>IFERROR(IF(VLOOKUP(TableHandbook[[#This Row],[UDC]],TableAvailabilities[],4,FALSE)&gt;0,"Y",""),"")</f>
        <v>Y</v>
      </c>
      <c r="J19" s="71" t="str">
        <f>IFERROR(IF(VLOOKUP(TableHandbook[[#This Row],[UDC]],TableAvailabilities[],5,FALSE)&gt;0,"Y",""),"")</f>
        <v>Y</v>
      </c>
      <c r="K19" s="18"/>
      <c r="L19" s="69" t="str">
        <f>IFERROR(VLOOKUP(TableHandbook[[#This Row],[UDC]],TableGCPROJM[],7,FALSE),"")</f>
        <v/>
      </c>
      <c r="M19" s="69" t="str">
        <f>IFERROR(VLOOKUP(TableHandbook[[#This Row],[UDC]],TableGDPROJM[],7,FALSE),"")</f>
        <v/>
      </c>
      <c r="N19" s="68" t="str">
        <f>IFERROR(VLOOKUP(TableHandbook[[#This Row],[UDC]],TableMCPROJM1.5[],7,FALSE),"")</f>
        <v/>
      </c>
      <c r="O19" s="69" t="str">
        <f>IFERROR(VLOOKUP(TableHandbook[[#This Row],[UDC]],TableSTRPPROFL1.5[],7,FALSE),"")</f>
        <v>Core</v>
      </c>
      <c r="P19" s="71" t="str">
        <f>IFERROR(VLOOKUP(TableHandbook[[#This Row],[UDC]],TableSTRPRESCH1.5[],7,FALSE),"")</f>
        <v>Core</v>
      </c>
      <c r="Q19" s="68" t="str">
        <f>IFERROR(VLOOKUP(TableHandbook[[#This Row],[UDC]],TableMCPROJM2[],7,FALSE),"")</f>
        <v/>
      </c>
      <c r="R19" s="69" t="str">
        <f>IFERROR(VLOOKUP(TableHandbook[[#This Row],[UDC]],TableSTRPPROF2[],7,FALSE),"")</f>
        <v>Core</v>
      </c>
      <c r="S19" s="71" t="str">
        <f>IFERROR(VLOOKUP(TableHandbook[[#This Row],[UDC]],TableSTRPRSCH2[],7,FALSE),"")</f>
        <v>Core</v>
      </c>
    </row>
    <row r="20" spans="1:19" x14ac:dyDescent="0.25">
      <c r="A20" s="13" t="s">
        <v>72</v>
      </c>
      <c r="B20" s="14">
        <v>1</v>
      </c>
      <c r="C20" s="13"/>
      <c r="D20" s="13" t="s">
        <v>164</v>
      </c>
      <c r="E20" s="14">
        <v>25</v>
      </c>
      <c r="F20" s="126" t="s">
        <v>143</v>
      </c>
      <c r="G20" s="68" t="str">
        <f>IFERROR(IF(VLOOKUP(TableHandbook[[#This Row],[UDC]],TableAvailabilities[],2,FALSE)&gt;0,"Y",""),"")</f>
        <v>Y</v>
      </c>
      <c r="H20" s="69" t="str">
        <f>IFERROR(IF(VLOOKUP(TableHandbook[[#This Row],[UDC]],TableAvailabilities[],3,FALSE)&gt;0,"Y",""),"")</f>
        <v>Y</v>
      </c>
      <c r="I20" s="70" t="str">
        <f>IFERROR(IF(VLOOKUP(TableHandbook[[#This Row],[UDC]],TableAvailabilities[],4,FALSE)&gt;0,"Y",""),"")</f>
        <v>Y</v>
      </c>
      <c r="J20" s="71" t="str">
        <f>IFERROR(IF(VLOOKUP(TableHandbook[[#This Row],[UDC]],TableAvailabilities[],5,FALSE)&gt;0,"Y",""),"")</f>
        <v>Y</v>
      </c>
      <c r="K20" s="18"/>
      <c r="L20" s="69" t="str">
        <f>IFERROR(VLOOKUP(TableHandbook[[#This Row],[UDC]],TableGCPROJM[],7,FALSE),"")</f>
        <v>Core</v>
      </c>
      <c r="M20" s="69" t="str">
        <f>IFERROR(VLOOKUP(TableHandbook[[#This Row],[UDC]],TableGDPROJM[],7,FALSE),"")</f>
        <v>Core</v>
      </c>
      <c r="N20" s="68" t="str">
        <f>IFERROR(VLOOKUP(TableHandbook[[#This Row],[UDC]],TableMCPROJM1.5[],7,FALSE),"")</f>
        <v/>
      </c>
      <c r="O20" s="69" t="str">
        <f>IFERROR(VLOOKUP(TableHandbook[[#This Row],[UDC]],TableSTRPPROFL1.5[],7,FALSE),"")</f>
        <v>Core</v>
      </c>
      <c r="P20" s="71" t="str">
        <f>IFERROR(VLOOKUP(TableHandbook[[#This Row],[UDC]],TableSTRPRESCH1.5[],7,FALSE),"")</f>
        <v>Core</v>
      </c>
      <c r="Q20" s="68" t="str">
        <f>IFERROR(VLOOKUP(TableHandbook[[#This Row],[UDC]],TableMCPROJM2[],7,FALSE),"")</f>
        <v/>
      </c>
      <c r="R20" s="69" t="str">
        <f>IFERROR(VLOOKUP(TableHandbook[[#This Row],[UDC]],TableSTRPPROF2[],7,FALSE),"")</f>
        <v>Core</v>
      </c>
      <c r="S20" s="71" t="str">
        <f>IFERROR(VLOOKUP(TableHandbook[[#This Row],[UDC]],TableSTRPRSCH2[],7,FALSE),"")</f>
        <v>Core</v>
      </c>
    </row>
    <row r="21" spans="1:19" x14ac:dyDescent="0.25">
      <c r="A21" s="13" t="s">
        <v>97</v>
      </c>
      <c r="B21" s="14">
        <v>2</v>
      </c>
      <c r="C21" s="13"/>
      <c r="D21" s="13" t="s">
        <v>165</v>
      </c>
      <c r="E21" s="14">
        <v>25</v>
      </c>
      <c r="F21" s="126" t="s">
        <v>166</v>
      </c>
      <c r="G21" s="68" t="str">
        <f>IFERROR(IF(VLOOKUP(TableHandbook[[#This Row],[UDC]],TableAvailabilities[],2,FALSE)&gt;0,"Y",""),"")</f>
        <v>Y</v>
      </c>
      <c r="H21" s="69" t="str">
        <f>IFERROR(IF(VLOOKUP(TableHandbook[[#This Row],[UDC]],TableAvailabilities[],3,FALSE)&gt;0,"Y",""),"")</f>
        <v>Y</v>
      </c>
      <c r="I21" s="70" t="str">
        <f>IFERROR(IF(VLOOKUP(TableHandbook[[#This Row],[UDC]],TableAvailabilities[],4,FALSE)&gt;0,"Y",""),"")</f>
        <v>Y</v>
      </c>
      <c r="J21" s="71" t="str">
        <f>IFERROR(IF(VLOOKUP(TableHandbook[[#This Row],[UDC]],TableAvailabilities[],5,FALSE)&gt;0,"Y",""),"")</f>
        <v>Y</v>
      </c>
      <c r="K21" s="18"/>
      <c r="L21" s="69" t="str">
        <f>IFERROR(VLOOKUP(TableHandbook[[#This Row],[UDC]],TableGCPROJM[],7,FALSE),"")</f>
        <v/>
      </c>
      <c r="M21" s="69" t="str">
        <f>IFERROR(VLOOKUP(TableHandbook[[#This Row],[UDC]],TableGDPROJM[],7,FALSE),"")</f>
        <v/>
      </c>
      <c r="N21" s="68" t="str">
        <f>IFERROR(VLOOKUP(TableHandbook[[#This Row],[UDC]],TableMCPROJM1.5[],7,FALSE),"")</f>
        <v/>
      </c>
      <c r="O21" s="69" t="str">
        <f>IFERROR(VLOOKUP(TableHandbook[[#This Row],[UDC]],TableSTRPPROFL1.5[],7,FALSE),"")</f>
        <v/>
      </c>
      <c r="P21" s="71" t="str">
        <f>IFERROR(VLOOKUP(TableHandbook[[#This Row],[UDC]],TableSTRPRESCH1.5[],7,FALSE),"")</f>
        <v>Core</v>
      </c>
      <c r="Q21" s="68" t="str">
        <f>IFERROR(VLOOKUP(TableHandbook[[#This Row],[UDC]],TableMCPROJM2[],7,FALSE),"")</f>
        <v/>
      </c>
      <c r="R21" s="69" t="str">
        <f>IFERROR(VLOOKUP(TableHandbook[[#This Row],[UDC]],TableSTRPPROF2[],7,FALSE),"")</f>
        <v/>
      </c>
      <c r="S21" s="71" t="str">
        <f>IFERROR(VLOOKUP(TableHandbook[[#This Row],[UDC]],TableSTRPRSCH2[],7,FALSE),"")</f>
        <v>Core</v>
      </c>
    </row>
    <row r="22" spans="1:19" x14ac:dyDescent="0.25">
      <c r="A22" s="13" t="s">
        <v>92</v>
      </c>
      <c r="B22" s="14">
        <v>1</v>
      </c>
      <c r="C22" s="13"/>
      <c r="D22" s="13" t="s">
        <v>167</v>
      </c>
      <c r="E22" s="14">
        <v>25</v>
      </c>
      <c r="F22" s="126" t="s">
        <v>143</v>
      </c>
      <c r="G22" s="94" t="str">
        <f>IFERROR(IF(VLOOKUP(TableHandbook[[#This Row],[UDC]],TableAvailabilities[],2,FALSE)&gt;0,"Y",""),"")</f>
        <v>Y</v>
      </c>
      <c r="H22" s="95" t="str">
        <f>IFERROR(IF(VLOOKUP(TableHandbook[[#This Row],[UDC]],TableAvailabilities[],3,FALSE)&gt;0,"Y",""),"")</f>
        <v>Y</v>
      </c>
      <c r="I22" s="96" t="str">
        <f>IFERROR(IF(VLOOKUP(TableHandbook[[#This Row],[UDC]],TableAvailabilities[],4,FALSE)&gt;0,"Y",""),"")</f>
        <v>Y</v>
      </c>
      <c r="J22" s="97" t="str">
        <f>IFERROR(IF(VLOOKUP(TableHandbook[[#This Row],[UDC]],TableAvailabilities[],5,FALSE)&gt;0,"Y",""),"")</f>
        <v>Y</v>
      </c>
      <c r="K22" s="18"/>
      <c r="L22" s="69" t="str">
        <f>IFERROR(VLOOKUP(TableHandbook[[#This Row],[UDC]],TableGCPROJM[],7,FALSE),"")</f>
        <v/>
      </c>
      <c r="M22" s="69" t="str">
        <f>IFERROR(VLOOKUP(TableHandbook[[#This Row],[UDC]],TableGDPROJM[],7,FALSE),"")</f>
        <v>AltCore</v>
      </c>
      <c r="N22" s="68" t="str">
        <f>IFERROR(VLOOKUP(TableHandbook[[#This Row],[UDC]],TableMCPROJM1.5[],7,FALSE),"")</f>
        <v/>
      </c>
      <c r="O22" s="69" t="str">
        <f>IFERROR(VLOOKUP(TableHandbook[[#This Row],[UDC]],TableSTRPPROFL1.5[],7,FALSE),"")</f>
        <v>Core</v>
      </c>
      <c r="P22" s="71" t="str">
        <f>IFERROR(VLOOKUP(TableHandbook[[#This Row],[UDC]],TableSTRPRESCH1.5[],7,FALSE),"")</f>
        <v>Core</v>
      </c>
      <c r="Q22" s="68" t="str">
        <f>IFERROR(VLOOKUP(TableHandbook[[#This Row],[UDC]],TableMCPROJM2[],7,FALSE),"")</f>
        <v/>
      </c>
      <c r="R22" s="69" t="str">
        <f>IFERROR(VLOOKUP(TableHandbook[[#This Row],[UDC]],TableSTRPPROF2[],7,FALSE),"")</f>
        <v>Core</v>
      </c>
      <c r="S22" s="71" t="str">
        <f>IFERROR(VLOOKUP(TableHandbook[[#This Row],[UDC]],TableSTRPRSCH2[],7,FALSE),"")</f>
        <v>Core</v>
      </c>
    </row>
    <row r="23" spans="1:19" x14ac:dyDescent="0.25">
      <c r="A23" s="13" t="s">
        <v>126</v>
      </c>
      <c r="B23" s="14">
        <v>2</v>
      </c>
      <c r="C23" s="13"/>
      <c r="D23" s="13" t="s">
        <v>125</v>
      </c>
      <c r="E23" s="14">
        <v>400</v>
      </c>
      <c r="F23" s="126"/>
      <c r="G23" s="155" t="str">
        <f>IFERROR(IF(VLOOKUP(TableHandbook[[#This Row],[UDC]],TableAvailabilities[],2,FALSE)&gt;0,"Y",""),"")</f>
        <v/>
      </c>
      <c r="H23" s="156" t="str">
        <f>IFERROR(IF(VLOOKUP(TableHandbook[[#This Row],[UDC]],TableAvailabilities[],3,FALSE)&gt;0,"Y",""),"")</f>
        <v/>
      </c>
      <c r="I23" s="157" t="str">
        <f>IFERROR(IF(VLOOKUP(TableHandbook[[#This Row],[UDC]],TableAvailabilities[],4,FALSE)&gt;0,"Y",""),"")</f>
        <v/>
      </c>
      <c r="J23" s="158" t="str">
        <f>IFERROR(IF(VLOOKUP(TableHandbook[[#This Row],[UDC]],TableAvailabilities[],5,FALSE)&gt;0,"Y",""),"")</f>
        <v/>
      </c>
      <c r="K23" s="18"/>
      <c r="L23" s="69" t="str">
        <f>IFERROR(VLOOKUP(TableHandbook[[#This Row],[UDC]],TableGCPROJM[],7,FALSE),"")</f>
        <v/>
      </c>
      <c r="M23" s="69" t="str">
        <f>IFERROR(VLOOKUP(TableHandbook[[#This Row],[UDC]],TableGDPROJM[],7,FALSE),"")</f>
        <v/>
      </c>
      <c r="N23" s="68" t="str">
        <f>IFERROR(VLOOKUP(TableHandbook[[#This Row],[UDC]],TableMCPROJM1.5[],7,FALSE),"")</f>
        <v/>
      </c>
      <c r="O23" s="69" t="str">
        <f>IFERROR(VLOOKUP(TableHandbook[[#This Row],[UDC]],TableSTRPPROFL1.5[],7,FALSE),"")</f>
        <v/>
      </c>
      <c r="P23" s="71" t="str">
        <f>IFERROR(VLOOKUP(TableHandbook[[#This Row],[UDC]],TableSTRPRESCH1.5[],7,FALSE),"")</f>
        <v/>
      </c>
      <c r="Q23" s="68" t="str">
        <f>IFERROR(VLOOKUP(TableHandbook[[#This Row],[UDC]],TableMCPROJM2[],7,FALSE),"")</f>
        <v>AltCore</v>
      </c>
      <c r="R23" s="69" t="str">
        <f>IFERROR(VLOOKUP(TableHandbook[[#This Row],[UDC]],TableSTRPPROF2[],7,FALSE),"")</f>
        <v/>
      </c>
      <c r="S23" s="71" t="str">
        <f>IFERROR(VLOOKUP(TableHandbook[[#This Row],[UDC]],TableSTRPRSCH2[],7,FALSE),"")</f>
        <v/>
      </c>
    </row>
    <row r="24" spans="1:19" x14ac:dyDescent="0.25">
      <c r="A24" s="13" t="s">
        <v>119</v>
      </c>
      <c r="B24" s="14">
        <v>2</v>
      </c>
      <c r="C24" s="13"/>
      <c r="D24" s="13" t="s">
        <v>118</v>
      </c>
      <c r="E24" s="14">
        <v>300</v>
      </c>
      <c r="F24" s="126"/>
      <c r="G24" s="143" t="str">
        <f>IFERROR(IF(VLOOKUP(TableHandbook[[#This Row],[UDC]],TableAvailabilities[],2,FALSE)&gt;0,"Y",""),"")</f>
        <v/>
      </c>
      <c r="H24" s="144" t="str">
        <f>IFERROR(IF(VLOOKUP(TableHandbook[[#This Row],[UDC]],TableAvailabilities[],3,FALSE)&gt;0,"Y",""),"")</f>
        <v/>
      </c>
      <c r="I24" s="145" t="str">
        <f>IFERROR(IF(VLOOKUP(TableHandbook[[#This Row],[UDC]],TableAvailabilities[],4,FALSE)&gt;0,"Y",""),"")</f>
        <v/>
      </c>
      <c r="J24" s="146" t="str">
        <f>IFERROR(IF(VLOOKUP(TableHandbook[[#This Row],[UDC]],TableAvailabilities[],5,FALSE)&gt;0,"Y",""),"")</f>
        <v/>
      </c>
      <c r="K24" s="18"/>
      <c r="L24" s="69" t="str">
        <f>IFERROR(VLOOKUP(TableHandbook[[#This Row],[UDC]],TableGCPROJM[],7,FALSE),"")</f>
        <v/>
      </c>
      <c r="M24" s="69" t="str">
        <f>IFERROR(VLOOKUP(TableHandbook[[#This Row],[UDC]],TableGDPROJM[],7,FALSE),"")</f>
        <v/>
      </c>
      <c r="N24" s="68" t="str">
        <f>IFERROR(VLOOKUP(TableHandbook[[#This Row],[UDC]],TableMCPROJM1.5[],7,FALSE),"")</f>
        <v>AltCore</v>
      </c>
      <c r="O24" s="69" t="str">
        <f>IFERROR(VLOOKUP(TableHandbook[[#This Row],[UDC]],TableSTRPPROFL1.5[],7,FALSE),"")</f>
        <v/>
      </c>
      <c r="P24" s="71" t="str">
        <f>IFERROR(VLOOKUP(TableHandbook[[#This Row],[UDC]],TableSTRPRESCH1.5[],7,FALSE),"")</f>
        <v/>
      </c>
      <c r="Q24" s="68" t="str">
        <f>IFERROR(VLOOKUP(TableHandbook[[#This Row],[UDC]],TableMCPROJM2[],7,FALSE),"")</f>
        <v/>
      </c>
      <c r="R24" s="69" t="str">
        <f>IFERROR(VLOOKUP(TableHandbook[[#This Row],[UDC]],TableSTRPPROF2[],7,FALSE),"")</f>
        <v/>
      </c>
      <c r="S24" s="71" t="str">
        <f>IFERROR(VLOOKUP(TableHandbook[[#This Row],[UDC]],TableSTRPRSCH2[],7,FALSE),"")</f>
        <v/>
      </c>
    </row>
    <row r="25" spans="1:19" x14ac:dyDescent="0.25">
      <c r="A25" s="13" t="s">
        <v>123</v>
      </c>
      <c r="B25" s="14">
        <v>2</v>
      </c>
      <c r="C25" s="13"/>
      <c r="D25" s="13" t="s">
        <v>122</v>
      </c>
      <c r="E25" s="14">
        <v>300</v>
      </c>
      <c r="F25" s="126"/>
      <c r="G25" s="155" t="str">
        <f>IFERROR(IF(VLOOKUP(TableHandbook[[#This Row],[UDC]],TableAvailabilities[],2,FALSE)&gt;0,"Y",""),"")</f>
        <v/>
      </c>
      <c r="H25" s="156" t="str">
        <f>IFERROR(IF(VLOOKUP(TableHandbook[[#This Row],[UDC]],TableAvailabilities[],3,FALSE)&gt;0,"Y",""),"")</f>
        <v/>
      </c>
      <c r="I25" s="157" t="str">
        <f>IFERROR(IF(VLOOKUP(TableHandbook[[#This Row],[UDC]],TableAvailabilities[],4,FALSE)&gt;0,"Y",""),"")</f>
        <v/>
      </c>
      <c r="J25" s="158" t="str">
        <f>IFERROR(IF(VLOOKUP(TableHandbook[[#This Row],[UDC]],TableAvailabilities[],5,FALSE)&gt;0,"Y",""),"")</f>
        <v/>
      </c>
      <c r="K25" s="18"/>
      <c r="L25" s="69" t="str">
        <f>IFERROR(VLOOKUP(TableHandbook[[#This Row],[UDC]],TableGCPROJM[],7,FALSE),"")</f>
        <v/>
      </c>
      <c r="M25" s="69" t="str">
        <f>IFERROR(VLOOKUP(TableHandbook[[#This Row],[UDC]],TableGDPROJM[],7,FALSE),"")</f>
        <v/>
      </c>
      <c r="N25" s="68" t="str">
        <f>IFERROR(VLOOKUP(TableHandbook[[#This Row],[UDC]],TableMCPROJM1.5[],7,FALSE),"")</f>
        <v>AltCore</v>
      </c>
      <c r="O25" s="69" t="str">
        <f>IFERROR(VLOOKUP(TableHandbook[[#This Row],[UDC]],TableSTRPPROFL1.5[],7,FALSE),"")</f>
        <v/>
      </c>
      <c r="P25" s="71" t="str">
        <f>IFERROR(VLOOKUP(TableHandbook[[#This Row],[UDC]],TableSTRPRESCH1.5[],7,FALSE),"")</f>
        <v/>
      </c>
      <c r="Q25" s="68" t="str">
        <f>IFERROR(VLOOKUP(TableHandbook[[#This Row],[UDC]],TableMCPROJM2[],7,FALSE),"")</f>
        <v/>
      </c>
      <c r="R25" s="69" t="str">
        <f>IFERROR(VLOOKUP(TableHandbook[[#This Row],[UDC]],TableSTRPPROF2[],7,FALSE),"")</f>
        <v/>
      </c>
      <c r="S25" s="71" t="str">
        <f>IFERROR(VLOOKUP(TableHandbook[[#This Row],[UDC]],TableSTRPRSCH2[],7,FALSE),"")</f>
        <v/>
      </c>
    </row>
    <row r="26" spans="1:19" x14ac:dyDescent="0.25">
      <c r="A26" s="13" t="s">
        <v>129</v>
      </c>
      <c r="B26" s="14">
        <v>2</v>
      </c>
      <c r="C26" s="13"/>
      <c r="D26" s="13" t="s">
        <v>128</v>
      </c>
      <c r="E26" s="14">
        <v>400</v>
      </c>
      <c r="F26" s="159"/>
      <c r="G26" s="143" t="str">
        <f>IFERROR(IF(VLOOKUP(TableHandbook[[#This Row],[UDC]],TableAvailabilities[],2,FALSE)&gt;0,"Y",""),"")</f>
        <v/>
      </c>
      <c r="H26" s="144" t="str">
        <f>IFERROR(IF(VLOOKUP(TableHandbook[[#This Row],[UDC]],TableAvailabilities[],3,FALSE)&gt;0,"Y",""),"")</f>
        <v/>
      </c>
      <c r="I26" s="145" t="str">
        <f>IFERROR(IF(VLOOKUP(TableHandbook[[#This Row],[UDC]],TableAvailabilities[],4,FALSE)&gt;0,"Y",""),"")</f>
        <v/>
      </c>
      <c r="J26" s="146" t="str">
        <f>IFERROR(IF(VLOOKUP(TableHandbook[[#This Row],[UDC]],TableAvailabilities[],5,FALSE)&gt;0,"Y",""),"")</f>
        <v/>
      </c>
      <c r="K26" s="18"/>
      <c r="L26" s="69" t="str">
        <f>IFERROR(VLOOKUP(TableHandbook[[#This Row],[UDC]],TableGCPROJM[],7,FALSE),"")</f>
        <v/>
      </c>
      <c r="M26" s="69" t="str">
        <f>IFERROR(VLOOKUP(TableHandbook[[#This Row],[UDC]],TableGDPROJM[],7,FALSE),"")</f>
        <v/>
      </c>
      <c r="N26" s="68" t="str">
        <f>IFERROR(VLOOKUP(TableHandbook[[#This Row],[UDC]],TableMCPROJM1.5[],7,FALSE),"")</f>
        <v/>
      </c>
      <c r="O26" s="69" t="str">
        <f>IFERROR(VLOOKUP(TableHandbook[[#This Row],[UDC]],TableSTRPPROFL1.5[],7,FALSE),"")</f>
        <v/>
      </c>
      <c r="P26" s="71" t="str">
        <f>IFERROR(VLOOKUP(TableHandbook[[#This Row],[UDC]],TableSTRPRESCH1.5[],7,FALSE),"")</f>
        <v/>
      </c>
      <c r="Q26" s="68" t="str">
        <f>IFERROR(VLOOKUP(TableHandbook[[#This Row],[UDC]],TableMCPROJM2[],7,FALSE),"")</f>
        <v>AltCore</v>
      </c>
      <c r="R26" s="69" t="str">
        <f>IFERROR(VLOOKUP(TableHandbook[[#This Row],[UDC]],TableSTRPPROF2[],7,FALSE),"")</f>
        <v/>
      </c>
      <c r="S26" s="71" t="str">
        <f>IFERROR(VLOOKUP(TableHandbook[[#This Row],[UDC]],TableSTRPRSCH2[],7,FALSE),"")</f>
        <v/>
      </c>
    </row>
    <row r="27" spans="1:19" x14ac:dyDescent="0.25">
      <c r="A27" s="13" t="s">
        <v>91</v>
      </c>
      <c r="B27" s="14">
        <v>1</v>
      </c>
      <c r="C27" s="13"/>
      <c r="D27" s="13" t="s">
        <v>168</v>
      </c>
      <c r="E27" s="14">
        <v>25</v>
      </c>
      <c r="F27" s="126" t="s">
        <v>143</v>
      </c>
      <c r="G27" s="155" t="str">
        <f>IFERROR(IF(VLOOKUP(TableHandbook[[#This Row],[UDC]],TableAvailabilities[],2,FALSE)&gt;0,"Y",""),"")</f>
        <v>Y</v>
      </c>
      <c r="H27" s="156" t="str">
        <f>IFERROR(IF(VLOOKUP(TableHandbook[[#This Row],[UDC]],TableAvailabilities[],3,FALSE)&gt;0,"Y",""),"")</f>
        <v>Y</v>
      </c>
      <c r="I27" s="157" t="str">
        <f>IFERROR(IF(VLOOKUP(TableHandbook[[#This Row],[UDC]],TableAvailabilities[],4,FALSE)&gt;0,"Y",""),"")</f>
        <v>Y</v>
      </c>
      <c r="J27" s="158" t="str">
        <f>IFERROR(IF(VLOOKUP(TableHandbook[[#This Row],[UDC]],TableAvailabilities[],5,FALSE)&gt;0,"Y",""),"")</f>
        <v>Y</v>
      </c>
      <c r="K27" s="18"/>
      <c r="L27" s="69" t="str">
        <f>IFERROR(VLOOKUP(TableHandbook[[#This Row],[UDC]],TableGCPROJM[],7,FALSE),"")</f>
        <v/>
      </c>
      <c r="M27" s="69" t="str">
        <f>IFERROR(VLOOKUP(TableHandbook[[#This Row],[UDC]],TableGDPROJM[],7,FALSE),"")</f>
        <v>AltCore</v>
      </c>
      <c r="N27" s="94" t="str">
        <f>IFERROR(VLOOKUP(TableHandbook[[#This Row],[UDC]],TableMCPROJM1.5[],7,FALSE),"")</f>
        <v/>
      </c>
      <c r="O27" s="95" t="str">
        <f>IFERROR(VLOOKUP(TableHandbook[[#This Row],[UDC]],TableSTRPPROFL1.5[],7,FALSE),"")</f>
        <v>Core</v>
      </c>
      <c r="P27" s="97" t="str">
        <f>IFERROR(VLOOKUP(TableHandbook[[#This Row],[UDC]],TableSTRPRESCH1.5[],7,FALSE),"")</f>
        <v>Core</v>
      </c>
      <c r="Q27" s="94" t="str">
        <f>IFERROR(VLOOKUP(TableHandbook[[#This Row],[UDC]],TableMCPROJM2[],7,FALSE),"")</f>
        <v/>
      </c>
      <c r="R27" s="95" t="str">
        <f>IFERROR(VLOOKUP(TableHandbook[[#This Row],[UDC]],TableSTRPPROF2[],7,FALSE),"")</f>
        <v>Core</v>
      </c>
      <c r="S27" s="97" t="str">
        <f>IFERROR(VLOOKUP(TableHandbook[[#This Row],[UDC]],TableSTRPRSCH2[],7,FALSE),"")</f>
        <v>Core</v>
      </c>
    </row>
    <row r="28" spans="1:19" x14ac:dyDescent="0.25">
      <c r="B28"/>
      <c r="E28"/>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sheetData>
  <sortState ref="A24:D37">
    <sortCondition ref="A24"/>
  </sortState>
  <conditionalFormatting sqref="A4:A27">
    <cfRule type="duplicateValues" dxfId="82" priority="41"/>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zoomScale="70" zoomScaleNormal="70" workbookViewId="0">
      <selection activeCell="D6" sqref="D6"/>
    </sheetView>
  </sheetViews>
  <sheetFormatPr defaultRowHeight="15.75" x14ac:dyDescent="0.25"/>
  <cols>
    <col min="1" max="1" width="11" bestFit="1" customWidth="1"/>
    <col min="2" max="2" width="13.375" style="6" bestFit="1" customWidth="1"/>
    <col min="3" max="3" width="12.5" bestFit="1" customWidth="1"/>
    <col min="4" max="4" width="43.125" bestFit="1" customWidth="1"/>
    <col min="5" max="5" width="9.75" style="6"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3.125" bestFit="1" customWidth="1"/>
    <col min="13" max="13" width="14.75" bestFit="1" customWidth="1"/>
    <col min="14" max="14" width="12.5" bestFit="1" customWidth="1"/>
    <col min="15" max="15" width="11.25" bestFit="1" customWidth="1"/>
    <col min="17" max="17" width="12.875" customWidth="1"/>
    <col min="18" max="18" width="7.125" bestFit="1" customWidth="1"/>
    <col min="19" max="19" width="12" bestFit="1" customWidth="1"/>
    <col min="20" max="20" width="14.5" bestFit="1" customWidth="1"/>
    <col min="21" max="21" width="21.125" bestFit="1" customWidth="1"/>
    <col min="22" max="22" width="6.25" bestFit="1" customWidth="1"/>
    <col min="23" max="23" width="43.125" bestFit="1" customWidth="1"/>
    <col min="24" max="24" width="14.375" bestFit="1" customWidth="1"/>
    <col min="25" max="25" width="10.75" bestFit="1" customWidth="1"/>
    <col min="26" max="26" width="11.25" bestFit="1" customWidth="1"/>
  </cols>
  <sheetData>
    <row r="1" spans="1:18" x14ac:dyDescent="0.25">
      <c r="B1"/>
      <c r="E1"/>
      <c r="F1" s="121"/>
      <c r="G1" s="123" t="s">
        <v>169</v>
      </c>
      <c r="H1" s="124">
        <v>42005</v>
      </c>
      <c r="I1" s="121"/>
      <c r="J1" s="171" t="s">
        <v>74</v>
      </c>
      <c r="K1" s="122" t="s">
        <v>75</v>
      </c>
      <c r="L1" s="121" t="s">
        <v>73</v>
      </c>
      <c r="M1" s="121"/>
      <c r="N1" s="175" t="s">
        <v>170</v>
      </c>
      <c r="O1" s="154">
        <v>45307</v>
      </c>
    </row>
    <row r="2" spans="1:18" x14ac:dyDescent="0.25">
      <c r="A2" t="s">
        <v>0</v>
      </c>
      <c r="B2" s="120" t="s">
        <v>66</v>
      </c>
      <c r="C2" t="s">
        <v>171</v>
      </c>
      <c r="D2" t="s">
        <v>3</v>
      </c>
      <c r="E2" s="119" t="s">
        <v>172</v>
      </c>
      <c r="F2" t="s">
        <v>173</v>
      </c>
      <c r="G2" t="s">
        <v>174</v>
      </c>
      <c r="H2" t="s">
        <v>175</v>
      </c>
      <c r="I2" t="s">
        <v>19</v>
      </c>
      <c r="J2" t="s">
        <v>176</v>
      </c>
      <c r="K2" t="s">
        <v>1</v>
      </c>
      <c r="L2" t="s">
        <v>54</v>
      </c>
      <c r="M2" t="s">
        <v>67</v>
      </c>
      <c r="N2" t="s">
        <v>177</v>
      </c>
      <c r="O2" t="s">
        <v>178</v>
      </c>
      <c r="Q2" t="s">
        <v>179</v>
      </c>
      <c r="R2" t="s">
        <v>1</v>
      </c>
    </row>
    <row r="3" spans="1:18" x14ac:dyDescent="0.25">
      <c r="A3" t="str">
        <f>TableGCPROJM[[#This Row],[Study Package Code]]</f>
        <v>PRJM6000</v>
      </c>
      <c r="B3" s="6">
        <f>TableGCPROJM[[#This Row],[Ver]]</f>
        <v>1</v>
      </c>
      <c r="D3" t="str">
        <f>TableGCPROJM[[#This Row],[Structure Line]]</f>
        <v>Project Management Overview</v>
      </c>
      <c r="E3" s="119">
        <f>TableGCPROJM[[#This Row],[Credit Points]]</f>
        <v>25</v>
      </c>
      <c r="F3">
        <v>1</v>
      </c>
      <c r="G3" t="s">
        <v>180</v>
      </c>
      <c r="H3">
        <v>1</v>
      </c>
      <c r="I3" t="s">
        <v>181</v>
      </c>
      <c r="J3" t="s">
        <v>61</v>
      </c>
      <c r="K3">
        <v>1</v>
      </c>
      <c r="L3" t="s">
        <v>150</v>
      </c>
      <c r="M3">
        <v>25</v>
      </c>
      <c r="N3" s="65">
        <v>42005</v>
      </c>
      <c r="O3" s="65"/>
      <c r="Q3" t="s">
        <v>61</v>
      </c>
      <c r="R3">
        <v>1</v>
      </c>
    </row>
    <row r="4" spans="1:18" x14ac:dyDescent="0.25">
      <c r="A4" t="str">
        <f>TableGCPROJM[[#This Row],[Study Package Code]]</f>
        <v>PRJM6010</v>
      </c>
      <c r="B4" s="6">
        <f>TableGCPROJM[[#This Row],[Ver]]</f>
        <v>1</v>
      </c>
      <c r="D4" t="str">
        <f>TableGCPROJM[[#This Row],[Structure Line]]</f>
        <v>Project and People</v>
      </c>
      <c r="E4" s="119">
        <f>TableGCPROJM[[#This Row],[Credit Points]]</f>
        <v>25</v>
      </c>
      <c r="F4">
        <v>2</v>
      </c>
      <c r="G4" t="s">
        <v>180</v>
      </c>
      <c r="H4">
        <v>1</v>
      </c>
      <c r="I4" t="s">
        <v>181</v>
      </c>
      <c r="J4" t="s">
        <v>72</v>
      </c>
      <c r="K4">
        <v>1</v>
      </c>
      <c r="L4" t="s">
        <v>164</v>
      </c>
      <c r="M4">
        <v>25</v>
      </c>
      <c r="N4" s="65">
        <v>42005</v>
      </c>
      <c r="O4" s="65"/>
      <c r="Q4" t="s">
        <v>72</v>
      </c>
      <c r="R4">
        <v>1</v>
      </c>
    </row>
    <row r="5" spans="1:18" x14ac:dyDescent="0.25">
      <c r="A5" t="str">
        <f>TableGCPROJM[[#This Row],[Study Package Code]]</f>
        <v>PRJM6001</v>
      </c>
      <c r="B5" s="6">
        <f>TableGCPROJM[[#This Row],[Ver]]</f>
        <v>1</v>
      </c>
      <c r="D5" t="str">
        <f>TableGCPROJM[[#This Row],[Structure Line]]</f>
        <v>Project Cost Management</v>
      </c>
      <c r="E5" s="119">
        <f>TableGCPROJM[[#This Row],[Credit Points]]</f>
        <v>25</v>
      </c>
      <c r="F5">
        <v>3</v>
      </c>
      <c r="G5" t="s">
        <v>180</v>
      </c>
      <c r="H5">
        <v>1</v>
      </c>
      <c r="I5" t="s">
        <v>181</v>
      </c>
      <c r="J5" t="s">
        <v>64</v>
      </c>
      <c r="K5">
        <v>1</v>
      </c>
      <c r="L5" t="s">
        <v>151</v>
      </c>
      <c r="M5">
        <v>25</v>
      </c>
      <c r="N5" s="65">
        <v>42005</v>
      </c>
      <c r="O5" s="65"/>
      <c r="Q5" t="s">
        <v>64</v>
      </c>
      <c r="R5">
        <v>1</v>
      </c>
    </row>
    <row r="6" spans="1:18" x14ac:dyDescent="0.25">
      <c r="A6" t="str">
        <f>TableGCPROJM[[#This Row],[Study Package Code]]</f>
        <v>PRJM6002</v>
      </c>
      <c r="B6" s="6">
        <f>TableGCPROJM[[#This Row],[Ver]]</f>
        <v>2</v>
      </c>
      <c r="D6" t="str">
        <f>TableGCPROJM[[#This Row],[Structure Line]]</f>
        <v>Project Planning and Schedule Management</v>
      </c>
      <c r="E6" s="119">
        <f>TableGCPROJM[[#This Row],[Credit Points]]</f>
        <v>25</v>
      </c>
      <c r="F6">
        <v>4</v>
      </c>
      <c r="G6" t="s">
        <v>180</v>
      </c>
      <c r="H6">
        <v>1</v>
      </c>
      <c r="I6" t="s">
        <v>181</v>
      </c>
      <c r="J6" t="s">
        <v>71</v>
      </c>
      <c r="K6">
        <v>2</v>
      </c>
      <c r="L6" t="s">
        <v>152</v>
      </c>
      <c r="M6">
        <v>25</v>
      </c>
      <c r="N6" s="65">
        <v>45292</v>
      </c>
      <c r="O6" s="65"/>
      <c r="Q6" t="s">
        <v>71</v>
      </c>
      <c r="R6">
        <v>1</v>
      </c>
    </row>
    <row r="9" spans="1:18" x14ac:dyDescent="0.25">
      <c r="B9"/>
      <c r="E9"/>
      <c r="F9" s="121"/>
      <c r="G9" s="123" t="s">
        <v>169</v>
      </c>
      <c r="H9" s="124">
        <v>42186</v>
      </c>
      <c r="I9" s="121"/>
      <c r="J9" s="171" t="s">
        <v>80</v>
      </c>
      <c r="K9" s="122" t="s">
        <v>81</v>
      </c>
      <c r="L9" s="121" t="s">
        <v>79</v>
      </c>
      <c r="M9" s="121"/>
      <c r="N9" s="175" t="s">
        <v>170</v>
      </c>
      <c r="O9" s="154">
        <v>45307</v>
      </c>
    </row>
    <row r="10" spans="1:18" x14ac:dyDescent="0.25">
      <c r="A10" t="s">
        <v>0</v>
      </c>
      <c r="B10" s="6" t="s">
        <v>66</v>
      </c>
      <c r="C10" t="s">
        <v>171</v>
      </c>
      <c r="D10" t="s">
        <v>3</v>
      </c>
      <c r="E10" s="119" t="s">
        <v>172</v>
      </c>
      <c r="F10" t="s">
        <v>173</v>
      </c>
      <c r="G10" t="s">
        <v>174</v>
      </c>
      <c r="H10" t="s">
        <v>175</v>
      </c>
      <c r="I10" t="s">
        <v>19</v>
      </c>
      <c r="J10" t="s">
        <v>176</v>
      </c>
      <c r="K10" t="s">
        <v>1</v>
      </c>
      <c r="L10" t="s">
        <v>54</v>
      </c>
      <c r="M10" t="s">
        <v>67</v>
      </c>
      <c r="N10" t="s">
        <v>177</v>
      </c>
      <c r="O10" t="s">
        <v>178</v>
      </c>
      <c r="Q10" t="s">
        <v>179</v>
      </c>
      <c r="R10" t="s">
        <v>1</v>
      </c>
    </row>
    <row r="11" spans="1:18" x14ac:dyDescent="0.25">
      <c r="A11" t="str">
        <f>TableGDPROJM[[#This Row],[Study Package Code]]</f>
        <v>PRJM6010</v>
      </c>
      <c r="B11" s="6">
        <f>TableGDPROJM[[#This Row],[Ver]]</f>
        <v>1</v>
      </c>
      <c r="D11" t="str">
        <f>TableGDPROJM[[#This Row],[Structure Line]]</f>
        <v>Project and People</v>
      </c>
      <c r="E11" s="119">
        <f>TableGDPROJM[[#This Row],[Credit Points]]</f>
        <v>25</v>
      </c>
      <c r="F11">
        <v>1</v>
      </c>
      <c r="G11" t="s">
        <v>180</v>
      </c>
      <c r="H11">
        <v>1</v>
      </c>
      <c r="I11" t="s">
        <v>181</v>
      </c>
      <c r="J11" t="s">
        <v>72</v>
      </c>
      <c r="K11">
        <v>1</v>
      </c>
      <c r="L11" t="s">
        <v>164</v>
      </c>
      <c r="M11">
        <v>25</v>
      </c>
      <c r="N11" s="65">
        <v>42005</v>
      </c>
      <c r="O11" s="65"/>
      <c r="Q11" t="s">
        <v>72</v>
      </c>
      <c r="R11">
        <v>1</v>
      </c>
    </row>
    <row r="12" spans="1:18" x14ac:dyDescent="0.25">
      <c r="A12" t="str">
        <f>TableGDPROJM[[#This Row],[Study Package Code]]</f>
        <v>PRJM6004</v>
      </c>
      <c r="B12" s="6">
        <f>TableGDPROJM[[#This Row],[Ver]]</f>
        <v>1</v>
      </c>
      <c r="D12" t="str">
        <f>TableGDPROJM[[#This Row],[Structure Line]]</f>
        <v>Project Procurement Management</v>
      </c>
      <c r="E12" s="119">
        <f>TableGDPROJM[[#This Row],[Credit Points]]</f>
        <v>25</v>
      </c>
      <c r="F12">
        <v>2</v>
      </c>
      <c r="G12" t="s">
        <v>180</v>
      </c>
      <c r="H12">
        <v>1</v>
      </c>
      <c r="I12" t="s">
        <v>182</v>
      </c>
      <c r="J12" t="s">
        <v>88</v>
      </c>
      <c r="K12">
        <v>1</v>
      </c>
      <c r="L12" t="s">
        <v>158</v>
      </c>
      <c r="M12">
        <v>25</v>
      </c>
      <c r="N12" s="65">
        <v>42005</v>
      </c>
      <c r="O12" s="65"/>
      <c r="Q12" t="s">
        <v>88</v>
      </c>
      <c r="R12">
        <v>1</v>
      </c>
    </row>
    <row r="13" spans="1:18" x14ac:dyDescent="0.25">
      <c r="A13" t="str">
        <f>TableGDPROJM[[#This Row],[Study Package Code]]</f>
        <v>PRJM6000</v>
      </c>
      <c r="B13" s="6">
        <f>TableGDPROJM[[#This Row],[Ver]]</f>
        <v>1</v>
      </c>
      <c r="D13" t="str">
        <f>TableGDPROJM[[#This Row],[Structure Line]]</f>
        <v>Project Management Overview</v>
      </c>
      <c r="E13" s="119">
        <f>TableGDPROJM[[#This Row],[Credit Points]]</f>
        <v>25</v>
      </c>
      <c r="F13">
        <v>3</v>
      </c>
      <c r="G13" t="s">
        <v>180</v>
      </c>
      <c r="H13">
        <v>1</v>
      </c>
      <c r="I13" t="s">
        <v>181</v>
      </c>
      <c r="J13" t="s">
        <v>61</v>
      </c>
      <c r="K13">
        <v>1</v>
      </c>
      <c r="L13" t="s">
        <v>150</v>
      </c>
      <c r="M13">
        <v>25</v>
      </c>
      <c r="N13" s="65">
        <v>42005</v>
      </c>
      <c r="O13" s="65"/>
      <c r="Q13" t="s">
        <v>61</v>
      </c>
      <c r="R13">
        <v>1</v>
      </c>
    </row>
    <row r="14" spans="1:18" x14ac:dyDescent="0.25">
      <c r="A14" t="str">
        <f>TableGDPROJM[[#This Row],[Study Package Code]]</f>
        <v>PRJM6001</v>
      </c>
      <c r="B14" s="6">
        <f>TableGDPROJM[[#This Row],[Ver]]</f>
        <v>1</v>
      </c>
      <c r="D14" t="str">
        <f>TableGDPROJM[[#This Row],[Structure Line]]</f>
        <v>Project Cost Management</v>
      </c>
      <c r="E14" s="119">
        <f>TableGDPROJM[[#This Row],[Credit Points]]</f>
        <v>25</v>
      </c>
      <c r="F14">
        <v>4</v>
      </c>
      <c r="G14" t="s">
        <v>180</v>
      </c>
      <c r="H14">
        <v>1</v>
      </c>
      <c r="I14" t="s">
        <v>181</v>
      </c>
      <c r="J14" t="s">
        <v>64</v>
      </c>
      <c r="K14">
        <v>1</v>
      </c>
      <c r="L14" t="s">
        <v>151</v>
      </c>
      <c r="M14">
        <v>25</v>
      </c>
      <c r="N14" s="65">
        <v>42005</v>
      </c>
      <c r="O14" s="65"/>
      <c r="Q14" t="s">
        <v>64</v>
      </c>
      <c r="R14">
        <v>1</v>
      </c>
    </row>
    <row r="15" spans="1:18" x14ac:dyDescent="0.25">
      <c r="A15" t="str">
        <f>TableGDPROJM[[#This Row],[Study Package Code]]</f>
        <v>PRJM6003</v>
      </c>
      <c r="B15" s="6">
        <f>TableGDPROJM[[#This Row],[Ver]]</f>
        <v>1</v>
      </c>
      <c r="D15" t="str">
        <f>TableGDPROJM[[#This Row],[Structure Line]]</f>
        <v>Project Risk Management</v>
      </c>
      <c r="E15" s="119">
        <f>TableGDPROJM[[#This Row],[Credit Points]]</f>
        <v>25</v>
      </c>
      <c r="F15">
        <v>5</v>
      </c>
      <c r="G15" t="s">
        <v>180</v>
      </c>
      <c r="H15">
        <v>1</v>
      </c>
      <c r="I15" t="s">
        <v>182</v>
      </c>
      <c r="J15" t="s">
        <v>83</v>
      </c>
      <c r="K15">
        <v>1</v>
      </c>
      <c r="L15" t="s">
        <v>157</v>
      </c>
      <c r="M15">
        <v>25</v>
      </c>
      <c r="N15" s="65">
        <v>42005</v>
      </c>
      <c r="O15" s="65"/>
      <c r="Q15" t="s">
        <v>83</v>
      </c>
      <c r="R15">
        <v>1</v>
      </c>
    </row>
    <row r="16" spans="1:18" x14ac:dyDescent="0.25">
      <c r="A16" t="str">
        <f>TableGDPROJM[[#This Row],[Study Package Code]]</f>
        <v>PRJM6002</v>
      </c>
      <c r="B16" s="6">
        <f>TableGDPROJM[[#This Row],[Ver]]</f>
        <v>2</v>
      </c>
      <c r="D16" t="str">
        <f>TableGDPROJM[[#This Row],[Structure Line]]</f>
        <v>Project Planning and Schedule Management</v>
      </c>
      <c r="E16" s="119">
        <f>TableGDPROJM[[#This Row],[Credit Points]]</f>
        <v>25</v>
      </c>
      <c r="F16">
        <v>6</v>
      </c>
      <c r="G16" t="s">
        <v>180</v>
      </c>
      <c r="H16">
        <v>1</v>
      </c>
      <c r="I16" t="s">
        <v>181</v>
      </c>
      <c r="J16" t="s">
        <v>71</v>
      </c>
      <c r="K16">
        <v>2</v>
      </c>
      <c r="L16" t="s">
        <v>152</v>
      </c>
      <c r="M16">
        <v>25</v>
      </c>
      <c r="N16" s="65">
        <v>45292</v>
      </c>
      <c r="O16" s="65"/>
      <c r="Q16" t="s">
        <v>71</v>
      </c>
      <c r="R16">
        <v>1</v>
      </c>
    </row>
    <row r="17" spans="1:18" x14ac:dyDescent="0.25">
      <c r="A17" t="str">
        <f>TableGDPROJM[[#This Row],[Study Package Code]]</f>
        <v>PRJM6005</v>
      </c>
      <c r="B17" s="6">
        <f>TableGDPROJM[[#This Row],[Ver]]</f>
        <v>1</v>
      </c>
      <c r="D17" t="str">
        <f>TableGDPROJM[[#This Row],[Structure Line]]</f>
        <v>Program and Portfolio Management</v>
      </c>
      <c r="E17" s="119">
        <f>TableGDPROJM[[#This Row],[Credit Points]]</f>
        <v>25</v>
      </c>
      <c r="F17">
        <v>7</v>
      </c>
      <c r="G17" t="s">
        <v>180</v>
      </c>
      <c r="H17">
        <v>1</v>
      </c>
      <c r="I17" t="s">
        <v>182</v>
      </c>
      <c r="J17" t="s">
        <v>84</v>
      </c>
      <c r="K17">
        <v>1</v>
      </c>
      <c r="L17" t="s">
        <v>159</v>
      </c>
      <c r="M17">
        <v>25</v>
      </c>
      <c r="N17" s="65">
        <v>42005</v>
      </c>
      <c r="O17" s="65"/>
      <c r="Q17" t="s">
        <v>84</v>
      </c>
      <c r="R17">
        <v>1</v>
      </c>
    </row>
    <row r="18" spans="1:18" x14ac:dyDescent="0.25">
      <c r="A18" t="str">
        <f>TableGDPROJM[[#This Row],[Study Package Code]]</f>
        <v>AltCore1</v>
      </c>
      <c r="B18" s="6">
        <f>TableGDPROJM[[#This Row],[Ver]]</f>
        <v>0</v>
      </c>
      <c r="D18" t="str">
        <f>TableGDPROJM[[#This Row],[Structure Line]]</f>
        <v>Choose PRJM6025 or URDE6006</v>
      </c>
      <c r="E18" s="119">
        <f>TableGDPROJM[[#This Row],[Credit Points]]</f>
        <v>25</v>
      </c>
      <c r="F18">
        <v>8</v>
      </c>
      <c r="G18" t="s">
        <v>183</v>
      </c>
      <c r="H18">
        <v>1</v>
      </c>
      <c r="I18" t="s">
        <v>182</v>
      </c>
      <c r="J18" t="s">
        <v>93</v>
      </c>
      <c r="L18" t="s">
        <v>184</v>
      </c>
      <c r="M18">
        <v>25</v>
      </c>
      <c r="N18" s="65">
        <v>44562</v>
      </c>
      <c r="O18" s="65"/>
      <c r="Q18" t="s">
        <v>93</v>
      </c>
    </row>
    <row r="19" spans="1:18" x14ac:dyDescent="0.25">
      <c r="A19" t="str">
        <f>TableGDPROJM[[#This Row],[Study Package Code]]</f>
        <v>PRJM6025</v>
      </c>
      <c r="B19" s="6">
        <f>TableGDPROJM[[#This Row],[Ver]]</f>
        <v>1</v>
      </c>
      <c r="D19" t="str">
        <f>TableGDPROJM[[#This Row],[Structure Line]]</f>
        <v>Agile Management</v>
      </c>
      <c r="E19" s="119">
        <f>TableGDPROJM[[#This Row],[Credit Points]]</f>
        <v>25</v>
      </c>
      <c r="F19">
        <v>8</v>
      </c>
      <c r="G19" t="s">
        <v>183</v>
      </c>
      <c r="H19">
        <v>1</v>
      </c>
      <c r="I19" s="65" t="s">
        <v>182</v>
      </c>
      <c r="J19" s="120" t="s">
        <v>92</v>
      </c>
      <c r="K19">
        <v>1</v>
      </c>
      <c r="L19" t="s">
        <v>167</v>
      </c>
      <c r="M19">
        <v>25</v>
      </c>
      <c r="N19" s="65">
        <v>44562</v>
      </c>
      <c r="O19" s="65"/>
      <c r="Q19" t="s">
        <v>92</v>
      </c>
      <c r="R19">
        <v>1</v>
      </c>
    </row>
    <row r="20" spans="1:18" x14ac:dyDescent="0.25">
      <c r="A20" t="str">
        <f>TableGDPROJM[[#This Row],[Study Package Code]]</f>
        <v>URDE6006</v>
      </c>
      <c r="B20" s="6">
        <f>TableGDPROJM[[#This Row],[Ver]]</f>
        <v>1</v>
      </c>
      <c r="D20" t="str">
        <f>TableGDPROJM[[#This Row],[Structure Line]]</f>
        <v>Design and Built Environment Research Methods</v>
      </c>
      <c r="E20" s="119">
        <f>TableGDPROJM[[#This Row],[Credit Points]]</f>
        <v>25</v>
      </c>
      <c r="F20">
        <v>8</v>
      </c>
      <c r="G20" t="s">
        <v>183</v>
      </c>
      <c r="H20">
        <v>1</v>
      </c>
      <c r="I20" t="s">
        <v>182</v>
      </c>
      <c r="J20" s="120" t="s">
        <v>91</v>
      </c>
      <c r="K20">
        <v>1</v>
      </c>
      <c r="L20" t="s">
        <v>168</v>
      </c>
      <c r="M20">
        <v>25</v>
      </c>
      <c r="N20" s="65">
        <v>44562</v>
      </c>
      <c r="O20" s="65"/>
      <c r="Q20" t="s">
        <v>91</v>
      </c>
      <c r="R20">
        <v>1</v>
      </c>
    </row>
    <row r="23" spans="1:18" x14ac:dyDescent="0.25">
      <c r="B23"/>
      <c r="E23"/>
      <c r="F23" s="121"/>
      <c r="G23" s="123" t="s">
        <v>169</v>
      </c>
      <c r="H23" s="124">
        <v>42186</v>
      </c>
      <c r="I23" s="121"/>
      <c r="J23" s="171" t="s">
        <v>138</v>
      </c>
      <c r="K23" s="122" t="s">
        <v>81</v>
      </c>
      <c r="L23" s="121" t="s">
        <v>185</v>
      </c>
      <c r="M23" s="121"/>
      <c r="N23" s="175" t="s">
        <v>170</v>
      </c>
      <c r="O23" s="154">
        <v>45307</v>
      </c>
    </row>
    <row r="24" spans="1:18" x14ac:dyDescent="0.25">
      <c r="A24" t="s">
        <v>0</v>
      </c>
      <c r="B24" s="6" t="s">
        <v>66</v>
      </c>
      <c r="C24" t="s">
        <v>171</v>
      </c>
      <c r="D24" t="s">
        <v>3</v>
      </c>
      <c r="E24" s="119" t="s">
        <v>172</v>
      </c>
      <c r="F24" t="s">
        <v>173</v>
      </c>
      <c r="G24" t="s">
        <v>174</v>
      </c>
      <c r="H24" t="s">
        <v>175</v>
      </c>
      <c r="I24" t="s">
        <v>19</v>
      </c>
      <c r="J24" t="s">
        <v>176</v>
      </c>
      <c r="K24" t="s">
        <v>1</v>
      </c>
      <c r="L24" t="s">
        <v>54</v>
      </c>
      <c r="M24" t="s">
        <v>67</v>
      </c>
      <c r="N24" t="s">
        <v>177</v>
      </c>
      <c r="O24" t="s">
        <v>178</v>
      </c>
      <c r="Q24" t="s">
        <v>179</v>
      </c>
      <c r="R24" t="s">
        <v>1</v>
      </c>
    </row>
    <row r="25" spans="1:18" x14ac:dyDescent="0.25">
      <c r="A25" t="str">
        <f>TableMCPROJM1.5[[#This Row],[Study Package Code]]</f>
        <v>Stream</v>
      </c>
      <c r="B25" s="6">
        <f>TableMCPROJM1.5[[#This Row],[Ver]]</f>
        <v>0</v>
      </c>
      <c r="D25" t="str">
        <f>TableMCPROJM1.5[[#This Row],[Structure Line]]</f>
        <v>Choose a Stream</v>
      </c>
      <c r="E25" s="119">
        <f>TableMCPROJM1.5[[#This Row],[Credit Points]]</f>
        <v>300</v>
      </c>
      <c r="F25">
        <v>1</v>
      </c>
      <c r="G25" t="s">
        <v>183</v>
      </c>
      <c r="H25">
        <v>1</v>
      </c>
      <c r="I25" t="s">
        <v>186</v>
      </c>
      <c r="J25" t="s">
        <v>187</v>
      </c>
      <c r="K25">
        <v>0</v>
      </c>
      <c r="L25" t="s">
        <v>188</v>
      </c>
      <c r="M25">
        <v>300</v>
      </c>
      <c r="N25" s="65"/>
      <c r="O25" s="65"/>
      <c r="Q25" t="s">
        <v>187</v>
      </c>
      <c r="R25">
        <v>0</v>
      </c>
    </row>
    <row r="26" spans="1:18" x14ac:dyDescent="0.25">
      <c r="A26" t="str">
        <f>TableMCPROJM1.5[[#This Row],[Study Package Code]]</f>
        <v>STRP-PROFL</v>
      </c>
      <c r="B26" s="6">
        <f>TableMCPROJM1.5[[#This Row],[Ver]]</f>
        <v>2</v>
      </c>
      <c r="D26" t="str">
        <f>TableMCPROJM1.5[[#This Row],[Structure Line]]</f>
        <v>Professional Stream (MSc Proj Mngmt)</v>
      </c>
      <c r="E26" s="119">
        <f>TableMCPROJM1.5[[#This Row],[Credit Points]]</f>
        <v>300</v>
      </c>
      <c r="F26">
        <v>1</v>
      </c>
      <c r="G26" t="s">
        <v>183</v>
      </c>
      <c r="H26">
        <v>1</v>
      </c>
      <c r="I26" t="s">
        <v>186</v>
      </c>
      <c r="J26" t="s">
        <v>119</v>
      </c>
      <c r="K26">
        <v>2</v>
      </c>
      <c r="L26" t="s">
        <v>118</v>
      </c>
      <c r="M26">
        <v>300</v>
      </c>
      <c r="N26" s="65">
        <v>44562</v>
      </c>
      <c r="O26" s="65"/>
      <c r="Q26" t="s">
        <v>119</v>
      </c>
      <c r="R26">
        <v>2</v>
      </c>
    </row>
    <row r="27" spans="1:18" x14ac:dyDescent="0.25">
      <c r="A27" t="str">
        <f>TableMCPROJM1.5[[#This Row],[Study Package Code]]</f>
        <v>STRP-RESCH</v>
      </c>
      <c r="B27" s="6">
        <f>TableMCPROJM1.5[[#This Row],[Ver]]</f>
        <v>2</v>
      </c>
      <c r="D27" t="str">
        <f>TableMCPROJM1.5[[#This Row],[Structure Line]]</f>
        <v>Research Stream (MSc Proj Mngmt)</v>
      </c>
      <c r="E27" s="119">
        <f>TableMCPROJM1.5[[#This Row],[Credit Points]]</f>
        <v>300</v>
      </c>
      <c r="F27">
        <v>1</v>
      </c>
      <c r="G27" t="s">
        <v>183</v>
      </c>
      <c r="H27">
        <v>1</v>
      </c>
      <c r="I27" t="s">
        <v>186</v>
      </c>
      <c r="J27" t="s">
        <v>123</v>
      </c>
      <c r="K27">
        <v>2</v>
      </c>
      <c r="L27" t="s">
        <v>122</v>
      </c>
      <c r="M27">
        <v>300</v>
      </c>
      <c r="N27" s="65">
        <v>44562</v>
      </c>
      <c r="O27" s="65"/>
      <c r="Q27" t="s">
        <v>123</v>
      </c>
      <c r="R27">
        <v>2</v>
      </c>
    </row>
    <row r="28" spans="1:18" x14ac:dyDescent="0.25">
      <c r="B28"/>
      <c r="E28"/>
      <c r="F28" s="121"/>
      <c r="G28" s="123" t="s">
        <v>169</v>
      </c>
      <c r="H28" s="124">
        <v>44562</v>
      </c>
      <c r="I28" s="121"/>
      <c r="J28" s="171" t="s">
        <v>119</v>
      </c>
      <c r="K28" s="122" t="s">
        <v>120</v>
      </c>
      <c r="L28" s="121" t="s">
        <v>118</v>
      </c>
      <c r="M28" s="121"/>
      <c r="N28" s="175" t="s">
        <v>170</v>
      </c>
      <c r="O28" s="154">
        <v>45307</v>
      </c>
    </row>
    <row r="29" spans="1:18" x14ac:dyDescent="0.25">
      <c r="A29" t="s">
        <v>0</v>
      </c>
      <c r="B29" s="6" t="s">
        <v>66</v>
      </c>
      <c r="C29" t="s">
        <v>171</v>
      </c>
      <c r="D29" t="s">
        <v>3</v>
      </c>
      <c r="E29" s="119" t="s">
        <v>172</v>
      </c>
      <c r="F29" t="s">
        <v>173</v>
      </c>
      <c r="G29" t="s">
        <v>174</v>
      </c>
      <c r="H29" t="s">
        <v>175</v>
      </c>
      <c r="I29" t="s">
        <v>19</v>
      </c>
      <c r="J29" t="s">
        <v>176</v>
      </c>
      <c r="K29" t="s">
        <v>1</v>
      </c>
      <c r="L29" t="s">
        <v>54</v>
      </c>
      <c r="M29" t="s">
        <v>67</v>
      </c>
      <c r="N29" t="s">
        <v>177</v>
      </c>
      <c r="O29" t="s">
        <v>178</v>
      </c>
      <c r="Q29" t="s">
        <v>179</v>
      </c>
      <c r="R29" t="s">
        <v>1</v>
      </c>
    </row>
    <row r="30" spans="1:18" x14ac:dyDescent="0.25">
      <c r="A30" t="str">
        <f>TableSTRPPROFL1.5[[#This Row],[Study Package Code]]</f>
        <v>PRJM6025</v>
      </c>
      <c r="B30" s="6">
        <f>TableSTRPPROFL1.5[[#This Row],[Ver]]</f>
        <v>1</v>
      </c>
      <c r="D30" t="str">
        <f>TableSTRPPROFL1.5[[#This Row],[Structure Line]]</f>
        <v>Agile Management</v>
      </c>
      <c r="E30" s="119">
        <f>TableSTRPPROFL1.5[[#This Row],[Credit Points]]</f>
        <v>25</v>
      </c>
      <c r="F30">
        <v>1</v>
      </c>
      <c r="G30" t="s">
        <v>180</v>
      </c>
      <c r="H30">
        <v>1</v>
      </c>
      <c r="I30" t="s">
        <v>186</v>
      </c>
      <c r="J30" t="s">
        <v>92</v>
      </c>
      <c r="K30">
        <v>1</v>
      </c>
      <c r="L30" t="s">
        <v>167</v>
      </c>
      <c r="M30">
        <v>25</v>
      </c>
      <c r="N30" s="65">
        <v>44562</v>
      </c>
      <c r="O30" s="65"/>
      <c r="Q30" t="s">
        <v>92</v>
      </c>
      <c r="R30">
        <v>1</v>
      </c>
    </row>
    <row r="31" spans="1:18" x14ac:dyDescent="0.25">
      <c r="A31" t="str">
        <f>TableSTRPPROFL1.5[[#This Row],[Study Package Code]]</f>
        <v>PRJM6005</v>
      </c>
      <c r="B31" s="6">
        <f>TableSTRPPROFL1.5[[#This Row],[Ver]]</f>
        <v>1</v>
      </c>
      <c r="D31" t="str">
        <f>TableSTRPPROFL1.5[[#This Row],[Structure Line]]</f>
        <v>Program and Portfolio Management</v>
      </c>
      <c r="E31" s="119">
        <f>TableSTRPPROFL1.5[[#This Row],[Credit Points]]</f>
        <v>25</v>
      </c>
      <c r="F31">
        <v>2</v>
      </c>
      <c r="G31" t="s">
        <v>180</v>
      </c>
      <c r="H31">
        <v>1</v>
      </c>
      <c r="I31" t="s">
        <v>186</v>
      </c>
      <c r="J31" t="s">
        <v>84</v>
      </c>
      <c r="K31">
        <v>1</v>
      </c>
      <c r="L31" t="s">
        <v>159</v>
      </c>
      <c r="M31">
        <v>25</v>
      </c>
      <c r="N31" s="65">
        <v>42005</v>
      </c>
      <c r="O31" s="65"/>
      <c r="Q31" t="s">
        <v>84</v>
      </c>
      <c r="R31">
        <v>1</v>
      </c>
    </row>
    <row r="32" spans="1:18" x14ac:dyDescent="0.25">
      <c r="A32" t="str">
        <f>TableSTRPPROFL1.5[[#This Row],[Study Package Code]]</f>
        <v>PRJM6010</v>
      </c>
      <c r="B32" s="6">
        <f>TableSTRPPROFL1.5[[#This Row],[Ver]]</f>
        <v>1</v>
      </c>
      <c r="D32" t="str">
        <f>TableSTRPPROFL1.5[[#This Row],[Structure Line]]</f>
        <v>Project and People</v>
      </c>
      <c r="E32" s="119">
        <f>TableSTRPPROFL1.5[[#This Row],[Credit Points]]</f>
        <v>25</v>
      </c>
      <c r="F32">
        <v>3</v>
      </c>
      <c r="G32" t="s">
        <v>180</v>
      </c>
      <c r="H32">
        <v>1</v>
      </c>
      <c r="I32" t="s">
        <v>186</v>
      </c>
      <c r="J32" t="s">
        <v>72</v>
      </c>
      <c r="K32">
        <v>1</v>
      </c>
      <c r="L32" t="s">
        <v>164</v>
      </c>
      <c r="M32">
        <v>25</v>
      </c>
      <c r="N32" s="65">
        <v>42005</v>
      </c>
      <c r="O32" s="65"/>
      <c r="Q32" t="s">
        <v>72</v>
      </c>
      <c r="R32">
        <v>1</v>
      </c>
    </row>
    <row r="33" spans="1:18" x14ac:dyDescent="0.25">
      <c r="A33" t="str">
        <f>TableSTRPPROFL1.5[[#This Row],[Study Package Code]]</f>
        <v>PRJM6001</v>
      </c>
      <c r="B33" s="6">
        <f>TableSTRPPROFL1.5[[#This Row],[Ver]]</f>
        <v>1</v>
      </c>
      <c r="D33" t="str">
        <f>TableSTRPPROFL1.5[[#This Row],[Structure Line]]</f>
        <v>Project Cost Management</v>
      </c>
      <c r="E33" s="119">
        <f>TableSTRPPROFL1.5[[#This Row],[Credit Points]]</f>
        <v>25</v>
      </c>
      <c r="F33">
        <v>4</v>
      </c>
      <c r="G33" t="s">
        <v>180</v>
      </c>
      <c r="H33">
        <v>1</v>
      </c>
      <c r="I33" t="s">
        <v>186</v>
      </c>
      <c r="J33" t="s">
        <v>64</v>
      </c>
      <c r="K33">
        <v>1</v>
      </c>
      <c r="L33" t="s">
        <v>151</v>
      </c>
      <c r="M33">
        <v>25</v>
      </c>
      <c r="N33" s="65">
        <v>42005</v>
      </c>
      <c r="O33" s="65"/>
      <c r="Q33" t="s">
        <v>64</v>
      </c>
      <c r="R33">
        <v>1</v>
      </c>
    </row>
    <row r="34" spans="1:18" x14ac:dyDescent="0.25">
      <c r="A34" t="str">
        <f>TableSTRPPROFL1.5[[#This Row],[Study Package Code]]</f>
        <v>PRJM6000</v>
      </c>
      <c r="B34" s="6">
        <f>TableSTRPPROFL1.5[[#This Row],[Ver]]</f>
        <v>1</v>
      </c>
      <c r="D34" t="str">
        <f>TableSTRPPROFL1.5[[#This Row],[Structure Line]]</f>
        <v>Project Management Overview</v>
      </c>
      <c r="E34" s="119">
        <f>TableSTRPPROFL1.5[[#This Row],[Credit Points]]</f>
        <v>25</v>
      </c>
      <c r="F34">
        <v>5</v>
      </c>
      <c r="G34" t="s">
        <v>180</v>
      </c>
      <c r="H34">
        <v>1</v>
      </c>
      <c r="I34" t="s">
        <v>186</v>
      </c>
      <c r="J34" t="s">
        <v>61</v>
      </c>
      <c r="K34">
        <v>1</v>
      </c>
      <c r="L34" t="s">
        <v>150</v>
      </c>
      <c r="M34">
        <v>25</v>
      </c>
      <c r="N34" s="65">
        <v>42005</v>
      </c>
      <c r="O34" s="65"/>
      <c r="Q34" t="s">
        <v>61</v>
      </c>
      <c r="R34">
        <v>1</v>
      </c>
    </row>
    <row r="35" spans="1:18" x14ac:dyDescent="0.25">
      <c r="A35" t="str">
        <f>TableSTRPPROFL1.5[[#This Row],[Study Package Code]]</f>
        <v>PRJM6004</v>
      </c>
      <c r="B35" s="6">
        <f>TableSTRPPROFL1.5[[#This Row],[Ver]]</f>
        <v>1</v>
      </c>
      <c r="D35" t="str">
        <f>TableSTRPPROFL1.5[[#This Row],[Structure Line]]</f>
        <v>Project Procurement Management</v>
      </c>
      <c r="E35" s="119">
        <f>TableSTRPPROFL1.5[[#This Row],[Credit Points]]</f>
        <v>25</v>
      </c>
      <c r="F35">
        <v>6</v>
      </c>
      <c r="G35" t="s">
        <v>180</v>
      </c>
      <c r="H35">
        <v>1</v>
      </c>
      <c r="I35" t="s">
        <v>186</v>
      </c>
      <c r="J35" t="s">
        <v>88</v>
      </c>
      <c r="K35">
        <v>1</v>
      </c>
      <c r="L35" t="s">
        <v>158</v>
      </c>
      <c r="M35">
        <v>25</v>
      </c>
      <c r="N35" s="65">
        <v>42005</v>
      </c>
      <c r="O35" s="65"/>
      <c r="Q35" t="s">
        <v>88</v>
      </c>
      <c r="R35">
        <v>1</v>
      </c>
    </row>
    <row r="36" spans="1:18" x14ac:dyDescent="0.25">
      <c r="A36" t="str">
        <f>TableSTRPPROFL1.5[[#This Row],[Study Package Code]]</f>
        <v>PRJM6003</v>
      </c>
      <c r="B36" s="6">
        <f>TableSTRPPROFL1.5[[#This Row],[Ver]]</f>
        <v>1</v>
      </c>
      <c r="D36" t="str">
        <f>TableSTRPPROFL1.5[[#This Row],[Structure Line]]</f>
        <v>Project Risk Management</v>
      </c>
      <c r="E36" s="119">
        <f>TableSTRPPROFL1.5[[#This Row],[Credit Points]]</f>
        <v>25</v>
      </c>
      <c r="F36">
        <v>7</v>
      </c>
      <c r="G36" t="s">
        <v>180</v>
      </c>
      <c r="H36">
        <v>1</v>
      </c>
      <c r="I36" t="s">
        <v>186</v>
      </c>
      <c r="J36" t="s">
        <v>83</v>
      </c>
      <c r="K36">
        <v>1</v>
      </c>
      <c r="L36" t="s">
        <v>157</v>
      </c>
      <c r="M36">
        <v>25</v>
      </c>
      <c r="N36" s="65">
        <v>42005</v>
      </c>
      <c r="O36" s="65"/>
      <c r="Q36" t="s">
        <v>83</v>
      </c>
      <c r="R36">
        <v>1</v>
      </c>
    </row>
    <row r="37" spans="1:18" x14ac:dyDescent="0.25">
      <c r="A37" t="str">
        <f>TableSTRPPROFL1.5[[#This Row],[Study Package Code]]</f>
        <v>PRJM6002</v>
      </c>
      <c r="B37" s="6">
        <f>TableSTRPPROFL1.5[[#This Row],[Ver]]</f>
        <v>2</v>
      </c>
      <c r="D37" t="str">
        <f>TableSTRPPROFL1.5[[#This Row],[Structure Line]]</f>
        <v>Project Planning and Schedule Management</v>
      </c>
      <c r="E37" s="119">
        <f>TableSTRPPROFL1.5[[#This Row],[Credit Points]]</f>
        <v>25</v>
      </c>
      <c r="F37">
        <v>8</v>
      </c>
      <c r="G37" t="s">
        <v>180</v>
      </c>
      <c r="H37">
        <v>1</v>
      </c>
      <c r="I37" t="s">
        <v>186</v>
      </c>
      <c r="J37" t="s">
        <v>71</v>
      </c>
      <c r="K37">
        <v>2</v>
      </c>
      <c r="L37" t="s">
        <v>152</v>
      </c>
      <c r="M37">
        <v>25</v>
      </c>
      <c r="N37" s="65">
        <v>45292</v>
      </c>
      <c r="O37" s="65"/>
      <c r="Q37" t="s">
        <v>71</v>
      </c>
      <c r="R37">
        <v>1</v>
      </c>
    </row>
    <row r="38" spans="1:18" x14ac:dyDescent="0.25">
      <c r="A38" t="str">
        <f>TableSTRPPROFL1.5[[#This Row],[Study Package Code]]</f>
        <v>URDE6006</v>
      </c>
      <c r="B38" s="6">
        <f>TableSTRPPROFL1.5[[#This Row],[Ver]]</f>
        <v>1</v>
      </c>
      <c r="D38" t="str">
        <f>TableSTRPPROFL1.5[[#This Row],[Structure Line]]</f>
        <v>Design and Built Environment Research Methods</v>
      </c>
      <c r="E38" s="119">
        <f>TableSTRPPROFL1.5[[#This Row],[Credit Points]]</f>
        <v>25</v>
      </c>
      <c r="F38">
        <v>9</v>
      </c>
      <c r="G38" t="s">
        <v>180</v>
      </c>
      <c r="H38">
        <v>2</v>
      </c>
      <c r="I38" t="s">
        <v>186</v>
      </c>
      <c r="J38" t="s">
        <v>91</v>
      </c>
      <c r="K38">
        <v>1</v>
      </c>
      <c r="L38" t="s">
        <v>168</v>
      </c>
      <c r="M38">
        <v>25</v>
      </c>
      <c r="N38" s="65">
        <v>44562</v>
      </c>
      <c r="O38" s="65"/>
      <c r="Q38" t="s">
        <v>91</v>
      </c>
      <c r="R38">
        <v>1</v>
      </c>
    </row>
    <row r="39" spans="1:18" x14ac:dyDescent="0.25">
      <c r="A39" t="str">
        <f>TableSTRPPROFL1.5[[#This Row],[Study Package Code]]</f>
        <v>PRJM6009</v>
      </c>
      <c r="B39" s="6">
        <f>TableSTRPPROFL1.5[[#This Row],[Ver]]</f>
        <v>2</v>
      </c>
      <c r="D39" t="str">
        <f>TableSTRPPROFL1.5[[#This Row],[Structure Line]]</f>
        <v>Project Management Integrated Project</v>
      </c>
      <c r="E39" s="119">
        <f>TableSTRPPROFL1.5[[#This Row],[Credit Points]]</f>
        <v>50</v>
      </c>
      <c r="F39">
        <v>10</v>
      </c>
      <c r="G39" t="s">
        <v>180</v>
      </c>
      <c r="H39">
        <v>2</v>
      </c>
      <c r="I39" t="s">
        <v>186</v>
      </c>
      <c r="J39" t="s">
        <v>103</v>
      </c>
      <c r="K39">
        <v>2</v>
      </c>
      <c r="L39" t="s">
        <v>163</v>
      </c>
      <c r="M39">
        <v>50</v>
      </c>
      <c r="N39" s="65">
        <v>42736</v>
      </c>
      <c r="O39" s="65"/>
      <c r="Q39" t="s">
        <v>103</v>
      </c>
      <c r="R39">
        <v>2</v>
      </c>
    </row>
    <row r="40" spans="1:18" x14ac:dyDescent="0.25">
      <c r="A40" t="str">
        <f>TableSTRPPROFL1.5[[#This Row],[Study Package Code]]</f>
        <v>Elective</v>
      </c>
      <c r="B40" s="6">
        <f>TableSTRPPROFL1.5[[#This Row],[Ver]]</f>
        <v>0</v>
      </c>
      <c r="D40" t="str">
        <f>TableSTRPPROFL1.5[[#This Row],[Structure Line]]</f>
        <v>Choose Electives</v>
      </c>
      <c r="E40" s="119">
        <f>TableSTRPPROFL1.5[[#This Row],[Credit Points]]</f>
        <v>25</v>
      </c>
      <c r="F40">
        <v>11</v>
      </c>
      <c r="G40" t="s">
        <v>78</v>
      </c>
      <c r="H40">
        <v>2</v>
      </c>
      <c r="I40" t="s">
        <v>181</v>
      </c>
      <c r="J40" t="s">
        <v>78</v>
      </c>
      <c r="K40">
        <v>0</v>
      </c>
      <c r="L40" t="s">
        <v>189</v>
      </c>
      <c r="M40">
        <v>25</v>
      </c>
      <c r="N40" s="65"/>
      <c r="O40" s="65"/>
      <c r="Q40" t="s">
        <v>78</v>
      </c>
      <c r="R40">
        <v>0</v>
      </c>
    </row>
    <row r="41" spans="1:18" x14ac:dyDescent="0.25">
      <c r="B41"/>
      <c r="E41"/>
      <c r="F41" s="121"/>
      <c r="G41" s="123" t="s">
        <v>169</v>
      </c>
      <c r="H41" s="124">
        <v>44562</v>
      </c>
      <c r="I41" s="121"/>
      <c r="J41" s="171" t="s">
        <v>123</v>
      </c>
      <c r="K41" s="122" t="s">
        <v>120</v>
      </c>
      <c r="L41" s="121" t="s">
        <v>122</v>
      </c>
      <c r="M41" s="121"/>
      <c r="N41" s="175" t="s">
        <v>170</v>
      </c>
      <c r="O41" s="154">
        <v>45307</v>
      </c>
    </row>
    <row r="42" spans="1:18" x14ac:dyDescent="0.25">
      <c r="A42" t="s">
        <v>0</v>
      </c>
      <c r="B42" s="6" t="s">
        <v>66</v>
      </c>
      <c r="C42" t="s">
        <v>171</v>
      </c>
      <c r="D42" t="s">
        <v>3</v>
      </c>
      <c r="E42" s="119" t="s">
        <v>172</v>
      </c>
      <c r="F42" t="s">
        <v>173</v>
      </c>
      <c r="G42" t="s">
        <v>174</v>
      </c>
      <c r="H42" t="s">
        <v>175</v>
      </c>
      <c r="I42" t="s">
        <v>19</v>
      </c>
      <c r="J42" t="s">
        <v>176</v>
      </c>
      <c r="K42" t="s">
        <v>1</v>
      </c>
      <c r="L42" t="s">
        <v>54</v>
      </c>
      <c r="M42" t="s">
        <v>67</v>
      </c>
      <c r="N42" t="s">
        <v>177</v>
      </c>
      <c r="O42" t="s">
        <v>178</v>
      </c>
      <c r="Q42" t="s">
        <v>179</v>
      </c>
      <c r="R42" t="s">
        <v>1</v>
      </c>
    </row>
    <row r="43" spans="1:18" x14ac:dyDescent="0.25">
      <c r="A43" t="str">
        <f>TableSTRPRESCH1.5[[#This Row],[Study Package Code]]</f>
        <v>PRJM6000</v>
      </c>
      <c r="B43" s="6">
        <f>TableSTRPRESCH1.5[[#This Row],[Ver]]</f>
        <v>1</v>
      </c>
      <c r="D43" t="str">
        <f>TableSTRPRESCH1.5[[#This Row],[Structure Line]]</f>
        <v>Project Management Overview</v>
      </c>
      <c r="E43" s="119">
        <f>TableSTRPRESCH1.5[[#This Row],[Credit Points]]</f>
        <v>25</v>
      </c>
      <c r="F43">
        <v>1</v>
      </c>
      <c r="G43" t="s">
        <v>180</v>
      </c>
      <c r="H43">
        <v>1</v>
      </c>
      <c r="I43" t="s">
        <v>181</v>
      </c>
      <c r="J43" t="s">
        <v>61</v>
      </c>
      <c r="K43">
        <v>1</v>
      </c>
      <c r="L43" t="s">
        <v>150</v>
      </c>
      <c r="M43">
        <v>25</v>
      </c>
      <c r="N43" s="154">
        <v>42005</v>
      </c>
      <c r="O43" s="65"/>
      <c r="Q43" t="s">
        <v>61</v>
      </c>
      <c r="R43">
        <v>1</v>
      </c>
    </row>
    <row r="44" spans="1:18" x14ac:dyDescent="0.25">
      <c r="A44" t="str">
        <f>TableSTRPRESCH1.5[[#This Row],[Study Package Code]]</f>
        <v>PRJM6010</v>
      </c>
      <c r="B44" s="6">
        <f>TableSTRPRESCH1.5[[#This Row],[Ver]]</f>
        <v>1</v>
      </c>
      <c r="D44" t="str">
        <f>TableSTRPRESCH1.5[[#This Row],[Structure Line]]</f>
        <v>Project and People</v>
      </c>
      <c r="E44" s="119">
        <f>TableSTRPRESCH1.5[[#This Row],[Credit Points]]</f>
        <v>25</v>
      </c>
      <c r="F44">
        <v>2</v>
      </c>
      <c r="G44" t="s">
        <v>180</v>
      </c>
      <c r="H44">
        <v>1</v>
      </c>
      <c r="I44" t="s">
        <v>181</v>
      </c>
      <c r="J44" t="s">
        <v>72</v>
      </c>
      <c r="K44">
        <v>1</v>
      </c>
      <c r="L44" t="s">
        <v>164</v>
      </c>
      <c r="M44">
        <v>25</v>
      </c>
      <c r="N44" s="154">
        <v>42005</v>
      </c>
      <c r="O44" s="65"/>
      <c r="Q44" t="s">
        <v>72</v>
      </c>
      <c r="R44">
        <v>1</v>
      </c>
    </row>
    <row r="45" spans="1:18" x14ac:dyDescent="0.25">
      <c r="A45" t="str">
        <f>TableSTRPRESCH1.5[[#This Row],[Study Package Code]]</f>
        <v>PRJM6002</v>
      </c>
      <c r="B45" s="6">
        <f>TableSTRPRESCH1.5[[#This Row],[Ver]]</f>
        <v>2</v>
      </c>
      <c r="D45" t="str">
        <f>TableSTRPRESCH1.5[[#This Row],[Structure Line]]</f>
        <v>Project Planning and Schedule Management</v>
      </c>
      <c r="E45" s="119">
        <f>TableSTRPRESCH1.5[[#This Row],[Credit Points]]</f>
        <v>25</v>
      </c>
      <c r="F45">
        <v>3</v>
      </c>
      <c r="G45" t="s">
        <v>180</v>
      </c>
      <c r="H45">
        <v>1</v>
      </c>
      <c r="I45" t="s">
        <v>181</v>
      </c>
      <c r="J45" t="s">
        <v>71</v>
      </c>
      <c r="K45">
        <v>2</v>
      </c>
      <c r="L45" t="s">
        <v>152</v>
      </c>
      <c r="M45">
        <v>25</v>
      </c>
      <c r="N45" s="154">
        <v>45292</v>
      </c>
      <c r="O45" s="65"/>
      <c r="Q45" t="s">
        <v>71</v>
      </c>
      <c r="R45">
        <v>1</v>
      </c>
    </row>
    <row r="46" spans="1:18" x14ac:dyDescent="0.25">
      <c r="A46" t="str">
        <f>TableSTRPRESCH1.5[[#This Row],[Study Package Code]]</f>
        <v>PRJM6001</v>
      </c>
      <c r="B46" s="6">
        <f>TableSTRPRESCH1.5[[#This Row],[Ver]]</f>
        <v>1</v>
      </c>
      <c r="D46" t="str">
        <f>TableSTRPRESCH1.5[[#This Row],[Structure Line]]</f>
        <v>Project Cost Management</v>
      </c>
      <c r="E46" s="119">
        <f>TableSTRPRESCH1.5[[#This Row],[Credit Points]]</f>
        <v>25</v>
      </c>
      <c r="F46">
        <v>4</v>
      </c>
      <c r="G46" t="s">
        <v>180</v>
      </c>
      <c r="H46">
        <v>1</v>
      </c>
      <c r="I46" t="s">
        <v>181</v>
      </c>
      <c r="J46" t="s">
        <v>64</v>
      </c>
      <c r="K46">
        <v>1</v>
      </c>
      <c r="L46" t="s">
        <v>151</v>
      </c>
      <c r="M46">
        <v>25</v>
      </c>
      <c r="N46" s="154">
        <v>42005</v>
      </c>
      <c r="O46" s="65"/>
      <c r="Q46" t="s">
        <v>64</v>
      </c>
      <c r="R46">
        <v>1</v>
      </c>
    </row>
    <row r="47" spans="1:18" x14ac:dyDescent="0.25">
      <c r="A47" t="str">
        <f>TableSTRPRESCH1.5[[#This Row],[Study Package Code]]</f>
        <v>PRJM6005</v>
      </c>
      <c r="B47" s="6">
        <f>TableSTRPRESCH1.5[[#This Row],[Ver]]</f>
        <v>1</v>
      </c>
      <c r="D47" t="str">
        <f>TableSTRPRESCH1.5[[#This Row],[Structure Line]]</f>
        <v>Program and Portfolio Management</v>
      </c>
      <c r="E47" s="119">
        <f>TableSTRPRESCH1.5[[#This Row],[Credit Points]]</f>
        <v>25</v>
      </c>
      <c r="F47">
        <v>5</v>
      </c>
      <c r="G47" t="s">
        <v>180</v>
      </c>
      <c r="H47">
        <v>1</v>
      </c>
      <c r="I47" t="s">
        <v>182</v>
      </c>
      <c r="J47" t="s">
        <v>84</v>
      </c>
      <c r="K47">
        <v>1</v>
      </c>
      <c r="L47" t="s">
        <v>159</v>
      </c>
      <c r="M47">
        <v>25</v>
      </c>
      <c r="N47" s="154">
        <v>42005</v>
      </c>
      <c r="O47" s="65"/>
      <c r="Q47" t="s">
        <v>84</v>
      </c>
      <c r="R47">
        <v>1</v>
      </c>
    </row>
    <row r="48" spans="1:18" x14ac:dyDescent="0.25">
      <c r="A48" t="str">
        <f>TableSTRPRESCH1.5[[#This Row],[Study Package Code]]</f>
        <v>PRJM6004</v>
      </c>
      <c r="B48" s="6">
        <f>TableSTRPRESCH1.5[[#This Row],[Ver]]</f>
        <v>1</v>
      </c>
      <c r="D48" t="str">
        <f>TableSTRPRESCH1.5[[#This Row],[Structure Line]]</f>
        <v>Project Procurement Management</v>
      </c>
      <c r="E48" s="119">
        <f>TableSTRPRESCH1.5[[#This Row],[Credit Points]]</f>
        <v>25</v>
      </c>
      <c r="F48">
        <v>6</v>
      </c>
      <c r="G48" t="s">
        <v>180</v>
      </c>
      <c r="H48">
        <v>1</v>
      </c>
      <c r="I48" t="s">
        <v>182</v>
      </c>
      <c r="J48" t="s">
        <v>88</v>
      </c>
      <c r="K48">
        <v>1</v>
      </c>
      <c r="L48" t="s">
        <v>158</v>
      </c>
      <c r="M48">
        <v>25</v>
      </c>
      <c r="N48" s="154">
        <v>42005</v>
      </c>
      <c r="O48" s="65"/>
      <c r="Q48" t="s">
        <v>88</v>
      </c>
      <c r="R48">
        <v>1</v>
      </c>
    </row>
    <row r="49" spans="1:18" x14ac:dyDescent="0.25">
      <c r="A49" t="str">
        <f>TableSTRPRESCH1.5[[#This Row],[Study Package Code]]</f>
        <v>PRJM6003</v>
      </c>
      <c r="B49" s="6">
        <f>TableSTRPRESCH1.5[[#This Row],[Ver]]</f>
        <v>1</v>
      </c>
      <c r="D49" t="str">
        <f>TableSTRPRESCH1.5[[#This Row],[Structure Line]]</f>
        <v>Project Risk Management</v>
      </c>
      <c r="E49" s="119">
        <f>TableSTRPRESCH1.5[[#This Row],[Credit Points]]</f>
        <v>25</v>
      </c>
      <c r="F49">
        <v>7</v>
      </c>
      <c r="G49" t="s">
        <v>180</v>
      </c>
      <c r="H49">
        <v>1</v>
      </c>
      <c r="I49" t="s">
        <v>182</v>
      </c>
      <c r="J49" t="s">
        <v>83</v>
      </c>
      <c r="K49">
        <v>1</v>
      </c>
      <c r="L49" t="s">
        <v>157</v>
      </c>
      <c r="M49">
        <v>25</v>
      </c>
      <c r="N49" s="154">
        <v>42005</v>
      </c>
      <c r="O49" s="65"/>
      <c r="Q49" t="s">
        <v>83</v>
      </c>
      <c r="R49">
        <v>1</v>
      </c>
    </row>
    <row r="50" spans="1:18" x14ac:dyDescent="0.25">
      <c r="A50" t="str">
        <f>TableSTRPRESCH1.5[[#This Row],[Study Package Code]]</f>
        <v>PRJM6025</v>
      </c>
      <c r="B50" s="6">
        <f>TableSTRPRESCH1.5[[#This Row],[Ver]]</f>
        <v>1</v>
      </c>
      <c r="D50" t="str">
        <f>TableSTRPRESCH1.5[[#This Row],[Structure Line]]</f>
        <v>Agile Management</v>
      </c>
      <c r="E50" s="119">
        <f>TableSTRPRESCH1.5[[#This Row],[Credit Points]]</f>
        <v>25</v>
      </c>
      <c r="F50">
        <v>8</v>
      </c>
      <c r="G50" t="s">
        <v>180</v>
      </c>
      <c r="H50">
        <v>1</v>
      </c>
      <c r="I50" t="s">
        <v>182</v>
      </c>
      <c r="J50" t="s">
        <v>92</v>
      </c>
      <c r="K50">
        <v>1</v>
      </c>
      <c r="L50" t="s">
        <v>167</v>
      </c>
      <c r="M50">
        <v>25</v>
      </c>
      <c r="N50" s="154">
        <v>44562</v>
      </c>
      <c r="O50" s="65"/>
      <c r="Q50" t="s">
        <v>92</v>
      </c>
      <c r="R50">
        <v>1</v>
      </c>
    </row>
    <row r="51" spans="1:18" x14ac:dyDescent="0.25">
      <c r="A51" t="str">
        <f>TableSTRPRESCH1.5[[#This Row],[Study Package Code]]</f>
        <v>URDE6006</v>
      </c>
      <c r="B51" s="6">
        <f>TableSTRPRESCH1.5[[#This Row],[Ver]]</f>
        <v>1</v>
      </c>
      <c r="D51" t="str">
        <f>TableSTRPRESCH1.5[[#This Row],[Structure Line]]</f>
        <v>Design and Built Environment Research Methods</v>
      </c>
      <c r="E51" s="119">
        <f>TableSTRPRESCH1.5[[#This Row],[Credit Points]]</f>
        <v>25</v>
      </c>
      <c r="F51">
        <v>9</v>
      </c>
      <c r="G51" t="s">
        <v>180</v>
      </c>
      <c r="H51">
        <v>2</v>
      </c>
      <c r="I51" t="s">
        <v>181</v>
      </c>
      <c r="J51" t="s">
        <v>91</v>
      </c>
      <c r="K51">
        <v>1</v>
      </c>
      <c r="L51" t="s">
        <v>168</v>
      </c>
      <c r="M51">
        <v>25</v>
      </c>
      <c r="N51" s="154">
        <v>44562</v>
      </c>
      <c r="O51" s="65"/>
      <c r="Q51" t="s">
        <v>91</v>
      </c>
      <c r="R51">
        <v>1</v>
      </c>
    </row>
    <row r="52" spans="1:18" x14ac:dyDescent="0.25">
      <c r="A52" t="str">
        <f>TableSTRPRESCH1.5[[#This Row],[Study Package Code]]</f>
        <v>PRJM6009</v>
      </c>
      <c r="B52" s="6">
        <f>TableSTRPRESCH1.5[[#This Row],[Ver]]</f>
        <v>2</v>
      </c>
      <c r="D52" t="str">
        <f>TableSTRPRESCH1.5[[#This Row],[Structure Line]]</f>
        <v>Project Management Integrated Project</v>
      </c>
      <c r="E52" s="119">
        <f>TableSTRPRESCH1.5[[#This Row],[Credit Points]]</f>
        <v>50</v>
      </c>
      <c r="F52">
        <v>10</v>
      </c>
      <c r="G52" t="s">
        <v>180</v>
      </c>
      <c r="H52">
        <v>2</v>
      </c>
      <c r="I52" t="s">
        <v>181</v>
      </c>
      <c r="J52" t="s">
        <v>103</v>
      </c>
      <c r="K52">
        <v>2</v>
      </c>
      <c r="L52" t="s">
        <v>163</v>
      </c>
      <c r="M52">
        <v>50</v>
      </c>
      <c r="N52" s="154">
        <v>42736</v>
      </c>
      <c r="O52" s="65"/>
      <c r="Q52" t="s">
        <v>103</v>
      </c>
      <c r="R52">
        <v>2</v>
      </c>
    </row>
    <row r="53" spans="1:18" x14ac:dyDescent="0.25">
      <c r="A53" t="str">
        <f>TableSTRPRESCH1.5[[#This Row],[Study Package Code]]</f>
        <v>PRJM6012</v>
      </c>
      <c r="B53" s="6">
        <f>TableSTRPRESCH1.5[[#This Row],[Ver]]</f>
        <v>2</v>
      </c>
      <c r="D53" t="str">
        <f>TableSTRPRESCH1.5[[#This Row],[Structure Line]]</f>
        <v>Project Management Dissertation</v>
      </c>
      <c r="E53" s="119">
        <f>TableSTRPRESCH1.5[[#This Row],[Credit Points]]</f>
        <v>25</v>
      </c>
      <c r="F53">
        <v>11</v>
      </c>
      <c r="G53" t="s">
        <v>180</v>
      </c>
      <c r="H53">
        <v>2</v>
      </c>
      <c r="I53" t="s">
        <v>181</v>
      </c>
      <c r="J53" t="s">
        <v>97</v>
      </c>
      <c r="K53">
        <v>2</v>
      </c>
      <c r="L53" t="s">
        <v>165</v>
      </c>
      <c r="M53">
        <v>25</v>
      </c>
      <c r="N53" s="154">
        <v>44562</v>
      </c>
      <c r="O53" s="65"/>
      <c r="Q53" t="s">
        <v>97</v>
      </c>
      <c r="R53">
        <v>2</v>
      </c>
    </row>
    <row r="56" spans="1:18" x14ac:dyDescent="0.25">
      <c r="B56"/>
      <c r="E56"/>
      <c r="F56" s="121"/>
      <c r="G56" s="123" t="s">
        <v>169</v>
      </c>
      <c r="H56" s="124">
        <v>43466</v>
      </c>
      <c r="I56" s="121"/>
      <c r="J56" s="171" t="s">
        <v>139</v>
      </c>
      <c r="K56" s="122" t="s">
        <v>75</v>
      </c>
      <c r="L56" s="121" t="s">
        <v>190</v>
      </c>
      <c r="M56" s="121"/>
      <c r="N56" s="175" t="s">
        <v>170</v>
      </c>
      <c r="O56" s="154">
        <v>45307</v>
      </c>
    </row>
    <row r="57" spans="1:18" x14ac:dyDescent="0.25">
      <c r="A57" t="s">
        <v>0</v>
      </c>
      <c r="B57" s="6" t="s">
        <v>66</v>
      </c>
      <c r="C57" t="s">
        <v>171</v>
      </c>
      <c r="D57" t="s">
        <v>3</v>
      </c>
      <c r="E57" s="119" t="s">
        <v>172</v>
      </c>
      <c r="F57" t="s">
        <v>173</v>
      </c>
      <c r="G57" t="s">
        <v>174</v>
      </c>
      <c r="H57" t="s">
        <v>175</v>
      </c>
      <c r="I57" t="s">
        <v>19</v>
      </c>
      <c r="J57" t="s">
        <v>176</v>
      </c>
      <c r="K57" t="s">
        <v>1</v>
      </c>
      <c r="L57" t="s">
        <v>54</v>
      </c>
      <c r="M57" t="s">
        <v>67</v>
      </c>
      <c r="N57" t="s">
        <v>177</v>
      </c>
      <c r="O57" t="s">
        <v>178</v>
      </c>
      <c r="Q57" t="s">
        <v>179</v>
      </c>
      <c r="R57" t="s">
        <v>1</v>
      </c>
    </row>
    <row r="58" spans="1:18" x14ac:dyDescent="0.25">
      <c r="A58" t="str">
        <f>TableMCPROJM2[[#This Row],[Study Package Code]]</f>
        <v>Stream</v>
      </c>
      <c r="B58" s="6">
        <f>TableMCPROJM2[[#This Row],[Ver]]</f>
        <v>0</v>
      </c>
      <c r="D58" t="str">
        <f>TableMCPROJM2[[#This Row],[Structure Line]]</f>
        <v>Choose your stream</v>
      </c>
      <c r="E58" s="119">
        <f>TableMCPROJM2[[#This Row],[Credit Points]]</f>
        <v>400</v>
      </c>
      <c r="F58">
        <v>1</v>
      </c>
      <c r="G58" t="s">
        <v>183</v>
      </c>
      <c r="H58">
        <v>0</v>
      </c>
      <c r="I58" t="s">
        <v>186</v>
      </c>
      <c r="J58" t="s">
        <v>187</v>
      </c>
      <c r="K58">
        <v>0</v>
      </c>
      <c r="L58" t="s">
        <v>191</v>
      </c>
      <c r="M58">
        <v>400</v>
      </c>
      <c r="N58" s="65"/>
      <c r="O58" s="65"/>
      <c r="Q58" t="s">
        <v>187</v>
      </c>
      <c r="R58">
        <v>0</v>
      </c>
    </row>
    <row r="59" spans="1:18" x14ac:dyDescent="0.25">
      <c r="A59" t="str">
        <f>TableMCPROJM2[[#This Row],[Study Package Code]]</f>
        <v>STRP-PROF2</v>
      </c>
      <c r="B59" s="6">
        <f>TableMCPROJM2[[#This Row],[Ver]]</f>
        <v>2</v>
      </c>
      <c r="D59" t="str">
        <f>TableMCPROJM2[[#This Row],[Structure Line]]</f>
        <v>Professional Stream (Master Proj Mngmt)</v>
      </c>
      <c r="E59" s="119">
        <f>TableMCPROJM2[[#This Row],[Credit Points]]</f>
        <v>400</v>
      </c>
      <c r="F59">
        <v>1</v>
      </c>
      <c r="G59" t="s">
        <v>183</v>
      </c>
      <c r="H59">
        <v>0</v>
      </c>
      <c r="I59" t="s">
        <v>186</v>
      </c>
      <c r="J59" t="s">
        <v>126</v>
      </c>
      <c r="K59">
        <v>2</v>
      </c>
      <c r="L59" t="s">
        <v>125</v>
      </c>
      <c r="M59">
        <v>400</v>
      </c>
      <c r="N59" s="65">
        <v>44562</v>
      </c>
      <c r="O59" s="65"/>
      <c r="Q59" t="s">
        <v>126</v>
      </c>
      <c r="R59">
        <v>2</v>
      </c>
    </row>
    <row r="60" spans="1:18" x14ac:dyDescent="0.25">
      <c r="A60" t="str">
        <f>TableMCPROJM2[[#This Row],[Study Package Code]]</f>
        <v>STRP-RSCH2</v>
      </c>
      <c r="B60" s="6">
        <f>TableMCPROJM2[[#This Row],[Ver]]</f>
        <v>2</v>
      </c>
      <c r="D60" t="str">
        <f>TableMCPROJM2[[#This Row],[Structure Line]]</f>
        <v>Research Stream (Master Proj Mngmt)</v>
      </c>
      <c r="E60" s="119">
        <f>TableMCPROJM2[[#This Row],[Credit Points]]</f>
        <v>400</v>
      </c>
      <c r="F60">
        <v>1</v>
      </c>
      <c r="G60" t="s">
        <v>183</v>
      </c>
      <c r="H60">
        <v>0</v>
      </c>
      <c r="I60" t="s">
        <v>186</v>
      </c>
      <c r="J60" t="s">
        <v>129</v>
      </c>
      <c r="K60">
        <v>2</v>
      </c>
      <c r="L60" t="s">
        <v>128</v>
      </c>
      <c r="M60">
        <v>400</v>
      </c>
      <c r="N60" s="65">
        <v>44562</v>
      </c>
      <c r="O60" s="65"/>
      <c r="Q60" t="s">
        <v>129</v>
      </c>
      <c r="R60">
        <v>2</v>
      </c>
    </row>
    <row r="61" spans="1:18" x14ac:dyDescent="0.25">
      <c r="B61"/>
      <c r="E61"/>
      <c r="F61" s="121"/>
      <c r="G61" s="123" t="s">
        <v>169</v>
      </c>
      <c r="H61" s="124">
        <v>44562</v>
      </c>
      <c r="I61" s="121"/>
      <c r="J61" s="171" t="s">
        <v>126</v>
      </c>
      <c r="K61" s="122" t="s">
        <v>120</v>
      </c>
      <c r="L61" s="121" t="s">
        <v>125</v>
      </c>
      <c r="M61" s="121"/>
      <c r="N61" s="175" t="s">
        <v>170</v>
      </c>
      <c r="O61" s="154">
        <v>45307</v>
      </c>
    </row>
    <row r="62" spans="1:18" x14ac:dyDescent="0.25">
      <c r="A62" t="s">
        <v>0</v>
      </c>
      <c r="B62" s="6" t="s">
        <v>66</v>
      </c>
      <c r="C62" t="s">
        <v>171</v>
      </c>
      <c r="D62" t="s">
        <v>3</v>
      </c>
      <c r="E62" s="119" t="s">
        <v>172</v>
      </c>
      <c r="F62" t="s">
        <v>173</v>
      </c>
      <c r="G62" t="s">
        <v>174</v>
      </c>
      <c r="H62" t="s">
        <v>175</v>
      </c>
      <c r="I62" t="s">
        <v>19</v>
      </c>
      <c r="J62" t="s">
        <v>176</v>
      </c>
      <c r="K62" t="s">
        <v>1</v>
      </c>
      <c r="L62" t="s">
        <v>54</v>
      </c>
      <c r="M62" t="s">
        <v>67</v>
      </c>
      <c r="N62" t="s">
        <v>177</v>
      </c>
      <c r="O62" t="s">
        <v>178</v>
      </c>
      <c r="Q62" t="s">
        <v>179</v>
      </c>
      <c r="R62" t="s">
        <v>1</v>
      </c>
    </row>
    <row r="63" spans="1:18" x14ac:dyDescent="0.25">
      <c r="A63" t="str">
        <f>TableSTRPPROF2[[#This Row],[Study Package Code]]</f>
        <v>PRJM6001</v>
      </c>
      <c r="B63" s="6">
        <f>TableSTRPPROF2[[#This Row],[Ver]]</f>
        <v>1</v>
      </c>
      <c r="D63" t="str">
        <f>TableSTRPPROF2[[#This Row],[Structure Line]]</f>
        <v>Project Cost Management</v>
      </c>
      <c r="E63" s="119">
        <f>TableSTRPPROF2[[#This Row],[Credit Points]]</f>
        <v>25</v>
      </c>
      <c r="F63">
        <v>1</v>
      </c>
      <c r="G63" t="s">
        <v>180</v>
      </c>
      <c r="H63">
        <v>1</v>
      </c>
      <c r="I63" t="s">
        <v>186</v>
      </c>
      <c r="J63" t="s">
        <v>64</v>
      </c>
      <c r="K63">
        <v>1</v>
      </c>
      <c r="L63" t="s">
        <v>151</v>
      </c>
      <c r="M63" s="153">
        <v>25</v>
      </c>
      <c r="N63" s="154">
        <v>42005</v>
      </c>
      <c r="O63" s="65"/>
      <c r="Q63" t="s">
        <v>64</v>
      </c>
      <c r="R63">
        <v>1</v>
      </c>
    </row>
    <row r="64" spans="1:18" x14ac:dyDescent="0.25">
      <c r="A64" t="str">
        <f>TableSTRPPROF2[[#This Row],[Study Package Code]]</f>
        <v>PRJM6000</v>
      </c>
      <c r="B64" s="6">
        <f>TableSTRPPROF2[[#This Row],[Ver]]</f>
        <v>1</v>
      </c>
      <c r="D64" t="str">
        <f>TableSTRPPROF2[[#This Row],[Structure Line]]</f>
        <v>Project Management Overview</v>
      </c>
      <c r="E64" s="119">
        <f>TableSTRPPROF2[[#This Row],[Credit Points]]</f>
        <v>25</v>
      </c>
      <c r="F64">
        <v>2</v>
      </c>
      <c r="G64" t="s">
        <v>180</v>
      </c>
      <c r="H64">
        <v>1</v>
      </c>
      <c r="I64" t="s">
        <v>186</v>
      </c>
      <c r="J64" t="s">
        <v>61</v>
      </c>
      <c r="K64">
        <v>1</v>
      </c>
      <c r="L64" t="s">
        <v>150</v>
      </c>
      <c r="M64" s="153">
        <v>25</v>
      </c>
      <c r="N64" s="154">
        <v>42005</v>
      </c>
      <c r="O64" s="65"/>
      <c r="Q64" t="s">
        <v>61</v>
      </c>
      <c r="R64">
        <v>1</v>
      </c>
    </row>
    <row r="65" spans="1:18" x14ac:dyDescent="0.25">
      <c r="A65" t="str">
        <f>TableSTRPPROF2[[#This Row],[Study Package Code]]</f>
        <v>PRJM6010</v>
      </c>
      <c r="B65" s="6">
        <f>TableSTRPPROF2[[#This Row],[Ver]]</f>
        <v>1</v>
      </c>
      <c r="D65" t="str">
        <f>TableSTRPPROF2[[#This Row],[Structure Line]]</f>
        <v>Project and People</v>
      </c>
      <c r="E65" s="119">
        <f>TableSTRPPROF2[[#This Row],[Credit Points]]</f>
        <v>25</v>
      </c>
      <c r="F65">
        <v>3</v>
      </c>
      <c r="G65" t="s">
        <v>180</v>
      </c>
      <c r="H65">
        <v>1</v>
      </c>
      <c r="I65" t="s">
        <v>186</v>
      </c>
      <c r="J65" t="s">
        <v>72</v>
      </c>
      <c r="K65">
        <v>1</v>
      </c>
      <c r="L65" t="s">
        <v>164</v>
      </c>
      <c r="M65" s="153">
        <v>25</v>
      </c>
      <c r="N65" s="154">
        <v>42005</v>
      </c>
      <c r="O65" s="65"/>
      <c r="Q65" t="s">
        <v>72</v>
      </c>
      <c r="R65">
        <v>1</v>
      </c>
    </row>
    <row r="66" spans="1:18" x14ac:dyDescent="0.25">
      <c r="A66" t="str">
        <f>TableSTRPPROF2[[#This Row],[Study Package Code]]</f>
        <v>Elective</v>
      </c>
      <c r="B66" s="6">
        <f>TableSTRPPROF2[[#This Row],[Ver]]</f>
        <v>0</v>
      </c>
      <c r="D66" t="str">
        <f>TableSTRPPROF2[[#This Row],[Structure Line]]</f>
        <v>Choose an Elective</v>
      </c>
      <c r="E66" s="119">
        <f>TableSTRPPROF2[[#This Row],[Credit Points]]</f>
        <v>25</v>
      </c>
      <c r="F66">
        <v>4</v>
      </c>
      <c r="G66" t="s">
        <v>78</v>
      </c>
      <c r="H66">
        <v>1</v>
      </c>
      <c r="I66" t="s">
        <v>181</v>
      </c>
      <c r="J66" t="s">
        <v>78</v>
      </c>
      <c r="K66">
        <v>0</v>
      </c>
      <c r="L66" t="s">
        <v>192</v>
      </c>
      <c r="M66" s="153">
        <v>25</v>
      </c>
      <c r="N66" s="154"/>
      <c r="O66" s="65"/>
      <c r="Q66" t="s">
        <v>78</v>
      </c>
      <c r="R66">
        <v>0</v>
      </c>
    </row>
    <row r="67" spans="1:18" x14ac:dyDescent="0.25">
      <c r="A67" t="str">
        <f>TableSTRPPROF2[[#This Row],[Study Package Code]]</f>
        <v>PRJM6004</v>
      </c>
      <c r="B67" s="6">
        <f>TableSTRPPROF2[[#This Row],[Ver]]</f>
        <v>1</v>
      </c>
      <c r="D67" t="str">
        <f>TableSTRPPROF2[[#This Row],[Structure Line]]</f>
        <v>Project Procurement Management</v>
      </c>
      <c r="E67" s="119">
        <f>TableSTRPPROF2[[#This Row],[Credit Points]]</f>
        <v>25</v>
      </c>
      <c r="F67">
        <v>5</v>
      </c>
      <c r="G67" t="s">
        <v>180</v>
      </c>
      <c r="H67">
        <v>1</v>
      </c>
      <c r="I67" t="s">
        <v>186</v>
      </c>
      <c r="J67" t="s">
        <v>88</v>
      </c>
      <c r="K67">
        <v>1</v>
      </c>
      <c r="L67" t="s">
        <v>158</v>
      </c>
      <c r="M67" s="153">
        <v>25</v>
      </c>
      <c r="N67" s="154">
        <v>42005</v>
      </c>
      <c r="O67" s="65"/>
      <c r="Q67" t="s">
        <v>88</v>
      </c>
      <c r="R67">
        <v>1</v>
      </c>
    </row>
    <row r="68" spans="1:18" x14ac:dyDescent="0.25">
      <c r="A68" t="str">
        <f>TableSTRPPROF2[[#This Row],[Study Package Code]]</f>
        <v>PRJM6002</v>
      </c>
      <c r="B68" s="6">
        <f>TableSTRPPROF2[[#This Row],[Ver]]</f>
        <v>2</v>
      </c>
      <c r="D68" t="str">
        <f>TableSTRPPROF2[[#This Row],[Structure Line]]</f>
        <v>Project Planning and Schedule Management</v>
      </c>
      <c r="E68" s="119">
        <f>TableSTRPPROF2[[#This Row],[Credit Points]]</f>
        <v>25</v>
      </c>
      <c r="F68">
        <v>6</v>
      </c>
      <c r="G68" t="s">
        <v>180</v>
      </c>
      <c r="H68">
        <v>1</v>
      </c>
      <c r="I68" t="s">
        <v>186</v>
      </c>
      <c r="J68" t="s">
        <v>71</v>
      </c>
      <c r="K68">
        <v>2</v>
      </c>
      <c r="L68" t="s">
        <v>152</v>
      </c>
      <c r="M68" s="153">
        <v>25</v>
      </c>
      <c r="N68" s="154">
        <v>45292</v>
      </c>
      <c r="O68" s="65"/>
      <c r="Q68" t="s">
        <v>71</v>
      </c>
      <c r="R68">
        <v>1</v>
      </c>
    </row>
    <row r="69" spans="1:18" x14ac:dyDescent="0.25">
      <c r="A69" t="str">
        <f>TableSTRPPROF2[[#This Row],[Study Package Code]]</f>
        <v>PRJM6005</v>
      </c>
      <c r="B69" s="6">
        <f>TableSTRPPROF2[[#This Row],[Ver]]</f>
        <v>1</v>
      </c>
      <c r="D69" t="str">
        <f>TableSTRPPROF2[[#This Row],[Structure Line]]</f>
        <v>Program and Portfolio Management</v>
      </c>
      <c r="E69" s="119">
        <f>TableSTRPPROF2[[#This Row],[Credit Points]]</f>
        <v>25</v>
      </c>
      <c r="F69">
        <v>7</v>
      </c>
      <c r="G69" t="s">
        <v>180</v>
      </c>
      <c r="H69">
        <v>1</v>
      </c>
      <c r="I69" t="s">
        <v>186</v>
      </c>
      <c r="J69" t="s">
        <v>84</v>
      </c>
      <c r="K69">
        <v>1</v>
      </c>
      <c r="L69" t="s">
        <v>159</v>
      </c>
      <c r="M69" s="153">
        <v>25</v>
      </c>
      <c r="N69" s="154">
        <v>42005</v>
      </c>
      <c r="O69" s="65"/>
      <c r="Q69" t="s">
        <v>84</v>
      </c>
      <c r="R69">
        <v>1</v>
      </c>
    </row>
    <row r="70" spans="1:18" x14ac:dyDescent="0.25">
      <c r="A70" t="str">
        <f>TableSTRPPROF2[[#This Row],[Study Package Code]]</f>
        <v>Elective</v>
      </c>
      <c r="B70" s="6">
        <f>TableSTRPPROF2[[#This Row],[Ver]]</f>
        <v>0</v>
      </c>
      <c r="D70" t="str">
        <f>TableSTRPPROF2[[#This Row],[Structure Line]]</f>
        <v>Choose an Elective</v>
      </c>
      <c r="E70" s="119">
        <f>TableSTRPPROF2[[#This Row],[Credit Points]]</f>
        <v>25</v>
      </c>
      <c r="F70">
        <v>8</v>
      </c>
      <c r="G70" t="s">
        <v>78</v>
      </c>
      <c r="H70">
        <v>1</v>
      </c>
      <c r="I70" t="s">
        <v>182</v>
      </c>
      <c r="J70" t="s">
        <v>78</v>
      </c>
      <c r="K70">
        <v>0</v>
      </c>
      <c r="L70" t="s">
        <v>192</v>
      </c>
      <c r="M70" s="153">
        <v>25</v>
      </c>
      <c r="N70" s="154"/>
      <c r="O70" s="65"/>
      <c r="Q70" t="s">
        <v>78</v>
      </c>
      <c r="R70">
        <v>0</v>
      </c>
    </row>
    <row r="71" spans="1:18" x14ac:dyDescent="0.25">
      <c r="A71" t="str">
        <f>TableSTRPPROF2[[#This Row],[Study Package Code]]</f>
        <v>PRJM6025</v>
      </c>
      <c r="B71" s="6">
        <f>TableSTRPPROF2[[#This Row],[Ver]]</f>
        <v>1</v>
      </c>
      <c r="D71" t="str">
        <f>TableSTRPPROF2[[#This Row],[Structure Line]]</f>
        <v>Agile Management</v>
      </c>
      <c r="E71" s="119">
        <f>TableSTRPPROF2[[#This Row],[Credit Points]]</f>
        <v>25</v>
      </c>
      <c r="F71">
        <v>9</v>
      </c>
      <c r="G71" t="s">
        <v>180</v>
      </c>
      <c r="H71">
        <v>2</v>
      </c>
      <c r="I71" t="s">
        <v>186</v>
      </c>
      <c r="J71" t="s">
        <v>92</v>
      </c>
      <c r="K71">
        <v>1</v>
      </c>
      <c r="L71" t="s">
        <v>167</v>
      </c>
      <c r="M71" s="153">
        <v>25</v>
      </c>
      <c r="N71" s="154">
        <v>44562</v>
      </c>
      <c r="O71" s="65"/>
      <c r="Q71" t="s">
        <v>92</v>
      </c>
      <c r="R71">
        <v>1</v>
      </c>
    </row>
    <row r="72" spans="1:18" x14ac:dyDescent="0.25">
      <c r="A72" t="str">
        <f>TableSTRPPROF2[[#This Row],[Study Package Code]]</f>
        <v>PRJM6003</v>
      </c>
      <c r="B72" s="6">
        <f>TableSTRPPROF2[[#This Row],[Ver]]</f>
        <v>1</v>
      </c>
      <c r="D72" t="str">
        <f>TableSTRPPROF2[[#This Row],[Structure Line]]</f>
        <v>Project Risk Management</v>
      </c>
      <c r="E72" s="119">
        <f>TableSTRPPROF2[[#This Row],[Credit Points]]</f>
        <v>25</v>
      </c>
      <c r="F72">
        <v>10</v>
      </c>
      <c r="G72" t="s">
        <v>180</v>
      </c>
      <c r="H72">
        <v>2</v>
      </c>
      <c r="I72" t="s">
        <v>186</v>
      </c>
      <c r="J72" t="s">
        <v>83</v>
      </c>
      <c r="K72">
        <v>1</v>
      </c>
      <c r="L72" t="s">
        <v>157</v>
      </c>
      <c r="M72" s="153">
        <v>25</v>
      </c>
      <c r="N72" s="154">
        <v>42005</v>
      </c>
      <c r="O72" s="65"/>
      <c r="Q72" t="s">
        <v>83</v>
      </c>
      <c r="R72">
        <v>1</v>
      </c>
    </row>
    <row r="73" spans="1:18" x14ac:dyDescent="0.25">
      <c r="A73" t="str">
        <f>TableSTRPPROF2[[#This Row],[Study Package Code]]</f>
        <v>AltCore2</v>
      </c>
      <c r="B73" s="6">
        <f>TableSTRPPROF2[[#This Row],[Ver]]</f>
        <v>0</v>
      </c>
      <c r="D73" t="str">
        <f>TableSTRPPROF2[[#This Row],[Structure Line]]</f>
        <v>Choose ACCT5021 or FNCE5008</v>
      </c>
      <c r="E73" s="119">
        <f>TableSTRPPROF2[[#This Row],[Credit Points]]</f>
        <v>25</v>
      </c>
      <c r="F73">
        <v>11</v>
      </c>
      <c r="G73" t="s">
        <v>183</v>
      </c>
      <c r="H73">
        <v>2</v>
      </c>
      <c r="I73" t="s">
        <v>186</v>
      </c>
      <c r="J73" t="s">
        <v>104</v>
      </c>
      <c r="K73">
        <v>0</v>
      </c>
      <c r="L73" t="s">
        <v>193</v>
      </c>
      <c r="M73" s="153">
        <v>25</v>
      </c>
      <c r="N73" s="154"/>
      <c r="O73" s="65"/>
      <c r="Q73" t="s">
        <v>104</v>
      </c>
      <c r="R73">
        <v>0</v>
      </c>
    </row>
    <row r="74" spans="1:18" x14ac:dyDescent="0.25">
      <c r="A74" t="str">
        <f>TableSTRPPROF2[[#This Row],[Study Package Code]]</f>
        <v>Elective</v>
      </c>
      <c r="B74" s="6">
        <f>TableSTRPPROF2[[#This Row],[Ver]]</f>
        <v>0</v>
      </c>
      <c r="D74" t="str">
        <f>TableSTRPPROF2[[#This Row],[Structure Line]]</f>
        <v>Choose an Elective</v>
      </c>
      <c r="E74" s="119">
        <f>TableSTRPPROF2[[#This Row],[Credit Points]]</f>
        <v>25</v>
      </c>
      <c r="F74">
        <v>12</v>
      </c>
      <c r="G74" t="s">
        <v>78</v>
      </c>
      <c r="H74">
        <v>2</v>
      </c>
      <c r="I74" t="s">
        <v>181</v>
      </c>
      <c r="J74" t="s">
        <v>78</v>
      </c>
      <c r="K74">
        <v>0</v>
      </c>
      <c r="L74" t="s">
        <v>192</v>
      </c>
      <c r="M74" s="153">
        <v>25</v>
      </c>
      <c r="N74" s="154"/>
      <c r="O74" s="65"/>
      <c r="Q74" t="s">
        <v>78</v>
      </c>
      <c r="R74">
        <v>0</v>
      </c>
    </row>
    <row r="75" spans="1:18" x14ac:dyDescent="0.25">
      <c r="A75" t="str">
        <f>TableSTRPPROF2[[#This Row],[Study Package Code]]</f>
        <v>PRJM6009</v>
      </c>
      <c r="B75" s="6">
        <f>TableSTRPPROF2[[#This Row],[Ver]]</f>
        <v>2</v>
      </c>
      <c r="D75" t="str">
        <f>TableSTRPPROF2[[#This Row],[Structure Line]]</f>
        <v>Project Management Integrated Project</v>
      </c>
      <c r="E75" s="119">
        <f>TableSTRPPROF2[[#This Row],[Credit Points]]</f>
        <v>50</v>
      </c>
      <c r="F75">
        <v>13</v>
      </c>
      <c r="G75" t="s">
        <v>180</v>
      </c>
      <c r="H75">
        <v>2</v>
      </c>
      <c r="I75" t="s">
        <v>186</v>
      </c>
      <c r="J75" t="s">
        <v>103</v>
      </c>
      <c r="K75">
        <v>2</v>
      </c>
      <c r="L75" t="s">
        <v>163</v>
      </c>
      <c r="M75" s="153">
        <v>50</v>
      </c>
      <c r="N75" s="154">
        <v>42736</v>
      </c>
      <c r="O75" s="65"/>
      <c r="Q75" t="s">
        <v>103</v>
      </c>
      <c r="R75">
        <v>2</v>
      </c>
    </row>
    <row r="76" spans="1:18" x14ac:dyDescent="0.25">
      <c r="A76" t="str">
        <f>TableSTRPPROF2[[#This Row],[Study Package Code]]</f>
        <v>URDE6006</v>
      </c>
      <c r="B76" s="6">
        <f>TableSTRPPROF2[[#This Row],[Ver]]</f>
        <v>1</v>
      </c>
      <c r="D76" t="str">
        <f>TableSTRPPROF2[[#This Row],[Structure Line]]</f>
        <v>Design and Built Environment Research Methods</v>
      </c>
      <c r="E76" s="119">
        <f>TableSTRPPROF2[[#This Row],[Credit Points]]</f>
        <v>25</v>
      </c>
      <c r="F76">
        <v>14</v>
      </c>
      <c r="G76" t="s">
        <v>180</v>
      </c>
      <c r="H76">
        <v>2</v>
      </c>
      <c r="I76" t="s">
        <v>186</v>
      </c>
      <c r="J76" t="s">
        <v>91</v>
      </c>
      <c r="K76">
        <v>1</v>
      </c>
      <c r="L76" t="s">
        <v>168</v>
      </c>
      <c r="M76" s="153">
        <v>25</v>
      </c>
      <c r="N76" s="154">
        <v>44562</v>
      </c>
      <c r="O76" s="65"/>
      <c r="Q76" t="s">
        <v>91</v>
      </c>
      <c r="R76">
        <v>1</v>
      </c>
    </row>
    <row r="77" spans="1:18" x14ac:dyDescent="0.25">
      <c r="A77" t="str">
        <f>TableSTRPPROF2[[#This Row],[Study Package Code]]</f>
        <v>Elective</v>
      </c>
      <c r="B77" s="6">
        <f>TableSTRPPROF2[[#This Row],[Ver]]</f>
        <v>0</v>
      </c>
      <c r="D77" t="str">
        <f>TableSTRPPROF2[[#This Row],[Structure Line]]</f>
        <v>Choose an Elective</v>
      </c>
      <c r="E77" s="119">
        <f>TableSTRPPROF2[[#This Row],[Credit Points]]</f>
        <v>25</v>
      </c>
      <c r="F77">
        <v>15</v>
      </c>
      <c r="G77" t="s">
        <v>78</v>
      </c>
      <c r="H77">
        <v>2</v>
      </c>
      <c r="I77" t="s">
        <v>182</v>
      </c>
      <c r="J77" t="s">
        <v>78</v>
      </c>
      <c r="K77">
        <v>0</v>
      </c>
      <c r="L77" t="s">
        <v>192</v>
      </c>
      <c r="M77" s="153">
        <v>25</v>
      </c>
      <c r="N77" s="154"/>
      <c r="O77" s="65"/>
      <c r="Q77" t="s">
        <v>78</v>
      </c>
      <c r="R77">
        <v>0</v>
      </c>
    </row>
    <row r="78" spans="1:18" x14ac:dyDescent="0.25">
      <c r="A78" t="str">
        <f>TableSTRPPROF2[[#This Row],[Study Package Code]]</f>
        <v>ACCT5021</v>
      </c>
      <c r="B78" s="6">
        <f>TableSTRPPROF2[[#This Row],[Ver]]</f>
        <v>1</v>
      </c>
      <c r="D78" t="str">
        <f>TableSTRPPROF2[[#This Row],[Structure Line]]</f>
        <v>Accounting for Managers</v>
      </c>
      <c r="E78" s="119">
        <f>TableSTRPPROF2[[#This Row],[Credit Points]]</f>
        <v>25</v>
      </c>
      <c r="F78">
        <v>11</v>
      </c>
      <c r="G78" t="s">
        <v>183</v>
      </c>
      <c r="H78">
        <v>2</v>
      </c>
      <c r="I78" t="s">
        <v>186</v>
      </c>
      <c r="J78" t="s">
        <v>124</v>
      </c>
      <c r="K78">
        <v>1</v>
      </c>
      <c r="L78" t="s">
        <v>142</v>
      </c>
      <c r="M78" s="153">
        <v>25</v>
      </c>
      <c r="N78" s="154">
        <v>42005</v>
      </c>
      <c r="O78" s="65"/>
      <c r="Q78" t="s">
        <v>124</v>
      </c>
      <c r="R78">
        <v>1</v>
      </c>
    </row>
    <row r="79" spans="1:18" x14ac:dyDescent="0.25">
      <c r="A79" t="str">
        <f>TableSTRPPROF2[[#This Row],[Study Package Code]]</f>
        <v>FNCE5008</v>
      </c>
      <c r="B79" s="6">
        <f>TableSTRPPROF2[[#This Row],[Ver]]</f>
        <v>1</v>
      </c>
      <c r="D79" t="str">
        <f>TableSTRPPROF2[[#This Row],[Structure Line]]</f>
        <v>Financial Principles and Analysis</v>
      </c>
      <c r="E79" s="119">
        <f>TableSTRPPROF2[[#This Row],[Credit Points]]</f>
        <v>25</v>
      </c>
      <c r="F79">
        <v>11</v>
      </c>
      <c r="G79" t="s">
        <v>183</v>
      </c>
      <c r="H79">
        <v>2</v>
      </c>
      <c r="I79" t="s">
        <v>186</v>
      </c>
      <c r="J79" t="s">
        <v>127</v>
      </c>
      <c r="K79">
        <v>1</v>
      </c>
      <c r="L79" t="s">
        <v>149</v>
      </c>
      <c r="M79" s="153">
        <v>25</v>
      </c>
      <c r="N79" s="154">
        <v>42005</v>
      </c>
      <c r="O79" s="65"/>
      <c r="Q79" t="s">
        <v>127</v>
      </c>
      <c r="R79">
        <v>1</v>
      </c>
    </row>
    <row r="80" spans="1:18" x14ac:dyDescent="0.25">
      <c r="B80"/>
      <c r="E80"/>
      <c r="F80" s="121"/>
      <c r="G80" s="123" t="s">
        <v>169</v>
      </c>
      <c r="H80" s="124">
        <v>44562</v>
      </c>
      <c r="I80" s="121"/>
      <c r="J80" s="171" t="s">
        <v>129</v>
      </c>
      <c r="K80" s="122" t="s">
        <v>120</v>
      </c>
      <c r="L80" s="121" t="s">
        <v>128</v>
      </c>
      <c r="M80" s="121"/>
      <c r="N80" s="175" t="s">
        <v>170</v>
      </c>
      <c r="O80" s="154">
        <v>45307</v>
      </c>
    </row>
    <row r="81" spans="1:18" x14ac:dyDescent="0.25">
      <c r="A81" t="s">
        <v>0</v>
      </c>
      <c r="B81" s="6" t="s">
        <v>66</v>
      </c>
      <c r="C81" t="s">
        <v>171</v>
      </c>
      <c r="D81" t="s">
        <v>3</v>
      </c>
      <c r="E81" s="119" t="s">
        <v>172</v>
      </c>
      <c r="F81" t="s">
        <v>173</v>
      </c>
      <c r="G81" t="s">
        <v>174</v>
      </c>
      <c r="H81" t="s">
        <v>175</v>
      </c>
      <c r="I81" t="s">
        <v>19</v>
      </c>
      <c r="J81" t="s">
        <v>176</v>
      </c>
      <c r="K81" t="s">
        <v>1</v>
      </c>
      <c r="L81" t="s">
        <v>54</v>
      </c>
      <c r="M81" t="s">
        <v>67</v>
      </c>
      <c r="N81" t="s">
        <v>177</v>
      </c>
      <c r="O81" t="s">
        <v>178</v>
      </c>
      <c r="Q81" t="s">
        <v>179</v>
      </c>
      <c r="R81" t="s">
        <v>1</v>
      </c>
    </row>
    <row r="82" spans="1:18" x14ac:dyDescent="0.25">
      <c r="A82" t="str">
        <f>TableSTRPRSCH2[[#This Row],[Study Package Code]]</f>
        <v>PRJM6001</v>
      </c>
      <c r="B82" s="6">
        <f>TableSTRPRSCH2[[#This Row],[Ver]]</f>
        <v>1</v>
      </c>
      <c r="D82" t="str">
        <f>TableSTRPRSCH2[[#This Row],[Structure Line]]</f>
        <v>Project Cost Management</v>
      </c>
      <c r="E82" s="119">
        <f>TableSTRPRSCH2[[#This Row],[Credit Points]]</f>
        <v>25</v>
      </c>
      <c r="F82">
        <v>1</v>
      </c>
      <c r="G82" t="s">
        <v>180</v>
      </c>
      <c r="H82">
        <v>1</v>
      </c>
      <c r="I82" t="s">
        <v>186</v>
      </c>
      <c r="J82" t="s">
        <v>64</v>
      </c>
      <c r="K82">
        <v>1</v>
      </c>
      <c r="L82" t="s">
        <v>151</v>
      </c>
      <c r="M82">
        <v>25</v>
      </c>
      <c r="N82" s="65">
        <v>42005</v>
      </c>
      <c r="O82" s="65"/>
      <c r="Q82" t="s">
        <v>84</v>
      </c>
      <c r="R82">
        <v>1</v>
      </c>
    </row>
    <row r="83" spans="1:18" x14ac:dyDescent="0.25">
      <c r="A83" t="str">
        <f>TableSTRPRSCH2[[#This Row],[Study Package Code]]</f>
        <v>PRJM6000</v>
      </c>
      <c r="B83" s="6">
        <f>TableSTRPRSCH2[[#This Row],[Ver]]</f>
        <v>1</v>
      </c>
      <c r="D83" t="str">
        <f>TableSTRPRSCH2[[#This Row],[Structure Line]]</f>
        <v>Project Management Overview</v>
      </c>
      <c r="E83" s="119">
        <f>TableSTRPRSCH2[[#This Row],[Credit Points]]</f>
        <v>25</v>
      </c>
      <c r="F83">
        <v>2</v>
      </c>
      <c r="G83" t="s">
        <v>180</v>
      </c>
      <c r="H83">
        <v>1</v>
      </c>
      <c r="I83" t="s">
        <v>186</v>
      </c>
      <c r="J83" t="s">
        <v>61</v>
      </c>
      <c r="K83">
        <v>1</v>
      </c>
      <c r="L83" t="s">
        <v>150</v>
      </c>
      <c r="M83">
        <v>25</v>
      </c>
      <c r="N83" s="65">
        <v>42005</v>
      </c>
      <c r="O83" s="65"/>
      <c r="Q83" t="s">
        <v>72</v>
      </c>
      <c r="R83">
        <v>1</v>
      </c>
    </row>
    <row r="84" spans="1:18" x14ac:dyDescent="0.25">
      <c r="A84" t="str">
        <f>TableSTRPRSCH2[[#This Row],[Study Package Code]]</f>
        <v>PRJM6010</v>
      </c>
      <c r="B84" s="6">
        <f>TableSTRPRSCH2[[#This Row],[Ver]]</f>
        <v>1</v>
      </c>
      <c r="D84" t="str">
        <f>TableSTRPRSCH2[[#This Row],[Structure Line]]</f>
        <v>Project and People</v>
      </c>
      <c r="E84" s="119">
        <f>TableSTRPRSCH2[[#This Row],[Credit Points]]</f>
        <v>25</v>
      </c>
      <c r="F84">
        <v>3</v>
      </c>
      <c r="G84" t="s">
        <v>180</v>
      </c>
      <c r="H84">
        <v>1</v>
      </c>
      <c r="I84" t="s">
        <v>186</v>
      </c>
      <c r="J84" t="s">
        <v>72</v>
      </c>
      <c r="K84">
        <v>1</v>
      </c>
      <c r="L84" t="s">
        <v>164</v>
      </c>
      <c r="M84">
        <v>25</v>
      </c>
      <c r="N84" s="65">
        <v>42005</v>
      </c>
      <c r="O84" s="65"/>
      <c r="Q84" t="s">
        <v>64</v>
      </c>
      <c r="R84">
        <v>1</v>
      </c>
    </row>
    <row r="85" spans="1:18" x14ac:dyDescent="0.25">
      <c r="A85" t="str">
        <f>TableSTRPRSCH2[[#This Row],[Study Package Code]]</f>
        <v/>
      </c>
      <c r="B85" s="6">
        <f>TableSTRPRSCH2[[#This Row],[Ver]]</f>
        <v>0</v>
      </c>
      <c r="D85" t="str">
        <f>TableSTRPRSCH2[[#This Row],[Structure Line]]</f>
        <v>Choose an Elective</v>
      </c>
      <c r="E85" s="119">
        <f>TableSTRPRSCH2[[#This Row],[Credit Points]]</f>
        <v>25</v>
      </c>
      <c r="F85">
        <v>4</v>
      </c>
      <c r="G85" t="s">
        <v>78</v>
      </c>
      <c r="H85">
        <v>1</v>
      </c>
      <c r="I85" t="s">
        <v>181</v>
      </c>
      <c r="J85" t="s">
        <v>194</v>
      </c>
      <c r="K85">
        <v>0</v>
      </c>
      <c r="L85" t="s">
        <v>192</v>
      </c>
      <c r="M85">
        <v>25</v>
      </c>
      <c r="N85" s="65"/>
      <c r="O85" s="65"/>
      <c r="Q85" t="s">
        <v>61</v>
      </c>
      <c r="R85">
        <v>1</v>
      </c>
    </row>
    <row r="86" spans="1:18" x14ac:dyDescent="0.25">
      <c r="A86" t="str">
        <f>TableSTRPRSCH2[[#This Row],[Study Package Code]]</f>
        <v>PRJM6004</v>
      </c>
      <c r="B86" s="6">
        <f>TableSTRPRSCH2[[#This Row],[Ver]]</f>
        <v>1</v>
      </c>
      <c r="D86" t="str">
        <f>TableSTRPRSCH2[[#This Row],[Structure Line]]</f>
        <v>Project Procurement Management</v>
      </c>
      <c r="E86" s="119">
        <f>TableSTRPRSCH2[[#This Row],[Credit Points]]</f>
        <v>25</v>
      </c>
      <c r="F86">
        <v>5</v>
      </c>
      <c r="G86" t="s">
        <v>180</v>
      </c>
      <c r="H86">
        <v>1</v>
      </c>
      <c r="I86" t="s">
        <v>186</v>
      </c>
      <c r="J86" t="s">
        <v>88</v>
      </c>
      <c r="K86">
        <v>1</v>
      </c>
      <c r="L86" t="s">
        <v>158</v>
      </c>
      <c r="M86">
        <v>25</v>
      </c>
      <c r="N86" s="65">
        <v>42005</v>
      </c>
      <c r="O86" s="65"/>
      <c r="Q86" t="s">
        <v>88</v>
      </c>
      <c r="R86">
        <v>1</v>
      </c>
    </row>
    <row r="87" spans="1:18" x14ac:dyDescent="0.25">
      <c r="A87" t="str">
        <f>TableSTRPRSCH2[[#This Row],[Study Package Code]]</f>
        <v>PRJM6002</v>
      </c>
      <c r="B87" s="6">
        <f>TableSTRPRSCH2[[#This Row],[Ver]]</f>
        <v>2</v>
      </c>
      <c r="D87" t="str">
        <f>TableSTRPRSCH2[[#This Row],[Structure Line]]</f>
        <v>Project Planning and Schedule Management</v>
      </c>
      <c r="E87" s="119">
        <f>TableSTRPRSCH2[[#This Row],[Credit Points]]</f>
        <v>25</v>
      </c>
      <c r="F87">
        <v>6</v>
      </c>
      <c r="G87" t="s">
        <v>180</v>
      </c>
      <c r="H87">
        <v>1</v>
      </c>
      <c r="I87" t="s">
        <v>186</v>
      </c>
      <c r="J87" t="s">
        <v>71</v>
      </c>
      <c r="K87">
        <v>2</v>
      </c>
      <c r="L87" t="s">
        <v>152</v>
      </c>
      <c r="M87">
        <v>25</v>
      </c>
      <c r="N87" s="65">
        <v>45292</v>
      </c>
      <c r="O87" s="65"/>
      <c r="Q87" t="s">
        <v>71</v>
      </c>
      <c r="R87">
        <v>1</v>
      </c>
    </row>
    <row r="88" spans="1:18" x14ac:dyDescent="0.25">
      <c r="A88" t="str">
        <f>TableSTRPRSCH2[[#This Row],[Study Package Code]]</f>
        <v>PRJM6005</v>
      </c>
      <c r="B88" s="6">
        <f>TableSTRPRSCH2[[#This Row],[Ver]]</f>
        <v>1</v>
      </c>
      <c r="D88" t="str">
        <f>TableSTRPRSCH2[[#This Row],[Structure Line]]</f>
        <v>Program and Portfolio Management</v>
      </c>
      <c r="E88" s="119">
        <f>TableSTRPRSCH2[[#This Row],[Credit Points]]</f>
        <v>25</v>
      </c>
      <c r="F88">
        <v>7</v>
      </c>
      <c r="G88" t="s">
        <v>180</v>
      </c>
      <c r="H88">
        <v>1</v>
      </c>
      <c r="I88" t="s">
        <v>186</v>
      </c>
      <c r="J88" t="s">
        <v>84</v>
      </c>
      <c r="K88">
        <v>1</v>
      </c>
      <c r="L88" t="s">
        <v>159</v>
      </c>
      <c r="M88">
        <v>25</v>
      </c>
      <c r="N88" s="65">
        <v>42005</v>
      </c>
      <c r="O88" s="65"/>
      <c r="Q88" t="s">
        <v>78</v>
      </c>
      <c r="R88">
        <v>0</v>
      </c>
    </row>
    <row r="89" spans="1:18" x14ac:dyDescent="0.25">
      <c r="A89" t="str">
        <f>TableSTRPRSCH2[[#This Row],[Study Package Code]]</f>
        <v/>
      </c>
      <c r="B89" s="6">
        <f>TableSTRPRSCH2[[#This Row],[Ver]]</f>
        <v>0</v>
      </c>
      <c r="D89" t="str">
        <f>TableSTRPRSCH2[[#This Row],[Structure Line]]</f>
        <v>Choose an Elective</v>
      </c>
      <c r="E89" s="119">
        <f>TableSTRPRSCH2[[#This Row],[Credit Points]]</f>
        <v>25</v>
      </c>
      <c r="F89">
        <v>8</v>
      </c>
      <c r="G89" t="s">
        <v>78</v>
      </c>
      <c r="H89">
        <v>1</v>
      </c>
      <c r="I89" t="s">
        <v>182</v>
      </c>
      <c r="J89" t="s">
        <v>194</v>
      </c>
      <c r="K89">
        <v>0</v>
      </c>
      <c r="L89" t="s">
        <v>192</v>
      </c>
      <c r="M89">
        <v>25</v>
      </c>
      <c r="N89" s="65"/>
      <c r="O89" s="65"/>
      <c r="Q89" t="s">
        <v>78</v>
      </c>
      <c r="R89">
        <v>0</v>
      </c>
    </row>
    <row r="90" spans="1:18" x14ac:dyDescent="0.25">
      <c r="A90" t="str">
        <f>TableSTRPRSCH2[[#This Row],[Study Package Code]]</f>
        <v>PRJM6025</v>
      </c>
      <c r="B90" s="6">
        <f>TableSTRPRSCH2[[#This Row],[Ver]]</f>
        <v>1</v>
      </c>
      <c r="D90" t="str">
        <f>TableSTRPRSCH2[[#This Row],[Structure Line]]</f>
        <v>Agile Management</v>
      </c>
      <c r="E90" s="119">
        <f>TableSTRPRSCH2[[#This Row],[Credit Points]]</f>
        <v>25</v>
      </c>
      <c r="F90">
        <v>9</v>
      </c>
      <c r="G90" t="s">
        <v>180</v>
      </c>
      <c r="H90">
        <v>2</v>
      </c>
      <c r="I90" t="s">
        <v>186</v>
      </c>
      <c r="J90" t="s">
        <v>92</v>
      </c>
      <c r="K90">
        <v>1</v>
      </c>
      <c r="L90" t="s">
        <v>167</v>
      </c>
      <c r="M90">
        <v>25</v>
      </c>
      <c r="N90" s="65">
        <v>44562</v>
      </c>
      <c r="O90" s="65"/>
      <c r="Q90" t="s">
        <v>92</v>
      </c>
      <c r="R90">
        <v>1</v>
      </c>
    </row>
    <row r="91" spans="1:18" x14ac:dyDescent="0.25">
      <c r="A91" t="str">
        <f>TableSTRPRSCH2[[#This Row],[Study Package Code]]</f>
        <v>PRJM6003</v>
      </c>
      <c r="B91" s="6">
        <f>TableSTRPRSCH2[[#This Row],[Ver]]</f>
        <v>1</v>
      </c>
      <c r="D91" t="str">
        <f>TableSTRPRSCH2[[#This Row],[Structure Line]]</f>
        <v>Project Risk Management</v>
      </c>
      <c r="E91" s="119">
        <f>TableSTRPRSCH2[[#This Row],[Credit Points]]</f>
        <v>25</v>
      </c>
      <c r="F91">
        <v>10</v>
      </c>
      <c r="G91" t="s">
        <v>180</v>
      </c>
      <c r="H91">
        <v>2</v>
      </c>
      <c r="I91" t="s">
        <v>186</v>
      </c>
      <c r="J91" t="s">
        <v>83</v>
      </c>
      <c r="K91">
        <v>1</v>
      </c>
      <c r="L91" t="s">
        <v>157</v>
      </c>
      <c r="M91">
        <v>25</v>
      </c>
      <c r="N91" s="65">
        <v>42005</v>
      </c>
      <c r="O91" s="65"/>
      <c r="Q91" t="s">
        <v>91</v>
      </c>
      <c r="R91">
        <v>1</v>
      </c>
    </row>
    <row r="92" spans="1:18" x14ac:dyDescent="0.25">
      <c r="A92" t="str">
        <f>TableSTRPRSCH2[[#This Row],[Study Package Code]]</f>
        <v>AltCore2</v>
      </c>
      <c r="B92" s="6">
        <f>TableSTRPRSCH2[[#This Row],[Ver]]</f>
        <v>0</v>
      </c>
      <c r="D92" t="str">
        <f>TableSTRPRSCH2[[#This Row],[Structure Line]]</f>
        <v>Choose ACCT5021 or FNCE5008</v>
      </c>
      <c r="E92" s="119">
        <f>TableSTRPRSCH2[[#This Row],[Credit Points]]</f>
        <v>25</v>
      </c>
      <c r="F92">
        <v>11</v>
      </c>
      <c r="G92" t="s">
        <v>183</v>
      </c>
      <c r="H92">
        <v>2</v>
      </c>
      <c r="I92" t="s">
        <v>186</v>
      </c>
      <c r="J92" t="s">
        <v>104</v>
      </c>
      <c r="K92">
        <v>0</v>
      </c>
      <c r="L92" t="s">
        <v>193</v>
      </c>
      <c r="M92">
        <v>25</v>
      </c>
      <c r="N92" s="65"/>
      <c r="O92" s="65"/>
      <c r="Q92" t="s">
        <v>103</v>
      </c>
      <c r="R92">
        <v>2</v>
      </c>
    </row>
    <row r="93" spans="1:18" x14ac:dyDescent="0.25">
      <c r="A93" t="str">
        <f>TableSTRPRSCH2[[#This Row],[Study Package Code]]</f>
        <v/>
      </c>
      <c r="B93" s="6">
        <f>TableSTRPRSCH2[[#This Row],[Ver]]</f>
        <v>0</v>
      </c>
      <c r="D93" t="str">
        <f>TableSTRPRSCH2[[#This Row],[Structure Line]]</f>
        <v>Choose an Elective</v>
      </c>
      <c r="E93" s="119">
        <f>TableSTRPRSCH2[[#This Row],[Credit Points]]</f>
        <v>25</v>
      </c>
      <c r="F93">
        <v>12</v>
      </c>
      <c r="G93" t="s">
        <v>78</v>
      </c>
      <c r="H93">
        <v>2</v>
      </c>
      <c r="I93" t="s">
        <v>182</v>
      </c>
      <c r="J93" t="s">
        <v>194</v>
      </c>
      <c r="K93">
        <v>0</v>
      </c>
      <c r="L93" t="s">
        <v>192</v>
      </c>
      <c r="M93">
        <v>25</v>
      </c>
      <c r="N93" s="65"/>
      <c r="O93" s="65"/>
      <c r="Q93" t="s">
        <v>97</v>
      </c>
      <c r="R93">
        <v>2</v>
      </c>
    </row>
    <row r="94" spans="1:18" x14ac:dyDescent="0.25">
      <c r="A94" t="str">
        <f>TableSTRPRSCH2[[#This Row],[Study Package Code]]</f>
        <v>PRJM6009</v>
      </c>
      <c r="B94" s="6">
        <f>TableSTRPRSCH2[[#This Row],[Ver]]</f>
        <v>2</v>
      </c>
      <c r="D94" t="str">
        <f>TableSTRPRSCH2[[#This Row],[Structure Line]]</f>
        <v>Project Management Integrated Project</v>
      </c>
      <c r="E94" s="119">
        <f>TableSTRPRSCH2[[#This Row],[Credit Points]]</f>
        <v>50</v>
      </c>
      <c r="F94">
        <v>13</v>
      </c>
      <c r="G94" t="s">
        <v>180</v>
      </c>
      <c r="H94">
        <v>2</v>
      </c>
      <c r="I94" t="s">
        <v>186</v>
      </c>
      <c r="J94" t="s">
        <v>103</v>
      </c>
      <c r="K94">
        <v>2</v>
      </c>
      <c r="L94" t="s">
        <v>163</v>
      </c>
      <c r="M94">
        <v>50</v>
      </c>
      <c r="N94" s="65">
        <v>42736</v>
      </c>
      <c r="O94" s="65"/>
      <c r="Q94" t="s">
        <v>83</v>
      </c>
      <c r="R94">
        <v>1</v>
      </c>
    </row>
    <row r="95" spans="1:18" x14ac:dyDescent="0.25">
      <c r="A95" t="str">
        <f>TableSTRPRSCH2[[#This Row],[Study Package Code]]</f>
        <v>URDE6006</v>
      </c>
      <c r="B95" s="6">
        <f>TableSTRPRSCH2[[#This Row],[Ver]]</f>
        <v>1</v>
      </c>
      <c r="D95" t="str">
        <f>TableSTRPRSCH2[[#This Row],[Structure Line]]</f>
        <v>Design and Built Environment Research Methods</v>
      </c>
      <c r="E95" s="119">
        <f>TableSTRPRSCH2[[#This Row],[Credit Points]]</f>
        <v>25</v>
      </c>
      <c r="F95">
        <v>14</v>
      </c>
      <c r="G95" t="s">
        <v>180</v>
      </c>
      <c r="H95">
        <v>2</v>
      </c>
      <c r="I95" t="s">
        <v>186</v>
      </c>
      <c r="J95" t="s">
        <v>91</v>
      </c>
      <c r="K95">
        <v>1</v>
      </c>
      <c r="L95" t="s">
        <v>168</v>
      </c>
      <c r="M95">
        <v>25</v>
      </c>
      <c r="N95" s="65">
        <v>44562</v>
      </c>
      <c r="O95" s="65"/>
      <c r="Q95" t="s">
        <v>104</v>
      </c>
      <c r="R95">
        <v>0</v>
      </c>
    </row>
    <row r="96" spans="1:18" x14ac:dyDescent="0.25">
      <c r="A96" t="str">
        <f>TableSTRPRSCH2[[#This Row],[Study Package Code]]</f>
        <v>PRJM6012</v>
      </c>
      <c r="B96" s="6">
        <f>TableSTRPRSCH2[[#This Row],[Ver]]</f>
        <v>2</v>
      </c>
      <c r="D96" t="str">
        <f>TableSTRPRSCH2[[#This Row],[Structure Line]]</f>
        <v>Project Management Dissertation</v>
      </c>
      <c r="E96" s="119">
        <f>TableSTRPRSCH2[[#This Row],[Credit Points]]</f>
        <v>25</v>
      </c>
      <c r="F96">
        <v>15</v>
      </c>
      <c r="G96" t="s">
        <v>180</v>
      </c>
      <c r="H96">
        <v>2</v>
      </c>
      <c r="I96" t="s">
        <v>186</v>
      </c>
      <c r="J96" t="s">
        <v>97</v>
      </c>
      <c r="K96">
        <v>2</v>
      </c>
      <c r="L96" t="s">
        <v>165</v>
      </c>
      <c r="M96">
        <v>25</v>
      </c>
      <c r="N96" s="65">
        <v>44562</v>
      </c>
      <c r="O96" s="65"/>
      <c r="Q96" t="s">
        <v>78</v>
      </c>
      <c r="R96">
        <v>0</v>
      </c>
    </row>
    <row r="97" spans="1:18" x14ac:dyDescent="0.25">
      <c r="A97" t="str">
        <f>TableSTRPRSCH2[[#This Row],[Study Package Code]]</f>
        <v>ACCT5021</v>
      </c>
      <c r="B97" s="6">
        <f>TableSTRPRSCH2[[#This Row],[Ver]]</f>
        <v>1</v>
      </c>
      <c r="D97" t="str">
        <f>TableSTRPRSCH2[[#This Row],[Structure Line]]</f>
        <v>Accounting for Managers</v>
      </c>
      <c r="E97" s="119">
        <f>TableSTRPRSCH2[[#This Row],[Credit Points]]</f>
        <v>25</v>
      </c>
      <c r="F97">
        <v>14</v>
      </c>
      <c r="G97" t="s">
        <v>183</v>
      </c>
      <c r="H97">
        <v>2</v>
      </c>
      <c r="I97" t="s">
        <v>186</v>
      </c>
      <c r="J97" t="s">
        <v>124</v>
      </c>
      <c r="K97">
        <v>1</v>
      </c>
      <c r="L97" t="s">
        <v>142</v>
      </c>
      <c r="M97">
        <v>25</v>
      </c>
      <c r="N97" s="65">
        <v>42005</v>
      </c>
      <c r="O97" s="65"/>
      <c r="Q97" t="s">
        <v>124</v>
      </c>
      <c r="R97">
        <v>1</v>
      </c>
    </row>
    <row r="98" spans="1:18" x14ac:dyDescent="0.25">
      <c r="A98" t="str">
        <f>TableSTRPRSCH2[[#This Row],[Study Package Code]]</f>
        <v>FNCE5008</v>
      </c>
      <c r="B98" s="6">
        <f>TableSTRPRSCH2[[#This Row],[Ver]]</f>
        <v>1</v>
      </c>
      <c r="D98" t="str">
        <f>TableSTRPRSCH2[[#This Row],[Structure Line]]</f>
        <v>Financial Principles and Analysis</v>
      </c>
      <c r="E98" s="119">
        <f>TableSTRPRSCH2[[#This Row],[Credit Points]]</f>
        <v>25</v>
      </c>
      <c r="F98">
        <v>14</v>
      </c>
      <c r="G98" t="s">
        <v>183</v>
      </c>
      <c r="H98">
        <v>2</v>
      </c>
      <c r="I98" t="s">
        <v>186</v>
      </c>
      <c r="J98" t="s">
        <v>127</v>
      </c>
      <c r="K98">
        <v>1</v>
      </c>
      <c r="L98" t="s">
        <v>149</v>
      </c>
      <c r="M98">
        <v>25</v>
      </c>
      <c r="N98" s="65">
        <v>42005</v>
      </c>
      <c r="O98" s="65"/>
      <c r="Q98" t="s">
        <v>127</v>
      </c>
      <c r="R98">
        <v>1</v>
      </c>
    </row>
  </sheetData>
  <conditionalFormatting sqref="Q2:R79">
    <cfRule type="expression" dxfId="58" priority="40">
      <formula>Q2&lt;&gt;J2</formula>
    </cfRule>
  </conditionalFormatting>
  <conditionalFormatting sqref="O3:O6">
    <cfRule type="notContainsBlanks" dxfId="57" priority="21">
      <formula>LEN(TRIM(O3))&gt;0</formula>
    </cfRule>
  </conditionalFormatting>
  <conditionalFormatting sqref="O11:O20">
    <cfRule type="notContainsBlanks" dxfId="56" priority="19">
      <formula>LEN(TRIM(O11))&gt;0</formula>
    </cfRule>
  </conditionalFormatting>
  <conditionalFormatting sqref="O25:O27">
    <cfRule type="notContainsBlanks" dxfId="55" priority="18">
      <formula>LEN(TRIM(O25))&gt;0</formula>
    </cfRule>
  </conditionalFormatting>
  <conditionalFormatting sqref="O30:O40">
    <cfRule type="notContainsBlanks" dxfId="54" priority="17">
      <formula>LEN(TRIM(O30))&gt;0</formula>
    </cfRule>
  </conditionalFormatting>
  <conditionalFormatting sqref="O43:O53">
    <cfRule type="notContainsBlanks" dxfId="53" priority="16">
      <formula>LEN(TRIM(O43))&gt;0</formula>
    </cfRule>
  </conditionalFormatting>
  <conditionalFormatting sqref="O58:O60">
    <cfRule type="notContainsBlanks" dxfId="52" priority="15">
      <formula>LEN(TRIM(O58))&gt;0</formula>
    </cfRule>
  </conditionalFormatting>
  <conditionalFormatting sqref="O63:O79">
    <cfRule type="notContainsBlanks" dxfId="51" priority="14">
      <formula>LEN(TRIM(O63))&gt;0</formula>
    </cfRule>
  </conditionalFormatting>
  <conditionalFormatting sqref="O82:O98">
    <cfRule type="notContainsBlanks" dxfId="50" priority="13">
      <formula>LEN(TRIM(O82))&gt;0</formula>
    </cfRule>
  </conditionalFormatting>
  <conditionalFormatting sqref="Q80:R98">
    <cfRule type="expression" dxfId="49" priority="1">
      <formula>Q80&lt;&gt;J80</formula>
    </cfRule>
  </conditionalFormatting>
  <pageMargins left="0.7" right="0.7" top="0.75" bottom="0.75" header="0.3" footer="0.3"/>
  <pageSetup paperSize="9"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D6" sqref="D6"/>
    </sheetView>
  </sheetViews>
  <sheetFormatPr defaultRowHeight="15.75" x14ac:dyDescent="0.25"/>
  <cols>
    <col min="1" max="1" width="39.625" bestFit="1" customWidth="1"/>
    <col min="4" max="4" width="10" customWidth="1"/>
    <col min="5" max="5" width="9.125" customWidth="1"/>
    <col min="6" max="6" width="16.125" bestFit="1" customWidth="1"/>
    <col min="7" max="7" width="10.375" bestFit="1" customWidth="1"/>
  </cols>
  <sheetData>
    <row r="1" spans="1:7" x14ac:dyDescent="0.25">
      <c r="A1" t="s">
        <v>195</v>
      </c>
      <c r="B1" t="s">
        <v>196</v>
      </c>
      <c r="F1" s="149" t="s">
        <v>197</v>
      </c>
      <c r="G1" s="170">
        <v>45307</v>
      </c>
    </row>
    <row r="2" spans="1:7" x14ac:dyDescent="0.25">
      <c r="B2" t="s">
        <v>181</v>
      </c>
      <c r="D2" t="s">
        <v>182</v>
      </c>
    </row>
    <row r="3" spans="1:7" x14ac:dyDescent="0.25">
      <c r="A3" t="s">
        <v>198</v>
      </c>
      <c r="B3" t="s">
        <v>199</v>
      </c>
      <c r="C3" t="s">
        <v>200</v>
      </c>
      <c r="D3" t="s">
        <v>201</v>
      </c>
      <c r="E3" t="s">
        <v>202</v>
      </c>
    </row>
    <row r="4" spans="1:7" x14ac:dyDescent="0.25">
      <c r="A4" t="s">
        <v>124</v>
      </c>
      <c r="B4">
        <v>1</v>
      </c>
    </row>
    <row r="5" spans="1:7" x14ac:dyDescent="0.25">
      <c r="A5" t="s">
        <v>127</v>
      </c>
      <c r="B5">
        <v>1</v>
      </c>
      <c r="C5">
        <v>1</v>
      </c>
      <c r="D5">
        <v>1</v>
      </c>
      <c r="E5">
        <v>1</v>
      </c>
    </row>
    <row r="6" spans="1:7" x14ac:dyDescent="0.25">
      <c r="A6" t="s">
        <v>61</v>
      </c>
      <c r="B6">
        <v>1</v>
      </c>
      <c r="C6">
        <v>1</v>
      </c>
      <c r="D6">
        <v>1</v>
      </c>
      <c r="E6">
        <v>1</v>
      </c>
    </row>
    <row r="7" spans="1:7" x14ac:dyDescent="0.25">
      <c r="A7" t="s">
        <v>64</v>
      </c>
      <c r="B7">
        <v>1</v>
      </c>
      <c r="C7">
        <v>1</v>
      </c>
      <c r="D7">
        <v>1</v>
      </c>
      <c r="E7">
        <v>1</v>
      </c>
    </row>
    <row r="8" spans="1:7" x14ac:dyDescent="0.25">
      <c r="A8" t="s">
        <v>71</v>
      </c>
      <c r="B8">
        <v>1</v>
      </c>
      <c r="C8">
        <v>1</v>
      </c>
      <c r="D8">
        <v>1</v>
      </c>
      <c r="E8">
        <v>1</v>
      </c>
    </row>
    <row r="9" spans="1:7" x14ac:dyDescent="0.25">
      <c r="A9" t="s">
        <v>83</v>
      </c>
      <c r="B9">
        <v>1</v>
      </c>
      <c r="C9">
        <v>1</v>
      </c>
      <c r="D9">
        <v>1</v>
      </c>
      <c r="E9">
        <v>1</v>
      </c>
    </row>
    <row r="10" spans="1:7" x14ac:dyDescent="0.25">
      <c r="A10" t="s">
        <v>88</v>
      </c>
      <c r="B10">
        <v>1</v>
      </c>
      <c r="C10">
        <v>1</v>
      </c>
      <c r="D10">
        <v>1</v>
      </c>
      <c r="E10">
        <v>1</v>
      </c>
    </row>
    <row r="11" spans="1:7" x14ac:dyDescent="0.25">
      <c r="A11" t="s">
        <v>84</v>
      </c>
      <c r="B11">
        <v>1</v>
      </c>
      <c r="C11">
        <v>1</v>
      </c>
      <c r="D11">
        <v>1</v>
      </c>
      <c r="E11">
        <v>1</v>
      </c>
    </row>
    <row r="12" spans="1:7" x14ac:dyDescent="0.25">
      <c r="A12" t="s">
        <v>103</v>
      </c>
      <c r="B12">
        <v>1</v>
      </c>
      <c r="C12">
        <v>1</v>
      </c>
      <c r="D12">
        <v>1</v>
      </c>
      <c r="E12">
        <v>1</v>
      </c>
    </row>
    <row r="13" spans="1:7" x14ac:dyDescent="0.25">
      <c r="A13" t="s">
        <v>72</v>
      </c>
      <c r="B13">
        <v>1</v>
      </c>
      <c r="C13">
        <v>1</v>
      </c>
      <c r="D13">
        <v>1</v>
      </c>
      <c r="E13">
        <v>1</v>
      </c>
    </row>
    <row r="14" spans="1:7" x14ac:dyDescent="0.25">
      <c r="A14" t="s">
        <v>97</v>
      </c>
      <c r="B14">
        <v>1</v>
      </c>
      <c r="C14">
        <v>1</v>
      </c>
      <c r="D14">
        <v>1</v>
      </c>
      <c r="E14">
        <v>1</v>
      </c>
    </row>
    <row r="15" spans="1:7" x14ac:dyDescent="0.25">
      <c r="A15" t="s">
        <v>92</v>
      </c>
      <c r="B15">
        <v>1</v>
      </c>
      <c r="C15">
        <v>1</v>
      </c>
      <c r="D15">
        <v>1</v>
      </c>
      <c r="E15">
        <v>1</v>
      </c>
    </row>
    <row r="16" spans="1:7" x14ac:dyDescent="0.25">
      <c r="A16" t="s">
        <v>91</v>
      </c>
      <c r="B16">
        <v>1</v>
      </c>
      <c r="C16">
        <v>1</v>
      </c>
      <c r="D16">
        <v>1</v>
      </c>
      <c r="E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3" ma:contentTypeDescription="Create a new document." ma:contentTypeScope="" ma:versionID="682b5a54bc8341256a7f829b7a189b97">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6a49c7057010557c7e889b7a3315e425"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UserInfo>
        <DisplayName>Karen Clay</DisplayName>
        <AccountId>32</AccountId>
        <AccountType/>
      </UserInfo>
    </SharedWithUsers>
  </documentManagement>
</p:properties>
</file>

<file path=customXml/itemProps1.xml><?xml version="1.0" encoding="utf-8"?>
<ds:datastoreItem xmlns:ds="http://schemas.openxmlformats.org/officeDocument/2006/customXml" ds:itemID="{D25216B4-9659-4E04-9815-ABB4E8D91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openxmlformats.org/package/2006/metadata/core-properties"/>
    <ds:schemaRef ds:uri="http://purl.org/dc/terms/"/>
    <ds:schemaRef ds:uri="ba69df13-0c3c-4942-8695-6ca01564010c"/>
    <ds:schemaRef ds:uri="http://schemas.microsoft.com/office/2006/documentManagement/types"/>
    <ds:schemaRef ds:uri="http://schemas.microsoft.com/office/2006/metadata/properties"/>
    <ds:schemaRef ds:uri="2380bd5d-8f09-40a9-a9cb-2482ec2cd2ca"/>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GC-GD-MSc Project Managment</vt:lpstr>
      <vt:lpstr>Master of Project Management</vt:lpstr>
      <vt:lpstr>Unitsets</vt:lpstr>
      <vt:lpstr>Handbook</vt:lpstr>
      <vt:lpstr>Structures</vt:lpstr>
      <vt:lpstr>Availabilities</vt:lpstr>
      <vt:lpstr>'GC-GD-MSc Project Managment'!Print_Area</vt:lpstr>
      <vt:lpstr>'Master of Project Management'!Print_Area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2024-02-01T07:21:25Z</cp:lastPrinted>
  <dcterms:created xsi:type="dcterms:W3CDTF">2022-02-28T04:48:12Z</dcterms:created>
  <dcterms:modified xsi:type="dcterms:W3CDTF">2024-02-01T07:21:49Z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